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70" windowWidth="14810" windowHeight="7650" tabRatio="806"/>
  </bookViews>
  <sheets>
    <sheet name="Стат 2022-23" sheetId="1" r:id="rId1"/>
    <sheet name="Фин баланс 2023" sheetId="13" r:id="rId2"/>
    <sheet name="Цифры" sheetId="12" r:id="rId3"/>
    <sheet name="Товарные группы" sheetId="10" r:id="rId4"/>
    <sheet name="Тайм план" sheetId="3" r:id="rId5"/>
    <sheet name="Риски" sheetId="8" r:id="rId6"/>
    <sheet name="Заметки" sheetId="11" r:id="rId7"/>
    <sheet name="Маркетинг" sheetId="15" r:id="rId8"/>
  </sheets>
  <calcPr calcId="162913"/>
</workbook>
</file>

<file path=xl/calcChain.xml><?xml version="1.0" encoding="utf-8"?>
<calcChain xmlns="http://schemas.openxmlformats.org/spreadsheetml/2006/main">
  <c r="AC78" i="1" l="1"/>
  <c r="O78" i="1"/>
  <c r="C19" i="12" l="1"/>
  <c r="C17" i="12"/>
  <c r="C18" i="12" s="1"/>
  <c r="C20" i="12" l="1"/>
  <c r="R42" i="1" l="1"/>
  <c r="S42" i="1"/>
  <c r="T42" i="1"/>
  <c r="U42" i="1"/>
  <c r="V42" i="1"/>
  <c r="W42" i="1"/>
  <c r="X42" i="1"/>
  <c r="Y42" i="1"/>
  <c r="Z42" i="1"/>
  <c r="AA42" i="1"/>
  <c r="AB42" i="1"/>
  <c r="Q42" i="1"/>
  <c r="H42" i="1"/>
  <c r="I42" i="1"/>
  <c r="J42" i="1"/>
  <c r="K42" i="1"/>
  <c r="L42" i="1"/>
  <c r="M42" i="1"/>
  <c r="N42" i="1"/>
  <c r="G42" i="1"/>
  <c r="D48" i="1" l="1"/>
  <c r="E48" i="1"/>
  <c r="F48" i="1"/>
  <c r="D84" i="1"/>
  <c r="E84" i="1"/>
  <c r="F84" i="1"/>
  <c r="D89" i="1"/>
  <c r="E89" i="1"/>
  <c r="F89" i="1"/>
  <c r="D93" i="1"/>
  <c r="E93" i="1"/>
  <c r="F93" i="1"/>
  <c r="R48" i="1"/>
  <c r="S48" i="1"/>
  <c r="T48" i="1"/>
  <c r="U48" i="1"/>
  <c r="V48" i="1"/>
  <c r="W48" i="1"/>
  <c r="X48" i="1"/>
  <c r="Y48" i="1"/>
  <c r="Z48" i="1"/>
  <c r="AA48" i="1"/>
  <c r="AB48" i="1"/>
  <c r="Q48" i="1"/>
  <c r="H48" i="1"/>
  <c r="I48" i="1"/>
  <c r="J48" i="1"/>
  <c r="K48" i="1"/>
  <c r="L48" i="1"/>
  <c r="M48" i="1"/>
  <c r="N48" i="1"/>
  <c r="G48" i="1"/>
  <c r="AC26" i="1"/>
  <c r="AC12" i="1"/>
  <c r="AC15" i="1"/>
  <c r="AC11" i="1"/>
  <c r="AC29" i="1"/>
  <c r="AC94" i="1"/>
  <c r="AC92" i="1"/>
  <c r="AC91" i="1"/>
  <c r="AC90" i="1"/>
  <c r="AC88" i="1"/>
  <c r="AC87" i="1"/>
  <c r="AC86" i="1"/>
  <c r="AC85" i="1"/>
  <c r="AC83" i="1"/>
  <c r="AC82" i="1"/>
  <c r="AC81" i="1"/>
  <c r="AC80" i="1"/>
  <c r="AC79" i="1"/>
  <c r="AC53" i="1"/>
  <c r="AC52" i="1"/>
  <c r="AC51" i="1"/>
  <c r="AC50" i="1"/>
  <c r="AC49" i="1"/>
  <c r="AC57" i="1"/>
  <c r="AC56" i="1"/>
  <c r="AC66" i="1"/>
  <c r="AC65" i="1"/>
  <c r="AC64" i="1"/>
  <c r="AC63" i="1"/>
  <c r="AC62" i="1"/>
  <c r="AC61" i="1"/>
  <c r="AC60" i="1"/>
  <c r="AC59" i="1"/>
  <c r="AC69" i="1"/>
  <c r="AC68" i="1"/>
  <c r="AC54" i="1"/>
  <c r="AC72" i="1"/>
  <c r="AC77" i="1"/>
  <c r="AC76" i="1"/>
  <c r="AC75" i="1"/>
  <c r="AC44" i="1"/>
  <c r="AC40" i="1"/>
  <c r="AC39" i="1"/>
  <c r="O39" i="1"/>
  <c r="O40" i="1"/>
  <c r="O44" i="1"/>
  <c r="O49" i="1"/>
  <c r="O50" i="1"/>
  <c r="O51" i="1"/>
  <c r="O52" i="1"/>
  <c r="O53" i="1"/>
  <c r="O56" i="1"/>
  <c r="O57" i="1"/>
  <c r="O59" i="1"/>
  <c r="O60" i="1"/>
  <c r="O61" i="1"/>
  <c r="O62" i="1"/>
  <c r="O63" i="1"/>
  <c r="O64" i="1"/>
  <c r="O65" i="1"/>
  <c r="O66" i="1"/>
  <c r="O68" i="1"/>
  <c r="O69" i="1"/>
  <c r="O72" i="1"/>
  <c r="O54" i="1"/>
  <c r="O75" i="1"/>
  <c r="O76" i="1"/>
  <c r="O77" i="1"/>
  <c r="O79" i="1"/>
  <c r="O80" i="1"/>
  <c r="O81" i="1"/>
  <c r="O82" i="1"/>
  <c r="O83" i="1"/>
  <c r="O85" i="1"/>
  <c r="O86" i="1"/>
  <c r="O87" i="1"/>
  <c r="O88" i="1"/>
  <c r="O90" i="1"/>
  <c r="O91" i="1"/>
  <c r="O92" i="1"/>
  <c r="O94" i="1"/>
  <c r="O42" i="1" l="1"/>
  <c r="AC42" i="1"/>
  <c r="T32" i="13"/>
  <c r="T31" i="13"/>
  <c r="T30" i="13"/>
  <c r="T8" i="13"/>
  <c r="T6" i="13"/>
  <c r="T7" i="13" s="1"/>
  <c r="E34" i="13"/>
  <c r="C34" i="13"/>
  <c r="C41" i="13"/>
  <c r="C42" i="13" s="1"/>
  <c r="R35" i="13"/>
  <c r="Q32" i="13"/>
  <c r="O32" i="13"/>
  <c r="M32" i="13"/>
  <c r="K32" i="13"/>
  <c r="I32" i="13"/>
  <c r="G32" i="13"/>
  <c r="E32" i="13"/>
  <c r="C32" i="13"/>
  <c r="I31" i="13"/>
  <c r="G31" i="13"/>
  <c r="Q30" i="13"/>
  <c r="Q31" i="13" s="1"/>
  <c r="O30" i="13"/>
  <c r="O31" i="13" s="1"/>
  <c r="M30" i="13"/>
  <c r="M31" i="13" s="1"/>
  <c r="K30" i="13"/>
  <c r="K31" i="13" s="1"/>
  <c r="I30" i="13"/>
  <c r="G30" i="13"/>
  <c r="E30" i="13"/>
  <c r="E31" i="13" s="1"/>
  <c r="C30" i="13"/>
  <c r="R29" i="13"/>
  <c r="B44" i="13" l="1"/>
  <c r="T39" i="13"/>
  <c r="T41" i="13" s="1"/>
  <c r="T42" i="13"/>
  <c r="T43" i="13" s="1"/>
  <c r="K39" i="13"/>
  <c r="K41" i="13" s="1"/>
  <c r="K42" i="13" s="1"/>
  <c r="K43" i="13" s="1"/>
  <c r="R32" i="13"/>
  <c r="I39" i="13"/>
  <c r="I41" i="13" s="1"/>
  <c r="I42" i="13" s="1"/>
  <c r="I43" i="13" s="1"/>
  <c r="O39" i="13"/>
  <c r="O41" i="13" s="1"/>
  <c r="O42" i="13" s="1"/>
  <c r="O43" i="13" s="1"/>
  <c r="Q39" i="13"/>
  <c r="Q41" i="13" s="1"/>
  <c r="Q42" i="13" s="1"/>
  <c r="Q43" i="13" s="1"/>
  <c r="R30" i="13"/>
  <c r="C31" i="13"/>
  <c r="R31" i="13" s="1"/>
  <c r="G39" i="13"/>
  <c r="G41" i="13" s="1"/>
  <c r="G42" i="13" s="1"/>
  <c r="G43" i="13" s="1"/>
  <c r="M39" i="13"/>
  <c r="M41" i="13" s="1"/>
  <c r="M42" i="13" s="1"/>
  <c r="M43" i="13" s="1"/>
  <c r="C2" i="10"/>
  <c r="C3" i="10"/>
  <c r="C4" i="10"/>
  <c r="C5" i="10"/>
  <c r="G10" i="1"/>
  <c r="E10" i="13"/>
  <c r="C10" i="13"/>
  <c r="R5" i="13"/>
  <c r="R11" i="13"/>
  <c r="E8" i="13"/>
  <c r="G8" i="13"/>
  <c r="I8" i="13"/>
  <c r="K8" i="13"/>
  <c r="M8" i="13"/>
  <c r="O8" i="13"/>
  <c r="Q8" i="13"/>
  <c r="C8" i="13"/>
  <c r="G7" i="13"/>
  <c r="Q6" i="13"/>
  <c r="O6" i="13"/>
  <c r="O7" i="13" s="1"/>
  <c r="M6" i="13"/>
  <c r="M7" i="13" s="1"/>
  <c r="K6" i="13"/>
  <c r="K7" i="13" s="1"/>
  <c r="I6" i="13"/>
  <c r="G6" i="13"/>
  <c r="E6" i="13"/>
  <c r="E7" i="13" s="1"/>
  <c r="C6" i="13"/>
  <c r="C7" i="13" s="1"/>
  <c r="I15" i="13" l="1"/>
  <c r="I17" i="13" s="1"/>
  <c r="I18" i="13" s="1"/>
  <c r="I19" i="13" s="1"/>
  <c r="O15" i="13"/>
  <c r="O17" i="13" s="1"/>
  <c r="O18" i="13" s="1"/>
  <c r="O19" i="13" s="1"/>
  <c r="E39" i="13"/>
  <c r="E41" i="13" s="1"/>
  <c r="E42" i="13" s="1"/>
  <c r="E43" i="13" s="1"/>
  <c r="M15" i="13"/>
  <c r="M17" i="13" s="1"/>
  <c r="M18" i="13" s="1"/>
  <c r="M19" i="13" s="1"/>
  <c r="E15" i="13"/>
  <c r="E17" i="13" s="1"/>
  <c r="E18" i="13" s="1"/>
  <c r="E19" i="13" s="1"/>
  <c r="G15" i="13"/>
  <c r="G17" i="13" s="1"/>
  <c r="G18" i="13" s="1"/>
  <c r="G19" i="13" s="1"/>
  <c r="Q15" i="13"/>
  <c r="Q17" i="13" s="1"/>
  <c r="Q18" i="13" s="1"/>
  <c r="Q19" i="13" s="1"/>
  <c r="R8" i="13"/>
  <c r="C17" i="13"/>
  <c r="R6" i="13"/>
  <c r="Q7" i="13"/>
  <c r="T15" i="13" s="1"/>
  <c r="T17" i="13" s="1"/>
  <c r="T18" i="13" s="1"/>
  <c r="T19" i="13" s="1"/>
  <c r="I7" i="13"/>
  <c r="K15" i="13" s="1"/>
  <c r="K17" i="13" s="1"/>
  <c r="K18" i="13" s="1"/>
  <c r="K19" i="13" s="1"/>
  <c r="C13" i="12"/>
  <c r="C11" i="12"/>
  <c r="C12" i="12" s="1"/>
  <c r="C7" i="12"/>
  <c r="C5" i="12"/>
  <c r="C6" i="12" s="1"/>
  <c r="T25" i="1"/>
  <c r="T24" i="1" s="1"/>
  <c r="T43" i="1" s="1"/>
  <c r="T58" i="1"/>
  <c r="T38" i="1"/>
  <c r="T55" i="1"/>
  <c r="T67" i="1"/>
  <c r="T74" i="1"/>
  <c r="T84" i="1"/>
  <c r="T89" i="1"/>
  <c r="T93" i="1"/>
  <c r="U25" i="1"/>
  <c r="U24" i="1" s="1"/>
  <c r="U27" i="1" s="1"/>
  <c r="U38" i="1"/>
  <c r="U55" i="1"/>
  <c r="U58" i="1"/>
  <c r="U67" i="1"/>
  <c r="U74" i="1"/>
  <c r="U84" i="1"/>
  <c r="U89" i="1"/>
  <c r="U93" i="1"/>
  <c r="V25" i="1"/>
  <c r="V24" i="1" s="1"/>
  <c r="V27" i="1" s="1"/>
  <c r="V38" i="1"/>
  <c r="V55" i="1"/>
  <c r="V58" i="1"/>
  <c r="V67" i="1"/>
  <c r="V74" i="1"/>
  <c r="V84" i="1"/>
  <c r="V89" i="1"/>
  <c r="V93" i="1"/>
  <c r="W25" i="1"/>
  <c r="W24" i="1" s="1"/>
  <c r="W38" i="1"/>
  <c r="W55" i="1"/>
  <c r="W58" i="1"/>
  <c r="W67" i="1"/>
  <c r="W74" i="1"/>
  <c r="W84" i="1"/>
  <c r="W89" i="1"/>
  <c r="W93" i="1"/>
  <c r="X25" i="1"/>
  <c r="X24" i="1" s="1"/>
  <c r="X38" i="1"/>
  <c r="X55" i="1"/>
  <c r="X58" i="1"/>
  <c r="X67" i="1"/>
  <c r="X74" i="1"/>
  <c r="X84" i="1"/>
  <c r="X89" i="1"/>
  <c r="X93" i="1"/>
  <c r="Y25" i="1"/>
  <c r="Y24" i="1" s="1"/>
  <c r="Y27" i="1" s="1"/>
  <c r="Y38" i="1"/>
  <c r="Y55" i="1"/>
  <c r="Y58" i="1"/>
  <c r="Y67" i="1"/>
  <c r="Y74" i="1"/>
  <c r="Y84" i="1"/>
  <c r="Y89" i="1"/>
  <c r="Y93" i="1"/>
  <c r="Z25" i="1"/>
  <c r="Z71" i="1" s="1"/>
  <c r="Z70" i="1" s="1"/>
  <c r="Z38" i="1"/>
  <c r="Z55" i="1"/>
  <c r="Z58" i="1"/>
  <c r="Z67" i="1"/>
  <c r="Z74" i="1"/>
  <c r="Z84" i="1"/>
  <c r="Z89" i="1"/>
  <c r="Z93" i="1"/>
  <c r="AA25" i="1"/>
  <c r="AA24" i="1" s="1"/>
  <c r="AA27" i="1" s="1"/>
  <c r="AA28" i="1" s="1"/>
  <c r="AA38" i="1"/>
  <c r="AA55" i="1"/>
  <c r="AA58" i="1"/>
  <c r="AA67" i="1"/>
  <c r="AA74" i="1"/>
  <c r="AA84" i="1"/>
  <c r="AA89" i="1"/>
  <c r="AA93" i="1"/>
  <c r="AB25" i="1"/>
  <c r="AB71" i="1" s="1"/>
  <c r="AB70" i="1" s="1"/>
  <c r="AB38" i="1"/>
  <c r="AB55" i="1"/>
  <c r="AB58" i="1"/>
  <c r="AB67" i="1"/>
  <c r="AB74" i="1"/>
  <c r="AB84" i="1"/>
  <c r="AB89" i="1"/>
  <c r="AB93" i="1"/>
  <c r="S25" i="1"/>
  <c r="S71" i="1" s="1"/>
  <c r="S70" i="1" s="1"/>
  <c r="S58" i="1"/>
  <c r="S38" i="1"/>
  <c r="S55" i="1"/>
  <c r="S67" i="1"/>
  <c r="S74" i="1"/>
  <c r="S84" i="1"/>
  <c r="S89" i="1"/>
  <c r="S93" i="1"/>
  <c r="R25" i="1"/>
  <c r="R71" i="1" s="1"/>
  <c r="R70" i="1" s="1"/>
  <c r="R38" i="1"/>
  <c r="R55" i="1"/>
  <c r="R58" i="1"/>
  <c r="R67" i="1"/>
  <c r="R74" i="1"/>
  <c r="R84" i="1"/>
  <c r="R89" i="1"/>
  <c r="R93" i="1"/>
  <c r="Q25" i="1"/>
  <c r="Q38" i="1"/>
  <c r="Q55" i="1"/>
  <c r="Q58" i="1"/>
  <c r="Q67" i="1"/>
  <c r="Q74" i="1"/>
  <c r="Q84" i="1"/>
  <c r="Q89" i="1"/>
  <c r="Q93" i="1"/>
  <c r="T10" i="1"/>
  <c r="T13" i="1" s="1"/>
  <c r="U10" i="1"/>
  <c r="V10" i="1"/>
  <c r="V13" i="1" s="1"/>
  <c r="V14" i="1" s="1"/>
  <c r="V18" i="1" s="1"/>
  <c r="W10" i="1"/>
  <c r="W13" i="1" s="1"/>
  <c r="X10" i="1"/>
  <c r="X13" i="1" s="1"/>
  <c r="Y10" i="1"/>
  <c r="Y13" i="1" s="1"/>
  <c r="Z10" i="1"/>
  <c r="Z13" i="1" s="1"/>
  <c r="AA10" i="1"/>
  <c r="AA13" i="1" s="1"/>
  <c r="AB10" i="1"/>
  <c r="AB13" i="1" s="1"/>
  <c r="S10" i="1"/>
  <c r="S13" i="1" s="1"/>
  <c r="S14" i="1" s="1"/>
  <c r="S18" i="1" s="1"/>
  <c r="R10" i="1"/>
  <c r="R13" i="1" s="1"/>
  <c r="Q10" i="1"/>
  <c r="G38" i="1"/>
  <c r="G41" i="1"/>
  <c r="G55" i="1"/>
  <c r="G58" i="1"/>
  <c r="G67" i="1"/>
  <c r="G70" i="1"/>
  <c r="G74" i="1"/>
  <c r="G84" i="1"/>
  <c r="G89" i="1"/>
  <c r="G93" i="1"/>
  <c r="G24" i="1"/>
  <c r="H24" i="1"/>
  <c r="H41" i="1"/>
  <c r="H38" i="1"/>
  <c r="H55" i="1"/>
  <c r="H58" i="1"/>
  <c r="H67" i="1"/>
  <c r="H74" i="1"/>
  <c r="H84" i="1"/>
  <c r="H89" i="1"/>
  <c r="H93" i="1"/>
  <c r="I25" i="1"/>
  <c r="I71" i="1" s="1"/>
  <c r="I70" i="1" s="1"/>
  <c r="I41" i="1"/>
  <c r="I38" i="1"/>
  <c r="I55" i="1"/>
  <c r="I58" i="1"/>
  <c r="I67" i="1"/>
  <c r="I74" i="1"/>
  <c r="I84" i="1"/>
  <c r="I89" i="1"/>
  <c r="I93" i="1"/>
  <c r="J25" i="1"/>
  <c r="J24" i="1" s="1"/>
  <c r="H27" i="13" s="1"/>
  <c r="J41" i="1"/>
  <c r="J38" i="1"/>
  <c r="J55" i="1"/>
  <c r="J58" i="1"/>
  <c r="J67" i="1"/>
  <c r="J74" i="1"/>
  <c r="J84" i="1"/>
  <c r="J89" i="1"/>
  <c r="J93" i="1"/>
  <c r="K25" i="1"/>
  <c r="K71" i="1" s="1"/>
  <c r="K70" i="1" s="1"/>
  <c r="K41" i="1"/>
  <c r="K46" i="1"/>
  <c r="K45" i="1" s="1"/>
  <c r="K38" i="1"/>
  <c r="K55" i="1"/>
  <c r="K58" i="1"/>
  <c r="K67" i="1"/>
  <c r="K74" i="1"/>
  <c r="K84" i="1"/>
  <c r="K89" i="1"/>
  <c r="K93" i="1"/>
  <c r="L25" i="1"/>
  <c r="L71" i="1" s="1"/>
  <c r="L70" i="1" s="1"/>
  <c r="L46" i="1"/>
  <c r="L45" i="1" s="1"/>
  <c r="L38" i="1"/>
  <c r="L55" i="1"/>
  <c r="L58" i="1"/>
  <c r="L67" i="1"/>
  <c r="L74" i="1"/>
  <c r="L84" i="1"/>
  <c r="L89" i="1"/>
  <c r="L93" i="1"/>
  <c r="M25" i="1"/>
  <c r="M71" i="1" s="1"/>
  <c r="M70" i="1" s="1"/>
  <c r="M38" i="1"/>
  <c r="M55" i="1"/>
  <c r="M58" i="1"/>
  <c r="M67" i="1"/>
  <c r="M74" i="1"/>
  <c r="M84" i="1"/>
  <c r="M89" i="1"/>
  <c r="M93" i="1"/>
  <c r="N25" i="1"/>
  <c r="N71" i="1" s="1"/>
  <c r="N70" i="1" s="1"/>
  <c r="N38" i="1"/>
  <c r="N55" i="1"/>
  <c r="N58" i="1"/>
  <c r="N67" i="1"/>
  <c r="N74" i="1"/>
  <c r="N84" i="1"/>
  <c r="N89" i="1"/>
  <c r="N93" i="1"/>
  <c r="F24" i="1"/>
  <c r="F27" i="1" s="1"/>
  <c r="F38" i="1"/>
  <c r="F41" i="1"/>
  <c r="F46" i="1"/>
  <c r="F45" i="1" s="1"/>
  <c r="F55" i="1"/>
  <c r="F58" i="1"/>
  <c r="F67" i="1"/>
  <c r="F70" i="1"/>
  <c r="F74" i="1"/>
  <c r="E24" i="1"/>
  <c r="E38" i="1"/>
  <c r="E41" i="1"/>
  <c r="E46" i="1"/>
  <c r="E45" i="1" s="1"/>
  <c r="E55" i="1"/>
  <c r="E58" i="1"/>
  <c r="E67" i="1"/>
  <c r="E70" i="1"/>
  <c r="E74" i="1"/>
  <c r="D24" i="1"/>
  <c r="D27" i="1" s="1"/>
  <c r="D38" i="1"/>
  <c r="D41" i="1"/>
  <c r="D46" i="1"/>
  <c r="D45" i="1" s="1"/>
  <c r="D55" i="1"/>
  <c r="D58" i="1"/>
  <c r="D67" i="1"/>
  <c r="D70" i="1"/>
  <c r="D74" i="1"/>
  <c r="C24" i="1"/>
  <c r="C27" i="1" s="1"/>
  <c r="C28" i="1" s="1"/>
  <c r="C38" i="1"/>
  <c r="C37" i="1" s="1"/>
  <c r="C41" i="1"/>
  <c r="C46" i="1"/>
  <c r="C45" i="1" s="1"/>
  <c r="C48" i="1"/>
  <c r="C55" i="1"/>
  <c r="C58" i="1"/>
  <c r="C67" i="1"/>
  <c r="C70" i="1"/>
  <c r="C74" i="1"/>
  <c r="C84" i="1"/>
  <c r="C89" i="1"/>
  <c r="C93" i="1"/>
  <c r="B3" i="13"/>
  <c r="B12" i="13" s="1"/>
  <c r="F10" i="1"/>
  <c r="F13" i="1" s="1"/>
  <c r="H10" i="1"/>
  <c r="D3" i="13" s="1"/>
  <c r="E20" i="13" s="1"/>
  <c r="I10" i="1"/>
  <c r="J10" i="1"/>
  <c r="H3" i="13" s="1"/>
  <c r="I20" i="13" s="1"/>
  <c r="K10" i="1"/>
  <c r="J3" i="13" s="1"/>
  <c r="J12" i="13" s="1"/>
  <c r="L10" i="1"/>
  <c r="L3" i="13" s="1"/>
  <c r="M20" i="13" s="1"/>
  <c r="N10" i="1"/>
  <c r="P3" i="13" s="1"/>
  <c r="Q20" i="13" s="1"/>
  <c r="D10" i="1"/>
  <c r="D13" i="1" s="1"/>
  <c r="E10" i="1"/>
  <c r="E13" i="1" s="1"/>
  <c r="M18" i="1"/>
  <c r="C10" i="1"/>
  <c r="C13" i="1" s="1"/>
  <c r="M10" i="1"/>
  <c r="N3" i="13" s="1"/>
  <c r="N12" i="13" s="1"/>
  <c r="O12" i="1"/>
  <c r="O26" i="1"/>
  <c r="O11" i="1"/>
  <c r="T33" i="1"/>
  <c r="U33" i="1"/>
  <c r="V33" i="1"/>
  <c r="W33" i="1"/>
  <c r="X33" i="1"/>
  <c r="Y33" i="1"/>
  <c r="Z33" i="1"/>
  <c r="AA33" i="1"/>
  <c r="AB33" i="1"/>
  <c r="S33" i="1"/>
  <c r="R33" i="1"/>
  <c r="F33" i="1"/>
  <c r="E33" i="1"/>
  <c r="D33" i="1"/>
  <c r="C33" i="1"/>
  <c r="O29" i="1"/>
  <c r="O15" i="1"/>
  <c r="C14" i="12" l="1"/>
  <c r="C8" i="12"/>
  <c r="F37" i="1"/>
  <c r="D37" i="1"/>
  <c r="E37" i="1"/>
  <c r="K37" i="1"/>
  <c r="T5" i="1"/>
  <c r="AB5" i="1"/>
  <c r="V73" i="1"/>
  <c r="O89" i="1"/>
  <c r="O48" i="1"/>
  <c r="AC89" i="1"/>
  <c r="S73" i="1"/>
  <c r="C73" i="1"/>
  <c r="O84" i="1"/>
  <c r="Q24" i="1"/>
  <c r="Q27" i="1" s="1"/>
  <c r="AC25" i="1"/>
  <c r="O74" i="1"/>
  <c r="Q73" i="1"/>
  <c r="AC74" i="1"/>
  <c r="S3" i="13"/>
  <c r="T20" i="13" s="1"/>
  <c r="AC10" i="1"/>
  <c r="AC84" i="1"/>
  <c r="J5" i="1"/>
  <c r="AC67" i="1"/>
  <c r="Y73" i="1"/>
  <c r="O67" i="1"/>
  <c r="AC58" i="1"/>
  <c r="O58" i="1"/>
  <c r="AC55" i="1"/>
  <c r="O93" i="1"/>
  <c r="O55" i="1"/>
  <c r="AC93" i="1"/>
  <c r="AC48" i="1"/>
  <c r="O38" i="1"/>
  <c r="AC38" i="1"/>
  <c r="G4" i="1"/>
  <c r="I73" i="1"/>
  <c r="G73" i="1"/>
  <c r="Z73" i="1"/>
  <c r="F73" i="1"/>
  <c r="R73" i="1"/>
  <c r="AB73" i="1"/>
  <c r="W5" i="1"/>
  <c r="S5" i="1"/>
  <c r="L73" i="1"/>
  <c r="J73" i="1"/>
  <c r="J46" i="1"/>
  <c r="J45" i="1" s="1"/>
  <c r="U5" i="1"/>
  <c r="U73" i="1"/>
  <c r="M73" i="1"/>
  <c r="K73" i="1"/>
  <c r="X73" i="1"/>
  <c r="T73" i="1"/>
  <c r="D73" i="1"/>
  <c r="N73" i="1"/>
  <c r="H73" i="1"/>
  <c r="AA73" i="1"/>
  <c r="W73" i="1"/>
  <c r="E73" i="1"/>
  <c r="E95" i="1" s="1"/>
  <c r="I46" i="1"/>
  <c r="I45" i="1" s="1"/>
  <c r="M5" i="1"/>
  <c r="V5" i="1"/>
  <c r="AB24" i="1"/>
  <c r="AB43" i="1" s="1"/>
  <c r="AB46" i="1" s="1"/>
  <c r="AB45" i="1" s="1"/>
  <c r="L41" i="1"/>
  <c r="L4" i="1" s="1"/>
  <c r="G46" i="1"/>
  <c r="G45" i="1" s="1"/>
  <c r="Z24" i="1"/>
  <c r="Z27" i="1" s="1"/>
  <c r="Q5" i="1"/>
  <c r="G33" i="13"/>
  <c r="K5" i="1"/>
  <c r="U13" i="1"/>
  <c r="S24" i="1"/>
  <c r="S27" i="1" s="1"/>
  <c r="W71" i="1"/>
  <c r="W70" i="1" s="1"/>
  <c r="R24" i="1"/>
  <c r="R27" i="1" s="1"/>
  <c r="K24" i="1"/>
  <c r="J27" i="13" s="1"/>
  <c r="T71" i="1"/>
  <c r="T70" i="1" s="1"/>
  <c r="N24" i="1"/>
  <c r="N27" i="1" s="1"/>
  <c r="N28" i="1" s="1"/>
  <c r="Q71" i="1"/>
  <c r="X71" i="1"/>
  <c r="X70" i="1" s="1"/>
  <c r="Z14" i="1"/>
  <c r="Z18" i="1" s="1"/>
  <c r="U71" i="1"/>
  <c r="U70" i="1" s="1"/>
  <c r="I13" i="1"/>
  <c r="I14" i="1" s="1"/>
  <c r="I18" i="1" s="1"/>
  <c r="R14" i="1"/>
  <c r="R18" i="1" s="1"/>
  <c r="J71" i="1"/>
  <c r="J70" i="1" s="1"/>
  <c r="F14" i="1"/>
  <c r="Q13" i="1"/>
  <c r="X14" i="1"/>
  <c r="X18" i="1" s="1"/>
  <c r="T14" i="1"/>
  <c r="T18" i="1" s="1"/>
  <c r="I5" i="1"/>
  <c r="Z5" i="1"/>
  <c r="AB14" i="1"/>
  <c r="AB18" i="1" s="1"/>
  <c r="D14" i="1"/>
  <c r="N5" i="1"/>
  <c r="C14" i="1"/>
  <c r="E14" i="1"/>
  <c r="J13" i="1"/>
  <c r="J14" i="1" s="1"/>
  <c r="J18" i="1" s="1"/>
  <c r="V71" i="1"/>
  <c r="V70" i="1" s="1"/>
  <c r="R5" i="1"/>
  <c r="M24" i="1"/>
  <c r="M27" i="1" s="1"/>
  <c r="M28" i="1" s="1"/>
  <c r="H12" i="13"/>
  <c r="W27" i="1"/>
  <c r="W28" i="1" s="1"/>
  <c r="W32" i="1" s="1"/>
  <c r="W43" i="1"/>
  <c r="W41" i="1" s="1"/>
  <c r="W4" i="1" s="1"/>
  <c r="X43" i="1"/>
  <c r="X41" i="1" s="1"/>
  <c r="X27" i="1"/>
  <c r="X28" i="1" s="1"/>
  <c r="X32" i="1" s="1"/>
  <c r="W14" i="1"/>
  <c r="W18" i="1" s="1"/>
  <c r="K20" i="13"/>
  <c r="X5" i="1"/>
  <c r="N13" i="1"/>
  <c r="N14" i="1" s="1"/>
  <c r="N18" i="1" s="1"/>
  <c r="L24" i="1"/>
  <c r="L27" i="1" s="1"/>
  <c r="L28" i="1" s="1"/>
  <c r="Y71" i="1"/>
  <c r="Y70" i="1" s="1"/>
  <c r="K4" i="1"/>
  <c r="Y5" i="1"/>
  <c r="J4" i="1"/>
  <c r="I4" i="1"/>
  <c r="Y14" i="1"/>
  <c r="Y18" i="1" s="1"/>
  <c r="F3" i="13"/>
  <c r="G20" i="13" s="1"/>
  <c r="J27" i="1"/>
  <c r="J28" i="1" s="1"/>
  <c r="J32" i="1" s="1"/>
  <c r="I24" i="1"/>
  <c r="F27" i="13" s="1"/>
  <c r="AA71" i="1"/>
  <c r="AA70" i="1" s="1"/>
  <c r="AA5" i="1"/>
  <c r="AA14" i="1"/>
  <c r="AA18" i="1" s="1"/>
  <c r="K13" i="1"/>
  <c r="K14" i="1" s="1"/>
  <c r="K18" i="1" s="1"/>
  <c r="P12" i="13"/>
  <c r="I44" i="13"/>
  <c r="H36" i="13"/>
  <c r="G27" i="1"/>
  <c r="G28" i="1" s="1"/>
  <c r="G32" i="1" s="1"/>
  <c r="B27" i="13"/>
  <c r="H27" i="1"/>
  <c r="D27" i="13"/>
  <c r="R7" i="13"/>
  <c r="H46" i="1"/>
  <c r="H45" i="1" s="1"/>
  <c r="M33" i="13"/>
  <c r="O20" i="13"/>
  <c r="AA43" i="1"/>
  <c r="AA41" i="1" s="1"/>
  <c r="AA4" i="1" s="1"/>
  <c r="E27" i="1"/>
  <c r="E28" i="1" s="1"/>
  <c r="V28" i="1"/>
  <c r="V32" i="1" s="1"/>
  <c r="C20" i="13"/>
  <c r="G5" i="1"/>
  <c r="G13" i="1"/>
  <c r="G14" i="1" s="1"/>
  <c r="H5" i="1"/>
  <c r="O25" i="1"/>
  <c r="H71" i="1"/>
  <c r="H4" i="1"/>
  <c r="D12" i="13"/>
  <c r="H13" i="1"/>
  <c r="H14" i="1" s="1"/>
  <c r="H18" i="1" s="1"/>
  <c r="O10" i="1"/>
  <c r="L5" i="1"/>
  <c r="L13" i="1"/>
  <c r="L14" i="1" s="1"/>
  <c r="L12" i="13"/>
  <c r="T41" i="1"/>
  <c r="T46" i="1"/>
  <c r="T45" i="1" s="1"/>
  <c r="C32" i="1"/>
  <c r="AA32" i="1"/>
  <c r="T27" i="1"/>
  <c r="F28" i="1"/>
  <c r="V43" i="1"/>
  <c r="Y43" i="1"/>
  <c r="U43" i="1"/>
  <c r="D28" i="1"/>
  <c r="Y28" i="1"/>
  <c r="U28" i="1"/>
  <c r="B20" i="13"/>
  <c r="C18" i="13"/>
  <c r="D95" i="1" l="1"/>
  <c r="D34" i="1" s="1"/>
  <c r="D30" i="1" s="1"/>
  <c r="F95" i="1"/>
  <c r="S27" i="13"/>
  <c r="T44" i="13" s="1"/>
  <c r="T37" i="1"/>
  <c r="T95" i="1" s="1"/>
  <c r="T34" i="1" s="1"/>
  <c r="AB27" i="1"/>
  <c r="AB28" i="1" s="1"/>
  <c r="AB32" i="1" s="1"/>
  <c r="J37" i="1"/>
  <c r="J95" i="1" s="1"/>
  <c r="J34" i="1" s="1"/>
  <c r="I28" i="13" s="1"/>
  <c r="L37" i="1"/>
  <c r="L95" i="1" s="1"/>
  <c r="L34" i="1" s="1"/>
  <c r="M28" i="13" s="1"/>
  <c r="C95" i="1"/>
  <c r="C34" i="1" s="1"/>
  <c r="C30" i="1" s="1"/>
  <c r="C31" i="1" s="1"/>
  <c r="C35" i="1" s="1"/>
  <c r="K27" i="1"/>
  <c r="K28" i="1" s="1"/>
  <c r="K32" i="1" s="1"/>
  <c r="I37" i="1"/>
  <c r="I95" i="1" s="1"/>
  <c r="W46" i="1"/>
  <c r="Q43" i="1"/>
  <c r="Q46" i="1" s="1"/>
  <c r="Q45" i="1" s="1"/>
  <c r="S12" i="13"/>
  <c r="R28" i="1"/>
  <c r="R32" i="1" s="1"/>
  <c r="AB41" i="1"/>
  <c r="R43" i="1"/>
  <c r="R41" i="1" s="1"/>
  <c r="Q14" i="1"/>
  <c r="AC13" i="1"/>
  <c r="H70" i="1"/>
  <c r="O70" i="1" s="1"/>
  <c r="O71" i="1"/>
  <c r="Q28" i="1"/>
  <c r="Q32" i="1" s="1"/>
  <c r="AC73" i="1"/>
  <c r="O73" i="1"/>
  <c r="Q70" i="1"/>
  <c r="AC70" i="1" s="1"/>
  <c r="AC71" i="1"/>
  <c r="G37" i="1"/>
  <c r="K95" i="1"/>
  <c r="K34" i="1" s="1"/>
  <c r="K28" i="13" s="1"/>
  <c r="AC24" i="1"/>
  <c r="E20" i="1"/>
  <c r="E16" i="1" s="1"/>
  <c r="F12" i="13"/>
  <c r="M43" i="1"/>
  <c r="N27" i="13"/>
  <c r="N36" i="13" s="1"/>
  <c r="R33" i="13"/>
  <c r="S28" i="1"/>
  <c r="S32" i="1" s="1"/>
  <c r="Z43" i="1"/>
  <c r="Z46" i="1" s="1"/>
  <c r="Z45" i="1" s="1"/>
  <c r="Z28" i="1"/>
  <c r="Z32" i="1" s="1"/>
  <c r="S43" i="1"/>
  <c r="S41" i="1" s="1"/>
  <c r="R3" i="13"/>
  <c r="C18" i="1"/>
  <c r="N43" i="1"/>
  <c r="N41" i="1" s="1"/>
  <c r="P27" i="13"/>
  <c r="Q44" i="13" s="1"/>
  <c r="D18" i="1"/>
  <c r="U14" i="1"/>
  <c r="U18" i="1" s="1"/>
  <c r="L27" i="13"/>
  <c r="M44" i="13" s="1"/>
  <c r="F18" i="1"/>
  <c r="O24" i="1"/>
  <c r="E18" i="1"/>
  <c r="X46" i="1"/>
  <c r="AA46" i="1"/>
  <c r="M9" i="13"/>
  <c r="I27" i="1"/>
  <c r="I28" i="1" s="1"/>
  <c r="I32" i="1" s="1"/>
  <c r="L32" i="1"/>
  <c r="K44" i="13"/>
  <c r="J36" i="13"/>
  <c r="B36" i="13"/>
  <c r="C44" i="13"/>
  <c r="C45" i="13" s="1"/>
  <c r="G44" i="13"/>
  <c r="F36" i="13"/>
  <c r="H28" i="1"/>
  <c r="H32" i="1" s="1"/>
  <c r="C21" i="13"/>
  <c r="C22" i="13" s="1"/>
  <c r="E32" i="1"/>
  <c r="G18" i="1"/>
  <c r="G9" i="13" s="1"/>
  <c r="O13" i="1"/>
  <c r="L18" i="1"/>
  <c r="O14" i="1"/>
  <c r="O18" i="1" s="1"/>
  <c r="T4" i="1"/>
  <c r="U32" i="1"/>
  <c r="Y32" i="1"/>
  <c r="F32" i="1"/>
  <c r="Y41" i="1"/>
  <c r="Y46" i="1"/>
  <c r="Y45" i="1" s="1"/>
  <c r="M32" i="1"/>
  <c r="X4" i="1"/>
  <c r="D32" i="1"/>
  <c r="T28" i="1"/>
  <c r="N32" i="1"/>
  <c r="U41" i="1"/>
  <c r="U46" i="1"/>
  <c r="U45" i="1" s="1"/>
  <c r="V46" i="1"/>
  <c r="V45" i="1" s="1"/>
  <c r="V41" i="1"/>
  <c r="D20" i="1" l="1"/>
  <c r="D16" i="1" s="1"/>
  <c r="Y37" i="1"/>
  <c r="Y95" i="1" s="1"/>
  <c r="Y34" i="1" s="1"/>
  <c r="AB4" i="1"/>
  <c r="AB37" i="1"/>
  <c r="AB95" i="1" s="1"/>
  <c r="AB34" i="1" s="1"/>
  <c r="AB30" i="1" s="1"/>
  <c r="AA45" i="1"/>
  <c r="AA37" i="1" s="1"/>
  <c r="AA95" i="1" s="1"/>
  <c r="AA34" i="1" s="1"/>
  <c r="AA30" i="1" s="1"/>
  <c r="AA31" i="1" s="1"/>
  <c r="AA35" i="1" s="1"/>
  <c r="X45" i="1"/>
  <c r="X37" i="1" s="1"/>
  <c r="X95" i="1" s="1"/>
  <c r="X34" i="1" s="1"/>
  <c r="X30" i="1" s="1"/>
  <c r="W45" i="1"/>
  <c r="W37" i="1" s="1"/>
  <c r="W95" i="1" s="1"/>
  <c r="W34" i="1" s="1"/>
  <c r="W30" i="1" s="1"/>
  <c r="W31" i="1" s="1"/>
  <c r="W35" i="1" s="1"/>
  <c r="S36" i="13"/>
  <c r="AC27" i="1"/>
  <c r="C20" i="1"/>
  <c r="C16" i="1" s="1"/>
  <c r="C17" i="1" s="1"/>
  <c r="C21" i="1" s="1"/>
  <c r="I34" i="1"/>
  <c r="G28" i="13" s="1"/>
  <c r="I20" i="1"/>
  <c r="I3" i="1" s="1"/>
  <c r="U37" i="1"/>
  <c r="U95" i="1" s="1"/>
  <c r="U34" i="1" s="1"/>
  <c r="R4" i="1"/>
  <c r="V37" i="1"/>
  <c r="V95" i="1" s="1"/>
  <c r="V34" i="1" s="1"/>
  <c r="H37" i="1"/>
  <c r="H95" i="1" s="1"/>
  <c r="H20" i="1" s="1"/>
  <c r="Q41" i="1"/>
  <c r="R46" i="1"/>
  <c r="O44" i="13"/>
  <c r="AC28" i="1"/>
  <c r="AC32" i="1" s="1"/>
  <c r="M41" i="1"/>
  <c r="O43" i="1"/>
  <c r="E34" i="1"/>
  <c r="E30" i="1" s="1"/>
  <c r="E31" i="1" s="1"/>
  <c r="E35" i="1" s="1"/>
  <c r="O28" i="1"/>
  <c r="O32" i="1" s="1"/>
  <c r="Q18" i="1"/>
  <c r="AC14" i="1"/>
  <c r="AC18" i="1" s="1"/>
  <c r="AC43" i="1"/>
  <c r="K30" i="1"/>
  <c r="K31" i="1" s="1"/>
  <c r="K34" i="13" s="1"/>
  <c r="K36" i="13" s="1"/>
  <c r="E17" i="1"/>
  <c r="E21" i="1" s="1"/>
  <c r="M46" i="1"/>
  <c r="M45" i="1" s="1"/>
  <c r="K20" i="1"/>
  <c r="K16" i="1" s="1"/>
  <c r="K17" i="1" s="1"/>
  <c r="N46" i="1"/>
  <c r="F34" i="1"/>
  <c r="F30" i="1" s="1"/>
  <c r="F31" i="1" s="1"/>
  <c r="F35" i="1" s="1"/>
  <c r="F20" i="1"/>
  <c r="F16" i="1" s="1"/>
  <c r="F17" i="1" s="1"/>
  <c r="F21" i="1" s="1"/>
  <c r="J30" i="1"/>
  <c r="J31" i="1" s="1"/>
  <c r="I34" i="13" s="1"/>
  <c r="I36" i="13" s="1"/>
  <c r="J20" i="1"/>
  <c r="J3" i="1" s="1"/>
  <c r="L30" i="1"/>
  <c r="L31" i="1" s="1"/>
  <c r="L35" i="1" s="1"/>
  <c r="Z41" i="1"/>
  <c r="P36" i="13"/>
  <c r="L20" i="1"/>
  <c r="L16" i="1" s="1"/>
  <c r="L17" i="1" s="1"/>
  <c r="M10" i="13" s="1"/>
  <c r="D17" i="1"/>
  <c r="D21" i="1" s="1"/>
  <c r="S46" i="1"/>
  <c r="S45" i="1" s="1"/>
  <c r="L36" i="13"/>
  <c r="R9" i="13"/>
  <c r="O27" i="1"/>
  <c r="C46" i="13"/>
  <c r="G33" i="1" s="1"/>
  <c r="D44" i="13"/>
  <c r="D20" i="13"/>
  <c r="E21" i="13" s="1"/>
  <c r="E22" i="13" s="1"/>
  <c r="H19" i="1" s="1"/>
  <c r="U4" i="1"/>
  <c r="T20" i="1"/>
  <c r="N4" i="1"/>
  <c r="T32" i="1"/>
  <c r="T30" i="1"/>
  <c r="V4" i="1"/>
  <c r="Y4" i="1"/>
  <c r="S4" i="1"/>
  <c r="D31" i="1"/>
  <c r="D35" i="1" s="1"/>
  <c r="E4" i="13" l="1"/>
  <c r="E12" i="13" s="1"/>
  <c r="C2" i="12"/>
  <c r="C22" i="12" s="1"/>
  <c r="AA20" i="1"/>
  <c r="AA16" i="1" s="1"/>
  <c r="AA7" i="1" s="1"/>
  <c r="R45" i="1"/>
  <c r="AC45" i="1" s="1"/>
  <c r="N45" i="1"/>
  <c r="N37" i="1" s="1"/>
  <c r="N95" i="1" s="1"/>
  <c r="N34" i="1" s="1"/>
  <c r="Q28" i="13" s="1"/>
  <c r="Z4" i="1"/>
  <c r="Z37" i="1"/>
  <c r="Z95" i="1" s="1"/>
  <c r="Z34" i="1" s="1"/>
  <c r="Z30" i="1" s="1"/>
  <c r="W20" i="1"/>
  <c r="W16" i="1" s="1"/>
  <c r="W7" i="1" s="1"/>
  <c r="G4" i="13"/>
  <c r="I16" i="1"/>
  <c r="I17" i="1" s="1"/>
  <c r="I21" i="1" s="1"/>
  <c r="X20" i="1"/>
  <c r="X3" i="1" s="1"/>
  <c r="AB20" i="1"/>
  <c r="AB3" i="1" s="1"/>
  <c r="I30" i="1"/>
  <c r="I31" i="1" s="1"/>
  <c r="I35" i="1" s="1"/>
  <c r="J35" i="1"/>
  <c r="K35" i="1"/>
  <c r="Q4" i="1"/>
  <c r="Q37" i="1"/>
  <c r="Q95" i="1" s="1"/>
  <c r="Q20" i="1" s="1"/>
  <c r="S37" i="1"/>
  <c r="S95" i="1" s="1"/>
  <c r="S34" i="1" s="1"/>
  <c r="S30" i="1" s="1"/>
  <c r="O41" i="1"/>
  <c r="H3" i="1"/>
  <c r="M4" i="1"/>
  <c r="H16" i="1"/>
  <c r="H21" i="1" s="1"/>
  <c r="H34" i="1"/>
  <c r="E28" i="13" s="1"/>
  <c r="E36" i="13" s="1"/>
  <c r="K3" i="1"/>
  <c r="AC46" i="1"/>
  <c r="AC41" i="1"/>
  <c r="J16" i="1"/>
  <c r="J17" i="1" s="1"/>
  <c r="I10" i="13" s="1"/>
  <c r="M37" i="1"/>
  <c r="O46" i="1"/>
  <c r="O45" i="1" s="1"/>
  <c r="G95" i="1"/>
  <c r="K4" i="13"/>
  <c r="I4" i="13"/>
  <c r="M4" i="13"/>
  <c r="M12" i="13" s="1"/>
  <c r="L3" i="1"/>
  <c r="F20" i="13"/>
  <c r="G21" i="13" s="1"/>
  <c r="H20" i="13" s="1"/>
  <c r="I21" i="13" s="1"/>
  <c r="I22" i="13" s="1"/>
  <c r="J19" i="1" s="1"/>
  <c r="M34" i="13"/>
  <c r="M36" i="13" s="1"/>
  <c r="L21" i="1"/>
  <c r="D36" i="13"/>
  <c r="R27" i="13"/>
  <c r="E44" i="13"/>
  <c r="E45" i="13" s="1"/>
  <c r="K21" i="1"/>
  <c r="K10" i="13"/>
  <c r="V30" i="1"/>
  <c r="V20" i="1"/>
  <c r="T16" i="1"/>
  <c r="T3" i="1"/>
  <c r="T31" i="1"/>
  <c r="T35" i="1" s="1"/>
  <c r="U20" i="1"/>
  <c r="U30" i="1"/>
  <c r="Y20" i="1"/>
  <c r="Y30" i="1"/>
  <c r="AB31" i="1"/>
  <c r="AB35" i="1" s="1"/>
  <c r="X31" i="1"/>
  <c r="X35" i="1" s="1"/>
  <c r="AA17" i="1" l="1"/>
  <c r="AA21" i="1" s="1"/>
  <c r="AA3" i="1"/>
  <c r="R37" i="1"/>
  <c r="R95" i="1" s="1"/>
  <c r="R34" i="1" s="1"/>
  <c r="R30" i="1" s="1"/>
  <c r="R31" i="1" s="1"/>
  <c r="R35" i="1" s="1"/>
  <c r="G10" i="13"/>
  <c r="G12" i="13" s="1"/>
  <c r="X16" i="1"/>
  <c r="X7" i="1" s="1"/>
  <c r="W17" i="1"/>
  <c r="W21" i="1" s="1"/>
  <c r="AB16" i="1"/>
  <c r="AB17" i="1" s="1"/>
  <c r="AB21" i="1" s="1"/>
  <c r="W3" i="1"/>
  <c r="N30" i="1"/>
  <c r="N31" i="1" s="1"/>
  <c r="N20" i="1"/>
  <c r="Q4" i="13" s="1"/>
  <c r="G34" i="13"/>
  <c r="G36" i="13" s="1"/>
  <c r="S20" i="1"/>
  <c r="S3" i="1" s="1"/>
  <c r="H30" i="1"/>
  <c r="H35" i="1" s="1"/>
  <c r="H7" i="1"/>
  <c r="Z20" i="1"/>
  <c r="Z16" i="1" s="1"/>
  <c r="K12" i="13"/>
  <c r="I12" i="13"/>
  <c r="J21" i="1"/>
  <c r="T4" i="13"/>
  <c r="G34" i="1"/>
  <c r="G20" i="1"/>
  <c r="Q34" i="1"/>
  <c r="J20" i="13"/>
  <c r="K21" i="13" s="1"/>
  <c r="L20" i="13" s="1"/>
  <c r="M21" i="13" s="1"/>
  <c r="G22" i="13"/>
  <c r="I19" i="1" s="1"/>
  <c r="F44" i="13"/>
  <c r="G45" i="13" s="1"/>
  <c r="E46" i="13"/>
  <c r="H33" i="1" s="1"/>
  <c r="J7" i="1"/>
  <c r="Q16" i="1"/>
  <c r="Q3" i="1"/>
  <c r="Y31" i="1"/>
  <c r="Y35" i="1" s="1"/>
  <c r="U31" i="1"/>
  <c r="U35" i="1" s="1"/>
  <c r="U3" i="1"/>
  <c r="U16" i="1"/>
  <c r="Y16" i="1"/>
  <c r="Y3" i="1"/>
  <c r="S31" i="1"/>
  <c r="S35" i="1" s="1"/>
  <c r="Z31" i="1"/>
  <c r="Z35" i="1" s="1"/>
  <c r="V16" i="1"/>
  <c r="V3" i="1"/>
  <c r="T17" i="1"/>
  <c r="T21" i="1" s="1"/>
  <c r="T7" i="1"/>
  <c r="V31" i="1"/>
  <c r="V35" i="1" s="1"/>
  <c r="X17" i="1" l="1"/>
  <c r="X21" i="1" s="1"/>
  <c r="I7" i="1"/>
  <c r="AC95" i="1"/>
  <c r="AC37" i="1"/>
  <c r="R20" i="1"/>
  <c r="R3" i="1" s="1"/>
  <c r="AB7" i="1"/>
  <c r="N3" i="1"/>
  <c r="N16" i="1"/>
  <c r="N17" i="1" s="1"/>
  <c r="Z3" i="1"/>
  <c r="S16" i="1"/>
  <c r="S7" i="1" s="1"/>
  <c r="C4" i="13"/>
  <c r="C12" i="13" s="1"/>
  <c r="B13" i="13" s="1"/>
  <c r="D13" i="13" s="1"/>
  <c r="F13" i="13" s="1"/>
  <c r="H13" i="13" s="1"/>
  <c r="J13" i="13" s="1"/>
  <c r="L13" i="13" s="1"/>
  <c r="G3" i="1"/>
  <c r="G16" i="1"/>
  <c r="C28" i="13"/>
  <c r="G30" i="1"/>
  <c r="G35" i="1" s="1"/>
  <c r="M95" i="1"/>
  <c r="O37" i="1"/>
  <c r="T28" i="13"/>
  <c r="AC34" i="1"/>
  <c r="Q30" i="1"/>
  <c r="K22" i="13"/>
  <c r="K19" i="1" s="1"/>
  <c r="K7" i="1" s="1"/>
  <c r="N35" i="1"/>
  <c r="Q34" i="13"/>
  <c r="Q36" i="13" s="1"/>
  <c r="G46" i="13"/>
  <c r="I33" i="1" s="1"/>
  <c r="H44" i="13"/>
  <c r="I45" i="13" s="1"/>
  <c r="Q17" i="1"/>
  <c r="U7" i="1"/>
  <c r="U17" i="1"/>
  <c r="U21" i="1" s="1"/>
  <c r="Y17" i="1"/>
  <c r="Y21" i="1" s="1"/>
  <c r="Y7" i="1"/>
  <c r="Z7" i="1"/>
  <c r="Z17" i="1"/>
  <c r="Z21" i="1" s="1"/>
  <c r="V7" i="1"/>
  <c r="V17" i="1"/>
  <c r="V21" i="1" s="1"/>
  <c r="M22" i="13"/>
  <c r="L19" i="1" s="1"/>
  <c r="N20" i="13"/>
  <c r="O21" i="13" s="1"/>
  <c r="AC20" i="1" l="1"/>
  <c r="R16" i="1"/>
  <c r="R17" i="1" s="1"/>
  <c r="R21" i="1" s="1"/>
  <c r="S17" i="1"/>
  <c r="S21" i="1" s="1"/>
  <c r="M34" i="1"/>
  <c r="M20" i="1"/>
  <c r="O95" i="1"/>
  <c r="AC30" i="1"/>
  <c r="AC31" i="1" s="1"/>
  <c r="AC35" i="1" s="1"/>
  <c r="Q31" i="1"/>
  <c r="T34" i="13" s="1"/>
  <c r="T36" i="13" s="1"/>
  <c r="C36" i="13"/>
  <c r="B37" i="13" s="1"/>
  <c r="D37" i="13" s="1"/>
  <c r="F37" i="13" s="1"/>
  <c r="H37" i="13" s="1"/>
  <c r="J37" i="13" s="1"/>
  <c r="L37" i="13" s="1"/>
  <c r="G7" i="1"/>
  <c r="G21" i="1"/>
  <c r="Q21" i="1"/>
  <c r="T10" i="13"/>
  <c r="T12" i="13" s="1"/>
  <c r="J44" i="13"/>
  <c r="K45" i="13" s="1"/>
  <c r="I46" i="13"/>
  <c r="J33" i="1" s="1"/>
  <c r="L7" i="1"/>
  <c r="N21" i="1"/>
  <c r="Q10" i="13"/>
  <c r="Q12" i="13" s="1"/>
  <c r="P20" i="13"/>
  <c r="Q21" i="13" s="1"/>
  <c r="S20" i="13" s="1"/>
  <c r="T21" i="13" s="1"/>
  <c r="T22" i="13" s="1"/>
  <c r="Q19" i="1" s="1"/>
  <c r="AC19" i="1" s="1"/>
  <c r="O22" i="13"/>
  <c r="M19" i="1" s="1"/>
  <c r="AC16" i="1" l="1"/>
  <c r="AC17" i="1" s="1"/>
  <c r="AC21" i="1" s="1"/>
  <c r="R7" i="1"/>
  <c r="O4" i="13"/>
  <c r="R4" i="13" s="1"/>
  <c r="M3" i="1"/>
  <c r="M16" i="1"/>
  <c r="M7" i="1" s="1"/>
  <c r="O20" i="1"/>
  <c r="O28" i="13"/>
  <c r="R28" i="13" s="1"/>
  <c r="O34" i="1"/>
  <c r="M30" i="1"/>
  <c r="Q35" i="1"/>
  <c r="Q7" i="1"/>
  <c r="K46" i="13"/>
  <c r="K33" i="1" s="1"/>
  <c r="L44" i="13"/>
  <c r="M45" i="13" s="1"/>
  <c r="Q22" i="13"/>
  <c r="N19" i="1"/>
  <c r="O19" i="1" s="1"/>
  <c r="M31" i="1" l="1"/>
  <c r="M35" i="1" s="1"/>
  <c r="O30" i="1"/>
  <c r="O16" i="1"/>
  <c r="M17" i="1"/>
  <c r="M21" i="1" s="1"/>
  <c r="N44" i="13"/>
  <c r="O45" i="13" s="1"/>
  <c r="M46" i="13"/>
  <c r="L33" i="1" s="1"/>
  <c r="N7" i="1"/>
  <c r="O10" i="13" l="1"/>
  <c r="O17" i="1"/>
  <c r="O21" i="1" s="1"/>
  <c r="O34" i="13"/>
  <c r="O31" i="1"/>
  <c r="O35" i="1" s="1"/>
  <c r="O46" i="13"/>
  <c r="M33" i="1" s="1"/>
  <c r="P44" i="13"/>
  <c r="Q45" i="13" s="1"/>
  <c r="R34" i="13" l="1"/>
  <c r="O36" i="13"/>
  <c r="N37" i="13" s="1"/>
  <c r="P37" i="13" s="1"/>
  <c r="S37" i="13" s="1"/>
  <c r="R10" i="13"/>
  <c r="O12" i="13"/>
  <c r="N13" i="13" s="1"/>
  <c r="P13" i="13" s="1"/>
  <c r="S13" i="13" s="1"/>
  <c r="Q46" i="13"/>
  <c r="N33" i="1" s="1"/>
  <c r="O33" i="1" s="1"/>
  <c r="S44" i="13"/>
  <c r="T45" i="13" s="1"/>
  <c r="T46" i="13" s="1"/>
  <c r="Q33" i="1" s="1"/>
  <c r="AC33" i="1" s="1"/>
</calcChain>
</file>

<file path=xl/comments1.xml><?xml version="1.0" encoding="utf-8"?>
<comments xmlns="http://schemas.openxmlformats.org/spreadsheetml/2006/main">
  <authors>
    <author>Автор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- К расчету учтен только прямой НДС с продажи (без учета НДСа в расходах за период)
Фактически НДС к уплате будет ниже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- К расчету учтен только прямой НДС с продажи (без учета НДСа в расходах за период)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  <charset val="204"/>
          </rPr>
          <t>+5% от планируемых затрат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  <charset val="204"/>
          </rPr>
          <t>Офис - 30 кв.м по 1500
Склад - 80 кв.м. по 800</t>
        </r>
      </text>
    </comment>
    <comment ref="Q39" authorId="0" shapeId="0">
      <text>
        <r>
          <rPr>
            <b/>
            <sz val="9"/>
            <color indexed="81"/>
            <rFont val="Tahoma"/>
            <family val="2"/>
            <charset val="204"/>
          </rPr>
          <t>+10% к ставке аренды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- Оплата руководителю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- Отчисления в Фонды (30,2%)
 - НДФЛ (13%)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- Ведение счета
 - коммиссии за переводы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- 5000 Составление договра поставки ДВС
 - 20 000 Сопровождение контратка ВЭД </t>
        </r>
      </text>
    </comment>
    <comment ref="L5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- 5000 составление Трудоввого договра или договора с самозанятым </t>
        </r>
      </text>
    </comment>
    <comment ref="B6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- Мегафон АТС
 - Номер 8-800
 - отдельный номер для сотового</t>
        </r>
      </text>
    </comment>
    <comment ref="B6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- чай, молоко, кофе, сахар и т.д.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- изготовление печати
 - папки и файлы для документов
 - органайзеры для хранения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- Перчатки
 - Метизы (гвозди, шайбы, болты, гайки, гроверы)
 - Скотч
 - Стрейтч лента
 - Полиэтилен рулонный
</t>
        </r>
      </text>
    </comment>
    <comment ref="H6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- Европаллет 20 шт б/у
 - доски для обрешетки
 - брусок для обрешетки</t>
        </r>
      </text>
    </comment>
    <comment ref="K6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- Перчатки
 - Метизы (гвозди, шайбы, болты, гайки, гроверы)
 - Скотч
 - Стрейтч лента
 - Полиэтилен рулонный
</t>
        </r>
      </text>
    </comment>
    <comment ref="N6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- Перчатки
 - Метизы (гвозди, шайбы, болты, гайки, гроверы)
 - Скотч
 - Стрейтч лента
 - Полиэтилен рулонный
</t>
        </r>
      </text>
    </comment>
    <comment ref="R6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- Европаллет 20 шт б/у
 - доски для обрешетки
 - брусок для обрешетки</t>
        </r>
      </text>
    </comment>
    <comment ref="S6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- Перчатки
 - Метизы (гвозди, шайбы, болты, гайки, гроверы)
 - Скотч
 - Стрейтч лента
 - Полиэтилен рулонный
</t>
        </r>
      </text>
    </comment>
    <comment ref="V6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- Перчатки
 - Метизы (гвозди, шайбы, болты, гайки, гроверы)
 - Скотч
 - Стрейтч лента
 - Полиэтилен рулонный
</t>
        </r>
      </text>
    </comment>
    <comment ref="X6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- Европаллет 20 шт б/у
 - доски для обрешетки
 - брусок для обрешетки</t>
        </r>
      </text>
    </comment>
    <comment ref="Y6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- Перчатки
 - Метизы (гвозди, шайбы, болты, гайки, гроверы)
 - Скотч
 - Стрейтч лента
 - Полиэтилен рулонный
</t>
        </r>
      </text>
    </comment>
    <comment ref="H6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- Забор, проверка и отправка груза с Благовещнска</t>
        </r>
      </text>
    </comment>
    <comment ref="B7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- Из расчет 2500 рублей за 1 проданный двигатель</t>
        </r>
      </text>
    </comment>
    <comment ref="B7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- Оплата тарифа
 - CPA оплата за действие)
 - Увеличение просмотров</t>
        </r>
      </text>
    </comment>
    <comment ref="B7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- Оплата за просмотры 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 - Изготовление фо о зоны для товара, брендированная зона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- Изготовление листовой котоыре идут вместе с товаром, полезная информация, формат А5-А4
 - Печать листовок для коробки формат А2-А1  (наносится на короб при отправке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- Разработка макетов для печати и нанесения на коробку при отправке
 - Разработка макета листовки которая идет с товаром</t>
        </r>
      </text>
    </comment>
    <comment ref="H8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- Съемка видео материала для роликов на ютьюбе и соц сетей
 - Съемка фото для сайта и листовой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- Разработка сайта на  Insales/bitrix/megagroup
 - Логотип
 - Домен
</t>
        </r>
      </text>
    </comment>
    <comment ref="H8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- 4000 Wi-Fi роутер TP-Link Archer C80
 - 14 000 МФУ лазерное Pantum M6500W
 - 4000 Картридж лазерный Pantum PC-211EV черный, с чипом</t>
        </r>
      </text>
    </comment>
    <comment ref="K8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- 1 рабочая станция (ПК, монитор, клавиатура мышь, колонки, наушники)</t>
        </r>
      </text>
    </comment>
    <comment ref="N8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- 1 рабочая станция (ПК, монитор, клавиатура мышь, колонки, наушники)</t>
        </r>
      </text>
    </comment>
    <comment ref="H8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- Стол, тумба и стул офисные.</t>
        </r>
      </text>
    </comment>
    <comment ref="K8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- Стол, тумба и стул офисные.</t>
        </r>
      </text>
    </comment>
    <comment ref="N8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- 1 рабочее место
 - Зона отдыха (Диван стол журнальный)</t>
        </r>
      </text>
    </comment>
    <comment ref="H87" authorId="0" shapeId="0">
      <text>
        <r>
          <rPr>
            <b/>
            <sz val="9"/>
            <color indexed="81"/>
            <rFont val="Tahoma"/>
            <family val="2"/>
            <charset val="204"/>
          </rPr>
          <t>- 20 000 Тележка гидравлическая PROLIFT JC20 https://advanta-kazan.ru/skladskaya-tekhnika/telezhki-gidravlicheskie/standartnye/gidravlicheskaja-telezhka-jc20.html
- 95 000 Ручной штабелер PROLIFT PRO TRV 2016 https://advanta-kazan.ru/skladskaya-tekhnika/shtabelery/gidravlicheskie-shtabelery/ruchnoj-shtabeler-prolift-pro-trv-2016.html</t>
        </r>
      </text>
    </comment>
    <comment ref="G8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- Ножовка по дереву (350-450 мм)
 - Молоток слесарный (200-400 гр)
 - Плоскогубцы (160 мм)
 - Бокорезы (160 мм)
 - Набор отверток (3+3)
 - Нож канцелярский (металлический)
 - Рулетка 3-5 метров
 - Штангенциркуль 150-200 мм</t>
        </r>
      </text>
    </comment>
  </commentList>
</comments>
</file>

<file path=xl/sharedStrings.xml><?xml version="1.0" encoding="utf-8"?>
<sst xmlns="http://schemas.openxmlformats.org/spreadsheetml/2006/main" count="378" uniqueCount="253">
  <si>
    <t>Показатели эффективности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</si>
  <si>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</si>
  <si>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</si>
  <si>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</si>
  <si>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</si>
  <si>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</si>
  <si>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</si>
  <si>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</si>
  <si>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</si>
  <si>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</si>
  <si>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</si>
  <si>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</si>
  <si>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</si>
  <si>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Общее за период</t>
  </si>
  <si>
    <t>Об/Затраты</t>
  </si>
  <si>
    <t>Об/ФОТ</t>
  </si>
  <si>
    <t>Выработка</t>
  </si>
  <si>
    <t>Рентабельности: Чист. Приб./ср.мес.ост. товара.</t>
  </si>
  <si>
    <t>То, что мы можем сделать реально!</t>
  </si>
  <si>
    <t>Планируемый оборот</t>
  </si>
  <si>
    <t>Оборот себестоимости</t>
  </si>
  <si>
    <t>Валовая Прибыль</t>
  </si>
  <si>
    <t>Планируемый Уровень маржи</t>
  </si>
  <si>
    <t>Затраты</t>
  </si>
  <si>
    <t>Повышенные обязательства!</t>
  </si>
  <si>
    <t>Затраты на функционирование</t>
  </si>
  <si>
    <t>Содержание помещений (аренда, охрана, коммуналка)</t>
  </si>
  <si>
    <t>Аренда</t>
  </si>
  <si>
    <t>Электроэнергия</t>
  </si>
  <si>
    <t>Оплата Труда</t>
  </si>
  <si>
    <t>Оплата нештатным сотрудникам</t>
  </si>
  <si>
    <t>Налоги</t>
  </si>
  <si>
    <t>Налоги по заработной плате</t>
  </si>
  <si>
    <t>Услуги банков</t>
  </si>
  <si>
    <t>Юридические услуги</t>
  </si>
  <si>
    <t>Затраты по Гарантии</t>
  </si>
  <si>
    <t>Сторонний ремонт</t>
  </si>
  <si>
    <t>Замена клиенту ЗИП</t>
  </si>
  <si>
    <t>Интернет</t>
  </si>
  <si>
    <t>Расходные материалы</t>
  </si>
  <si>
    <t>Офисные расходы</t>
  </si>
  <si>
    <t>Вода в офис</t>
  </si>
  <si>
    <t>Канцелярия ...</t>
  </si>
  <si>
    <t>Почтовые расходы</t>
  </si>
  <si>
    <t>Командир./Представит.</t>
  </si>
  <si>
    <t>Билеты и транспорт</t>
  </si>
  <si>
    <t>Проживание</t>
  </si>
  <si>
    <t>Транспортные расходы</t>
  </si>
  <si>
    <t>Подбор персонала</t>
  </si>
  <si>
    <t>Затраты на развитие</t>
  </si>
  <si>
    <t>Реклама</t>
  </si>
  <si>
    <t>Рекламные конструкции, лайтбоксы</t>
  </si>
  <si>
    <t>Макеты (дизайн)</t>
  </si>
  <si>
    <t>Компьютерная и орг. техника</t>
  </si>
  <si>
    <t>Мебель</t>
  </si>
  <si>
    <t>Стройка/Ремонт</t>
  </si>
  <si>
    <t>Стройка/Ремонт (Работы)</t>
  </si>
  <si>
    <t>Стройматериалы</t>
  </si>
  <si>
    <t>Стройматериалы (Доставка)</t>
  </si>
  <si>
    <t>Затраты прочие</t>
  </si>
  <si>
    <t>ИТОГО Затраты</t>
  </si>
  <si>
    <t>Задача</t>
  </si>
  <si>
    <t>% выполнения</t>
  </si>
  <si>
    <t>К-во продаж</t>
  </si>
  <si>
    <t>Средняя цена</t>
  </si>
  <si>
    <t>НДС</t>
  </si>
  <si>
    <t>Налог на прибыль</t>
  </si>
  <si>
    <t>Оборудование для офиса/склада</t>
  </si>
  <si>
    <t>Avito</t>
  </si>
  <si>
    <t>Drom</t>
  </si>
  <si>
    <t>Яндекс Директ</t>
  </si>
  <si>
    <t>Полиграфия (листовки, плакаты)</t>
  </si>
  <si>
    <t>Складское оборудование (крупное)</t>
  </si>
  <si>
    <t>Интсрументы</t>
  </si>
  <si>
    <t>Операционная прибыль прибыль</t>
  </si>
  <si>
    <t>Сайт разработка и администрирование</t>
  </si>
  <si>
    <t>Прочие затраты</t>
  </si>
  <si>
    <t>Услуги крана-манипулятор, (воровайки)</t>
  </si>
  <si>
    <t>Съемка - Видео/фото</t>
  </si>
  <si>
    <t>Телефония</t>
  </si>
  <si>
    <t>Содержание офиса и склада</t>
  </si>
  <si>
    <t>Расходные материалы склад</t>
  </si>
  <si>
    <t>Финансы, юрилическое и учет</t>
  </si>
  <si>
    <t>ERP Мой склад</t>
  </si>
  <si>
    <t>Доставка по городу и до ТК</t>
  </si>
  <si>
    <t>Премия за продажи</t>
  </si>
  <si>
    <t>Зарплата сотрудников (оклад)</t>
  </si>
  <si>
    <t>Бухгалтерские услуги</t>
  </si>
  <si>
    <t>Чистая прибыль</t>
  </si>
  <si>
    <t>Курсовые изменения</t>
  </si>
  <si>
    <t>При резком (более 10%) изменении курса Юаня, значительно меняется ситуация в рынке.
 - При повышении курса после закупки товара, остаются продавцы которые держат цену по старому курсу (сливая позицию)
 - При понижении курса после закупки товара, вновь ввезенный товар становится дешевле</t>
  </si>
  <si>
    <t>Проблема</t>
  </si>
  <si>
    <t>Суть</t>
  </si>
  <si>
    <t>Комментарий</t>
  </si>
  <si>
    <t>В нашей ситуации очень сильным подспорьем будет, именно наличие товара в г. Казань с быстрой логистиков в Москву и МО.
Дальний восток очень проигрывает в этом, так как простой техники из-за доставки - может быть везкой причино для выбора ВДС с более высокой ценой и ближайшим расположением</t>
  </si>
  <si>
    <t>Гарантийные случаи</t>
  </si>
  <si>
    <t>В период гарантийного срока, могут выходить из строя узлы двигателя, самые частые это:
 - Турбина
 - Генератор
 - Стартер
 - ТНВД и форсунки
 - Компрессор
 - Помпа охлаждения
 - Насос масляный</t>
  </si>
  <si>
    <t xml:space="preserve">Дананя проблема решается грамотно составленным договором и четко прописанными гарантийными условиямми
Целесообразно заменить сломанный агрегат на новый, после выяснения обстоятельств и выявления дефекта
Топливная аппаратура чаще всего будет со следами некачественного топлива и на неё гарантия не будет действовать (экспертиза подтвердит низкое качество топлива и примеси)
</t>
  </si>
  <si>
    <t>Несоответтсвие запрашиваемому агрегату</t>
  </si>
  <si>
    <t>Иногда человек заказывает двигатель без опознавательных знаков и без возможности его идентифицировать на 100%, в процессу монтажа нового двигателя может быть выявлено его несоовтетствие и невозможность установке без "доработок"</t>
  </si>
  <si>
    <t>Перед отправкой проводится полная сверка двигателя по фото/видео и максимально минимизируется шанс ошибки, так же возиожноа консультация в Китае по совместимости или необходимости доработок.
При согласии челоека установить с "доработкой" соовтетсвующая пометка делается в доп соглашении к договору поставки</t>
  </si>
  <si>
    <t>Повреждения во время доставки до Клиента</t>
  </si>
  <si>
    <t>Для исключения последствий, в договоре поставки прописываем переход ответственности в момент передачи товара на ТК, в дополнительном соглашении прописывается какую ТК выбирает клиент и условия оплаты дсотавки</t>
  </si>
  <si>
    <t>Начать</t>
  </si>
  <si>
    <t>Завершить</t>
  </si>
  <si>
    <t>Регистрация ООО</t>
  </si>
  <si>
    <t>Открытие Расчетного счета</t>
  </si>
  <si>
    <t>Регистрация контракта ВЭД</t>
  </si>
  <si>
    <t>Создание ЭЦП</t>
  </si>
  <si>
    <t>Поиск помещению с юр адресом</t>
  </si>
  <si>
    <t>Регистрация домена</t>
  </si>
  <si>
    <t>Регистрация почтового сервера</t>
  </si>
  <si>
    <t>Настройка ERP Мой склад</t>
  </si>
  <si>
    <t>Настройка Мегафон АТС</t>
  </si>
  <si>
    <t>Поиск склада</t>
  </si>
  <si>
    <t>Подписание договора Аренды</t>
  </si>
  <si>
    <t>Формирование заказа YUCHAI</t>
  </si>
  <si>
    <t>Формирование заказа WEICHAI</t>
  </si>
  <si>
    <t>Формирование заказа SHANGHAI</t>
  </si>
  <si>
    <t>Формирование заказа прочие ДВС</t>
  </si>
  <si>
    <t>Формирование заказа КПП</t>
  </si>
  <si>
    <t>Покупка штабелера и тележки</t>
  </si>
  <si>
    <t>Договор на обслуживание с Декларантами</t>
  </si>
  <si>
    <t>Договор с Деловыми Линиями</t>
  </si>
  <si>
    <t>Регистрация Avito</t>
  </si>
  <si>
    <t>Регистрация Drom</t>
  </si>
  <si>
    <t>Тензор</t>
  </si>
  <si>
    <t>Тинькофф, Сбербанк, Альфа</t>
  </si>
  <si>
    <t>Налоговая, Банк</t>
  </si>
  <si>
    <t>reg.ru</t>
  </si>
  <si>
    <t>yandex.ru</t>
  </si>
  <si>
    <t>moysklad.ru</t>
  </si>
  <si>
    <t>vats.megafon.ru</t>
  </si>
  <si>
    <t>Контрагент</t>
  </si>
  <si>
    <t>Миша, Вася</t>
  </si>
  <si>
    <t>Деловые Линии</t>
  </si>
  <si>
    <t>drom.ru</t>
  </si>
  <si>
    <t>avito.ru</t>
  </si>
  <si>
    <t>Банк, Юрист</t>
  </si>
  <si>
    <t>Договор на Бух облсуживание</t>
  </si>
  <si>
    <t>Бухгалтер</t>
  </si>
  <si>
    <t>Сверка поступления товара в Хэйхэ</t>
  </si>
  <si>
    <t>Экспорт в РФ</t>
  </si>
  <si>
    <t>Подача декларации</t>
  </si>
  <si>
    <t>Декларант</t>
  </si>
  <si>
    <t>Оплата пошлины</t>
  </si>
  <si>
    <t>Оплата НДС</t>
  </si>
  <si>
    <t>Организация погрузки и отправки в Казань</t>
  </si>
  <si>
    <t>Байкал или Деловые</t>
  </si>
  <si>
    <t>Сбор размеров по каждой позиции</t>
  </si>
  <si>
    <t>Ухзнать ШхВхД и вес для расчета транспортной</t>
  </si>
  <si>
    <t>Расчет стоимости доставки в Казань</t>
  </si>
  <si>
    <t>Расчитать лучшее предложение по ТК</t>
  </si>
  <si>
    <t>Забор груза в Благовещенске</t>
  </si>
  <si>
    <t>Командировка на встречу груза в Благовещенске и решение вопросов на месте по необходимым досмотрам</t>
  </si>
  <si>
    <t>Отправка ДВС которые были проданы в пути</t>
  </si>
  <si>
    <t>Подготовка документов и организация отправки моторов клиентам</t>
  </si>
  <si>
    <t>Взятие точного счета на услуги СВХ и ПРР оплата</t>
  </si>
  <si>
    <t>ТПБ или ТЛТ</t>
  </si>
  <si>
    <t>Оплатить счет вовремя и недопустить простоя на СВХ</t>
  </si>
  <si>
    <t>Для ВЭД, деклараций и налоговой</t>
  </si>
  <si>
    <t>Почтовый сервер Яндекс360</t>
  </si>
  <si>
    <t>Покупка инструмента для склада</t>
  </si>
  <si>
    <t>Подготовка склада к приходу груза</t>
  </si>
  <si>
    <t>При необходимости, уборка, ремонтные работы, в зависимости от состояния помещения</t>
  </si>
  <si>
    <t>Подготовка фотозоны</t>
  </si>
  <si>
    <t>Организация качемвтенной фотозоны на складе, для фото и видео съемки продукции</t>
  </si>
  <si>
    <t>ДВС</t>
  </si>
  <si>
    <t>Группа</t>
  </si>
  <si>
    <t>Средняя себестоимость</t>
  </si>
  <si>
    <t>КПП</t>
  </si>
  <si>
    <t>ГТР</t>
  </si>
  <si>
    <t>Максимальный вес</t>
  </si>
  <si>
    <t>Кабины самосвалов</t>
  </si>
  <si>
    <t>Уточнения</t>
  </si>
  <si>
    <t>WEICHAI, SHANGHAI, YUCHAI, HUAFENG, SIDA, JMC</t>
  </si>
  <si>
    <t>SHACMAN, FAW, SITRAK</t>
  </si>
  <si>
    <t>ADVANCE, ZF, SHANTUI</t>
  </si>
  <si>
    <t>ADVANCE, SHANTUI</t>
  </si>
  <si>
    <t>№</t>
  </si>
  <si>
    <t>Заметка</t>
  </si>
  <si>
    <t>Использование ERP мой склад - временное решение, в дальнейшем необходимо будет переходить на 1С Альфа-авто. Функционал для ведения склада, заказов и подбора - максимальный на рынке софта. Удобство синхронизации данных для бухгалтеров - максимальное.</t>
  </si>
  <si>
    <t>По завершению нескольких поставок (1-3 поставки) - можно будет обсуждать частичную поставку товара под реализацию или с отсрочкой платежа на период логистики</t>
  </si>
  <si>
    <t>Свободные средства на счетах могут быть использованы для краткосрочных вкладов в банках</t>
  </si>
  <si>
    <t>Рабоат кампании на 99% "в белую" что бы исключить форс-мажоры связанные с НДС и налогами.</t>
  </si>
  <si>
    <t>Фильтры для "допродажи" закупать в РФ, необходимо выбрать бренд:
 - Оригинал WEICHAI, SHANGHAI, YUHCAI
 - Качественный аналог (STAL, BigFilter, etc)
Ввоз оригинальных фильтров из Китая так же возможен, но менее целесообразен, конкурентная цена может быть достигнута только большим объемом ввоза, но это "замораживание" ДС</t>
  </si>
  <si>
    <t>Затраты на  6 месяцев</t>
  </si>
  <si>
    <t>Пошлины</t>
  </si>
  <si>
    <t>Логистика</t>
  </si>
  <si>
    <t>Закуп товара в китай 2</t>
  </si>
  <si>
    <t>Закуп товара в китай 1</t>
  </si>
  <si>
    <t>Итого</t>
  </si>
  <si>
    <t>Итого на 6 месяцев</t>
  </si>
  <si>
    <t>Закуп товара</t>
  </si>
  <si>
    <t>Баланс итого</t>
  </si>
  <si>
    <t>Инвестиции</t>
  </si>
  <si>
    <t>Поступление</t>
  </si>
  <si>
    <t>Списание</t>
  </si>
  <si>
    <t>Пошлина таможня</t>
  </si>
  <si>
    <t>НДС Таможня</t>
  </si>
  <si>
    <t>Уплата НДС</t>
  </si>
  <si>
    <t>С/с Казань</t>
  </si>
  <si>
    <t>Наценка</t>
  </si>
  <si>
    <t>Стоимость склада цена продажи</t>
  </si>
  <si>
    <t>Маржа</t>
  </si>
  <si>
    <t>Складские остатки по цене продажи</t>
  </si>
  <si>
    <t>Остаток на последнее число с\с</t>
  </si>
  <si>
    <t>Остаток на последнее число ц\п</t>
  </si>
  <si>
    <t>Продажи</t>
  </si>
  <si>
    <t>Январь</t>
  </si>
  <si>
    <t>Остаток товара план (с\с)</t>
  </si>
  <si>
    <t>Ниши для расширения (потенциальные):
 - Агрегаты (ГТР, КПП, редуктор, ретардер, РК)
 - Топливная система (ТНВД, ТННД, форсунка в сборе)
 - Навесное оборудование (Стартер, генератор, компрессор, помпа водяная, насос масляный)
 - Кабины самосвалов
 - Кабины погрузчиков
 - Кмоплекты для капитального ремонта (поршневая группа, ремкомплект солный с сальниками)</t>
  </si>
  <si>
    <t>Ниши смежные:
 - Спецтехника малая (мини-погрузчики, вилочные погрузчики)
 - Складская техника (рокли, штабелеры, гидравлические столы)
 - Подъемное оборудование
 - Краны башенные (проектная работа)
 - Грузовые строительные лифты/ пассажирские строительные лифты
 - Бетононасосы
 - ДЭС
 - ГНБ
 - Компрессоры нестационарные (аналоги Atlas Copco)</t>
  </si>
  <si>
    <t>Прочие налоги</t>
  </si>
  <si>
    <t>Сайт</t>
  </si>
  <si>
    <t>Бренды для расширения:
 - Cummins, но слишком рискованный бренд, могут быть сложности по Таможне</t>
  </si>
  <si>
    <t>Если будем их привозить в первые партии</t>
  </si>
  <si>
    <t>Фото и видео - съемки для контента на сайт и рекламные площадки</t>
  </si>
  <si>
    <t>Описание каждого мотора (вес, габариты, комплектность)</t>
  </si>
  <si>
    <t>Уточнение комплетности моторов (фильтры, навесное и т.д.)</t>
  </si>
  <si>
    <t>Внесение данных по моторам в Базу знаний для менеджеров</t>
  </si>
  <si>
    <t>файл "описание моторов"</t>
  </si>
  <si>
    <t>Заключение договора с Berg</t>
  </si>
  <si>
    <t>Заключение договора с autopiter</t>
  </si>
  <si>
    <t>покупка</t>
  </si>
  <si>
    <t>покупка и размещение наших товаров</t>
  </si>
  <si>
    <t>Площадка</t>
  </si>
  <si>
    <t>Телеграм</t>
  </si>
  <si>
    <t>Агентская сеть</t>
  </si>
  <si>
    <t>Юла</t>
  </si>
  <si>
    <t>Нужно тестировать</t>
  </si>
  <si>
    <t>2000 тариф + оплата за просмотр + платное продвижение</t>
  </si>
  <si>
    <t>Размещение бесплатное, оплата 0,1% за сделку + платное приоритетное размещение в категории</t>
  </si>
  <si>
    <t>Оплата за просмотры</t>
  </si>
  <si>
    <t>Платное размещение в тематических группах (набор агенсткой сети)</t>
  </si>
  <si>
    <t>Скидка на продукцию</t>
  </si>
  <si>
    <t>Youtube</t>
  </si>
  <si>
    <t>Autopiter</t>
  </si>
  <si>
    <t>Промпортал</t>
  </si>
  <si>
    <t>Аналог ушедшего tiu</t>
  </si>
  <si>
    <t>Товар может быть поврежден в процессе доставки ТК до клиента</t>
  </si>
  <si>
    <t>Instagram</t>
  </si>
  <si>
    <t>Рилс и посты</t>
  </si>
  <si>
    <t>Расширить ассортимент за счет ДВС для колесных ТС</t>
  </si>
  <si>
    <t>Satom.ru</t>
  </si>
  <si>
    <t>Рассылки 6-12 месяцев о необходимости провести ТО с предложением комплекта для ТО (фильтры масла ремни)</t>
  </si>
  <si>
    <t>Составить брошюру ТО для ДВС</t>
  </si>
  <si>
    <t>Штат наёмного персонала</t>
  </si>
  <si>
    <t>Повышенные обязательства! +1шт продаж</t>
  </si>
  <si>
    <t>Закуп товара в китай 3</t>
  </si>
  <si>
    <t>Email маркетинг</t>
  </si>
  <si>
    <t>Рассылка по базе + новые базы парсинга (авито,  2гис)</t>
  </si>
  <si>
    <t>E-mail маркетинг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</si>
</sst>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%"/>
    <numFmt numFmtId="167" formatCode="0.000"/>
    <numFmt numFmtId="168" formatCode="#,##0;[Red]\-#,##0"/>
    <numFmt numFmtId="169" formatCode="0;[Red]\-0"/>
    <numFmt numFmtId="170" formatCode="_-* #,##0\ [$₽-419]_-;\-* #,##0\ [$₽-419]_-;_-* &quot;-&quot;??\ [$₽-419]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rgb="FFFF000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8"/>
      <color rgb="FF40404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10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</font>
    <font>
      <sz val="12"/>
      <name val="Arial"/>
      <family val="2"/>
    </font>
    <font>
      <sz val="10"/>
      <color rgb="FF5A5A5A"/>
      <name val="Arial"/>
      <family val="2"/>
      <charset val="1"/>
    </font>
    <font>
      <i/>
      <sz val="10"/>
      <color rgb="FF5A5A5A"/>
      <name val="Arial"/>
      <family val="2"/>
      <charset val="1"/>
    </font>
    <font>
      <b/>
      <i/>
      <sz val="16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"/>
      <family val="2"/>
    </font>
    <font>
      <i/>
      <sz val="10"/>
      <color indexed="23"/>
      <name val="Arial"/>
      <family val="2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sz val="10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  <font>
      <b/>
      <i/>
      <sz val="11"/>
      <name val="Arial"/>
      <family val="2"/>
      <charset val="1"/>
    </font>
    <font>
      <sz val="9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rgb="FFC8D1DC"/>
      </left>
      <right style="hair">
        <color rgb="FFC8D1DC"/>
      </right>
      <top/>
      <bottom style="hair">
        <color rgb="FFC8D1D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0"/>
    <xf numFmtId="9" fontId="28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20" fillId="0" borderId="4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4" fontId="0" fillId="0" borderId="9" xfId="0" applyNumberForma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left" vertical="center"/>
    </xf>
    <xf numFmtId="14" fontId="3" fillId="0" borderId="3" xfId="0" applyNumberFormat="1" applyFont="1" applyFill="1" applyBorder="1" applyAlignment="1">
      <alignment horizontal="left" vertical="center"/>
    </xf>
    <xf numFmtId="14" fontId="0" fillId="0" borderId="3" xfId="0" applyNumberForma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3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horizontal="center" vertical="center" wrapText="1"/>
    </xf>
    <xf numFmtId="3" fontId="0" fillId="0" borderId="0" xfId="0" applyNumberFormat="1"/>
    <xf numFmtId="170" fontId="0" fillId="0" borderId="0" xfId="0" applyNumberFormat="1"/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14" fontId="0" fillId="0" borderId="10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 wrapText="1"/>
    </xf>
    <xf numFmtId="0" fontId="0" fillId="0" borderId="0" xfId="0" applyProtection="1">
      <protection hidden="1"/>
    </xf>
    <xf numFmtId="49" fontId="6" fillId="0" borderId="3" xfId="1" applyNumberFormat="1" applyFont="1" applyFill="1" applyBorder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49" fontId="24" fillId="0" borderId="3" xfId="1" applyNumberFormat="1" applyFont="1" applyFill="1" applyBorder="1" applyProtection="1">
      <protection hidden="1"/>
    </xf>
    <xf numFmtId="0" fontId="24" fillId="9" borderId="3" xfId="1" applyFont="1" applyFill="1" applyBorder="1" applyAlignment="1" applyProtection="1">
      <alignment horizontal="center" vertical="center"/>
      <protection hidden="1"/>
    </xf>
    <xf numFmtId="0" fontId="24" fillId="0" borderId="3" xfId="1" applyFont="1" applyFill="1" applyBorder="1" applyAlignment="1" applyProtection="1">
      <alignment horizontal="center" vertical="center"/>
      <protection hidden="1"/>
    </xf>
    <xf numFmtId="0" fontId="25" fillId="3" borderId="3" xfId="1" applyFont="1" applyFill="1" applyBorder="1" applyAlignment="1" applyProtection="1">
      <alignment horizontal="left" vertical="top"/>
      <protection hidden="1"/>
    </xf>
    <xf numFmtId="165" fontId="8" fillId="4" borderId="3" xfId="1" applyNumberFormat="1" applyFont="1" applyFill="1" applyBorder="1" applyAlignment="1" applyProtection="1">
      <alignment vertical="top"/>
      <protection hidden="1"/>
    </xf>
    <xf numFmtId="165" fontId="8" fillId="4" borderId="3" xfId="1" applyNumberFormat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Protection="1">
      <protection hidden="1"/>
    </xf>
    <xf numFmtId="165" fontId="8" fillId="4" borderId="4" xfId="1" applyNumberFormat="1" applyFont="1" applyFill="1" applyBorder="1" applyAlignment="1" applyProtection="1">
      <alignment horizontal="center" vertical="center"/>
      <protection hidden="1"/>
    </xf>
    <xf numFmtId="3" fontId="8" fillId="4" borderId="3" xfId="1" applyNumberFormat="1" applyFont="1" applyFill="1" applyBorder="1" applyAlignment="1" applyProtection="1">
      <alignment vertical="top"/>
      <protection hidden="1"/>
    </xf>
    <xf numFmtId="3" fontId="8" fillId="4" borderId="3" xfId="1" applyNumberFormat="1" applyFont="1" applyFill="1" applyBorder="1" applyAlignment="1" applyProtection="1">
      <alignment horizontal="center" vertical="center"/>
      <protection hidden="1"/>
    </xf>
    <xf numFmtId="0" fontId="25" fillId="2" borderId="3" xfId="1" applyFont="1" applyFill="1" applyBorder="1" applyAlignment="1" applyProtection="1">
      <alignment horizontal="left" vertical="top"/>
      <protection hidden="1"/>
    </xf>
    <xf numFmtId="3" fontId="8" fillId="2" borderId="3" xfId="1" applyNumberFormat="1" applyFont="1" applyFill="1" applyBorder="1" applyAlignment="1" applyProtection="1">
      <alignment vertical="top"/>
      <protection hidden="1"/>
    </xf>
    <xf numFmtId="3" fontId="8" fillId="2" borderId="3" xfId="1" applyNumberFormat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Alignment="1" applyProtection="1">
      <alignment horizontal="center"/>
      <protection hidden="1"/>
    </xf>
    <xf numFmtId="10" fontId="8" fillId="4" borderId="3" xfId="1" applyNumberFormat="1" applyFont="1" applyFill="1" applyBorder="1" applyAlignment="1" applyProtection="1">
      <alignment vertical="top"/>
      <protection hidden="1"/>
    </xf>
    <xf numFmtId="10" fontId="8" fillId="4" borderId="3" xfId="1" applyNumberFormat="1" applyFont="1" applyFill="1" applyBorder="1" applyAlignment="1" applyProtection="1">
      <alignment horizontal="center" vertical="center"/>
      <protection hidden="1"/>
    </xf>
    <xf numFmtId="3" fontId="7" fillId="0" borderId="0" xfId="1" applyNumberFormat="1" applyFont="1" applyFill="1" applyBorder="1" applyAlignment="1" applyProtection="1">
      <alignment horizontal="right"/>
      <protection hidden="1"/>
    </xf>
    <xf numFmtId="3" fontId="7" fillId="0" borderId="0" xfId="1" applyNumberFormat="1" applyFont="1" applyFill="1" applyBorder="1" applyProtection="1">
      <protection hidden="1"/>
    </xf>
    <xf numFmtId="0" fontId="7" fillId="0" borderId="0" xfId="1" applyNumberFormat="1" applyFont="1" applyFill="1" applyBorder="1" applyProtection="1">
      <protection hidden="1"/>
    </xf>
    <xf numFmtId="166" fontId="7" fillId="0" borderId="0" xfId="1" applyNumberFormat="1" applyFont="1" applyFill="1" applyBorder="1" applyProtection="1">
      <protection hidden="1"/>
    </xf>
    <xf numFmtId="49" fontId="7" fillId="0" borderId="0" xfId="1" applyNumberFormat="1" applyFont="1" applyFill="1" applyBorder="1" applyProtection="1">
      <protection hidden="1"/>
    </xf>
    <xf numFmtId="1" fontId="10" fillId="0" borderId="0" xfId="1" applyNumberFormat="1" applyFont="1" applyFill="1" applyBorder="1" applyProtection="1">
      <protection hidden="1"/>
    </xf>
    <xf numFmtId="167" fontId="11" fillId="0" borderId="0" xfId="1" applyNumberFormat="1" applyFont="1" applyFill="1" applyProtection="1">
      <protection hidden="1"/>
    </xf>
    <xf numFmtId="49" fontId="23" fillId="0" borderId="3" xfId="1" applyNumberFormat="1" applyFont="1" applyFill="1" applyBorder="1" applyProtection="1">
      <protection hidden="1"/>
    </xf>
    <xf numFmtId="3" fontId="24" fillId="0" borderId="3" xfId="2" applyNumberFormat="1" applyFont="1" applyFill="1" applyBorder="1" applyAlignment="1" applyProtection="1">
      <alignment horizontal="center" vertical="center"/>
      <protection hidden="1"/>
    </xf>
    <xf numFmtId="3" fontId="24" fillId="5" borderId="3" xfId="1" applyNumberFormat="1" applyFont="1" applyFill="1" applyBorder="1" applyAlignment="1" applyProtection="1">
      <alignment horizontal="right"/>
      <protection hidden="1"/>
    </xf>
    <xf numFmtId="3" fontId="24" fillId="5" borderId="3" xfId="1" applyNumberFormat="1" applyFont="1" applyFill="1" applyBorder="1" applyAlignment="1" applyProtection="1">
      <alignment horizontal="right" vertical="center"/>
      <protection hidden="1"/>
    </xf>
    <xf numFmtId="3" fontId="24" fillId="0" borderId="3" xfId="2" applyNumberFormat="1" applyFont="1" applyFill="1" applyBorder="1" applyAlignment="1" applyProtection="1">
      <protection hidden="1"/>
    </xf>
    <xf numFmtId="3" fontId="24" fillId="5" borderId="3" xfId="2" applyNumberFormat="1" applyFont="1" applyFill="1" applyBorder="1" applyAlignment="1" applyProtection="1">
      <protection hidden="1"/>
    </xf>
    <xf numFmtId="3" fontId="24" fillId="5" borderId="3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49" fontId="24" fillId="2" borderId="3" xfId="1" applyNumberFormat="1" applyFont="1" applyFill="1" applyBorder="1" applyProtection="1">
      <protection hidden="1"/>
    </xf>
    <xf numFmtId="9" fontId="24" fillId="2" borderId="3" xfId="3" applyNumberFormat="1" applyFont="1" applyFill="1" applyBorder="1" applyAlignment="1" applyProtection="1">
      <alignment horizontal="center" vertical="center"/>
      <protection hidden="1"/>
    </xf>
    <xf numFmtId="9" fontId="24" fillId="5" borderId="3" xfId="1" applyNumberFormat="1" applyFont="1" applyFill="1" applyBorder="1" applyAlignment="1" applyProtection="1">
      <alignment horizontal="right"/>
      <protection hidden="1"/>
    </xf>
    <xf numFmtId="10" fontId="24" fillId="2" borderId="3" xfId="3" applyNumberFormat="1" applyFont="1" applyFill="1" applyBorder="1" applyAlignment="1" applyProtection="1">
      <alignment horizontal="center" vertical="center"/>
      <protection hidden="1"/>
    </xf>
    <xf numFmtId="3" fontId="23" fillId="5" borderId="3" xfId="2" applyNumberFormat="1" applyFont="1" applyFill="1" applyBorder="1" applyAlignment="1" applyProtection="1">
      <protection hidden="1"/>
    </xf>
    <xf numFmtId="3" fontId="24" fillId="6" borderId="3" xfId="1" applyNumberFormat="1" applyFont="1" applyFill="1" applyBorder="1" applyAlignment="1" applyProtection="1">
      <alignment horizontal="right"/>
      <protection hidden="1"/>
    </xf>
    <xf numFmtId="3" fontId="24" fillId="5" borderId="3" xfId="2" applyNumberFormat="1" applyFont="1" applyFill="1" applyBorder="1" applyAlignment="1" applyProtection="1">
      <alignment horizontal="right" vertical="center"/>
      <protection hidden="1"/>
    </xf>
    <xf numFmtId="3" fontId="24" fillId="2" borderId="3" xfId="2" applyNumberFormat="1" applyFont="1" applyFill="1" applyBorder="1" applyAlignment="1" applyProtection="1">
      <alignment horizontal="center" vertical="center"/>
      <protection hidden="1"/>
    </xf>
    <xf numFmtId="3" fontId="24" fillId="6" borderId="3" xfId="2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6" fontId="6" fillId="0" borderId="0" xfId="1" applyNumberFormat="1" applyFont="1" applyFill="1" applyBorder="1" applyProtection="1">
      <protection hidden="1"/>
    </xf>
    <xf numFmtId="3" fontId="18" fillId="0" borderId="0" xfId="0" applyNumberFormat="1" applyFont="1" applyProtection="1">
      <protection hidden="1"/>
    </xf>
    <xf numFmtId="49" fontId="23" fillId="2" borderId="3" xfId="1" applyNumberFormat="1" applyFont="1" applyFill="1" applyBorder="1" applyProtection="1">
      <protection hidden="1"/>
    </xf>
    <xf numFmtId="0" fontId="17" fillId="0" borderId="0" xfId="0" applyFont="1" applyProtection="1">
      <protection hidden="1"/>
    </xf>
    <xf numFmtId="0" fontId="12" fillId="7" borderId="3" xfId="0" applyFont="1" applyFill="1" applyBorder="1" applyAlignment="1" applyProtection="1">
      <alignment horizontal="left" vertical="center"/>
      <protection hidden="1"/>
    </xf>
    <xf numFmtId="3" fontId="33" fillId="7" borderId="3" xfId="0" applyNumberFormat="1" applyFont="1" applyFill="1" applyBorder="1" applyAlignment="1" applyProtection="1">
      <alignment horizontal="right" vertical="center"/>
      <protection hidden="1"/>
    </xf>
    <xf numFmtId="168" fontId="29" fillId="7" borderId="3" xfId="0" applyNumberFormat="1" applyFont="1" applyFill="1" applyBorder="1" applyAlignment="1" applyProtection="1">
      <alignment horizontal="right" vertical="center" indent="1"/>
      <protection hidden="1"/>
    </xf>
    <xf numFmtId="0" fontId="12" fillId="0" borderId="3" xfId="0" applyFont="1" applyFill="1" applyBorder="1" applyAlignment="1" applyProtection="1">
      <alignment horizontal="right" vertical="center"/>
      <protection hidden="1"/>
    </xf>
    <xf numFmtId="0" fontId="32" fillId="0" borderId="0" xfId="0" applyFont="1" applyAlignment="1" applyProtection="1">
      <alignment horizontal="right" vertical="center"/>
      <protection hidden="1"/>
    </xf>
    <xf numFmtId="0" fontId="30" fillId="8" borderId="3" xfId="0" applyFont="1" applyFill="1" applyBorder="1" applyAlignment="1" applyProtection="1">
      <alignment horizontal="left" vertical="center"/>
      <protection hidden="1"/>
    </xf>
    <xf numFmtId="0" fontId="31" fillId="8" borderId="3" xfId="0" applyFont="1" applyFill="1" applyBorder="1" applyAlignment="1" applyProtection="1">
      <alignment horizontal="left" vertical="center"/>
      <protection hidden="1"/>
    </xf>
    <xf numFmtId="168" fontId="31" fillId="8" borderId="3" xfId="0" applyNumberFormat="1" applyFont="1" applyFill="1" applyBorder="1" applyAlignment="1" applyProtection="1">
      <alignment horizontal="right" vertical="center" indent="1"/>
      <protection hidden="1"/>
    </xf>
    <xf numFmtId="168" fontId="29" fillId="8" borderId="3" xfId="0" applyNumberFormat="1" applyFont="1" applyFill="1" applyBorder="1" applyAlignment="1" applyProtection="1">
      <alignment horizontal="right" vertical="center" indent="1"/>
      <protection hidden="1"/>
    </xf>
    <xf numFmtId="0" fontId="31" fillId="0" borderId="3" xfId="0" applyFont="1" applyFill="1" applyBorder="1" applyAlignment="1" applyProtection="1">
      <alignment horizontal="right" vertical="center"/>
      <protection hidden="1"/>
    </xf>
    <xf numFmtId="0" fontId="32" fillId="8" borderId="0" xfId="0" applyFont="1" applyFill="1" applyAlignment="1" applyProtection="1">
      <alignment horizontal="right" vertical="center"/>
      <protection hidden="1"/>
    </xf>
    <xf numFmtId="0" fontId="14" fillId="0" borderId="3" xfId="0" applyFont="1" applyBorder="1" applyAlignment="1" applyProtection="1">
      <alignment horizontal="left" vertical="center"/>
      <protection hidden="1"/>
    </xf>
    <xf numFmtId="0" fontId="15" fillId="0" borderId="3" xfId="0" applyFont="1" applyBorder="1" applyAlignment="1" applyProtection="1">
      <alignment horizontal="left" vertical="center" indent="2"/>
      <protection hidden="1"/>
    </xf>
    <xf numFmtId="168" fontId="15" fillId="0" borderId="3" xfId="0" applyNumberFormat="1" applyFont="1" applyBorder="1" applyAlignment="1" applyProtection="1">
      <alignment horizontal="right" vertical="center" indent="1"/>
      <protection hidden="1"/>
    </xf>
    <xf numFmtId="168" fontId="22" fillId="0" borderId="3" xfId="4" applyNumberFormat="1" applyFont="1" applyBorder="1" applyAlignment="1" applyProtection="1">
      <alignment horizontal="right" vertical="center" indent="1"/>
      <protection hidden="1"/>
    </xf>
    <xf numFmtId="0" fontId="15" fillId="0" borderId="3" xfId="0" applyFont="1" applyFill="1" applyBorder="1" applyAlignment="1" applyProtection="1">
      <alignment horizontal="right" vertical="center" indent="2"/>
      <protection hidden="1"/>
    </xf>
    <xf numFmtId="0" fontId="0" fillId="0" borderId="0" xfId="0" applyAlignment="1" applyProtection="1">
      <alignment horizontal="right" vertical="center"/>
      <protection hidden="1"/>
    </xf>
    <xf numFmtId="168" fontId="15" fillId="0" borderId="2" xfId="0" applyNumberFormat="1" applyFont="1" applyBorder="1" applyAlignment="1" applyProtection="1">
      <alignment horizontal="right" vertical="center" indent="1"/>
      <protection hidden="1"/>
    </xf>
    <xf numFmtId="0" fontId="15" fillId="0" borderId="3" xfId="0" applyFont="1" applyBorder="1" applyAlignment="1" applyProtection="1">
      <alignment horizontal="right" vertical="center" indent="1"/>
      <protection hidden="1"/>
    </xf>
    <xf numFmtId="0" fontId="15" fillId="0" borderId="3" xfId="0" applyFont="1" applyFill="1" applyBorder="1" applyAlignment="1" applyProtection="1">
      <alignment horizontal="right" vertical="center" indent="4"/>
      <protection hidden="1"/>
    </xf>
    <xf numFmtId="169" fontId="22" fillId="0" borderId="3" xfId="4" applyNumberFormat="1" applyFont="1" applyBorder="1" applyAlignment="1" applyProtection="1">
      <alignment horizontal="right" vertical="center" indent="1"/>
      <protection hidden="1"/>
    </xf>
    <xf numFmtId="169" fontId="15" fillId="0" borderId="3" xfId="0" applyNumberFormat="1" applyFont="1" applyBorder="1" applyAlignment="1" applyProtection="1">
      <alignment horizontal="right" vertical="center" indent="1"/>
      <protection hidden="1"/>
    </xf>
    <xf numFmtId="168" fontId="15" fillId="0" borderId="3" xfId="0" applyNumberFormat="1" applyFont="1" applyBorder="1" applyAlignment="1" applyProtection="1">
      <alignment horizontal="right" vertical="center"/>
      <protection hidden="1"/>
    </xf>
    <xf numFmtId="0" fontId="0" fillId="0" borderId="3" xfId="0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horizontal="left"/>
      <protection hidden="1"/>
    </xf>
    <xf numFmtId="0" fontId="13" fillId="0" borderId="0" xfId="0" applyFont="1" applyBorder="1" applyAlignment="1" applyProtection="1">
      <alignment horizontal="left"/>
      <protection hidden="1"/>
    </xf>
    <xf numFmtId="0" fontId="0" fillId="0" borderId="0" xfId="0" applyFill="1" applyAlignment="1" applyProtection="1">
      <alignment horizontal="left"/>
      <protection hidden="1"/>
    </xf>
    <xf numFmtId="0" fontId="0" fillId="0" borderId="3" xfId="0" applyBorder="1" applyProtection="1">
      <protection hidden="1"/>
    </xf>
    <xf numFmtId="0" fontId="24" fillId="0" borderId="3" xfId="1" applyFont="1" applyFill="1" applyBorder="1" applyAlignment="1" applyProtection="1">
      <alignment horizontal="center" vertical="center"/>
      <protection hidden="1"/>
    </xf>
    <xf numFmtId="0" fontId="24" fillId="9" borderId="3" xfId="1" applyFont="1" applyFill="1" applyBorder="1" applyAlignment="1" applyProtection="1">
      <alignment horizontal="center" vertical="center"/>
      <protection hidden="1"/>
    </xf>
    <xf numFmtId="17" fontId="24" fillId="0" borderId="3" xfId="1" applyNumberFormat="1" applyFont="1" applyFill="1" applyBorder="1" applyAlignment="1" applyProtection="1">
      <alignment horizontal="center" vertical="center"/>
      <protection hidden="1"/>
    </xf>
    <xf numFmtId="168" fontId="15" fillId="0" borderId="3" xfId="0" applyNumberFormat="1" applyFont="1" applyBorder="1" applyAlignment="1" applyProtection="1">
      <alignment horizontal="left" vertical="center" indent="1"/>
      <protection hidden="1"/>
    </xf>
    <xf numFmtId="168" fontId="15" fillId="0" borderId="3" xfId="0" applyNumberFormat="1" applyFont="1" applyFill="1" applyBorder="1" applyAlignment="1" applyProtection="1">
      <alignment horizontal="right" vertical="center" indent="1"/>
      <protection hidden="1"/>
    </xf>
    <xf numFmtId="0" fontId="0" fillId="0" borderId="9" xfId="0" applyBorder="1" applyProtection="1">
      <protection hidden="1"/>
    </xf>
    <xf numFmtId="0" fontId="0" fillId="0" borderId="3" xfId="0" applyFill="1" applyBorder="1" applyAlignment="1" applyProtection="1">
      <alignment horizontal="right"/>
      <protection hidden="1"/>
    </xf>
    <xf numFmtId="168" fontId="0" fillId="0" borderId="3" xfId="0" applyNumberFormat="1" applyBorder="1" applyAlignment="1" applyProtection="1">
      <alignment horizontal="center"/>
      <protection hidden="1"/>
    </xf>
    <xf numFmtId="168" fontId="0" fillId="0" borderId="0" xfId="0" applyNumberFormat="1" applyProtection="1">
      <protection hidden="1"/>
    </xf>
    <xf numFmtId="9" fontId="0" fillId="0" borderId="0" xfId="0" applyNumberFormat="1" applyAlignment="1" applyProtection="1">
      <alignment horizontal="center" vertical="center"/>
      <protection hidden="1"/>
    </xf>
    <xf numFmtId="9" fontId="0" fillId="0" borderId="0" xfId="5" applyFont="1" applyAlignment="1" applyProtection="1">
      <alignment horizontal="center" vertical="center"/>
      <protection hidden="1"/>
    </xf>
  </cellXfs>
  <cellStyles count="6">
    <cellStyle name="Обычный" xfId="0" builtinId="0"/>
    <cellStyle name="Обычный 2" xfId="1"/>
    <cellStyle name="Обычный_Стат 2014-2015" xfId="4"/>
    <cellStyle name="Процентный" xfId="5" builtinId="5"/>
    <cellStyle name="Процентный 2" xfId="3"/>
    <cellStyle name="Финансовый 2" xfId="2"/>
  </cellStyles>
  <dxfs count="33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70" formatCode="_-* #,##0\ [$₽-419]_-;\-* #,##0\ [$₽-419]_-;_-* &quot;-&quot;??\ [$₽-419]_-;_-@_-"/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numFmt numFmtId="3" formatCode="#,##0"/>
      <fill>
        <patternFill>
          <bgColor rgb="FFFF99CC"/>
        </patternFill>
      </fill>
    </dxf>
    <dxf>
      <font>
        <color rgb="FFFF0000"/>
      </font>
      <fill>
        <patternFill>
          <fgColor indexed="64"/>
          <bgColor rgb="FFFF99CC"/>
        </patternFill>
      </fill>
    </dxf>
    <dxf>
      <font>
        <color rgb="FFFF0000"/>
      </font>
      <fill>
        <patternFill>
          <fgColor indexed="64"/>
          <bgColor rgb="FFFF99CC"/>
        </patternFill>
      </fill>
    </dxf>
    <dxf>
      <font>
        <color rgb="FFFF0000"/>
      </font>
      <fill>
        <patternFill>
          <fgColor indexed="64"/>
          <bgColor rgb="FFFF99CC"/>
        </patternFill>
      </fill>
    </dxf>
    <dxf>
      <font>
        <color rgb="FFFF0000"/>
      </font>
      <fill>
        <patternFill>
          <fgColor indexed="64"/>
          <bgColor rgb="FFFF99CC"/>
        </patternFill>
      </fill>
    </dxf>
    <dxf>
      <font>
        <b/>
        <i val="0"/>
        <color rgb="FFC00000"/>
      </font>
      <numFmt numFmtId="3" formatCode="#,##0"/>
      <fill>
        <patternFill>
          <bgColor rgb="FFFF99CC"/>
        </patternFill>
      </fill>
    </dxf>
    <dxf>
      <font>
        <color rgb="FFFF0000"/>
      </font>
      <fill>
        <patternFill>
          <fgColor indexed="64"/>
          <bgColor rgb="FFFF99CC"/>
        </patternFill>
      </fill>
    </dxf>
    <dxf>
      <font>
        <color rgb="FFFF0000"/>
      </font>
      <fill>
        <patternFill>
          <fgColor indexed="64"/>
          <bgColor rgb="FFFF99CC"/>
        </patternFill>
      </fill>
    </dxf>
    <dxf>
      <font>
        <b/>
        <i val="0"/>
        <color rgb="FFC00000"/>
      </font>
      <numFmt numFmtId="3" formatCode="#,##0"/>
      <fill>
        <patternFill>
          <bgColor rgb="FFFF99CC"/>
        </patternFill>
      </fill>
    </dxf>
    <dxf>
      <font>
        <color rgb="FFFF0000"/>
      </font>
      <fill>
        <patternFill>
          <fgColor indexed="64"/>
          <bgColor rgb="FFFF99CC"/>
        </patternFill>
      </fill>
    </dxf>
    <dxf>
      <font>
        <b/>
        <i val="0"/>
        <color rgb="FFC00000"/>
      </font>
      <numFmt numFmtId="3" formatCode="#,##0"/>
      <fill>
        <patternFill>
          <bgColor rgb="FFFF99CC"/>
        </patternFill>
      </fill>
    </dxf>
    <dxf>
      <font>
        <color rgb="FFFF0000"/>
      </font>
      <fill>
        <patternFill>
          <fgColor indexed="64"/>
          <bgColor rgb="FFFF99C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Таблица3" displayName="Таблица3" ref="A1:E5" totalsRowShown="0">
  <autoFilter ref="A1:E5"/>
  <tableColumns count="5">
    <tableColumn id="1" name="Группа"/>
    <tableColumn id="2" name="Средняя цена"/>
    <tableColumn id="3" name="Средняя себестоимость" dataDxfId="19">
      <calculatedColumnFormula>Таблица3[[#This Row],[Средняя цена]]/1.45</calculatedColumnFormula>
    </tableColumn>
    <tableColumn id="4" name="Максимальный вес"/>
    <tableColumn id="5" name="Уточнения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1:F43" totalsRowShown="0" headerRowDxfId="18" headerRowBorderDxfId="17" tableBorderDxfId="16" totalsRowBorderDxfId="15">
  <autoFilter ref="A1:F43"/>
  <tableColumns count="6">
    <tableColumn id="1" name="Задача" dataDxfId="14"/>
    <tableColumn id="2" name="Начать" dataDxfId="13"/>
    <tableColumn id="3" name="Завершить" dataDxfId="12"/>
    <tableColumn id="4" name="Контрагент" dataDxfId="11"/>
    <tableColumn id="5" name="Комментарий" dataDxfId="10"/>
    <tableColumn id="6" name="% выполнения" dataDxfId="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Таблица1" displayName="Таблица1" ref="A1:C5" totalsRowShown="0" headerRowDxfId="8">
  <autoFilter ref="A1:C5"/>
  <tableColumns count="3">
    <tableColumn id="1" name="Проблема" dataDxfId="7"/>
    <tableColumn id="2" name="Суть"/>
    <tableColumn id="3" name="Комментарий" dataDxfId="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A1:B33" totalsRowShown="0" headerRowDxfId="5">
  <autoFilter ref="A1:B33"/>
  <tableColumns count="2">
    <tableColumn id="1" name="№" dataDxfId="4"/>
    <tableColumn id="2" name="Заметка" dataDxf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A1:B22" totalsRowShown="0" dataDxfId="2">
  <autoFilter ref="A1:B22"/>
  <tableColumns count="2">
    <tableColumn id="1" name="Площадка" dataDxfId="1"/>
    <tableColumn id="3" name="Комментарий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AD96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L10" sqref="L10"/>
    </sheetView>
  </sheetViews>
  <sheetFormatPr defaultColWidth="8.7265625" defaultRowHeight="14.5" x14ac:dyDescent="0.35"/>
  <cols>
    <col min="1" max="1" width="2.453125" style="76" customWidth="1"/>
    <col min="2" max="2" width="31.81640625" style="76" customWidth="1"/>
    <col min="3" max="3" width="6.90625" style="76" bestFit="1" customWidth="1"/>
    <col min="4" max="4" width="7.54296875" style="76" bestFit="1" customWidth="1"/>
    <col min="5" max="5" width="6.1796875" style="76" bestFit="1" customWidth="1"/>
    <col min="6" max="6" width="6.453125" style="76" bestFit="1" customWidth="1"/>
    <col min="7" max="7" width="12.81640625" style="42" customWidth="1"/>
    <col min="8" max="8" width="9.6328125" style="42" bestFit="1" customWidth="1"/>
    <col min="9" max="9" width="10.453125" style="42" bestFit="1" customWidth="1"/>
    <col min="10" max="10" width="9.6328125" style="42" bestFit="1" customWidth="1"/>
    <col min="11" max="11" width="10.81640625" style="42" bestFit="1" customWidth="1"/>
    <col min="12" max="12" width="9.6328125" style="42" bestFit="1" customWidth="1"/>
    <col min="13" max="14" width="10.81640625" style="42" bestFit="1" customWidth="1"/>
    <col min="15" max="15" width="11.08984375" style="42" bestFit="1" customWidth="1"/>
    <col min="16" max="16" width="5" style="45" customWidth="1"/>
    <col min="17" max="17" width="9.6328125" style="76" bestFit="1" customWidth="1"/>
    <col min="18" max="18" width="12" style="76" bestFit="1" customWidth="1"/>
    <col min="19" max="19" width="9.6328125" style="76" bestFit="1" customWidth="1"/>
    <col min="20" max="20" width="13.26953125" style="76" bestFit="1" customWidth="1"/>
    <col min="21" max="21" width="10.81640625" style="42" bestFit="1" customWidth="1"/>
    <col min="22" max="22" width="12.81640625" style="42" customWidth="1"/>
    <col min="23" max="28" width="10.81640625" style="42" bestFit="1" customWidth="1"/>
    <col min="29" max="29" width="14.6328125" style="42" bestFit="1" customWidth="1"/>
    <col min="30" max="16384" width="8.7265625" style="42"/>
  </cols>
  <sheetData>
    <row r="1" spans="1:29" ht="21" x14ac:dyDescent="0.5">
      <c r="A1" s="42"/>
      <c r="B1" s="43" t="s">
        <v>0</v>
      </c>
      <c r="C1" s="44">
        <v>2023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Q1" s="44">
        <v>2024</v>
      </c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</row>
    <row r="2" spans="1:29" x14ac:dyDescent="0.35">
      <c r="A2" s="42"/>
      <c r="B2" s="46" t="s">
        <v>0</v>
      </c>
      <c r="C2" s="47" t="s">
        <v>1</v>
      </c>
      <c r="D2" s="47" t="s">
        <v>2</v>
      </c>
      <c r="E2" s="47" t="s">
        <v>3</v>
      </c>
      <c r="F2" s="48" t="s">
        <v>4</v>
      </c>
      <c r="G2" s="48" t="s">
        <v>5</v>
      </c>
      <c r="H2" s="48" t="s">
        <v>6</v>
      </c>
      <c r="I2" s="47" t="s">
        <v>7</v>
      </c>
      <c r="J2" s="47" t="s">
        <v>8</v>
      </c>
      <c r="K2" s="47" t="s">
        <v>9</v>
      </c>
      <c r="L2" s="48" t="s">
        <v>10</v>
      </c>
      <c r="M2" s="48" t="s">
        <v>11</v>
      </c>
      <c r="N2" s="48" t="s">
        <v>12</v>
      </c>
      <c r="O2" s="48" t="s">
        <v>191</v>
      </c>
      <c r="Q2" s="47" t="s">
        <v>1</v>
      </c>
      <c r="R2" s="47" t="s">
        <v>2</v>
      </c>
      <c r="S2" s="47" t="s">
        <v>3</v>
      </c>
      <c r="T2" s="48" t="s">
        <v>4</v>
      </c>
      <c r="U2" s="48" t="s">
        <v>5</v>
      </c>
      <c r="V2" s="48" t="s">
        <v>6</v>
      </c>
      <c r="W2" s="47" t="s">
        <v>7</v>
      </c>
      <c r="X2" s="47" t="s">
        <v>8</v>
      </c>
      <c r="Y2" s="47" t="s">
        <v>9</v>
      </c>
      <c r="Z2" s="48" t="s">
        <v>10</v>
      </c>
      <c r="AA2" s="48" t="s">
        <v>11</v>
      </c>
      <c r="AB2" s="48" t="s">
        <v>12</v>
      </c>
      <c r="AC2" s="48" t="s">
        <v>13</v>
      </c>
    </row>
    <row r="3" spans="1:29" x14ac:dyDescent="0.35">
      <c r="A3" s="42"/>
      <c r="B3" s="49" t="s">
        <v>14</v>
      </c>
      <c r="C3" s="50"/>
      <c r="D3" s="51"/>
      <c r="E3" s="51"/>
      <c r="F3" s="51"/>
      <c r="G3" s="51">
        <f t="shared" ref="G3:N3" si="0">G10/G20</f>
        <v>0</v>
      </c>
      <c r="H3" s="51">
        <f t="shared" si="0"/>
        <v>0</v>
      </c>
      <c r="I3" s="51">
        <f t="shared" si="0"/>
        <v>8.6584205518553752</v>
      </c>
      <c r="J3" s="51">
        <f t="shared" si="0"/>
        <v>9.8484848484848477</v>
      </c>
      <c r="K3" s="51">
        <f t="shared" si="0"/>
        <v>10.18808777429467</v>
      </c>
      <c r="L3" s="51">
        <f t="shared" si="0"/>
        <v>13.494809688581315</v>
      </c>
      <c r="M3" s="51">
        <f t="shared" si="0"/>
        <v>10.560908823070656</v>
      </c>
      <c r="N3" s="51">
        <f t="shared" si="0"/>
        <v>11.316195390652474</v>
      </c>
      <c r="O3" s="52"/>
      <c r="Q3" s="53">
        <f>Q10/Q20</f>
        <v>5.2761738810452776</v>
      </c>
      <c r="R3" s="53">
        <f t="shared" ref="R3:AB3" si="1">R10/R20</f>
        <v>5.9377153237425091</v>
      </c>
      <c r="S3" s="53">
        <f t="shared" si="1"/>
        <v>7.4116643633494341</v>
      </c>
      <c r="T3" s="53">
        <f t="shared" si="1"/>
        <v>9.048085703467784</v>
      </c>
      <c r="U3" s="53">
        <f t="shared" si="1"/>
        <v>11.034192415944917</v>
      </c>
      <c r="V3" s="53">
        <f t="shared" si="1"/>
        <v>10.98756207972575</v>
      </c>
      <c r="W3" s="53">
        <f t="shared" si="1"/>
        <v>9.0902649322751952</v>
      </c>
      <c r="X3" s="53">
        <f t="shared" si="1"/>
        <v>10.978283266731749</v>
      </c>
      <c r="Y3" s="53">
        <f t="shared" si="1"/>
        <v>10.98756207972575</v>
      </c>
      <c r="Z3" s="53">
        <f t="shared" si="1"/>
        <v>9.077569929874608</v>
      </c>
      <c r="AA3" s="53">
        <f t="shared" si="1"/>
        <v>9.8987017919785583</v>
      </c>
      <c r="AB3" s="53">
        <f t="shared" si="1"/>
        <v>12.027314473646102</v>
      </c>
      <c r="AC3" s="52"/>
    </row>
    <row r="4" spans="1:29" x14ac:dyDescent="0.35">
      <c r="A4" s="42"/>
      <c r="B4" s="49" t="s">
        <v>15</v>
      </c>
      <c r="C4" s="50"/>
      <c r="D4" s="51"/>
      <c r="E4" s="51"/>
      <c r="F4" s="51"/>
      <c r="G4" s="51">
        <f t="shared" ref="G4:N4" si="2">G10/G41</f>
        <v>0</v>
      </c>
      <c r="H4" s="51">
        <f t="shared" si="2"/>
        <v>0</v>
      </c>
      <c r="I4" s="51">
        <f t="shared" si="2"/>
        <v>18.2</v>
      </c>
      <c r="J4" s="51">
        <f t="shared" si="2"/>
        <v>20.8</v>
      </c>
      <c r="K4" s="51">
        <f t="shared" si="2"/>
        <v>26</v>
      </c>
      <c r="L4" s="51">
        <f t="shared" si="2"/>
        <v>31.2</v>
      </c>
      <c r="M4" s="51">
        <f t="shared" si="2"/>
        <v>19.979508196721312</v>
      </c>
      <c r="N4" s="51">
        <f t="shared" si="2"/>
        <v>23.508137432188065</v>
      </c>
      <c r="O4" s="52"/>
      <c r="Q4" s="51">
        <f t="shared" ref="Q4:AB4" si="3">Q10/Q41</f>
        <v>10.512129380053908</v>
      </c>
      <c r="R4" s="51">
        <f t="shared" si="3"/>
        <v>11.848958333333334</v>
      </c>
      <c r="S4" s="51">
        <f t="shared" si="3"/>
        <v>14.348785871964679</v>
      </c>
      <c r="T4" s="51">
        <f t="shared" si="3"/>
        <v>15.776699029126213</v>
      </c>
      <c r="U4" s="51">
        <f t="shared" si="3"/>
        <v>19.033674963396781</v>
      </c>
      <c r="V4" s="51">
        <f t="shared" si="3"/>
        <v>19.033674963396781</v>
      </c>
      <c r="W4" s="51">
        <f t="shared" si="3"/>
        <v>15.776699029126213</v>
      </c>
      <c r="X4" s="51">
        <f t="shared" si="3"/>
        <v>19.033674963396781</v>
      </c>
      <c r="Y4" s="51">
        <f t="shared" si="3"/>
        <v>19.033674963396781</v>
      </c>
      <c r="Z4" s="51">
        <f t="shared" si="3"/>
        <v>15.776699029126213</v>
      </c>
      <c r="AA4" s="51">
        <f t="shared" si="3"/>
        <v>17.158385093167702</v>
      </c>
      <c r="AB4" s="51">
        <f t="shared" si="3"/>
        <v>20.706371191135734</v>
      </c>
      <c r="AC4" s="52"/>
    </row>
    <row r="5" spans="1:29" x14ac:dyDescent="0.35">
      <c r="A5" s="42"/>
      <c r="B5" s="49" t="s">
        <v>16</v>
      </c>
      <c r="C5" s="54"/>
      <c r="D5" s="55"/>
      <c r="E5" s="55"/>
      <c r="F5" s="55"/>
      <c r="G5" s="55" t="e">
        <f t="shared" ref="G5:N5" si="4">G10/G6</f>
        <v>#DIV/0!</v>
      </c>
      <c r="H5" s="55" t="e">
        <f t="shared" si="4"/>
        <v>#DIV/0!</v>
      </c>
      <c r="I5" s="55" t="e">
        <f t="shared" si="4"/>
        <v>#DIV/0!</v>
      </c>
      <c r="J5" s="55" t="e">
        <f t="shared" si="4"/>
        <v>#DIV/0!</v>
      </c>
      <c r="K5" s="55" t="e">
        <f t="shared" si="4"/>
        <v>#DIV/0!</v>
      </c>
      <c r="L5" s="55" t="e">
        <f>L10/L6</f>
        <v>#DIV/0!</v>
      </c>
      <c r="M5" s="55">
        <f t="shared" si="4"/>
        <v>9750000</v>
      </c>
      <c r="N5" s="55">
        <f t="shared" si="4"/>
        <v>13000000</v>
      </c>
      <c r="O5" s="52"/>
      <c r="Q5" s="55">
        <f t="shared" ref="Q5:Y5" si="5">Q10/Q6</f>
        <v>3900000</v>
      </c>
      <c r="R5" s="55">
        <f t="shared" si="5"/>
        <v>4550000</v>
      </c>
      <c r="S5" s="55">
        <f t="shared" si="5"/>
        <v>3250000</v>
      </c>
      <c r="T5" s="55">
        <f t="shared" si="5"/>
        <v>4875000</v>
      </c>
      <c r="U5" s="55">
        <f t="shared" si="5"/>
        <v>6500000</v>
      </c>
      <c r="V5" s="55">
        <f t="shared" si="5"/>
        <v>6500000</v>
      </c>
      <c r="W5" s="55">
        <f t="shared" si="5"/>
        <v>4875000</v>
      </c>
      <c r="X5" s="55">
        <f t="shared" si="5"/>
        <v>6500000</v>
      </c>
      <c r="Y5" s="55">
        <f t="shared" si="5"/>
        <v>6500000</v>
      </c>
      <c r="Z5" s="55">
        <f>Z10/Z6</f>
        <v>4875000</v>
      </c>
      <c r="AA5" s="55">
        <f t="shared" ref="AA5:AB5" si="6">AA10/AA6</f>
        <v>5525000</v>
      </c>
      <c r="AB5" s="55">
        <f t="shared" si="6"/>
        <v>7475000</v>
      </c>
    </row>
    <row r="6" spans="1:29" x14ac:dyDescent="0.35">
      <c r="A6" s="42"/>
      <c r="B6" s="56" t="s">
        <v>247</v>
      </c>
      <c r="C6" s="57"/>
      <c r="D6" s="58"/>
      <c r="E6" s="58"/>
      <c r="F6" s="58"/>
      <c r="G6" s="58">
        <v>0</v>
      </c>
      <c r="H6" s="58">
        <v>0</v>
      </c>
      <c r="I6" s="58">
        <v>0</v>
      </c>
      <c r="J6" s="58">
        <v>0</v>
      </c>
      <c r="K6" s="58">
        <v>0</v>
      </c>
      <c r="L6" s="58">
        <v>0</v>
      </c>
      <c r="M6" s="58">
        <v>1</v>
      </c>
      <c r="N6" s="58">
        <v>1</v>
      </c>
      <c r="O6" s="52"/>
      <c r="Q6" s="58">
        <v>1</v>
      </c>
      <c r="R6" s="58">
        <v>1</v>
      </c>
      <c r="S6" s="58">
        <v>2</v>
      </c>
      <c r="T6" s="58">
        <v>2</v>
      </c>
      <c r="U6" s="58">
        <v>2</v>
      </c>
      <c r="V6" s="58">
        <v>2</v>
      </c>
      <c r="W6" s="58">
        <v>2</v>
      </c>
      <c r="X6" s="58">
        <v>2</v>
      </c>
      <c r="Y6" s="58">
        <v>2</v>
      </c>
      <c r="Z6" s="58">
        <v>2</v>
      </c>
      <c r="AA6" s="58">
        <v>2</v>
      </c>
      <c r="AB6" s="58">
        <v>2</v>
      </c>
      <c r="AC6" s="59"/>
    </row>
    <row r="7" spans="1:29" x14ac:dyDescent="0.35">
      <c r="A7" s="42"/>
      <c r="B7" s="49" t="s">
        <v>17</v>
      </c>
      <c r="C7" s="60"/>
      <c r="D7" s="61"/>
      <c r="E7" s="61"/>
      <c r="F7" s="61"/>
      <c r="G7" s="61">
        <f>G16/G19</f>
        <v>-498300</v>
      </c>
      <c r="H7" s="61">
        <f t="shared" ref="H7:N7" si="7">H16/H19</f>
        <v>-5.1898280802292265E-2</v>
      </c>
      <c r="I7" s="61">
        <f>I16/I19</f>
        <v>5.0934581826106752E-2</v>
      </c>
      <c r="J7" s="61">
        <f>J16/J19</f>
        <v>4.9419046677354375E-2</v>
      </c>
      <c r="K7" s="61">
        <f>K16/K19</f>
        <v>5.3860011201220657E-2</v>
      </c>
      <c r="L7" s="61">
        <f t="shared" si="7"/>
        <v>6.9226594379230219E-2</v>
      </c>
      <c r="M7" s="61">
        <f t="shared" si="7"/>
        <v>3.4830695238802646E-2</v>
      </c>
      <c r="N7" s="61">
        <f t="shared" si="7"/>
        <v>8.015718708623093E-2</v>
      </c>
      <c r="O7" s="52"/>
      <c r="Q7" s="61">
        <f>Q16/Q19</f>
        <v>7.7632475105264311E-3</v>
      </c>
      <c r="R7" s="61">
        <f t="shared" ref="R7:X7" si="8">R16/R19</f>
        <v>1.5521477862595418E-2</v>
      </c>
      <c r="S7" s="61">
        <f t="shared" si="8"/>
        <v>2.2039064631043249E-2</v>
      </c>
      <c r="T7" s="61">
        <f t="shared" si="8"/>
        <v>4.0989196946564908E-2</v>
      </c>
      <c r="U7" s="61">
        <f t="shared" si="8"/>
        <v>6.3272662595419832E-2</v>
      </c>
      <c r="V7" s="61">
        <f t="shared" si="8"/>
        <v>6.310599592875317E-2</v>
      </c>
      <c r="W7" s="61">
        <f t="shared" si="8"/>
        <v>3.5276454525627061E-2</v>
      </c>
      <c r="X7" s="61">
        <f t="shared" si="8"/>
        <v>6.307266259541984E-2</v>
      </c>
      <c r="Y7" s="61">
        <f>Y16/Y19</f>
        <v>4.7329496946564874E-2</v>
      </c>
      <c r="Z7" s="61">
        <f t="shared" ref="Z7:AB7" si="9">Z16/Z19</f>
        <v>3.082939770992368E-2</v>
      </c>
      <c r="AA7" s="61">
        <f t="shared" si="9"/>
        <v>3.7464437404580178E-2</v>
      </c>
      <c r="AB7" s="61">
        <f t="shared" si="9"/>
        <v>5.736955648854962E-2</v>
      </c>
      <c r="AC7" s="52"/>
    </row>
    <row r="8" spans="1:29" x14ac:dyDescent="0.35">
      <c r="A8" s="42"/>
      <c r="B8" s="62"/>
      <c r="C8" s="63"/>
      <c r="D8" s="64"/>
      <c r="E8" s="65"/>
      <c r="F8" s="66"/>
      <c r="G8" s="66"/>
      <c r="H8" s="66"/>
      <c r="I8" s="66"/>
      <c r="J8" s="67"/>
      <c r="K8" s="67"/>
      <c r="L8" s="67"/>
      <c r="M8" s="67"/>
      <c r="N8" s="67"/>
      <c r="O8" s="52"/>
      <c r="Q8" s="63"/>
      <c r="R8" s="64"/>
      <c r="S8" s="65"/>
      <c r="T8" s="66"/>
      <c r="U8" s="66"/>
      <c r="V8" s="66"/>
      <c r="W8" s="66"/>
      <c r="X8" s="67"/>
      <c r="Y8" s="67"/>
      <c r="Z8" s="67"/>
      <c r="AA8" s="67"/>
      <c r="AB8" s="67"/>
      <c r="AC8" s="52"/>
    </row>
    <row r="9" spans="1:29" x14ac:dyDescent="0.35">
      <c r="A9" s="42"/>
      <c r="B9" s="43" t="s">
        <v>18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52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52"/>
    </row>
    <row r="10" spans="1:29" x14ac:dyDescent="0.35">
      <c r="A10" s="42"/>
      <c r="B10" s="69" t="s">
        <v>19</v>
      </c>
      <c r="C10" s="70">
        <f>C11*C12</f>
        <v>0</v>
      </c>
      <c r="D10" s="70">
        <f t="shared" ref="D10:N10" si="10">D11*D12</f>
        <v>0</v>
      </c>
      <c r="E10" s="70">
        <f t="shared" si="10"/>
        <v>0</v>
      </c>
      <c r="F10" s="70">
        <f t="shared" si="10"/>
        <v>0</v>
      </c>
      <c r="G10" s="70">
        <f t="shared" si="10"/>
        <v>0</v>
      </c>
      <c r="H10" s="70">
        <f t="shared" si="10"/>
        <v>0</v>
      </c>
      <c r="I10" s="70">
        <f t="shared" si="10"/>
        <v>4550000</v>
      </c>
      <c r="J10" s="70">
        <f t="shared" si="10"/>
        <v>5200000</v>
      </c>
      <c r="K10" s="70">
        <f t="shared" si="10"/>
        <v>6500000</v>
      </c>
      <c r="L10" s="70">
        <f t="shared" si="10"/>
        <v>7800000</v>
      </c>
      <c r="M10" s="70">
        <f t="shared" si="10"/>
        <v>9750000</v>
      </c>
      <c r="N10" s="70">
        <f t="shared" si="10"/>
        <v>13000000</v>
      </c>
      <c r="O10" s="71">
        <f>SUM(F10:N10)</f>
        <v>46800000</v>
      </c>
      <c r="Q10" s="70">
        <f t="shared" ref="Q10" si="11">Q11*Q12</f>
        <v>3900000</v>
      </c>
      <c r="R10" s="70">
        <f t="shared" ref="R10" si="12">R11*R12</f>
        <v>4550000</v>
      </c>
      <c r="S10" s="70">
        <f t="shared" ref="S10" si="13">S11*S12</f>
        <v>6500000</v>
      </c>
      <c r="T10" s="70">
        <f t="shared" ref="T10" si="14">T11*T12</f>
        <v>9750000</v>
      </c>
      <c r="U10" s="70">
        <f t="shared" ref="U10" si="15">U11*U12</f>
        <v>13000000</v>
      </c>
      <c r="V10" s="70">
        <f t="shared" ref="V10" si="16">V11*V12</f>
        <v>13000000</v>
      </c>
      <c r="W10" s="70">
        <f t="shared" ref="W10" si="17">W11*W12</f>
        <v>9750000</v>
      </c>
      <c r="X10" s="70">
        <f t="shared" ref="X10" si="18">X11*X12</f>
        <v>13000000</v>
      </c>
      <c r="Y10" s="70">
        <f t="shared" ref="Y10" si="19">Y11*Y12</f>
        <v>13000000</v>
      </c>
      <c r="Z10" s="70">
        <f t="shared" ref="Z10" si="20">Z11*Z12</f>
        <v>9750000</v>
      </c>
      <c r="AA10" s="70">
        <f t="shared" ref="AA10" si="21">AA11*AA12</f>
        <v>11050000</v>
      </c>
      <c r="AB10" s="70">
        <f t="shared" ref="AB10" si="22">AB11*AB12</f>
        <v>14950000</v>
      </c>
      <c r="AC10" s="72">
        <f>SUM(Q10:AB10)</f>
        <v>122200000</v>
      </c>
    </row>
    <row r="11" spans="1:29" x14ac:dyDescent="0.35">
      <c r="A11" s="42"/>
      <c r="B11" s="69" t="s">
        <v>63</v>
      </c>
      <c r="C11" s="73"/>
      <c r="D11" s="70"/>
      <c r="E11" s="70"/>
      <c r="F11" s="70"/>
      <c r="G11" s="70">
        <v>0</v>
      </c>
      <c r="H11" s="70">
        <v>0</v>
      </c>
      <c r="I11" s="70">
        <v>7</v>
      </c>
      <c r="J11" s="70">
        <v>8</v>
      </c>
      <c r="K11" s="70">
        <v>10</v>
      </c>
      <c r="L11" s="70">
        <v>12</v>
      </c>
      <c r="M11" s="70">
        <v>15</v>
      </c>
      <c r="N11" s="70">
        <v>20</v>
      </c>
      <c r="O11" s="71">
        <f>SUM(C11:N11)</f>
        <v>72</v>
      </c>
      <c r="Q11" s="70">
        <v>6</v>
      </c>
      <c r="R11" s="70">
        <v>7</v>
      </c>
      <c r="S11" s="70">
        <v>10</v>
      </c>
      <c r="T11" s="70">
        <v>15</v>
      </c>
      <c r="U11" s="70">
        <v>20</v>
      </c>
      <c r="V11" s="70">
        <v>20</v>
      </c>
      <c r="W11" s="70">
        <v>15</v>
      </c>
      <c r="X11" s="70">
        <v>20</v>
      </c>
      <c r="Y11" s="70">
        <v>20</v>
      </c>
      <c r="Z11" s="70">
        <v>15</v>
      </c>
      <c r="AA11" s="70">
        <v>17</v>
      </c>
      <c r="AB11" s="70">
        <v>23</v>
      </c>
      <c r="AC11" s="72">
        <f t="shared" ref="AC11:AC14" si="23">SUM(Q11:AB11)</f>
        <v>188</v>
      </c>
    </row>
    <row r="12" spans="1:29" x14ac:dyDescent="0.35">
      <c r="A12" s="42"/>
      <c r="B12" s="69" t="s">
        <v>64</v>
      </c>
      <c r="C12" s="73"/>
      <c r="D12" s="70"/>
      <c r="E12" s="70"/>
      <c r="F12" s="70"/>
      <c r="G12" s="70">
        <v>650000</v>
      </c>
      <c r="H12" s="70">
        <v>650000</v>
      </c>
      <c r="I12" s="70">
        <v>650000</v>
      </c>
      <c r="J12" s="70">
        <v>650000</v>
      </c>
      <c r="K12" s="70">
        <v>650000</v>
      </c>
      <c r="L12" s="70">
        <v>650000</v>
      </c>
      <c r="M12" s="70">
        <v>650000</v>
      </c>
      <c r="N12" s="70">
        <v>650000</v>
      </c>
      <c r="O12" s="71">
        <f>AVERAGE(C12:N12)</f>
        <v>650000</v>
      </c>
      <c r="Q12" s="70">
        <v>650000</v>
      </c>
      <c r="R12" s="70">
        <v>650000</v>
      </c>
      <c r="S12" s="70">
        <v>650000</v>
      </c>
      <c r="T12" s="70">
        <v>650000</v>
      </c>
      <c r="U12" s="70">
        <v>650000</v>
      </c>
      <c r="V12" s="70">
        <v>650000</v>
      </c>
      <c r="W12" s="70">
        <v>650000</v>
      </c>
      <c r="X12" s="70">
        <v>650000</v>
      </c>
      <c r="Y12" s="70">
        <v>650000</v>
      </c>
      <c r="Z12" s="70">
        <v>650000</v>
      </c>
      <c r="AA12" s="70">
        <v>650000</v>
      </c>
      <c r="AB12" s="70">
        <v>650000</v>
      </c>
      <c r="AC12" s="72">
        <f>AVERAGE(Q12:AB12)</f>
        <v>650000</v>
      </c>
    </row>
    <row r="13" spans="1:29" x14ac:dyDescent="0.35">
      <c r="A13" s="42"/>
      <c r="B13" s="74" t="s">
        <v>20</v>
      </c>
      <c r="C13" s="75">
        <f t="shared" ref="C13:N13" si="24">C10/(1+C15)</f>
        <v>0</v>
      </c>
      <c r="D13" s="75">
        <f t="shared" si="24"/>
        <v>0</v>
      </c>
      <c r="E13" s="75">
        <f>E10/(1+E15)</f>
        <v>0</v>
      </c>
      <c r="F13" s="75">
        <f t="shared" si="24"/>
        <v>0</v>
      </c>
      <c r="G13" s="75">
        <f t="shared" si="24"/>
        <v>0</v>
      </c>
      <c r="H13" s="75">
        <f t="shared" si="24"/>
        <v>0</v>
      </c>
      <c r="I13" s="75">
        <f>I10/(1+I15)</f>
        <v>3473282.4427480916</v>
      </c>
      <c r="J13" s="75">
        <f t="shared" si="24"/>
        <v>3969465.6488549616</v>
      </c>
      <c r="K13" s="75">
        <f t="shared" si="24"/>
        <v>4961832.0610687025</v>
      </c>
      <c r="L13" s="75">
        <f t="shared" si="24"/>
        <v>5954198.4732824424</v>
      </c>
      <c r="M13" s="75">
        <v>5577494</v>
      </c>
      <c r="N13" s="75">
        <f t="shared" si="24"/>
        <v>9923664.122137405</v>
      </c>
      <c r="O13" s="71">
        <f>SUM(F13:N13)</f>
        <v>33859936.748091608</v>
      </c>
      <c r="Q13" s="75">
        <f t="shared" ref="Q13:R13" si="25">Q10/(1+Q15)</f>
        <v>2977099.2366412212</v>
      </c>
      <c r="R13" s="75">
        <f t="shared" si="25"/>
        <v>3473282.4427480916</v>
      </c>
      <c r="S13" s="75">
        <f>S10/(1+S15)</f>
        <v>4961832.0610687025</v>
      </c>
      <c r="T13" s="75">
        <f t="shared" ref="T13:V13" si="26">T10/(1+T15)</f>
        <v>7442748.0916030528</v>
      </c>
      <c r="U13" s="75">
        <f t="shared" si="26"/>
        <v>9923664.122137405</v>
      </c>
      <c r="V13" s="75">
        <f t="shared" si="26"/>
        <v>9923664.122137405</v>
      </c>
      <c r="W13" s="75">
        <f>W10/(1+W15)</f>
        <v>7442748.0916030528</v>
      </c>
      <c r="X13" s="75">
        <f t="shared" ref="X13:AB13" si="27">X10/(1+X15)</f>
        <v>9923664.122137405</v>
      </c>
      <c r="Y13" s="75">
        <f t="shared" si="27"/>
        <v>9923664.122137405</v>
      </c>
      <c r="Z13" s="75">
        <f t="shared" si="27"/>
        <v>7442748.0916030528</v>
      </c>
      <c r="AA13" s="75">
        <f t="shared" si="27"/>
        <v>8435114.5038167927</v>
      </c>
      <c r="AB13" s="75">
        <f t="shared" si="27"/>
        <v>11412213.740458015</v>
      </c>
      <c r="AC13" s="72">
        <f t="shared" si="23"/>
        <v>93282442.748091608</v>
      </c>
    </row>
    <row r="14" spans="1:29" x14ac:dyDescent="0.35">
      <c r="A14" s="42"/>
      <c r="B14" s="74" t="s">
        <v>21</v>
      </c>
      <c r="C14" s="75">
        <f t="shared" ref="C14:N14" si="28">C10-C13</f>
        <v>0</v>
      </c>
      <c r="D14" s="75">
        <f t="shared" si="28"/>
        <v>0</v>
      </c>
      <c r="E14" s="75">
        <f t="shared" si="28"/>
        <v>0</v>
      </c>
      <c r="F14" s="75">
        <f t="shared" si="28"/>
        <v>0</v>
      </c>
      <c r="G14" s="75">
        <f t="shared" si="28"/>
        <v>0</v>
      </c>
      <c r="H14" s="75">
        <f t="shared" si="28"/>
        <v>0</v>
      </c>
      <c r="I14" s="75">
        <f t="shared" si="28"/>
        <v>1076717.5572519084</v>
      </c>
      <c r="J14" s="75">
        <f t="shared" si="28"/>
        <v>1230534.3511450384</v>
      </c>
      <c r="K14" s="75">
        <f t="shared" si="28"/>
        <v>1538167.9389312975</v>
      </c>
      <c r="L14" s="75">
        <f t="shared" si="28"/>
        <v>1845801.5267175576</v>
      </c>
      <c r="M14" s="75">
        <v>1570010</v>
      </c>
      <c r="N14" s="75">
        <f t="shared" si="28"/>
        <v>3076335.877862595</v>
      </c>
      <c r="O14" s="71">
        <f>SUM(F14:N14)</f>
        <v>10337567.251908397</v>
      </c>
      <c r="Q14" s="75">
        <f t="shared" ref="Q14:AB14" si="29">Q10-Q13</f>
        <v>922900.76335877879</v>
      </c>
      <c r="R14" s="75">
        <f t="shared" si="29"/>
        <v>1076717.5572519084</v>
      </c>
      <c r="S14" s="75">
        <f t="shared" si="29"/>
        <v>1538167.9389312975</v>
      </c>
      <c r="T14" s="75">
        <f t="shared" si="29"/>
        <v>2307251.9083969472</v>
      </c>
      <c r="U14" s="75">
        <f t="shared" si="29"/>
        <v>3076335.877862595</v>
      </c>
      <c r="V14" s="75">
        <f t="shared" si="29"/>
        <v>3076335.877862595</v>
      </c>
      <c r="W14" s="75">
        <f t="shared" si="29"/>
        <v>2307251.9083969472</v>
      </c>
      <c r="X14" s="75">
        <f t="shared" si="29"/>
        <v>3076335.877862595</v>
      </c>
      <c r="Y14" s="75">
        <f t="shared" si="29"/>
        <v>3076335.877862595</v>
      </c>
      <c r="Z14" s="75">
        <f t="shared" si="29"/>
        <v>2307251.9083969472</v>
      </c>
      <c r="AA14" s="75">
        <f t="shared" si="29"/>
        <v>2614885.4961832073</v>
      </c>
      <c r="AB14" s="75">
        <f t="shared" si="29"/>
        <v>3537786.2595419846</v>
      </c>
      <c r="AC14" s="72">
        <f t="shared" si="23"/>
        <v>28917557.251908403</v>
      </c>
    </row>
    <row r="15" spans="1:29" x14ac:dyDescent="0.35">
      <c r="B15" s="77" t="s">
        <v>22</v>
      </c>
      <c r="C15" s="78">
        <v>0.31</v>
      </c>
      <c r="D15" s="78">
        <v>0.31</v>
      </c>
      <c r="E15" s="78">
        <v>0.31</v>
      </c>
      <c r="F15" s="78">
        <v>0.31</v>
      </c>
      <c r="G15" s="78">
        <v>0.31</v>
      </c>
      <c r="H15" s="78">
        <v>0.31</v>
      </c>
      <c r="I15" s="78">
        <v>0.31</v>
      </c>
      <c r="J15" s="78">
        <v>0.31</v>
      </c>
      <c r="K15" s="78">
        <v>0.31</v>
      </c>
      <c r="L15" s="78">
        <v>0.31</v>
      </c>
      <c r="M15" s="78">
        <v>0.31</v>
      </c>
      <c r="N15" s="78">
        <v>0.31</v>
      </c>
      <c r="O15" s="79">
        <f>AVERAGE(F15:N15)</f>
        <v>0.31</v>
      </c>
      <c r="Q15" s="80">
        <v>0.31</v>
      </c>
      <c r="R15" s="80">
        <v>0.31</v>
      </c>
      <c r="S15" s="80">
        <v>0.31</v>
      </c>
      <c r="T15" s="80">
        <v>0.31</v>
      </c>
      <c r="U15" s="80">
        <v>0.31</v>
      </c>
      <c r="V15" s="80">
        <v>0.31</v>
      </c>
      <c r="W15" s="80">
        <v>0.31</v>
      </c>
      <c r="X15" s="80">
        <v>0.31</v>
      </c>
      <c r="Y15" s="80">
        <v>0.31</v>
      </c>
      <c r="Z15" s="80">
        <v>0.31</v>
      </c>
      <c r="AA15" s="80">
        <v>0.31</v>
      </c>
      <c r="AB15" s="80">
        <v>0.31</v>
      </c>
      <c r="AC15" s="79">
        <f>AVERAGE(Q15:AB15)</f>
        <v>0.31</v>
      </c>
    </row>
    <row r="16" spans="1:29" x14ac:dyDescent="0.35">
      <c r="B16" s="81" t="s">
        <v>74</v>
      </c>
      <c r="C16" s="75">
        <f t="shared" ref="C16:N16" si="30">C14-C20</f>
        <v>0</v>
      </c>
      <c r="D16" s="75">
        <f t="shared" si="30"/>
        <v>0</v>
      </c>
      <c r="E16" s="75">
        <f t="shared" si="30"/>
        <v>0</v>
      </c>
      <c r="F16" s="75">
        <f t="shared" si="30"/>
        <v>0</v>
      </c>
      <c r="G16" s="75">
        <f t="shared" si="30"/>
        <v>-498300</v>
      </c>
      <c r="H16" s="75">
        <f t="shared" si="30"/>
        <v>-724500</v>
      </c>
      <c r="I16" s="75">
        <f t="shared" si="30"/>
        <v>551217.55725190835</v>
      </c>
      <c r="J16" s="75">
        <f t="shared" si="30"/>
        <v>702534.35114503838</v>
      </c>
      <c r="K16" s="75">
        <f t="shared" si="30"/>
        <v>900167.93893129751</v>
      </c>
      <c r="L16" s="75">
        <f t="shared" si="30"/>
        <v>1267801.5267175576</v>
      </c>
      <c r="M16" s="75">
        <f t="shared" si="30"/>
        <v>646794</v>
      </c>
      <c r="N16" s="75">
        <f t="shared" si="30"/>
        <v>1927539.877862595</v>
      </c>
      <c r="O16" s="82">
        <f>SUM(F16:N16)</f>
        <v>4773255.2519083973</v>
      </c>
      <c r="Q16" s="75">
        <f>Q14-Q20</f>
        <v>183728.76335877879</v>
      </c>
      <c r="R16" s="75">
        <f t="shared" ref="R16:AB16" si="31">R14-R20</f>
        <v>310429.55725190835</v>
      </c>
      <c r="S16" s="75">
        <f t="shared" si="31"/>
        <v>661171.93893129751</v>
      </c>
      <c r="T16" s="75">
        <f t="shared" si="31"/>
        <v>1229675.9083969472</v>
      </c>
      <c r="U16" s="75">
        <f t="shared" si="31"/>
        <v>1898179.877862595</v>
      </c>
      <c r="V16" s="75">
        <f t="shared" si="31"/>
        <v>1893179.877862595</v>
      </c>
      <c r="W16" s="75">
        <f t="shared" si="31"/>
        <v>1234675.9083969472</v>
      </c>
      <c r="X16" s="75">
        <f t="shared" si="31"/>
        <v>1892179.877862595</v>
      </c>
      <c r="Y16" s="75">
        <f t="shared" si="31"/>
        <v>1893179.877862595</v>
      </c>
      <c r="Z16" s="75">
        <f t="shared" si="31"/>
        <v>1233175.9083969472</v>
      </c>
      <c r="AA16" s="75">
        <f t="shared" si="31"/>
        <v>1498577.4961832073</v>
      </c>
      <c r="AB16" s="75">
        <f t="shared" si="31"/>
        <v>2294782.2595419846</v>
      </c>
      <c r="AC16" s="82">
        <f>SUM(Q16:AB16)</f>
        <v>16222937.251908397</v>
      </c>
    </row>
    <row r="17" spans="2:29" x14ac:dyDescent="0.35">
      <c r="B17" s="81" t="s">
        <v>66</v>
      </c>
      <c r="C17" s="75">
        <f>(C16-C18)*0.2</f>
        <v>0</v>
      </c>
      <c r="D17" s="75">
        <f t="shared" ref="D17:N17" si="32">(D16-D18)*0.2</f>
        <v>0</v>
      </c>
      <c r="E17" s="75">
        <f t="shared" si="32"/>
        <v>0</v>
      </c>
      <c r="F17" s="75">
        <f t="shared" si="32"/>
        <v>0</v>
      </c>
      <c r="G17" s="75">
        <v>0</v>
      </c>
      <c r="H17" s="75">
        <v>0</v>
      </c>
      <c r="I17" s="75">
        <f t="shared" si="32"/>
        <v>74352.926208651392</v>
      </c>
      <c r="J17" s="75">
        <f t="shared" si="32"/>
        <v>99489.058524173059</v>
      </c>
      <c r="K17" s="75">
        <f t="shared" si="32"/>
        <v>128761.32315521625</v>
      </c>
      <c r="L17" s="75">
        <f t="shared" si="32"/>
        <v>192033.5877862596</v>
      </c>
      <c r="M17" s="75">
        <f t="shared" si="32"/>
        <v>77025.133333333331</v>
      </c>
      <c r="N17" s="75">
        <f t="shared" si="32"/>
        <v>282963.44631043251</v>
      </c>
      <c r="O17" s="83">
        <f>SUM(G17:N17)</f>
        <v>854625.47531806608</v>
      </c>
      <c r="Q17" s="75">
        <f t="shared" ref="Q17" si="33">(Q16-Q18)*0.2</f>
        <v>5982.3938931297926</v>
      </c>
      <c r="R17" s="75">
        <f t="shared" ref="R17" si="34">(R16-R18)*0.2</f>
        <v>26195.326208651401</v>
      </c>
      <c r="S17" s="75">
        <f t="shared" ref="S17" si="35">(S16-S18)*0.2</f>
        <v>80962.12315521625</v>
      </c>
      <c r="T17" s="75">
        <f t="shared" ref="T17" si="36">(T16-T18)*0.2</f>
        <v>169026.78473282454</v>
      </c>
      <c r="U17" s="75">
        <f t="shared" ref="U17" si="37">(U16-U18)*0.2</f>
        <v>277091.44631043251</v>
      </c>
      <c r="V17" s="75">
        <f t="shared" ref="V17" si="38">(V16-V18)*0.2</f>
        <v>276091.44631043251</v>
      </c>
      <c r="W17" s="75">
        <f t="shared" ref="W17" si="39">(W16-W18)*0.2</f>
        <v>170026.78473282454</v>
      </c>
      <c r="X17" s="75">
        <f t="shared" ref="X17" si="40">(X16-X18)*0.2</f>
        <v>275891.44631043251</v>
      </c>
      <c r="Y17" s="75">
        <f t="shared" ref="Y17" si="41">(Y16-Y18)*0.2</f>
        <v>276091.44631043251</v>
      </c>
      <c r="Z17" s="75">
        <f t="shared" ref="Z17" si="42">(Z16-Z18)*0.2</f>
        <v>169726.78473282454</v>
      </c>
      <c r="AA17" s="75">
        <f t="shared" ref="AA17" si="43">(AA16-AA18)*0.2</f>
        <v>212552.64936386791</v>
      </c>
      <c r="AB17" s="75">
        <f t="shared" ref="AB17:AC17" si="44">(AB16-AB18)*0.2</f>
        <v>341030.24325699743</v>
      </c>
      <c r="AC17" s="83">
        <f t="shared" si="44"/>
        <v>2280668.8753180662</v>
      </c>
    </row>
    <row r="18" spans="2:29" x14ac:dyDescent="0.35">
      <c r="B18" s="81" t="s">
        <v>65</v>
      </c>
      <c r="C18" s="75">
        <f t="shared" ref="C18:G18" si="45">C14*20/120</f>
        <v>0</v>
      </c>
      <c r="D18" s="75">
        <f t="shared" si="45"/>
        <v>0</v>
      </c>
      <c r="E18" s="75">
        <f t="shared" si="45"/>
        <v>0</v>
      </c>
      <c r="F18" s="75">
        <f t="shared" si="45"/>
        <v>0</v>
      </c>
      <c r="G18" s="75">
        <f t="shared" si="45"/>
        <v>0</v>
      </c>
      <c r="H18" s="75">
        <f>H14*20/120</f>
        <v>0</v>
      </c>
      <c r="I18" s="75">
        <f t="shared" ref="I18:Q18" si="46">I14*20/120</f>
        <v>179452.92620865136</v>
      </c>
      <c r="J18" s="75">
        <f t="shared" si="46"/>
        <v>205089.05852417307</v>
      </c>
      <c r="K18" s="75">
        <f t="shared" si="46"/>
        <v>256361.32315521626</v>
      </c>
      <c r="L18" s="75">
        <f t="shared" si="46"/>
        <v>307633.58778625965</v>
      </c>
      <c r="M18" s="75">
        <f t="shared" si="46"/>
        <v>261668.33333333334</v>
      </c>
      <c r="N18" s="75">
        <f t="shared" si="46"/>
        <v>512722.64631043252</v>
      </c>
      <c r="O18" s="83">
        <f t="shared" si="46"/>
        <v>1722927.8753180662</v>
      </c>
      <c r="Q18" s="75">
        <f t="shared" si="46"/>
        <v>153816.79389312983</v>
      </c>
      <c r="R18" s="75">
        <f t="shared" ref="R18:AC18" si="47">R14*20/120</f>
        <v>179452.92620865136</v>
      </c>
      <c r="S18" s="75">
        <f t="shared" si="47"/>
        <v>256361.32315521626</v>
      </c>
      <c r="T18" s="75">
        <f t="shared" si="47"/>
        <v>384541.98473282455</v>
      </c>
      <c r="U18" s="75">
        <f t="shared" si="47"/>
        <v>512722.64631043252</v>
      </c>
      <c r="V18" s="75">
        <f t="shared" si="47"/>
        <v>512722.64631043252</v>
      </c>
      <c r="W18" s="75">
        <f t="shared" si="47"/>
        <v>384541.98473282455</v>
      </c>
      <c r="X18" s="75">
        <f t="shared" si="47"/>
        <v>512722.64631043252</v>
      </c>
      <c r="Y18" s="75">
        <f t="shared" si="47"/>
        <v>512722.64631043252</v>
      </c>
      <c r="Z18" s="75">
        <f t="shared" si="47"/>
        <v>384541.98473282455</v>
      </c>
      <c r="AA18" s="75">
        <f t="shared" si="47"/>
        <v>435814.24936386786</v>
      </c>
      <c r="AB18" s="75">
        <f t="shared" si="47"/>
        <v>589631.04325699748</v>
      </c>
      <c r="AC18" s="83">
        <f t="shared" si="47"/>
        <v>4819592.8753180671</v>
      </c>
    </row>
    <row r="19" spans="2:29" x14ac:dyDescent="0.35">
      <c r="B19" s="77" t="s">
        <v>210</v>
      </c>
      <c r="C19" s="84">
        <v>0</v>
      </c>
      <c r="D19" s="84">
        <v>0</v>
      </c>
      <c r="E19" s="84">
        <v>0</v>
      </c>
      <c r="F19" s="84">
        <v>0</v>
      </c>
      <c r="G19" s="84">
        <v>1</v>
      </c>
      <c r="H19" s="84">
        <f>'Фин баланс 2023'!E22</f>
        <v>13960000</v>
      </c>
      <c r="I19" s="84">
        <f>'Фин баланс 2023'!G22</f>
        <v>10822068.965517242</v>
      </c>
      <c r="J19" s="84">
        <f>'Фин баланс 2023'!I22</f>
        <v>14215862.068965517</v>
      </c>
      <c r="K19" s="84">
        <f>'Фин баланс 2023'!K22</f>
        <v>16713103.448275862</v>
      </c>
      <c r="L19" s="84">
        <f>'Фин баланс 2023'!M22</f>
        <v>18313793.103448275</v>
      </c>
      <c r="M19" s="84">
        <f>'Фин баланс 2023'!O22</f>
        <v>18569655.172413792</v>
      </c>
      <c r="N19" s="84">
        <f>'Фин баланс 2023'!Q21</f>
        <v>24047000</v>
      </c>
      <c r="O19" s="71">
        <f>AVERAGE(H19:N19)</f>
        <v>16663068.965517242</v>
      </c>
      <c r="Q19" s="84">
        <f>'Фин баланс 2023'!T22</f>
        <v>23666482.758620691</v>
      </c>
      <c r="R19" s="84">
        <v>20000000</v>
      </c>
      <c r="S19" s="84">
        <v>30000000</v>
      </c>
      <c r="T19" s="84">
        <v>30000000</v>
      </c>
      <c r="U19" s="84">
        <v>30000000</v>
      </c>
      <c r="V19" s="84">
        <v>30000000</v>
      </c>
      <c r="W19" s="84">
        <v>35000000</v>
      </c>
      <c r="X19" s="84">
        <v>30000000</v>
      </c>
      <c r="Y19" s="84">
        <v>40000000</v>
      </c>
      <c r="Z19" s="84">
        <v>40000000</v>
      </c>
      <c r="AA19" s="84">
        <v>40000000</v>
      </c>
      <c r="AB19" s="84">
        <v>40000000</v>
      </c>
      <c r="AC19" s="71">
        <f>AVERAGE(Q19:AB19)</f>
        <v>32388873.563218389</v>
      </c>
    </row>
    <row r="20" spans="2:29" x14ac:dyDescent="0.35">
      <c r="B20" s="81" t="s">
        <v>23</v>
      </c>
      <c r="C20" s="75">
        <f t="shared" ref="C20:N20" si="48">C95</f>
        <v>0</v>
      </c>
      <c r="D20" s="75">
        <f t="shared" si="48"/>
        <v>0</v>
      </c>
      <c r="E20" s="75">
        <f t="shared" si="48"/>
        <v>0</v>
      </c>
      <c r="F20" s="75">
        <f t="shared" si="48"/>
        <v>0</v>
      </c>
      <c r="G20" s="75">
        <f t="shared" si="48"/>
        <v>498300</v>
      </c>
      <c r="H20" s="75">
        <f t="shared" si="48"/>
        <v>724500</v>
      </c>
      <c r="I20" s="75">
        <f t="shared" si="48"/>
        <v>525500</v>
      </c>
      <c r="J20" s="75">
        <f t="shared" si="48"/>
        <v>528000</v>
      </c>
      <c r="K20" s="75">
        <f t="shared" si="48"/>
        <v>638000</v>
      </c>
      <c r="L20" s="75">
        <f t="shared" si="48"/>
        <v>578000</v>
      </c>
      <c r="M20" s="75">
        <f t="shared" si="48"/>
        <v>923216</v>
      </c>
      <c r="N20" s="75">
        <f t="shared" si="48"/>
        <v>1148796</v>
      </c>
      <c r="O20" s="71">
        <f>SUM(F20:N20)</f>
        <v>5564312</v>
      </c>
      <c r="Q20" s="75">
        <f>Q95</f>
        <v>739172</v>
      </c>
      <c r="R20" s="75">
        <f t="shared" ref="R20:AB20" si="49">R95</f>
        <v>766288</v>
      </c>
      <c r="S20" s="75">
        <f t="shared" si="49"/>
        <v>876996</v>
      </c>
      <c r="T20" s="75">
        <f t="shared" si="49"/>
        <v>1077576</v>
      </c>
      <c r="U20" s="75">
        <f t="shared" si="49"/>
        <v>1178156</v>
      </c>
      <c r="V20" s="75">
        <f t="shared" si="49"/>
        <v>1183156</v>
      </c>
      <c r="W20" s="75">
        <f t="shared" si="49"/>
        <v>1072576</v>
      </c>
      <c r="X20" s="75">
        <f t="shared" si="49"/>
        <v>1184156</v>
      </c>
      <c r="Y20" s="75">
        <f t="shared" si="49"/>
        <v>1183156</v>
      </c>
      <c r="Z20" s="75">
        <f t="shared" si="49"/>
        <v>1074076</v>
      </c>
      <c r="AA20" s="75">
        <f t="shared" si="49"/>
        <v>1116308</v>
      </c>
      <c r="AB20" s="75">
        <f t="shared" si="49"/>
        <v>1243004</v>
      </c>
      <c r="AC20" s="71">
        <f>SUM(Q20:AB20)</f>
        <v>12694620</v>
      </c>
    </row>
    <row r="21" spans="2:29" x14ac:dyDescent="0.35">
      <c r="B21" s="81" t="s">
        <v>88</v>
      </c>
      <c r="C21" s="75">
        <f>C16-C17-C18</f>
        <v>0</v>
      </c>
      <c r="D21" s="75">
        <f t="shared" ref="D21:O21" si="50">D16-D17-D18</f>
        <v>0</v>
      </c>
      <c r="E21" s="75">
        <f t="shared" si="50"/>
        <v>0</v>
      </c>
      <c r="F21" s="75">
        <f t="shared" si="50"/>
        <v>0</v>
      </c>
      <c r="G21" s="75">
        <f t="shared" si="50"/>
        <v>-498300</v>
      </c>
      <c r="H21" s="75">
        <f t="shared" si="50"/>
        <v>-724500</v>
      </c>
      <c r="I21" s="75">
        <f t="shared" si="50"/>
        <v>297411.70483460557</v>
      </c>
      <c r="J21" s="75">
        <f t="shared" si="50"/>
        <v>397956.23409669218</v>
      </c>
      <c r="K21" s="75">
        <f t="shared" si="50"/>
        <v>515045.29262086493</v>
      </c>
      <c r="L21" s="75">
        <f t="shared" si="50"/>
        <v>768134.35114503838</v>
      </c>
      <c r="M21" s="75">
        <f t="shared" si="50"/>
        <v>308100.53333333333</v>
      </c>
      <c r="N21" s="75">
        <f t="shared" si="50"/>
        <v>1131853.7852417298</v>
      </c>
      <c r="O21" s="85">
        <f t="shared" si="50"/>
        <v>2195701.9012722652</v>
      </c>
      <c r="Q21" s="75">
        <f>Q16-Q17-Q18</f>
        <v>23929.575572519156</v>
      </c>
      <c r="R21" s="75">
        <f t="shared" ref="R21:AC21" si="51">R16-R17-R18</f>
        <v>104781.30483460557</v>
      </c>
      <c r="S21" s="75">
        <f t="shared" si="51"/>
        <v>323848.492620865</v>
      </c>
      <c r="T21" s="75">
        <f t="shared" si="51"/>
        <v>676107.13893129793</v>
      </c>
      <c r="U21" s="75">
        <f t="shared" si="51"/>
        <v>1108365.7852417298</v>
      </c>
      <c r="V21" s="75">
        <f t="shared" si="51"/>
        <v>1104365.7852417298</v>
      </c>
      <c r="W21" s="75">
        <f t="shared" si="51"/>
        <v>680107.13893129793</v>
      </c>
      <c r="X21" s="75">
        <f t="shared" si="51"/>
        <v>1103565.7852417298</v>
      </c>
      <c r="Y21" s="75">
        <f t="shared" si="51"/>
        <v>1104365.7852417298</v>
      </c>
      <c r="Z21" s="75">
        <f t="shared" si="51"/>
        <v>678907.13893129793</v>
      </c>
      <c r="AA21" s="75">
        <f t="shared" si="51"/>
        <v>850210.59745547152</v>
      </c>
      <c r="AB21" s="75">
        <f t="shared" si="51"/>
        <v>1364120.9730279897</v>
      </c>
      <c r="AC21" s="85">
        <f t="shared" si="51"/>
        <v>9122675.501272263</v>
      </c>
    </row>
    <row r="22" spans="2:29" ht="17.25" customHeight="1" x14ac:dyDescent="0.35">
      <c r="O22" s="86"/>
      <c r="Q22" s="87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</row>
    <row r="23" spans="2:29" ht="15.75" customHeight="1" x14ac:dyDescent="0.35">
      <c r="B23" s="43" t="s">
        <v>248</v>
      </c>
      <c r="C23" s="89"/>
      <c r="O23" s="86"/>
      <c r="Q23" s="90"/>
      <c r="T23" s="90"/>
      <c r="U23" s="90"/>
      <c r="V23" s="90"/>
    </row>
    <row r="24" spans="2:29" x14ac:dyDescent="0.35">
      <c r="B24" s="69" t="s">
        <v>19</v>
      </c>
      <c r="C24" s="70">
        <f t="shared" ref="C24" si="52">C25*C26</f>
        <v>0</v>
      </c>
      <c r="D24" s="70">
        <f t="shared" ref="D24" si="53">D25*D26</f>
        <v>0</v>
      </c>
      <c r="E24" s="70">
        <f t="shared" ref="E24" si="54">E25*E26</f>
        <v>0</v>
      </c>
      <c r="F24" s="70">
        <f t="shared" ref="F24" si="55">F25*F26</f>
        <v>0</v>
      </c>
      <c r="G24" s="70">
        <f t="shared" ref="G24" si="56">G25*G26</f>
        <v>0</v>
      </c>
      <c r="H24" s="70">
        <f t="shared" ref="H24" si="57">H25*H26</f>
        <v>0</v>
      </c>
      <c r="I24" s="70">
        <f t="shared" ref="I24" si="58">I25*I26</f>
        <v>5200000</v>
      </c>
      <c r="J24" s="70">
        <f t="shared" ref="J24" si="59">J25*J26</f>
        <v>5850000</v>
      </c>
      <c r="K24" s="70">
        <f t="shared" ref="K24" si="60">K25*K26</f>
        <v>7150000</v>
      </c>
      <c r="L24" s="70">
        <f t="shared" ref="L24" si="61">L25*L26</f>
        <v>8450000</v>
      </c>
      <c r="M24" s="70">
        <f t="shared" ref="M24" si="62">M25*M26</f>
        <v>10400000</v>
      </c>
      <c r="N24" s="70">
        <f t="shared" ref="N24" si="63">N25*N26</f>
        <v>13650000</v>
      </c>
      <c r="O24" s="71">
        <f>SUM(C24:N24)</f>
        <v>50700000</v>
      </c>
      <c r="Q24" s="70">
        <f t="shared" ref="Q24" si="64">Q25*Q26</f>
        <v>4550000</v>
      </c>
      <c r="R24" s="70">
        <f t="shared" ref="R24" si="65">R25*R26</f>
        <v>5200000</v>
      </c>
      <c r="S24" s="70">
        <f t="shared" ref="S24" si="66">S25*S26</f>
        <v>7150000</v>
      </c>
      <c r="T24" s="70">
        <f t="shared" ref="T24" si="67">T25*T26</f>
        <v>10400000</v>
      </c>
      <c r="U24" s="70">
        <f t="shared" ref="U24" si="68">U25*U26</f>
        <v>13650000</v>
      </c>
      <c r="V24" s="70">
        <f t="shared" ref="V24" si="69">V25*V26</f>
        <v>13650000</v>
      </c>
      <c r="W24" s="70">
        <f t="shared" ref="W24" si="70">W25*W26</f>
        <v>10400000</v>
      </c>
      <c r="X24" s="70">
        <f t="shared" ref="X24" si="71">X25*X26</f>
        <v>13650000</v>
      </c>
      <c r="Y24" s="70">
        <f t="shared" ref="Y24" si="72">Y25*Y26</f>
        <v>13650000</v>
      </c>
      <c r="Z24" s="70">
        <f t="shared" ref="Z24" si="73">Z25*Z26</f>
        <v>10400000</v>
      </c>
      <c r="AA24" s="70">
        <f t="shared" ref="AA24" si="74">AA25*AA26</f>
        <v>11700000</v>
      </c>
      <c r="AB24" s="70">
        <f t="shared" ref="AB24" si="75">AB25*AB26</f>
        <v>15600000</v>
      </c>
      <c r="AC24" s="72">
        <f>SUM(Q24:AB24)</f>
        <v>130000000</v>
      </c>
    </row>
    <row r="25" spans="2:29" x14ac:dyDescent="0.35">
      <c r="B25" s="69" t="s">
        <v>63</v>
      </c>
      <c r="C25" s="70"/>
      <c r="D25" s="70"/>
      <c r="E25" s="70"/>
      <c r="F25" s="70"/>
      <c r="G25" s="70">
        <v>0</v>
      </c>
      <c r="H25" s="70">
        <v>0</v>
      </c>
      <c r="I25" s="70">
        <f t="shared" ref="I25:N25" si="76">I11+1</f>
        <v>8</v>
      </c>
      <c r="J25" s="70">
        <f t="shared" si="76"/>
        <v>9</v>
      </c>
      <c r="K25" s="70">
        <f t="shared" si="76"/>
        <v>11</v>
      </c>
      <c r="L25" s="70">
        <f t="shared" si="76"/>
        <v>13</v>
      </c>
      <c r="M25" s="70">
        <f t="shared" si="76"/>
        <v>16</v>
      </c>
      <c r="N25" s="70">
        <f t="shared" si="76"/>
        <v>21</v>
      </c>
      <c r="O25" s="71">
        <f>SUM(C25:N25)</f>
        <v>78</v>
      </c>
      <c r="Q25" s="70">
        <f t="shared" ref="Q25:AB25" si="77">Q11+1</f>
        <v>7</v>
      </c>
      <c r="R25" s="70">
        <f t="shared" si="77"/>
        <v>8</v>
      </c>
      <c r="S25" s="70">
        <f t="shared" si="77"/>
        <v>11</v>
      </c>
      <c r="T25" s="70">
        <f t="shared" si="77"/>
        <v>16</v>
      </c>
      <c r="U25" s="70">
        <f t="shared" si="77"/>
        <v>21</v>
      </c>
      <c r="V25" s="70">
        <f t="shared" si="77"/>
        <v>21</v>
      </c>
      <c r="W25" s="70">
        <f t="shared" si="77"/>
        <v>16</v>
      </c>
      <c r="X25" s="70">
        <f t="shared" si="77"/>
        <v>21</v>
      </c>
      <c r="Y25" s="70">
        <f t="shared" si="77"/>
        <v>21</v>
      </c>
      <c r="Z25" s="70">
        <f t="shared" si="77"/>
        <v>16</v>
      </c>
      <c r="AA25" s="70">
        <f t="shared" si="77"/>
        <v>18</v>
      </c>
      <c r="AB25" s="70">
        <f t="shared" si="77"/>
        <v>24</v>
      </c>
      <c r="AC25" s="72">
        <f t="shared" ref="AC25:AC28" si="78">SUM(Q25:AB25)</f>
        <v>200</v>
      </c>
    </row>
    <row r="26" spans="2:29" x14ac:dyDescent="0.35">
      <c r="B26" s="69" t="s">
        <v>64</v>
      </c>
      <c r="C26" s="70"/>
      <c r="D26" s="70"/>
      <c r="E26" s="70"/>
      <c r="F26" s="70"/>
      <c r="G26" s="70">
        <v>650000</v>
      </c>
      <c r="H26" s="70">
        <v>650000</v>
      </c>
      <c r="I26" s="70">
        <v>650000</v>
      </c>
      <c r="J26" s="70">
        <v>650000</v>
      </c>
      <c r="K26" s="70">
        <v>650000</v>
      </c>
      <c r="L26" s="70">
        <v>650000</v>
      </c>
      <c r="M26" s="70">
        <v>650000</v>
      </c>
      <c r="N26" s="70">
        <v>650000</v>
      </c>
      <c r="O26" s="71">
        <f>AVERAGE(C26:N26)</f>
        <v>650000</v>
      </c>
      <c r="Q26" s="70">
        <v>650000</v>
      </c>
      <c r="R26" s="70">
        <v>650000</v>
      </c>
      <c r="S26" s="70">
        <v>650000</v>
      </c>
      <c r="T26" s="70">
        <v>650000</v>
      </c>
      <c r="U26" s="70">
        <v>650000</v>
      </c>
      <c r="V26" s="70">
        <v>650000</v>
      </c>
      <c r="W26" s="70">
        <v>650000</v>
      </c>
      <c r="X26" s="70">
        <v>650000</v>
      </c>
      <c r="Y26" s="70">
        <v>650000</v>
      </c>
      <c r="Z26" s="70">
        <v>650000</v>
      </c>
      <c r="AA26" s="70">
        <v>650000</v>
      </c>
      <c r="AB26" s="70">
        <v>650000</v>
      </c>
      <c r="AC26" s="72">
        <f>AVERAGE(Q26:AB26)</f>
        <v>650000</v>
      </c>
    </row>
    <row r="27" spans="2:29" x14ac:dyDescent="0.35">
      <c r="B27" s="74" t="s">
        <v>20</v>
      </c>
      <c r="C27" s="75">
        <f t="shared" ref="C27:N27" si="79">C24/(1+C29)</f>
        <v>0</v>
      </c>
      <c r="D27" s="75">
        <f t="shared" si="79"/>
        <v>0</v>
      </c>
      <c r="E27" s="75">
        <f t="shared" si="79"/>
        <v>0</v>
      </c>
      <c r="F27" s="75">
        <f t="shared" si="79"/>
        <v>0</v>
      </c>
      <c r="G27" s="75">
        <f t="shared" si="79"/>
        <v>0</v>
      </c>
      <c r="H27" s="75">
        <f t="shared" si="79"/>
        <v>0</v>
      </c>
      <c r="I27" s="75">
        <f t="shared" si="79"/>
        <v>3969465.6488549616</v>
      </c>
      <c r="J27" s="75">
        <f t="shared" si="79"/>
        <v>4465648.8549618321</v>
      </c>
      <c r="K27" s="75">
        <f t="shared" si="79"/>
        <v>5458015.267175572</v>
      </c>
      <c r="L27" s="75">
        <f t="shared" si="79"/>
        <v>6450381.6793893129</v>
      </c>
      <c r="M27" s="75">
        <f t="shared" si="79"/>
        <v>7938931.2977099232</v>
      </c>
      <c r="N27" s="75">
        <f t="shared" si="79"/>
        <v>10419847.328244274</v>
      </c>
      <c r="O27" s="71">
        <f>SUM(F27:N27)</f>
        <v>38702290.076335877</v>
      </c>
      <c r="Q27" s="75">
        <f t="shared" ref="Q27:AB27" si="80">Q24/(1+Q29)</f>
        <v>3473282.4427480916</v>
      </c>
      <c r="R27" s="75">
        <f t="shared" si="80"/>
        <v>3969465.6488549616</v>
      </c>
      <c r="S27" s="75">
        <f t="shared" si="80"/>
        <v>5458015.267175572</v>
      </c>
      <c r="T27" s="75">
        <f t="shared" si="80"/>
        <v>7938931.2977099232</v>
      </c>
      <c r="U27" s="75">
        <f t="shared" si="80"/>
        <v>10419847.328244274</v>
      </c>
      <c r="V27" s="75">
        <f t="shared" si="80"/>
        <v>10419847.328244274</v>
      </c>
      <c r="W27" s="75">
        <f t="shared" si="80"/>
        <v>7938931.2977099232</v>
      </c>
      <c r="X27" s="75">
        <f t="shared" si="80"/>
        <v>10419847.328244274</v>
      </c>
      <c r="Y27" s="75">
        <f t="shared" si="80"/>
        <v>10419847.328244274</v>
      </c>
      <c r="Z27" s="75">
        <f t="shared" si="80"/>
        <v>7938931.2977099232</v>
      </c>
      <c r="AA27" s="75">
        <f t="shared" si="80"/>
        <v>8931297.7099236641</v>
      </c>
      <c r="AB27" s="75">
        <f t="shared" si="80"/>
        <v>11908396.946564885</v>
      </c>
      <c r="AC27" s="72">
        <f t="shared" si="78"/>
        <v>99236641.22137405</v>
      </c>
    </row>
    <row r="28" spans="2:29" x14ac:dyDescent="0.35">
      <c r="B28" s="74" t="s">
        <v>21</v>
      </c>
      <c r="C28" s="75">
        <f t="shared" ref="C28:N28" si="81">C24-C27</f>
        <v>0</v>
      </c>
      <c r="D28" s="75">
        <f t="shared" si="81"/>
        <v>0</v>
      </c>
      <c r="E28" s="75">
        <f t="shared" si="81"/>
        <v>0</v>
      </c>
      <c r="F28" s="75">
        <f t="shared" si="81"/>
        <v>0</v>
      </c>
      <c r="G28" s="75">
        <f t="shared" si="81"/>
        <v>0</v>
      </c>
      <c r="H28" s="75">
        <f t="shared" si="81"/>
        <v>0</v>
      </c>
      <c r="I28" s="75">
        <f t="shared" si="81"/>
        <v>1230534.3511450384</v>
      </c>
      <c r="J28" s="75">
        <f t="shared" si="81"/>
        <v>1384351.1450381679</v>
      </c>
      <c r="K28" s="75">
        <f t="shared" si="81"/>
        <v>1691984.732824428</v>
      </c>
      <c r="L28" s="75">
        <f t="shared" si="81"/>
        <v>1999618.3206106871</v>
      </c>
      <c r="M28" s="75">
        <f t="shared" si="81"/>
        <v>2461068.7022900768</v>
      </c>
      <c r="N28" s="75">
        <f t="shared" si="81"/>
        <v>3230152.6717557255</v>
      </c>
      <c r="O28" s="71">
        <f>SUM(F28:N28)</f>
        <v>11997709.923664125</v>
      </c>
      <c r="Q28" s="75">
        <f t="shared" ref="Q28:AB28" si="82">Q24-Q27</f>
        <v>1076717.5572519084</v>
      </c>
      <c r="R28" s="75">
        <f t="shared" si="82"/>
        <v>1230534.3511450384</v>
      </c>
      <c r="S28" s="75">
        <f t="shared" si="82"/>
        <v>1691984.732824428</v>
      </c>
      <c r="T28" s="75">
        <f t="shared" si="82"/>
        <v>2461068.7022900768</v>
      </c>
      <c r="U28" s="75">
        <f t="shared" si="82"/>
        <v>3230152.6717557255</v>
      </c>
      <c r="V28" s="75">
        <f t="shared" si="82"/>
        <v>3230152.6717557255</v>
      </c>
      <c r="W28" s="75">
        <f t="shared" si="82"/>
        <v>2461068.7022900768</v>
      </c>
      <c r="X28" s="75">
        <f t="shared" si="82"/>
        <v>3230152.6717557255</v>
      </c>
      <c r="Y28" s="75">
        <f t="shared" si="82"/>
        <v>3230152.6717557255</v>
      </c>
      <c r="Z28" s="75">
        <f t="shared" si="82"/>
        <v>2461068.7022900768</v>
      </c>
      <c r="AA28" s="75">
        <f t="shared" si="82"/>
        <v>2768702.2900763359</v>
      </c>
      <c r="AB28" s="75">
        <f t="shared" si="82"/>
        <v>3691603.0534351151</v>
      </c>
      <c r="AC28" s="72">
        <f t="shared" si="78"/>
        <v>30763358.778625958</v>
      </c>
    </row>
    <row r="29" spans="2:29" x14ac:dyDescent="0.35">
      <c r="B29" s="91" t="s">
        <v>22</v>
      </c>
      <c r="C29" s="80">
        <v>0.31</v>
      </c>
      <c r="D29" s="80">
        <v>0.31</v>
      </c>
      <c r="E29" s="80">
        <v>0.31</v>
      </c>
      <c r="F29" s="80">
        <v>0.31</v>
      </c>
      <c r="G29" s="80">
        <v>0.31</v>
      </c>
      <c r="H29" s="80">
        <v>0.31</v>
      </c>
      <c r="I29" s="80">
        <v>0.31</v>
      </c>
      <c r="J29" s="80">
        <v>0.31</v>
      </c>
      <c r="K29" s="80">
        <v>0.31</v>
      </c>
      <c r="L29" s="80">
        <v>0.31</v>
      </c>
      <c r="M29" s="80">
        <v>0.31</v>
      </c>
      <c r="N29" s="80">
        <v>0.31</v>
      </c>
      <c r="O29" s="79">
        <f>AVERAGE(F29:N29)</f>
        <v>0.31</v>
      </c>
      <c r="Q29" s="80">
        <v>0.31</v>
      </c>
      <c r="R29" s="80">
        <v>0.31</v>
      </c>
      <c r="S29" s="80">
        <v>0.31</v>
      </c>
      <c r="T29" s="80">
        <v>0.31</v>
      </c>
      <c r="U29" s="80">
        <v>0.31</v>
      </c>
      <c r="V29" s="80">
        <v>0.31</v>
      </c>
      <c r="W29" s="80">
        <v>0.31</v>
      </c>
      <c r="X29" s="80">
        <v>0.31</v>
      </c>
      <c r="Y29" s="80">
        <v>0.31</v>
      </c>
      <c r="Z29" s="80">
        <v>0.31</v>
      </c>
      <c r="AA29" s="80">
        <v>0.31</v>
      </c>
      <c r="AB29" s="80">
        <v>0.31</v>
      </c>
      <c r="AC29" s="79">
        <f>AVERAGE(Q29:AB29)</f>
        <v>0.31</v>
      </c>
    </row>
    <row r="30" spans="2:29" x14ac:dyDescent="0.35">
      <c r="B30" s="81" t="s">
        <v>74</v>
      </c>
      <c r="C30" s="75">
        <f>C28-C34</f>
        <v>0</v>
      </c>
      <c r="D30" s="75">
        <f t="shared" ref="D30:N30" si="83">D28-D34</f>
        <v>0</v>
      </c>
      <c r="E30" s="75">
        <f t="shared" si="83"/>
        <v>0</v>
      </c>
      <c r="F30" s="75">
        <f t="shared" si="83"/>
        <v>0</v>
      </c>
      <c r="G30" s="75">
        <f t="shared" si="83"/>
        <v>-523215</v>
      </c>
      <c r="H30" s="75">
        <f t="shared" si="83"/>
        <v>-760725</v>
      </c>
      <c r="I30" s="75">
        <f t="shared" si="83"/>
        <v>678759.35114503838</v>
      </c>
      <c r="J30" s="75">
        <f t="shared" si="83"/>
        <v>829951.14503816795</v>
      </c>
      <c r="K30" s="75">
        <f t="shared" si="83"/>
        <v>1022084.732824428</v>
      </c>
      <c r="L30" s="75">
        <f t="shared" si="83"/>
        <v>1392718.3206106871</v>
      </c>
      <c r="M30" s="75">
        <f t="shared" si="83"/>
        <v>1491691.9022900767</v>
      </c>
      <c r="N30" s="75">
        <f t="shared" si="83"/>
        <v>2023916.8717557255</v>
      </c>
      <c r="O30" s="82">
        <f>SUM(F30:N30)</f>
        <v>6155182.3236641241</v>
      </c>
      <c r="Q30" s="75">
        <f>Q28-Q34</f>
        <v>300586.95725190837</v>
      </c>
      <c r="R30" s="75">
        <f t="shared" ref="R30:AB30" si="84">R28-R34</f>
        <v>425931.95114503836</v>
      </c>
      <c r="S30" s="75">
        <f t="shared" si="84"/>
        <v>771138.93282442796</v>
      </c>
      <c r="T30" s="75">
        <f t="shared" si="84"/>
        <v>1329613.9022900767</v>
      </c>
      <c r="U30" s="75">
        <f t="shared" si="84"/>
        <v>1993088.8717557255</v>
      </c>
      <c r="V30" s="75">
        <f t="shared" si="84"/>
        <v>1987838.8717557255</v>
      </c>
      <c r="W30" s="75">
        <f t="shared" si="84"/>
        <v>1334863.9022900767</v>
      </c>
      <c r="X30" s="75">
        <f t="shared" si="84"/>
        <v>1986788.8717557255</v>
      </c>
      <c r="Y30" s="75">
        <f t="shared" si="84"/>
        <v>1987838.8717557255</v>
      </c>
      <c r="Z30" s="75">
        <f t="shared" si="84"/>
        <v>1333288.9022900767</v>
      </c>
      <c r="AA30" s="75">
        <f t="shared" si="84"/>
        <v>1596578.8900763358</v>
      </c>
      <c r="AB30" s="75">
        <f t="shared" si="84"/>
        <v>2386448.853435115</v>
      </c>
      <c r="AC30" s="82">
        <f>SUM(Q30:AB30)</f>
        <v>17434007.778625958</v>
      </c>
    </row>
    <row r="31" spans="2:29" x14ac:dyDescent="0.35">
      <c r="B31" s="81" t="s">
        <v>66</v>
      </c>
      <c r="C31" s="75">
        <f>(C30-C32)*0.2</f>
        <v>0</v>
      </c>
      <c r="D31" s="75">
        <f t="shared" ref="D31:N31" si="85">(D30-D32)*0.2</f>
        <v>0</v>
      </c>
      <c r="E31" s="75">
        <f t="shared" si="85"/>
        <v>0</v>
      </c>
      <c r="F31" s="75">
        <f t="shared" si="85"/>
        <v>0</v>
      </c>
      <c r="G31" s="75">
        <v>0</v>
      </c>
      <c r="H31" s="75">
        <v>0</v>
      </c>
      <c r="I31" s="75">
        <f t="shared" si="85"/>
        <v>94734.058524173059</v>
      </c>
      <c r="J31" s="75">
        <f t="shared" si="85"/>
        <v>119845.19083969465</v>
      </c>
      <c r="K31" s="75">
        <f t="shared" si="85"/>
        <v>148017.455470738</v>
      </c>
      <c r="L31" s="75">
        <f t="shared" si="85"/>
        <v>211889.72010178119</v>
      </c>
      <c r="M31" s="75">
        <f t="shared" si="85"/>
        <v>216302.7570483461</v>
      </c>
      <c r="N31" s="75">
        <f t="shared" si="85"/>
        <v>297111.61862595426</v>
      </c>
      <c r="O31" s="83">
        <f>SUM(G31:N31)</f>
        <v>1087900.8006106871</v>
      </c>
      <c r="Q31" s="75">
        <f t="shared" ref="Q31" si="86">(Q30-Q32)*0.2</f>
        <v>24226.806208651404</v>
      </c>
      <c r="R31" s="75">
        <f t="shared" ref="R31" si="87">(R30-R32)*0.2</f>
        <v>44168.578524173063</v>
      </c>
      <c r="S31" s="75">
        <f t="shared" ref="S31" si="88">(S30-S32)*0.2</f>
        <v>97828.295470737998</v>
      </c>
      <c r="T31" s="75">
        <f t="shared" ref="T31" si="89">(T30-T32)*0.2</f>
        <v>183887.15704834613</v>
      </c>
      <c r="U31" s="75">
        <f t="shared" ref="U31" si="90">(U30-U32)*0.2</f>
        <v>290946.01862595428</v>
      </c>
      <c r="V31" s="75">
        <f t="shared" ref="V31" si="91">(V30-V32)*0.2</f>
        <v>289896.01862595428</v>
      </c>
      <c r="W31" s="75">
        <f t="shared" ref="W31" si="92">(W30-W32)*0.2</f>
        <v>184937.15704834613</v>
      </c>
      <c r="X31" s="75">
        <f t="shared" ref="X31" si="93">(X30-X32)*0.2</f>
        <v>289686.01862595428</v>
      </c>
      <c r="Y31" s="75">
        <f t="shared" ref="Y31" si="94">(Y30-Y32)*0.2</f>
        <v>289896.01862595428</v>
      </c>
      <c r="Z31" s="75">
        <f t="shared" ref="Z31" si="95">(Z30-Z32)*0.2</f>
        <v>184622.15704834613</v>
      </c>
      <c r="AA31" s="75">
        <f t="shared" ref="AA31" si="96">(AA30-AA32)*0.2</f>
        <v>227025.70167938928</v>
      </c>
      <c r="AB31" s="75">
        <f t="shared" ref="AB31:AC31" si="97">(AB30-AB32)*0.2</f>
        <v>354236.33557251916</v>
      </c>
      <c r="AC31" s="83">
        <f t="shared" si="97"/>
        <v>2461356.2631043266</v>
      </c>
    </row>
    <row r="32" spans="2:29" x14ac:dyDescent="0.35">
      <c r="B32" s="81" t="s">
        <v>65</v>
      </c>
      <c r="C32" s="75">
        <f t="shared" ref="C32:O32" si="98">C28*20/120</f>
        <v>0</v>
      </c>
      <c r="D32" s="75">
        <f t="shared" si="98"/>
        <v>0</v>
      </c>
      <c r="E32" s="75">
        <f t="shared" si="98"/>
        <v>0</v>
      </c>
      <c r="F32" s="75">
        <f t="shared" si="98"/>
        <v>0</v>
      </c>
      <c r="G32" s="75">
        <f t="shared" si="98"/>
        <v>0</v>
      </c>
      <c r="H32" s="75">
        <f t="shared" si="98"/>
        <v>0</v>
      </c>
      <c r="I32" s="75">
        <f t="shared" si="98"/>
        <v>205089.05852417307</v>
      </c>
      <c r="J32" s="75">
        <f t="shared" si="98"/>
        <v>230725.19083969467</v>
      </c>
      <c r="K32" s="75">
        <f t="shared" si="98"/>
        <v>281997.455470738</v>
      </c>
      <c r="L32" s="75">
        <f t="shared" si="98"/>
        <v>333269.72010178119</v>
      </c>
      <c r="M32" s="75">
        <f t="shared" si="98"/>
        <v>410178.11704834615</v>
      </c>
      <c r="N32" s="75">
        <f t="shared" si="98"/>
        <v>538358.77862595429</v>
      </c>
      <c r="O32" s="83">
        <f t="shared" si="98"/>
        <v>1999618.3206106874</v>
      </c>
      <c r="Q32" s="75">
        <f t="shared" ref="Q32:AC32" si="99">Q28*20/120</f>
        <v>179452.92620865136</v>
      </c>
      <c r="R32" s="75">
        <f t="shared" si="99"/>
        <v>205089.05852417307</v>
      </c>
      <c r="S32" s="75">
        <f t="shared" si="99"/>
        <v>281997.455470738</v>
      </c>
      <c r="T32" s="75">
        <f t="shared" si="99"/>
        <v>410178.11704834615</v>
      </c>
      <c r="U32" s="75">
        <f t="shared" si="99"/>
        <v>538358.77862595429</v>
      </c>
      <c r="V32" s="75">
        <f t="shared" si="99"/>
        <v>538358.77862595429</v>
      </c>
      <c r="W32" s="75">
        <f t="shared" si="99"/>
        <v>410178.11704834615</v>
      </c>
      <c r="X32" s="75">
        <f t="shared" si="99"/>
        <v>538358.77862595429</v>
      </c>
      <c r="Y32" s="75">
        <f t="shared" si="99"/>
        <v>538358.77862595429</v>
      </c>
      <c r="Z32" s="75">
        <f t="shared" si="99"/>
        <v>410178.11704834615</v>
      </c>
      <c r="AA32" s="75">
        <f t="shared" si="99"/>
        <v>461450.38167938933</v>
      </c>
      <c r="AB32" s="75">
        <f t="shared" si="99"/>
        <v>615267.17557251931</v>
      </c>
      <c r="AC32" s="83">
        <f t="shared" si="99"/>
        <v>5127226.4631043263</v>
      </c>
    </row>
    <row r="33" spans="1:29" x14ac:dyDescent="0.35">
      <c r="B33" s="91" t="s">
        <v>210</v>
      </c>
      <c r="C33" s="84">
        <f t="shared" ref="C33:F33" si="100">C19</f>
        <v>0</v>
      </c>
      <c r="D33" s="84">
        <f t="shared" si="100"/>
        <v>0</v>
      </c>
      <c r="E33" s="84">
        <f t="shared" si="100"/>
        <v>0</v>
      </c>
      <c r="F33" s="84">
        <f t="shared" si="100"/>
        <v>0</v>
      </c>
      <c r="G33" s="84">
        <f>'Фин баланс 2023'!C46</f>
        <v>0</v>
      </c>
      <c r="H33" s="84">
        <f>'Фин баланс 2023'!E46</f>
        <v>13960000</v>
      </c>
      <c r="I33" s="84">
        <f>'Фин баланс 2023'!G46</f>
        <v>10373793.103448275</v>
      </c>
      <c r="J33" s="84">
        <f>'Фин баланс 2023'!I46</f>
        <v>13319310.344827587</v>
      </c>
      <c r="K33" s="84">
        <f>'Фин баланс 2023'!K46</f>
        <v>15368275.862068966</v>
      </c>
      <c r="L33" s="84">
        <f>'Фин баланс 2023'!M46</f>
        <v>16520689.655172415</v>
      </c>
      <c r="M33" s="84">
        <f>'Фин баланс 2023'!O46</f>
        <v>16328275.862068966</v>
      </c>
      <c r="N33" s="84">
        <f>'Фин баланс 2023'!Q46</f>
        <v>18082482.758620691</v>
      </c>
      <c r="O33" s="71">
        <f>AVERAGE(F33:N33)</f>
        <v>11550314.176245213</v>
      </c>
      <c r="Q33" s="84">
        <f>'Фин баланс 2023'!T46</f>
        <v>24716551.724137932</v>
      </c>
      <c r="R33" s="84">
        <f t="shared" ref="R33:AB33" si="101">R19</f>
        <v>20000000</v>
      </c>
      <c r="S33" s="84">
        <f t="shared" si="101"/>
        <v>30000000</v>
      </c>
      <c r="T33" s="84">
        <f t="shared" si="101"/>
        <v>30000000</v>
      </c>
      <c r="U33" s="84">
        <f t="shared" si="101"/>
        <v>30000000</v>
      </c>
      <c r="V33" s="84">
        <f t="shared" si="101"/>
        <v>30000000</v>
      </c>
      <c r="W33" s="84">
        <f t="shared" si="101"/>
        <v>35000000</v>
      </c>
      <c r="X33" s="84">
        <f t="shared" si="101"/>
        <v>30000000</v>
      </c>
      <c r="Y33" s="84">
        <f t="shared" si="101"/>
        <v>40000000</v>
      </c>
      <c r="Z33" s="84">
        <f t="shared" si="101"/>
        <v>40000000</v>
      </c>
      <c r="AA33" s="84">
        <f t="shared" si="101"/>
        <v>40000000</v>
      </c>
      <c r="AB33" s="84">
        <f t="shared" si="101"/>
        <v>40000000</v>
      </c>
      <c r="AC33" s="71">
        <f>AVERAGE(Q33:AB33)</f>
        <v>32476379.310344826</v>
      </c>
    </row>
    <row r="34" spans="1:29" x14ac:dyDescent="0.35">
      <c r="B34" s="81" t="s">
        <v>23</v>
      </c>
      <c r="C34" s="75">
        <f t="shared" ref="C34:F34" si="102">C95</f>
        <v>0</v>
      </c>
      <c r="D34" s="75">
        <f t="shared" si="102"/>
        <v>0</v>
      </c>
      <c r="E34" s="75">
        <f t="shared" si="102"/>
        <v>0</v>
      </c>
      <c r="F34" s="75">
        <f t="shared" si="102"/>
        <v>0</v>
      </c>
      <c r="G34" s="75">
        <f>G95*1.05</f>
        <v>523215</v>
      </c>
      <c r="H34" s="75">
        <f t="shared" ref="H34:N34" si="103">H95*1.05</f>
        <v>760725</v>
      </c>
      <c r="I34" s="75">
        <f t="shared" si="103"/>
        <v>551775</v>
      </c>
      <c r="J34" s="75">
        <f t="shared" si="103"/>
        <v>554400</v>
      </c>
      <c r="K34" s="75">
        <f t="shared" si="103"/>
        <v>669900</v>
      </c>
      <c r="L34" s="75">
        <f t="shared" si="103"/>
        <v>606900</v>
      </c>
      <c r="M34" s="75">
        <f t="shared" si="103"/>
        <v>969376.8</v>
      </c>
      <c r="N34" s="75">
        <f t="shared" si="103"/>
        <v>1206235.8</v>
      </c>
      <c r="O34" s="71">
        <f>SUM(F34:N34)</f>
        <v>5842527.5999999996</v>
      </c>
      <c r="Q34" s="75">
        <f>Q95*1.05</f>
        <v>776130.6</v>
      </c>
      <c r="R34" s="75">
        <f>R95*1.05</f>
        <v>804602.4</v>
      </c>
      <c r="S34" s="75">
        <f t="shared" ref="S34:AB34" si="104">S95*1.05</f>
        <v>920845.8</v>
      </c>
      <c r="T34" s="75">
        <f t="shared" si="104"/>
        <v>1131454.8</v>
      </c>
      <c r="U34" s="75">
        <f t="shared" si="104"/>
        <v>1237063.8</v>
      </c>
      <c r="V34" s="75">
        <f t="shared" si="104"/>
        <v>1242313.8</v>
      </c>
      <c r="W34" s="75">
        <f t="shared" si="104"/>
        <v>1126204.8</v>
      </c>
      <c r="X34" s="75">
        <f t="shared" si="104"/>
        <v>1243363.8</v>
      </c>
      <c r="Y34" s="75">
        <f t="shared" si="104"/>
        <v>1242313.8</v>
      </c>
      <c r="Z34" s="75">
        <f t="shared" si="104"/>
        <v>1127779.8</v>
      </c>
      <c r="AA34" s="75">
        <f t="shared" si="104"/>
        <v>1172123.4000000001</v>
      </c>
      <c r="AB34" s="75">
        <f t="shared" si="104"/>
        <v>1305154.2</v>
      </c>
      <c r="AC34" s="71">
        <f>SUM(Q34:AB34)</f>
        <v>13329351</v>
      </c>
    </row>
    <row r="35" spans="1:29" x14ac:dyDescent="0.35">
      <c r="B35" s="81" t="s">
        <v>88</v>
      </c>
      <c r="C35" s="75">
        <f>C30-C31-C32</f>
        <v>0</v>
      </c>
      <c r="D35" s="75">
        <f t="shared" ref="D35:O35" si="105">D30-D31-D32</f>
        <v>0</v>
      </c>
      <c r="E35" s="75">
        <f t="shared" si="105"/>
        <v>0</v>
      </c>
      <c r="F35" s="75">
        <f t="shared" si="105"/>
        <v>0</v>
      </c>
      <c r="G35" s="75">
        <f t="shared" si="105"/>
        <v>-523215</v>
      </c>
      <c r="H35" s="75">
        <f t="shared" si="105"/>
        <v>-760725</v>
      </c>
      <c r="I35" s="75">
        <f t="shared" si="105"/>
        <v>378936.23409669218</v>
      </c>
      <c r="J35" s="75">
        <f t="shared" si="105"/>
        <v>479380.76335877855</v>
      </c>
      <c r="K35" s="75">
        <f t="shared" si="105"/>
        <v>592069.821882952</v>
      </c>
      <c r="L35" s="75">
        <f t="shared" si="105"/>
        <v>847558.88040712476</v>
      </c>
      <c r="M35" s="75">
        <f t="shared" si="105"/>
        <v>865211.02819338441</v>
      </c>
      <c r="N35" s="75">
        <f t="shared" si="105"/>
        <v>1188446.474503817</v>
      </c>
      <c r="O35" s="85">
        <f t="shared" si="105"/>
        <v>3067663.2024427503</v>
      </c>
      <c r="Q35" s="75">
        <f>Q30-Q31-Q32</f>
        <v>96907.224834605615</v>
      </c>
      <c r="R35" s="75">
        <f t="shared" ref="R35:AC35" si="106">R30-R31-R32</f>
        <v>176674.31409669222</v>
      </c>
      <c r="S35" s="75">
        <f t="shared" si="106"/>
        <v>391313.18188295199</v>
      </c>
      <c r="T35" s="75">
        <f t="shared" si="106"/>
        <v>735548.62819338427</v>
      </c>
      <c r="U35" s="75">
        <f t="shared" si="106"/>
        <v>1163784.0745038167</v>
      </c>
      <c r="V35" s="75">
        <f t="shared" si="106"/>
        <v>1159584.0745038167</v>
      </c>
      <c r="W35" s="75">
        <f t="shared" si="106"/>
        <v>739748.62819338427</v>
      </c>
      <c r="X35" s="75">
        <f t="shared" si="106"/>
        <v>1158744.0745038167</v>
      </c>
      <c r="Y35" s="75">
        <f t="shared" si="106"/>
        <v>1159584.0745038167</v>
      </c>
      <c r="Z35" s="75">
        <f t="shared" si="106"/>
        <v>738488.62819338427</v>
      </c>
      <c r="AA35" s="75">
        <f t="shared" si="106"/>
        <v>908102.80671755713</v>
      </c>
      <c r="AB35" s="75">
        <f t="shared" si="106"/>
        <v>1416945.3422900764</v>
      </c>
      <c r="AC35" s="85">
        <f t="shared" si="106"/>
        <v>9845425.0524173044</v>
      </c>
    </row>
    <row r="36" spans="1:29" ht="18.75" customHeight="1" x14ac:dyDescent="0.35">
      <c r="Q36" s="92"/>
      <c r="AC36" s="86"/>
    </row>
    <row r="37" spans="1:29" s="97" customFormat="1" ht="15.5" x14ac:dyDescent="0.35">
      <c r="A37" s="93" t="s">
        <v>25</v>
      </c>
      <c r="B37" s="93"/>
      <c r="C37" s="94">
        <f>C38+C41+C45+C48+C55+C58+C67+C70</f>
        <v>0</v>
      </c>
      <c r="D37" s="94">
        <f t="shared" ref="D37:F37" si="107">D38+D41+D45+D48+D55+D58+D67+D70</f>
        <v>0</v>
      </c>
      <c r="E37" s="94">
        <f t="shared" si="107"/>
        <v>0</v>
      </c>
      <c r="F37" s="94">
        <f t="shared" si="107"/>
        <v>0</v>
      </c>
      <c r="G37" s="94">
        <f t="shared" ref="G37:N37" si="108">G38+G41+G45+G48+G55+G58+G67+G70</f>
        <v>303300</v>
      </c>
      <c r="H37" s="94">
        <f t="shared" si="108"/>
        <v>425500</v>
      </c>
      <c r="I37" s="94">
        <f t="shared" si="108"/>
        <v>418500</v>
      </c>
      <c r="J37" s="94">
        <f t="shared" si="108"/>
        <v>421000</v>
      </c>
      <c r="K37" s="94">
        <f t="shared" si="108"/>
        <v>431000</v>
      </c>
      <c r="L37" s="94">
        <f t="shared" si="108"/>
        <v>441000</v>
      </c>
      <c r="M37" s="94">
        <f t="shared" si="108"/>
        <v>786216</v>
      </c>
      <c r="N37" s="94">
        <f t="shared" si="108"/>
        <v>891796</v>
      </c>
      <c r="O37" s="95">
        <f>SUM(G37:N37)</f>
        <v>4118312</v>
      </c>
      <c r="P37" s="96"/>
      <c r="Q37" s="94">
        <f t="shared" ref="Q37:AB37" si="109">Q38+Q41+Q45+Q48+Q55+Q58+Q67+Q70</f>
        <v>602172</v>
      </c>
      <c r="R37" s="94">
        <f t="shared" si="109"/>
        <v>629288</v>
      </c>
      <c r="S37" s="94">
        <f t="shared" si="109"/>
        <v>739996</v>
      </c>
      <c r="T37" s="94">
        <f t="shared" si="109"/>
        <v>940576</v>
      </c>
      <c r="U37" s="94">
        <f t="shared" si="109"/>
        <v>1041156</v>
      </c>
      <c r="V37" s="94">
        <f t="shared" si="109"/>
        <v>1046156</v>
      </c>
      <c r="W37" s="94">
        <f t="shared" si="109"/>
        <v>935576</v>
      </c>
      <c r="X37" s="94">
        <f t="shared" si="109"/>
        <v>1047156</v>
      </c>
      <c r="Y37" s="94">
        <f t="shared" si="109"/>
        <v>1046156</v>
      </c>
      <c r="Z37" s="94">
        <f t="shared" si="109"/>
        <v>937076</v>
      </c>
      <c r="AA37" s="94">
        <f t="shared" si="109"/>
        <v>979308</v>
      </c>
      <c r="AB37" s="94">
        <f t="shared" si="109"/>
        <v>1106004</v>
      </c>
      <c r="AC37" s="95">
        <f t="shared" ref="AC37:AC42" si="110">SUM(Q37:AB37)</f>
        <v>11050620</v>
      </c>
    </row>
    <row r="38" spans="1:29" s="103" customFormat="1" x14ac:dyDescent="0.35">
      <c r="A38" s="98"/>
      <c r="B38" s="99" t="s">
        <v>26</v>
      </c>
      <c r="C38" s="100">
        <f t="shared" ref="C38:N38" si="111">SUM(C39:C40)</f>
        <v>0</v>
      </c>
      <c r="D38" s="100">
        <f t="shared" si="111"/>
        <v>0</v>
      </c>
      <c r="E38" s="100">
        <f t="shared" si="111"/>
        <v>0</v>
      </c>
      <c r="F38" s="100">
        <f t="shared" si="111"/>
        <v>0</v>
      </c>
      <c r="G38" s="100">
        <f t="shared" si="111"/>
        <v>0</v>
      </c>
      <c r="H38" s="100">
        <f t="shared" si="111"/>
        <v>50000</v>
      </c>
      <c r="I38" s="100">
        <f t="shared" si="111"/>
        <v>114000</v>
      </c>
      <c r="J38" s="100">
        <f t="shared" si="111"/>
        <v>114000</v>
      </c>
      <c r="K38" s="100">
        <f t="shared" si="111"/>
        <v>114000</v>
      </c>
      <c r="L38" s="100">
        <f t="shared" si="111"/>
        <v>114000</v>
      </c>
      <c r="M38" s="100">
        <f t="shared" si="111"/>
        <v>114000</v>
      </c>
      <c r="N38" s="100">
        <f t="shared" si="111"/>
        <v>114000</v>
      </c>
      <c r="O38" s="101">
        <f>SUM(G38:N38)</f>
        <v>734000</v>
      </c>
      <c r="P38" s="102"/>
      <c r="Q38" s="100">
        <f t="shared" ref="Q38:AB38" si="112">SUM(Q39:Q40)</f>
        <v>126500</v>
      </c>
      <c r="R38" s="100">
        <f t="shared" si="112"/>
        <v>126500</v>
      </c>
      <c r="S38" s="100">
        <f t="shared" si="112"/>
        <v>126500</v>
      </c>
      <c r="T38" s="100">
        <f t="shared" si="112"/>
        <v>126500</v>
      </c>
      <c r="U38" s="100">
        <f t="shared" si="112"/>
        <v>126500</v>
      </c>
      <c r="V38" s="100">
        <f t="shared" si="112"/>
        <v>126500</v>
      </c>
      <c r="W38" s="100">
        <f t="shared" si="112"/>
        <v>126500</v>
      </c>
      <c r="X38" s="100">
        <f t="shared" si="112"/>
        <v>126500</v>
      </c>
      <c r="Y38" s="100">
        <f t="shared" si="112"/>
        <v>126500</v>
      </c>
      <c r="Z38" s="100">
        <f t="shared" si="112"/>
        <v>126500</v>
      </c>
      <c r="AA38" s="100">
        <f t="shared" si="112"/>
        <v>126500</v>
      </c>
      <c r="AB38" s="100">
        <f t="shared" si="112"/>
        <v>126500</v>
      </c>
      <c r="AC38" s="101">
        <f t="shared" si="110"/>
        <v>1518000</v>
      </c>
    </row>
    <row r="39" spans="1:29" s="109" customFormat="1" x14ac:dyDescent="0.35">
      <c r="A39" s="104"/>
      <c r="B39" s="105" t="s">
        <v>27</v>
      </c>
      <c r="C39" s="106"/>
      <c r="D39" s="106"/>
      <c r="E39" s="106"/>
      <c r="F39" s="106"/>
      <c r="G39" s="106">
        <v>0</v>
      </c>
      <c r="H39" s="106">
        <v>45000</v>
      </c>
      <c r="I39" s="106">
        <v>109000</v>
      </c>
      <c r="J39" s="106">
        <v>109000</v>
      </c>
      <c r="K39" s="106">
        <v>109000</v>
      </c>
      <c r="L39" s="106">
        <v>109000</v>
      </c>
      <c r="M39" s="107">
        <v>109000</v>
      </c>
      <c r="N39" s="106">
        <v>109000</v>
      </c>
      <c r="O39" s="106">
        <f t="shared" ref="O39:O95" si="113">SUM(G39:N39)</f>
        <v>699000</v>
      </c>
      <c r="P39" s="108"/>
      <c r="Q39" s="106">
        <v>121500</v>
      </c>
      <c r="R39" s="106">
        <v>121500</v>
      </c>
      <c r="S39" s="106">
        <v>121500</v>
      </c>
      <c r="T39" s="106">
        <v>121500</v>
      </c>
      <c r="U39" s="106">
        <v>121500</v>
      </c>
      <c r="V39" s="106">
        <v>121500</v>
      </c>
      <c r="W39" s="106">
        <v>121500</v>
      </c>
      <c r="X39" s="106">
        <v>121500</v>
      </c>
      <c r="Y39" s="106">
        <v>121500</v>
      </c>
      <c r="Z39" s="106">
        <v>121500</v>
      </c>
      <c r="AA39" s="106">
        <v>121500</v>
      </c>
      <c r="AB39" s="106">
        <v>121500</v>
      </c>
      <c r="AC39" s="106">
        <f t="shared" si="110"/>
        <v>1458000</v>
      </c>
    </row>
    <row r="40" spans="1:29" s="109" customFormat="1" x14ac:dyDescent="0.35">
      <c r="A40" s="104"/>
      <c r="B40" s="105" t="s">
        <v>28</v>
      </c>
      <c r="C40" s="106"/>
      <c r="D40" s="106"/>
      <c r="E40" s="106"/>
      <c r="F40" s="106"/>
      <c r="G40" s="106"/>
      <c r="H40" s="106">
        <v>5000</v>
      </c>
      <c r="I40" s="106">
        <v>5000</v>
      </c>
      <c r="J40" s="106">
        <v>5000</v>
      </c>
      <c r="K40" s="106">
        <v>5000</v>
      </c>
      <c r="L40" s="106">
        <v>5000</v>
      </c>
      <c r="M40" s="107">
        <v>5000</v>
      </c>
      <c r="N40" s="106">
        <v>5000</v>
      </c>
      <c r="O40" s="106">
        <f t="shared" si="113"/>
        <v>35000</v>
      </c>
      <c r="P40" s="108"/>
      <c r="Q40" s="106">
        <v>5000</v>
      </c>
      <c r="R40" s="106">
        <v>5000</v>
      </c>
      <c r="S40" s="106">
        <v>5000</v>
      </c>
      <c r="T40" s="106">
        <v>5000</v>
      </c>
      <c r="U40" s="106">
        <v>5000</v>
      </c>
      <c r="V40" s="106">
        <v>5000</v>
      </c>
      <c r="W40" s="106">
        <v>5000</v>
      </c>
      <c r="X40" s="106">
        <v>5000</v>
      </c>
      <c r="Y40" s="106">
        <v>5000</v>
      </c>
      <c r="Z40" s="106">
        <v>5000</v>
      </c>
      <c r="AA40" s="106">
        <v>5000</v>
      </c>
      <c r="AB40" s="106">
        <v>5000</v>
      </c>
      <c r="AC40" s="106">
        <f t="shared" si="110"/>
        <v>60000</v>
      </c>
    </row>
    <row r="41" spans="1:29" s="103" customFormat="1" x14ac:dyDescent="0.35">
      <c r="A41" s="98"/>
      <c r="B41" s="99" t="s">
        <v>29</v>
      </c>
      <c r="C41" s="100">
        <f t="shared" ref="C41:N41" si="114">SUM(C42:C44)</f>
        <v>0</v>
      </c>
      <c r="D41" s="100">
        <f t="shared" si="114"/>
        <v>0</v>
      </c>
      <c r="E41" s="100">
        <f t="shared" si="114"/>
        <v>0</v>
      </c>
      <c r="F41" s="100">
        <f t="shared" si="114"/>
        <v>0</v>
      </c>
      <c r="G41" s="100">
        <f t="shared" si="114"/>
        <v>250000</v>
      </c>
      <c r="H41" s="100">
        <f t="shared" si="114"/>
        <v>250000</v>
      </c>
      <c r="I41" s="100">
        <f t="shared" si="114"/>
        <v>250000</v>
      </c>
      <c r="J41" s="100">
        <f t="shared" si="114"/>
        <v>250000</v>
      </c>
      <c r="K41" s="100">
        <f t="shared" si="114"/>
        <v>250000</v>
      </c>
      <c r="L41" s="100">
        <f t="shared" si="114"/>
        <v>250000</v>
      </c>
      <c r="M41" s="100">
        <f t="shared" si="114"/>
        <v>488000</v>
      </c>
      <c r="N41" s="100">
        <f t="shared" si="114"/>
        <v>553000</v>
      </c>
      <c r="O41" s="101">
        <f t="shared" si="113"/>
        <v>2541000</v>
      </c>
      <c r="P41" s="102"/>
      <c r="Q41" s="100">
        <f t="shared" ref="Q41:AB41" si="115">SUM(Q42:Q44)</f>
        <v>371000</v>
      </c>
      <c r="R41" s="100">
        <f t="shared" si="115"/>
        <v>384000</v>
      </c>
      <c r="S41" s="100">
        <f t="shared" si="115"/>
        <v>453000</v>
      </c>
      <c r="T41" s="100">
        <f t="shared" si="115"/>
        <v>618000</v>
      </c>
      <c r="U41" s="100">
        <f t="shared" si="115"/>
        <v>683000</v>
      </c>
      <c r="V41" s="100">
        <f t="shared" si="115"/>
        <v>683000</v>
      </c>
      <c r="W41" s="100">
        <f t="shared" si="115"/>
        <v>618000</v>
      </c>
      <c r="X41" s="100">
        <f t="shared" si="115"/>
        <v>683000</v>
      </c>
      <c r="Y41" s="100">
        <f t="shared" si="115"/>
        <v>683000</v>
      </c>
      <c r="Z41" s="100">
        <f t="shared" si="115"/>
        <v>618000</v>
      </c>
      <c r="AA41" s="100">
        <f t="shared" si="115"/>
        <v>644000</v>
      </c>
      <c r="AB41" s="100">
        <f t="shared" si="115"/>
        <v>722000</v>
      </c>
      <c r="AC41" s="101">
        <f t="shared" si="110"/>
        <v>7160000</v>
      </c>
    </row>
    <row r="42" spans="1:29" s="109" customFormat="1" x14ac:dyDescent="0.35">
      <c r="A42" s="104"/>
      <c r="B42" s="105" t="s">
        <v>86</v>
      </c>
      <c r="C42" s="106"/>
      <c r="D42" s="106"/>
      <c r="E42" s="106"/>
      <c r="F42" s="106"/>
      <c r="G42" s="106">
        <f>G6*30000</f>
        <v>0</v>
      </c>
      <c r="H42" s="106">
        <f t="shared" ref="H42:N42" si="116">H6*30000</f>
        <v>0</v>
      </c>
      <c r="I42" s="106">
        <f t="shared" si="116"/>
        <v>0</v>
      </c>
      <c r="J42" s="106">
        <f t="shared" si="116"/>
        <v>0</v>
      </c>
      <c r="K42" s="106">
        <f t="shared" si="116"/>
        <v>0</v>
      </c>
      <c r="L42" s="106">
        <f t="shared" si="116"/>
        <v>0</v>
      </c>
      <c r="M42" s="106">
        <f t="shared" si="116"/>
        <v>30000</v>
      </c>
      <c r="N42" s="106">
        <f t="shared" si="116"/>
        <v>30000</v>
      </c>
      <c r="O42" s="106">
        <f t="shared" si="113"/>
        <v>60000</v>
      </c>
      <c r="P42" s="108"/>
      <c r="Q42" s="106">
        <f>Q6*30000</f>
        <v>30000</v>
      </c>
      <c r="R42" s="106">
        <f t="shared" ref="R42:AB42" si="117">R6*30000</f>
        <v>30000</v>
      </c>
      <c r="S42" s="106">
        <f t="shared" si="117"/>
        <v>60000</v>
      </c>
      <c r="T42" s="106">
        <f t="shared" si="117"/>
        <v>60000</v>
      </c>
      <c r="U42" s="106">
        <f t="shared" si="117"/>
        <v>60000</v>
      </c>
      <c r="V42" s="106">
        <f t="shared" si="117"/>
        <v>60000</v>
      </c>
      <c r="W42" s="106">
        <f t="shared" si="117"/>
        <v>60000</v>
      </c>
      <c r="X42" s="106">
        <f t="shared" si="117"/>
        <v>60000</v>
      </c>
      <c r="Y42" s="106">
        <f t="shared" si="117"/>
        <v>60000</v>
      </c>
      <c r="Z42" s="106">
        <f t="shared" si="117"/>
        <v>60000</v>
      </c>
      <c r="AA42" s="106">
        <f t="shared" si="117"/>
        <v>60000</v>
      </c>
      <c r="AB42" s="106">
        <f t="shared" si="117"/>
        <v>60000</v>
      </c>
      <c r="AC42" s="106">
        <f t="shared" si="110"/>
        <v>660000</v>
      </c>
    </row>
    <row r="43" spans="1:29" s="109" customFormat="1" x14ac:dyDescent="0.35">
      <c r="A43" s="104"/>
      <c r="B43" s="105" t="s">
        <v>85</v>
      </c>
      <c r="C43" s="106"/>
      <c r="D43" s="106"/>
      <c r="E43" s="106"/>
      <c r="F43" s="106"/>
      <c r="G43" s="106">
        <v>0</v>
      </c>
      <c r="H43" s="106">
        <v>0</v>
      </c>
      <c r="I43" s="106">
        <v>0</v>
      </c>
      <c r="J43" s="106">
        <v>0</v>
      </c>
      <c r="K43" s="106">
        <v>0</v>
      </c>
      <c r="L43" s="106">
        <v>0</v>
      </c>
      <c r="M43" s="106">
        <f>M24*0.02</f>
        <v>208000</v>
      </c>
      <c r="N43" s="106">
        <f>N24*0.02</f>
        <v>273000</v>
      </c>
      <c r="O43" s="106">
        <f t="shared" si="113"/>
        <v>481000</v>
      </c>
      <c r="P43" s="108"/>
      <c r="Q43" s="106">
        <f t="shared" ref="Q43:AB43" si="118">Q24*0.02</f>
        <v>91000</v>
      </c>
      <c r="R43" s="106">
        <f t="shared" si="118"/>
        <v>104000</v>
      </c>
      <c r="S43" s="106">
        <f t="shared" si="118"/>
        <v>143000</v>
      </c>
      <c r="T43" s="106">
        <f t="shared" si="118"/>
        <v>208000</v>
      </c>
      <c r="U43" s="106">
        <f t="shared" si="118"/>
        <v>273000</v>
      </c>
      <c r="V43" s="106">
        <f t="shared" si="118"/>
        <v>273000</v>
      </c>
      <c r="W43" s="106">
        <f t="shared" si="118"/>
        <v>208000</v>
      </c>
      <c r="X43" s="106">
        <f t="shared" si="118"/>
        <v>273000</v>
      </c>
      <c r="Y43" s="106">
        <f t="shared" si="118"/>
        <v>273000</v>
      </c>
      <c r="Z43" s="106">
        <f t="shared" si="118"/>
        <v>208000</v>
      </c>
      <c r="AA43" s="106">
        <f t="shared" si="118"/>
        <v>234000</v>
      </c>
      <c r="AB43" s="106">
        <f t="shared" si="118"/>
        <v>312000</v>
      </c>
      <c r="AC43" s="106">
        <f t="shared" ref="AC43:AC44" si="119">SUM(Q43:AB43)</f>
        <v>2600000</v>
      </c>
    </row>
    <row r="44" spans="1:29" s="109" customFormat="1" x14ac:dyDescent="0.35">
      <c r="A44" s="104"/>
      <c r="B44" s="105" t="s">
        <v>30</v>
      </c>
      <c r="C44" s="106"/>
      <c r="D44" s="106"/>
      <c r="E44" s="106"/>
      <c r="F44" s="106"/>
      <c r="G44" s="106">
        <v>250000</v>
      </c>
      <c r="H44" s="106">
        <v>250000</v>
      </c>
      <c r="I44" s="106">
        <v>250000</v>
      </c>
      <c r="J44" s="106">
        <v>250000</v>
      </c>
      <c r="K44" s="106">
        <v>250000</v>
      </c>
      <c r="L44" s="106">
        <v>250000</v>
      </c>
      <c r="M44" s="106">
        <v>250000</v>
      </c>
      <c r="N44" s="106">
        <v>250000</v>
      </c>
      <c r="O44" s="106">
        <f t="shared" si="113"/>
        <v>2000000</v>
      </c>
      <c r="P44" s="108"/>
      <c r="Q44" s="106">
        <v>250000</v>
      </c>
      <c r="R44" s="106">
        <v>250000</v>
      </c>
      <c r="S44" s="106">
        <v>250000</v>
      </c>
      <c r="T44" s="106">
        <v>350000</v>
      </c>
      <c r="U44" s="106">
        <v>350000</v>
      </c>
      <c r="V44" s="106">
        <v>350000</v>
      </c>
      <c r="W44" s="106">
        <v>350000</v>
      </c>
      <c r="X44" s="106">
        <v>350000</v>
      </c>
      <c r="Y44" s="106">
        <v>350000</v>
      </c>
      <c r="Z44" s="106">
        <v>350000</v>
      </c>
      <c r="AA44" s="106">
        <v>350000</v>
      </c>
      <c r="AB44" s="106">
        <v>350000</v>
      </c>
      <c r="AC44" s="106">
        <f t="shared" si="119"/>
        <v>3900000</v>
      </c>
    </row>
    <row r="45" spans="1:29" s="103" customFormat="1" x14ac:dyDescent="0.35">
      <c r="A45" s="98"/>
      <c r="B45" s="99" t="s">
        <v>31</v>
      </c>
      <c r="C45" s="100">
        <f t="shared" ref="C45" si="120">SUM(C46:C46)</f>
        <v>0</v>
      </c>
      <c r="D45" s="100">
        <f t="shared" ref="D45" si="121">SUM(D46:D47)</f>
        <v>0</v>
      </c>
      <c r="E45" s="100">
        <f t="shared" ref="E45" si="122">SUM(E46:E47)</f>
        <v>0</v>
      </c>
      <c r="F45" s="100">
        <f t="shared" ref="F45" si="123">SUM(F46:F47)</f>
        <v>0</v>
      </c>
      <c r="G45" s="100">
        <f t="shared" ref="G45" si="124">SUM(G46:G47)</f>
        <v>0</v>
      </c>
      <c r="H45" s="100">
        <f t="shared" ref="H45" si="125">SUM(H46:H47)</f>
        <v>0</v>
      </c>
      <c r="I45" s="100">
        <f t="shared" ref="I45" si="126">SUM(I46:I47)</f>
        <v>0</v>
      </c>
      <c r="J45" s="100">
        <f t="shared" ref="J45" si="127">SUM(J46:J47)</f>
        <v>0</v>
      </c>
      <c r="K45" s="100">
        <f t="shared" ref="K45" si="128">SUM(K46:K47)</f>
        <v>0</v>
      </c>
      <c r="L45" s="100">
        <f t="shared" ref="L45" si="129">SUM(L46:L47)</f>
        <v>0</v>
      </c>
      <c r="M45" s="100">
        <f t="shared" ref="M45" si="130">SUM(M46:M47)</f>
        <v>102816</v>
      </c>
      <c r="N45" s="100">
        <f t="shared" ref="N45" si="131">SUM(N46:N47)</f>
        <v>130896</v>
      </c>
      <c r="O45" s="100">
        <f t="shared" ref="O45:Q45" si="132">SUM(O46:O47)</f>
        <v>233712</v>
      </c>
      <c r="P45" s="102"/>
      <c r="Q45" s="100">
        <f t="shared" si="132"/>
        <v>52272</v>
      </c>
      <c r="R45" s="100">
        <f t="shared" ref="R45" si="133">SUM(R46:R47)</f>
        <v>57888</v>
      </c>
      <c r="S45" s="100">
        <f t="shared" ref="S45" si="134">SUM(S46:S47)</f>
        <v>87696</v>
      </c>
      <c r="T45" s="100">
        <f t="shared" ref="T45" si="135">SUM(T46:T47)</f>
        <v>115776</v>
      </c>
      <c r="U45" s="100">
        <f t="shared" ref="U45" si="136">SUM(U46:U47)</f>
        <v>143856</v>
      </c>
      <c r="V45" s="100">
        <f t="shared" ref="V45" si="137">SUM(V46:V47)</f>
        <v>143856</v>
      </c>
      <c r="W45" s="100">
        <f t="shared" ref="W45" si="138">SUM(W46:W47)</f>
        <v>115776</v>
      </c>
      <c r="X45" s="100">
        <f t="shared" ref="X45" si="139">SUM(X46:X47)</f>
        <v>143856</v>
      </c>
      <c r="Y45" s="100">
        <f t="shared" ref="Y45" si="140">SUM(Y46:Y47)</f>
        <v>143856</v>
      </c>
      <c r="Z45" s="100">
        <f t="shared" ref="Z45" si="141">SUM(Z46:Z47)</f>
        <v>115776</v>
      </c>
      <c r="AA45" s="100">
        <f t="shared" ref="AA45" si="142">SUM(AA46:AA47)</f>
        <v>127008</v>
      </c>
      <c r="AB45" s="100">
        <f t="shared" ref="AB45" si="143">SUM(AB46:AB47)</f>
        <v>160704</v>
      </c>
      <c r="AC45" s="101">
        <f>SUM(Q45:AB45)</f>
        <v>1408320</v>
      </c>
    </row>
    <row r="46" spans="1:29" s="109" customFormat="1" x14ac:dyDescent="0.35">
      <c r="A46" s="104"/>
      <c r="B46" s="105" t="s">
        <v>32</v>
      </c>
      <c r="C46" s="106">
        <f t="shared" ref="C46:N46" si="144">(C42+C43)*0.432</f>
        <v>0</v>
      </c>
      <c r="D46" s="106">
        <f t="shared" si="144"/>
        <v>0</v>
      </c>
      <c r="E46" s="106">
        <f t="shared" si="144"/>
        <v>0</v>
      </c>
      <c r="F46" s="106">
        <f t="shared" si="144"/>
        <v>0</v>
      </c>
      <c r="G46" s="106">
        <f t="shared" si="144"/>
        <v>0</v>
      </c>
      <c r="H46" s="106">
        <f t="shared" si="144"/>
        <v>0</v>
      </c>
      <c r="I46" s="106">
        <f t="shared" si="144"/>
        <v>0</v>
      </c>
      <c r="J46" s="106">
        <f t="shared" si="144"/>
        <v>0</v>
      </c>
      <c r="K46" s="106">
        <f t="shared" si="144"/>
        <v>0</v>
      </c>
      <c r="L46" s="106">
        <f t="shared" si="144"/>
        <v>0</v>
      </c>
      <c r="M46" s="106">
        <f t="shared" si="144"/>
        <v>102816</v>
      </c>
      <c r="N46" s="106">
        <f t="shared" si="144"/>
        <v>130896</v>
      </c>
      <c r="O46" s="106">
        <f t="shared" si="113"/>
        <v>233712</v>
      </c>
      <c r="P46" s="108"/>
      <c r="Q46" s="106">
        <f t="shared" ref="Q46:AB46" si="145">(Q42+Q43)*0.432</f>
        <v>52272</v>
      </c>
      <c r="R46" s="106">
        <f t="shared" si="145"/>
        <v>57888</v>
      </c>
      <c r="S46" s="106">
        <f t="shared" si="145"/>
        <v>87696</v>
      </c>
      <c r="T46" s="106">
        <f t="shared" si="145"/>
        <v>115776</v>
      </c>
      <c r="U46" s="106">
        <f t="shared" si="145"/>
        <v>143856</v>
      </c>
      <c r="V46" s="106">
        <f t="shared" si="145"/>
        <v>143856</v>
      </c>
      <c r="W46" s="106">
        <f t="shared" si="145"/>
        <v>115776</v>
      </c>
      <c r="X46" s="106">
        <f t="shared" si="145"/>
        <v>143856</v>
      </c>
      <c r="Y46" s="106">
        <f t="shared" si="145"/>
        <v>143856</v>
      </c>
      <c r="Z46" s="106">
        <f t="shared" si="145"/>
        <v>115776</v>
      </c>
      <c r="AA46" s="106">
        <f t="shared" si="145"/>
        <v>127008</v>
      </c>
      <c r="AB46" s="106">
        <f t="shared" si="145"/>
        <v>160704</v>
      </c>
      <c r="AC46" s="106">
        <f>SUM(Q46:AB46)</f>
        <v>1408320</v>
      </c>
    </row>
    <row r="47" spans="1:29" s="109" customFormat="1" x14ac:dyDescent="0.35">
      <c r="A47" s="104"/>
      <c r="B47" s="105" t="s">
        <v>213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8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</row>
    <row r="48" spans="1:29" s="103" customFormat="1" x14ac:dyDescent="0.35">
      <c r="A48" s="98"/>
      <c r="B48" s="99" t="s">
        <v>82</v>
      </c>
      <c r="C48" s="100">
        <f>SUM(C49:C53)</f>
        <v>0</v>
      </c>
      <c r="D48" s="100">
        <f t="shared" ref="D48:F48" si="146">SUM(D49:D54)</f>
        <v>0</v>
      </c>
      <c r="E48" s="100">
        <f t="shared" si="146"/>
        <v>0</v>
      </c>
      <c r="F48" s="100">
        <f t="shared" si="146"/>
        <v>0</v>
      </c>
      <c r="G48" s="100">
        <f>SUM(G49:G54)</f>
        <v>34900</v>
      </c>
      <c r="H48" s="100">
        <f t="shared" ref="H48:N48" si="147">SUM(H49:H54)</f>
        <v>24900</v>
      </c>
      <c r="I48" s="100">
        <f t="shared" si="147"/>
        <v>24900</v>
      </c>
      <c r="J48" s="100">
        <f t="shared" si="147"/>
        <v>24900</v>
      </c>
      <c r="K48" s="100">
        <f t="shared" si="147"/>
        <v>24900</v>
      </c>
      <c r="L48" s="100">
        <f t="shared" si="147"/>
        <v>34900</v>
      </c>
      <c r="M48" s="100">
        <f t="shared" si="147"/>
        <v>29900</v>
      </c>
      <c r="N48" s="100">
        <f t="shared" si="147"/>
        <v>24900</v>
      </c>
      <c r="O48" s="101">
        <f t="shared" si="113"/>
        <v>224200</v>
      </c>
      <c r="P48" s="102"/>
      <c r="Q48" s="100">
        <f t="shared" ref="Q48" si="148">SUM(Q49:Q54)</f>
        <v>24900</v>
      </c>
      <c r="R48" s="100">
        <f t="shared" ref="R48" si="149">SUM(R49:R54)</f>
        <v>24900</v>
      </c>
      <c r="S48" s="100">
        <f t="shared" ref="S48" si="150">SUM(S49:S54)</f>
        <v>29900</v>
      </c>
      <c r="T48" s="100">
        <f t="shared" ref="T48" si="151">SUM(T49:T54)</f>
        <v>29900</v>
      </c>
      <c r="U48" s="100">
        <f t="shared" ref="U48" si="152">SUM(U49:U54)</f>
        <v>24900</v>
      </c>
      <c r="V48" s="100">
        <f t="shared" ref="V48" si="153">SUM(V49:V54)</f>
        <v>24900</v>
      </c>
      <c r="W48" s="100">
        <f t="shared" ref="W48" si="154">SUM(W49:W54)</f>
        <v>24900</v>
      </c>
      <c r="X48" s="100">
        <f t="shared" ref="X48" si="155">SUM(X49:X54)</f>
        <v>24900</v>
      </c>
      <c r="Y48" s="100">
        <f t="shared" ref="Y48" si="156">SUM(Y49:Y54)</f>
        <v>24900</v>
      </c>
      <c r="Z48" s="100">
        <f t="shared" ref="Z48" si="157">SUM(Z49:Z54)</f>
        <v>24900</v>
      </c>
      <c r="AA48" s="100">
        <f t="shared" ref="AA48" si="158">SUM(AA49:AA54)</f>
        <v>24900</v>
      </c>
      <c r="AB48" s="100">
        <f t="shared" ref="AB48" si="159">SUM(AB49:AB54)</f>
        <v>24900</v>
      </c>
      <c r="AC48" s="101">
        <f>SUM(Q48:AB48)</f>
        <v>308800</v>
      </c>
    </row>
    <row r="49" spans="1:30" s="109" customFormat="1" x14ac:dyDescent="0.35">
      <c r="A49" s="104"/>
      <c r="B49" s="105" t="s">
        <v>33</v>
      </c>
      <c r="C49" s="106"/>
      <c r="D49" s="106"/>
      <c r="E49" s="106"/>
      <c r="F49" s="106"/>
      <c r="G49" s="106">
        <v>5000</v>
      </c>
      <c r="H49" s="106">
        <v>5000</v>
      </c>
      <c r="I49" s="106">
        <v>5000</v>
      </c>
      <c r="J49" s="106">
        <v>5000</v>
      </c>
      <c r="K49" s="106">
        <v>5000</v>
      </c>
      <c r="L49" s="106">
        <v>5000</v>
      </c>
      <c r="M49" s="106">
        <v>5000</v>
      </c>
      <c r="N49" s="106">
        <v>5000</v>
      </c>
      <c r="O49" s="106">
        <f t="shared" si="113"/>
        <v>40000</v>
      </c>
      <c r="P49" s="108"/>
      <c r="Q49" s="106">
        <v>5000</v>
      </c>
      <c r="R49" s="106">
        <v>5000</v>
      </c>
      <c r="S49" s="106">
        <v>5000</v>
      </c>
      <c r="T49" s="106">
        <v>5000</v>
      </c>
      <c r="U49" s="106">
        <v>5000</v>
      </c>
      <c r="V49" s="106">
        <v>5000</v>
      </c>
      <c r="W49" s="106">
        <v>5000</v>
      </c>
      <c r="X49" s="106">
        <v>5000</v>
      </c>
      <c r="Y49" s="106">
        <v>5000</v>
      </c>
      <c r="Z49" s="106">
        <v>5000</v>
      </c>
      <c r="AA49" s="106">
        <v>5000</v>
      </c>
      <c r="AB49" s="106">
        <v>5000</v>
      </c>
      <c r="AC49" s="106">
        <f t="shared" ref="AC49:AC53" si="160">SUM(Q49:AB49)</f>
        <v>60000</v>
      </c>
    </row>
    <row r="50" spans="1:30" s="109" customFormat="1" x14ac:dyDescent="0.35">
      <c r="A50" s="104"/>
      <c r="B50" s="105" t="s">
        <v>83</v>
      </c>
      <c r="C50" s="106"/>
      <c r="D50" s="106"/>
      <c r="E50" s="106"/>
      <c r="F50" s="106"/>
      <c r="G50" s="106">
        <v>3400</v>
      </c>
      <c r="H50" s="106">
        <v>3400</v>
      </c>
      <c r="I50" s="106">
        <v>3400</v>
      </c>
      <c r="J50" s="106">
        <v>3400</v>
      </c>
      <c r="K50" s="106">
        <v>3400</v>
      </c>
      <c r="L50" s="106">
        <v>3400</v>
      </c>
      <c r="M50" s="106">
        <v>3400</v>
      </c>
      <c r="N50" s="106">
        <v>3400</v>
      </c>
      <c r="O50" s="106">
        <f t="shared" si="113"/>
        <v>27200</v>
      </c>
      <c r="P50" s="108"/>
      <c r="Q50" s="106">
        <v>3400</v>
      </c>
      <c r="R50" s="106">
        <v>3400</v>
      </c>
      <c r="S50" s="106">
        <v>3400</v>
      </c>
      <c r="T50" s="106">
        <v>3400</v>
      </c>
      <c r="U50" s="106">
        <v>3400</v>
      </c>
      <c r="V50" s="106">
        <v>3400</v>
      </c>
      <c r="W50" s="106">
        <v>3400</v>
      </c>
      <c r="X50" s="106">
        <v>3400</v>
      </c>
      <c r="Y50" s="106">
        <v>3400</v>
      </c>
      <c r="Z50" s="106">
        <v>3400</v>
      </c>
      <c r="AA50" s="106">
        <v>3400</v>
      </c>
      <c r="AB50" s="106">
        <v>3400</v>
      </c>
      <c r="AC50" s="106">
        <f t="shared" si="160"/>
        <v>40800</v>
      </c>
    </row>
    <row r="51" spans="1:30" s="109" customFormat="1" x14ac:dyDescent="0.35">
      <c r="A51" s="104"/>
      <c r="B51" s="105" t="s">
        <v>161</v>
      </c>
      <c r="C51" s="106"/>
      <c r="D51" s="106"/>
      <c r="E51" s="106"/>
      <c r="F51" s="106"/>
      <c r="G51" s="106">
        <v>1500</v>
      </c>
      <c r="H51" s="106">
        <v>1500</v>
      </c>
      <c r="I51" s="106">
        <v>1500</v>
      </c>
      <c r="J51" s="106">
        <v>1500</v>
      </c>
      <c r="K51" s="106">
        <v>1500</v>
      </c>
      <c r="L51" s="106">
        <v>1500</v>
      </c>
      <c r="M51" s="106">
        <v>1500</v>
      </c>
      <c r="N51" s="106">
        <v>1500</v>
      </c>
      <c r="O51" s="106">
        <f t="shared" si="113"/>
        <v>12000</v>
      </c>
      <c r="P51" s="108"/>
      <c r="Q51" s="106">
        <v>1500</v>
      </c>
      <c r="R51" s="106">
        <v>1500</v>
      </c>
      <c r="S51" s="106">
        <v>1500</v>
      </c>
      <c r="T51" s="106">
        <v>1500</v>
      </c>
      <c r="U51" s="106">
        <v>1500</v>
      </c>
      <c r="V51" s="106">
        <v>1500</v>
      </c>
      <c r="W51" s="106">
        <v>1500</v>
      </c>
      <c r="X51" s="106">
        <v>1500</v>
      </c>
      <c r="Y51" s="106">
        <v>1500</v>
      </c>
      <c r="Z51" s="106">
        <v>1500</v>
      </c>
      <c r="AA51" s="106">
        <v>1500</v>
      </c>
      <c r="AB51" s="106">
        <v>1500</v>
      </c>
      <c r="AC51" s="106">
        <f t="shared" si="160"/>
        <v>18000</v>
      </c>
    </row>
    <row r="52" spans="1:30" s="109" customFormat="1" x14ac:dyDescent="0.35">
      <c r="A52" s="104"/>
      <c r="B52" s="105" t="s">
        <v>87</v>
      </c>
      <c r="C52" s="106"/>
      <c r="D52" s="106"/>
      <c r="E52" s="106"/>
      <c r="F52" s="106"/>
      <c r="G52" s="106"/>
      <c r="H52" s="106">
        <v>15000</v>
      </c>
      <c r="I52" s="106">
        <v>15000</v>
      </c>
      <c r="J52" s="106">
        <v>15000</v>
      </c>
      <c r="K52" s="106">
        <v>15000</v>
      </c>
      <c r="L52" s="106">
        <v>15000</v>
      </c>
      <c r="M52" s="106">
        <v>15000</v>
      </c>
      <c r="N52" s="106">
        <v>15000</v>
      </c>
      <c r="O52" s="106">
        <f t="shared" si="113"/>
        <v>105000</v>
      </c>
      <c r="P52" s="108"/>
      <c r="Q52" s="106">
        <v>15000</v>
      </c>
      <c r="R52" s="106">
        <v>15000</v>
      </c>
      <c r="S52" s="106">
        <v>15000</v>
      </c>
      <c r="T52" s="106">
        <v>15000</v>
      </c>
      <c r="U52" s="106">
        <v>15000</v>
      </c>
      <c r="V52" s="106">
        <v>15000</v>
      </c>
      <c r="W52" s="106">
        <v>15000</v>
      </c>
      <c r="X52" s="106">
        <v>15000</v>
      </c>
      <c r="Y52" s="106">
        <v>15000</v>
      </c>
      <c r="Z52" s="106">
        <v>15000</v>
      </c>
      <c r="AA52" s="106">
        <v>15000</v>
      </c>
      <c r="AB52" s="106">
        <v>15000</v>
      </c>
      <c r="AC52" s="106">
        <f t="shared" si="160"/>
        <v>180000</v>
      </c>
    </row>
    <row r="53" spans="1:30" s="109" customFormat="1" x14ac:dyDescent="0.35">
      <c r="A53" s="104"/>
      <c r="B53" s="105" t="s">
        <v>34</v>
      </c>
      <c r="C53" s="106"/>
      <c r="D53" s="106"/>
      <c r="E53" s="106"/>
      <c r="F53" s="106"/>
      <c r="G53" s="106">
        <v>25000</v>
      </c>
      <c r="H53" s="106"/>
      <c r="I53" s="106"/>
      <c r="J53" s="106"/>
      <c r="K53" s="106"/>
      <c r="L53" s="106">
        <v>5000</v>
      </c>
      <c r="M53" s="106"/>
      <c r="N53" s="106"/>
      <c r="O53" s="106">
        <f t="shared" si="113"/>
        <v>30000</v>
      </c>
      <c r="P53" s="108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>
        <f t="shared" si="160"/>
        <v>0</v>
      </c>
    </row>
    <row r="54" spans="1:30" s="109" customFormat="1" x14ac:dyDescent="0.35">
      <c r="A54" s="104"/>
      <c r="B54" s="105" t="s">
        <v>48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>
        <v>5000</v>
      </c>
      <c r="M54" s="106">
        <v>5000</v>
      </c>
      <c r="N54" s="106"/>
      <c r="O54" s="106">
        <f>SUM(G54:N54)</f>
        <v>10000</v>
      </c>
      <c r="P54" s="108"/>
      <c r="Q54" s="106"/>
      <c r="R54" s="106"/>
      <c r="S54" s="106">
        <v>5000</v>
      </c>
      <c r="T54" s="106">
        <v>5000</v>
      </c>
      <c r="U54" s="106"/>
      <c r="V54" s="106"/>
      <c r="W54" s="106"/>
      <c r="X54" s="106"/>
      <c r="Y54" s="106"/>
      <c r="Z54" s="106"/>
      <c r="AA54" s="106"/>
      <c r="AB54" s="106"/>
      <c r="AC54" s="106">
        <f>SUM(Q54:AB54)</f>
        <v>10000</v>
      </c>
    </row>
    <row r="55" spans="1:30" s="103" customFormat="1" x14ac:dyDescent="0.35">
      <c r="A55" s="98"/>
      <c r="B55" s="99" t="s">
        <v>35</v>
      </c>
      <c r="C55" s="100">
        <f t="shared" ref="C55:N55" si="161">SUM(C56:C57)</f>
        <v>0</v>
      </c>
      <c r="D55" s="100">
        <f t="shared" si="161"/>
        <v>0</v>
      </c>
      <c r="E55" s="100">
        <f t="shared" si="161"/>
        <v>0</v>
      </c>
      <c r="F55" s="100">
        <f t="shared" si="161"/>
        <v>0</v>
      </c>
      <c r="G55" s="100">
        <f t="shared" si="161"/>
        <v>0</v>
      </c>
      <c r="H55" s="100">
        <f t="shared" si="161"/>
        <v>0</v>
      </c>
      <c r="I55" s="100">
        <f t="shared" si="161"/>
        <v>0</v>
      </c>
      <c r="J55" s="100">
        <f t="shared" si="161"/>
        <v>0</v>
      </c>
      <c r="K55" s="100">
        <f t="shared" si="161"/>
        <v>0</v>
      </c>
      <c r="L55" s="100">
        <f t="shared" si="161"/>
        <v>0</v>
      </c>
      <c r="M55" s="100">
        <f t="shared" si="161"/>
        <v>0</v>
      </c>
      <c r="N55" s="100">
        <f t="shared" si="161"/>
        <v>0</v>
      </c>
      <c r="O55" s="101">
        <f t="shared" si="113"/>
        <v>0</v>
      </c>
      <c r="P55" s="102"/>
      <c r="Q55" s="100">
        <f t="shared" ref="Q55:AB55" si="162">SUM(Q56:Q57)</f>
        <v>0</v>
      </c>
      <c r="R55" s="100">
        <f t="shared" si="162"/>
        <v>0</v>
      </c>
      <c r="S55" s="100">
        <f t="shared" si="162"/>
        <v>0</v>
      </c>
      <c r="T55" s="100">
        <f t="shared" si="162"/>
        <v>0</v>
      </c>
      <c r="U55" s="100">
        <f t="shared" si="162"/>
        <v>0</v>
      </c>
      <c r="V55" s="100">
        <f t="shared" si="162"/>
        <v>0</v>
      </c>
      <c r="W55" s="100">
        <f t="shared" si="162"/>
        <v>0</v>
      </c>
      <c r="X55" s="100">
        <f t="shared" si="162"/>
        <v>0</v>
      </c>
      <c r="Y55" s="100">
        <f t="shared" si="162"/>
        <v>0</v>
      </c>
      <c r="Z55" s="100">
        <f t="shared" si="162"/>
        <v>0</v>
      </c>
      <c r="AA55" s="100">
        <f t="shared" si="162"/>
        <v>0</v>
      </c>
      <c r="AB55" s="100">
        <f t="shared" si="162"/>
        <v>0</v>
      </c>
      <c r="AC55" s="101">
        <f>SUM(Q55:AB55)</f>
        <v>0</v>
      </c>
    </row>
    <row r="56" spans="1:30" s="109" customFormat="1" x14ac:dyDescent="0.35">
      <c r="A56" s="104"/>
      <c r="B56" s="105" t="s">
        <v>36</v>
      </c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>
        <f t="shared" si="113"/>
        <v>0</v>
      </c>
      <c r="P56" s="108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>
        <f t="shared" ref="AC56:AC57" si="163">SUM(Q56:AB56)</f>
        <v>0</v>
      </c>
    </row>
    <row r="57" spans="1:30" s="109" customFormat="1" x14ac:dyDescent="0.35">
      <c r="A57" s="104"/>
      <c r="B57" s="105" t="s">
        <v>37</v>
      </c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>
        <f t="shared" si="113"/>
        <v>0</v>
      </c>
      <c r="P57" s="108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>
        <f t="shared" si="163"/>
        <v>0</v>
      </c>
    </row>
    <row r="58" spans="1:30" s="103" customFormat="1" x14ac:dyDescent="0.35">
      <c r="A58" s="98"/>
      <c r="B58" s="99" t="s">
        <v>80</v>
      </c>
      <c r="C58" s="100">
        <f t="shared" ref="C58:N58" si="164">SUM(C59:C66)</f>
        <v>0</v>
      </c>
      <c r="D58" s="100">
        <f t="shared" si="164"/>
        <v>0</v>
      </c>
      <c r="E58" s="100">
        <f t="shared" si="164"/>
        <v>0</v>
      </c>
      <c r="F58" s="100">
        <f t="shared" si="164"/>
        <v>0</v>
      </c>
      <c r="G58" s="100">
        <f t="shared" si="164"/>
        <v>18400</v>
      </c>
      <c r="H58" s="100">
        <f t="shared" si="164"/>
        <v>15600</v>
      </c>
      <c r="I58" s="100">
        <f t="shared" si="164"/>
        <v>9600</v>
      </c>
      <c r="J58" s="100">
        <f t="shared" si="164"/>
        <v>9600</v>
      </c>
      <c r="K58" s="100">
        <f t="shared" si="164"/>
        <v>14600</v>
      </c>
      <c r="L58" s="100">
        <f t="shared" si="164"/>
        <v>9600</v>
      </c>
      <c r="M58" s="100">
        <f t="shared" si="164"/>
        <v>11500</v>
      </c>
      <c r="N58" s="100">
        <f t="shared" si="164"/>
        <v>16500</v>
      </c>
      <c r="O58" s="101">
        <f t="shared" si="113"/>
        <v>105400</v>
      </c>
      <c r="P58" s="102"/>
      <c r="Q58" s="100">
        <f t="shared" ref="Q58:AB58" si="165">SUM(Q59:Q66)</f>
        <v>10000</v>
      </c>
      <c r="R58" s="100">
        <f t="shared" si="165"/>
        <v>16000</v>
      </c>
      <c r="S58" s="100">
        <f t="shared" si="165"/>
        <v>15400</v>
      </c>
      <c r="T58" s="100">
        <f t="shared" si="165"/>
        <v>10400</v>
      </c>
      <c r="U58" s="100">
        <f t="shared" si="165"/>
        <v>10400</v>
      </c>
      <c r="V58" s="100">
        <f t="shared" si="165"/>
        <v>15400</v>
      </c>
      <c r="W58" s="100">
        <f t="shared" si="165"/>
        <v>10400</v>
      </c>
      <c r="X58" s="100">
        <f t="shared" si="165"/>
        <v>16400</v>
      </c>
      <c r="Y58" s="100">
        <f t="shared" si="165"/>
        <v>15400</v>
      </c>
      <c r="Z58" s="100">
        <f t="shared" si="165"/>
        <v>11900</v>
      </c>
      <c r="AA58" s="100">
        <f t="shared" si="165"/>
        <v>11900</v>
      </c>
      <c r="AB58" s="100">
        <f t="shared" si="165"/>
        <v>11900</v>
      </c>
      <c r="AC58" s="101">
        <f>SUM(Q58:AB58)</f>
        <v>155500</v>
      </c>
    </row>
    <row r="59" spans="1:30" s="109" customFormat="1" x14ac:dyDescent="0.35">
      <c r="A59" s="104"/>
      <c r="B59" s="105" t="s">
        <v>38</v>
      </c>
      <c r="C59" s="106"/>
      <c r="D59" s="106"/>
      <c r="E59" s="106"/>
      <c r="F59" s="106"/>
      <c r="G59" s="106">
        <v>3000</v>
      </c>
      <c r="H59" s="106">
        <v>3000</v>
      </c>
      <c r="I59" s="106">
        <v>3000</v>
      </c>
      <c r="J59" s="106">
        <v>3000</v>
      </c>
      <c r="K59" s="106">
        <v>3000</v>
      </c>
      <c r="L59" s="106">
        <v>3000</v>
      </c>
      <c r="M59" s="106">
        <v>3000</v>
      </c>
      <c r="N59" s="106">
        <v>3000</v>
      </c>
      <c r="O59" s="106">
        <f t="shared" si="113"/>
        <v>24000</v>
      </c>
      <c r="P59" s="108"/>
      <c r="Q59" s="106">
        <v>3000</v>
      </c>
      <c r="R59" s="106">
        <v>3000</v>
      </c>
      <c r="S59" s="106">
        <v>3000</v>
      </c>
      <c r="T59" s="106">
        <v>3000</v>
      </c>
      <c r="U59" s="106">
        <v>3000</v>
      </c>
      <c r="V59" s="106">
        <v>3000</v>
      </c>
      <c r="W59" s="106">
        <v>3000</v>
      </c>
      <c r="X59" s="106">
        <v>3000</v>
      </c>
      <c r="Y59" s="106">
        <v>3000</v>
      </c>
      <c r="Z59" s="106">
        <v>3000</v>
      </c>
      <c r="AA59" s="106">
        <v>3000</v>
      </c>
      <c r="AB59" s="106">
        <v>3000</v>
      </c>
      <c r="AC59" s="106">
        <f t="shared" ref="AC59:AC66" si="166">SUM(Q59:AB59)</f>
        <v>36000</v>
      </c>
    </row>
    <row r="60" spans="1:30" s="109" customFormat="1" x14ac:dyDescent="0.35">
      <c r="A60" s="104"/>
      <c r="B60" s="105" t="s">
        <v>39</v>
      </c>
      <c r="C60" s="106"/>
      <c r="D60" s="106"/>
      <c r="E60" s="106"/>
      <c r="F60" s="106"/>
      <c r="G60" s="106">
        <v>1000</v>
      </c>
      <c r="H60" s="106">
        <v>1000</v>
      </c>
      <c r="I60" s="106">
        <v>1000</v>
      </c>
      <c r="J60" s="106">
        <v>1000</v>
      </c>
      <c r="K60" s="106">
        <v>1000</v>
      </c>
      <c r="L60" s="106">
        <v>1000</v>
      </c>
      <c r="M60" s="106">
        <v>1000</v>
      </c>
      <c r="N60" s="106">
        <v>1000</v>
      </c>
      <c r="O60" s="106">
        <f t="shared" si="113"/>
        <v>8000</v>
      </c>
      <c r="P60" s="108"/>
      <c r="Q60" s="106">
        <v>1000</v>
      </c>
      <c r="R60" s="106">
        <v>1000</v>
      </c>
      <c r="S60" s="106">
        <v>1000</v>
      </c>
      <c r="T60" s="106">
        <v>1000</v>
      </c>
      <c r="U60" s="106">
        <v>1000</v>
      </c>
      <c r="V60" s="106">
        <v>1000</v>
      </c>
      <c r="W60" s="106">
        <v>1000</v>
      </c>
      <c r="X60" s="106">
        <v>1000</v>
      </c>
      <c r="Y60" s="106">
        <v>1000</v>
      </c>
      <c r="Z60" s="106">
        <v>1000</v>
      </c>
      <c r="AA60" s="106">
        <v>1000</v>
      </c>
      <c r="AB60" s="106">
        <v>1000</v>
      </c>
      <c r="AC60" s="106">
        <f t="shared" si="166"/>
        <v>12000</v>
      </c>
      <c r="AD60" s="110"/>
    </row>
    <row r="61" spans="1:30" s="109" customFormat="1" x14ac:dyDescent="0.35">
      <c r="A61" s="104"/>
      <c r="B61" s="105" t="s">
        <v>79</v>
      </c>
      <c r="C61" s="106"/>
      <c r="D61" s="106"/>
      <c r="E61" s="106"/>
      <c r="F61" s="106"/>
      <c r="G61" s="106">
        <v>3400</v>
      </c>
      <c r="H61" s="106">
        <v>3400</v>
      </c>
      <c r="I61" s="106">
        <v>3400</v>
      </c>
      <c r="J61" s="106">
        <v>3400</v>
      </c>
      <c r="K61" s="106">
        <v>3400</v>
      </c>
      <c r="L61" s="106">
        <v>3400</v>
      </c>
      <c r="M61" s="106">
        <v>3800</v>
      </c>
      <c r="N61" s="106">
        <v>3800</v>
      </c>
      <c r="O61" s="106">
        <f t="shared" si="113"/>
        <v>28000</v>
      </c>
      <c r="P61" s="108"/>
      <c r="Q61" s="106">
        <v>3800</v>
      </c>
      <c r="R61" s="106">
        <v>3800</v>
      </c>
      <c r="S61" s="106">
        <v>4200</v>
      </c>
      <c r="T61" s="106">
        <v>4200</v>
      </c>
      <c r="U61" s="106">
        <v>4200</v>
      </c>
      <c r="V61" s="106">
        <v>4200</v>
      </c>
      <c r="W61" s="106">
        <v>4200</v>
      </c>
      <c r="X61" s="106">
        <v>4200</v>
      </c>
      <c r="Y61" s="106">
        <v>4200</v>
      </c>
      <c r="Z61" s="106">
        <v>4200</v>
      </c>
      <c r="AA61" s="106">
        <v>4200</v>
      </c>
      <c r="AB61" s="106">
        <v>4200</v>
      </c>
      <c r="AC61" s="106">
        <f t="shared" si="166"/>
        <v>49600</v>
      </c>
    </row>
    <row r="62" spans="1:30" s="109" customFormat="1" x14ac:dyDescent="0.35">
      <c r="A62" s="104"/>
      <c r="B62" s="105" t="s">
        <v>40</v>
      </c>
      <c r="C62" s="106"/>
      <c r="D62" s="106"/>
      <c r="E62" s="106"/>
      <c r="F62" s="106"/>
      <c r="G62" s="106"/>
      <c r="H62" s="106">
        <v>1000</v>
      </c>
      <c r="I62" s="106">
        <v>1000</v>
      </c>
      <c r="J62" s="106">
        <v>1000</v>
      </c>
      <c r="K62" s="106">
        <v>1000</v>
      </c>
      <c r="L62" s="106">
        <v>1000</v>
      </c>
      <c r="M62" s="106">
        <v>1000</v>
      </c>
      <c r="N62" s="106">
        <v>1000</v>
      </c>
      <c r="O62" s="106">
        <f t="shared" si="113"/>
        <v>7000</v>
      </c>
      <c r="P62" s="108"/>
      <c r="Q62" s="106">
        <v>1000</v>
      </c>
      <c r="R62" s="106">
        <v>1000</v>
      </c>
      <c r="S62" s="106">
        <v>1000</v>
      </c>
      <c r="T62" s="106">
        <v>1000</v>
      </c>
      <c r="U62" s="106">
        <v>1000</v>
      </c>
      <c r="V62" s="106">
        <v>1000</v>
      </c>
      <c r="W62" s="106">
        <v>1000</v>
      </c>
      <c r="X62" s="106">
        <v>1000</v>
      </c>
      <c r="Y62" s="106">
        <v>1000</v>
      </c>
      <c r="Z62" s="106">
        <v>1000</v>
      </c>
      <c r="AA62" s="106">
        <v>1000</v>
      </c>
      <c r="AB62" s="106">
        <v>1000</v>
      </c>
      <c r="AC62" s="106">
        <f t="shared" si="166"/>
        <v>12000</v>
      </c>
    </row>
    <row r="63" spans="1:30" s="109" customFormat="1" x14ac:dyDescent="0.35">
      <c r="A63" s="104"/>
      <c r="B63" s="105" t="s">
        <v>41</v>
      </c>
      <c r="C63" s="106"/>
      <c r="D63" s="106"/>
      <c r="E63" s="106"/>
      <c r="F63" s="106"/>
      <c r="G63" s="106">
        <v>500</v>
      </c>
      <c r="H63" s="106">
        <v>500</v>
      </c>
      <c r="I63" s="106">
        <v>500</v>
      </c>
      <c r="J63" s="106">
        <v>500</v>
      </c>
      <c r="K63" s="106">
        <v>500</v>
      </c>
      <c r="L63" s="106">
        <v>500</v>
      </c>
      <c r="M63" s="106">
        <v>500</v>
      </c>
      <c r="N63" s="106">
        <v>500</v>
      </c>
      <c r="O63" s="106">
        <f t="shared" si="113"/>
        <v>4000</v>
      </c>
      <c r="P63" s="108"/>
      <c r="Q63" s="106">
        <v>500</v>
      </c>
      <c r="R63" s="106">
        <v>500</v>
      </c>
      <c r="S63" s="106">
        <v>500</v>
      </c>
      <c r="T63" s="106">
        <v>500</v>
      </c>
      <c r="U63" s="106">
        <v>500</v>
      </c>
      <c r="V63" s="106">
        <v>500</v>
      </c>
      <c r="W63" s="106">
        <v>500</v>
      </c>
      <c r="X63" s="106">
        <v>500</v>
      </c>
      <c r="Y63" s="106">
        <v>500</v>
      </c>
      <c r="Z63" s="106">
        <v>500</v>
      </c>
      <c r="AA63" s="106">
        <v>500</v>
      </c>
      <c r="AB63" s="106">
        <v>500</v>
      </c>
      <c r="AC63" s="106">
        <f t="shared" si="166"/>
        <v>6000</v>
      </c>
    </row>
    <row r="64" spans="1:30" s="109" customFormat="1" x14ac:dyDescent="0.35">
      <c r="A64" s="104"/>
      <c r="B64" s="105" t="s">
        <v>42</v>
      </c>
      <c r="C64" s="106"/>
      <c r="D64" s="106"/>
      <c r="E64" s="106"/>
      <c r="F64" s="106"/>
      <c r="G64" s="106">
        <v>5000</v>
      </c>
      <c r="H64" s="106">
        <v>200</v>
      </c>
      <c r="I64" s="106">
        <v>200</v>
      </c>
      <c r="J64" s="106">
        <v>200</v>
      </c>
      <c r="K64" s="106">
        <v>200</v>
      </c>
      <c r="L64" s="106">
        <v>200</v>
      </c>
      <c r="M64" s="106">
        <v>200</v>
      </c>
      <c r="N64" s="106">
        <v>200</v>
      </c>
      <c r="O64" s="106">
        <f t="shared" si="113"/>
        <v>6400</v>
      </c>
      <c r="P64" s="108"/>
      <c r="Q64" s="106">
        <v>200</v>
      </c>
      <c r="R64" s="106">
        <v>200</v>
      </c>
      <c r="S64" s="106">
        <v>200</v>
      </c>
      <c r="T64" s="106">
        <v>200</v>
      </c>
      <c r="U64" s="106">
        <v>200</v>
      </c>
      <c r="V64" s="106">
        <v>200</v>
      </c>
      <c r="W64" s="106">
        <v>200</v>
      </c>
      <c r="X64" s="106">
        <v>200</v>
      </c>
      <c r="Y64" s="106">
        <v>200</v>
      </c>
      <c r="Z64" s="106">
        <v>200</v>
      </c>
      <c r="AA64" s="106">
        <v>200</v>
      </c>
      <c r="AB64" s="106">
        <v>200</v>
      </c>
      <c r="AC64" s="106">
        <f t="shared" si="166"/>
        <v>2400</v>
      </c>
    </row>
    <row r="65" spans="1:29" s="109" customFormat="1" x14ac:dyDescent="0.35">
      <c r="A65" s="104"/>
      <c r="B65" s="105" t="s">
        <v>43</v>
      </c>
      <c r="C65" s="106"/>
      <c r="D65" s="106"/>
      <c r="E65" s="106"/>
      <c r="F65" s="106"/>
      <c r="G65" s="106">
        <v>500</v>
      </c>
      <c r="H65" s="106">
        <v>500</v>
      </c>
      <c r="I65" s="106">
        <v>500</v>
      </c>
      <c r="J65" s="106">
        <v>500</v>
      </c>
      <c r="K65" s="106">
        <v>500</v>
      </c>
      <c r="L65" s="106">
        <v>500</v>
      </c>
      <c r="M65" s="106">
        <v>2000</v>
      </c>
      <c r="N65" s="106">
        <v>2000</v>
      </c>
      <c r="O65" s="106">
        <f t="shared" si="113"/>
        <v>7000</v>
      </c>
      <c r="P65" s="108"/>
      <c r="Q65" s="106">
        <v>500</v>
      </c>
      <c r="R65" s="106">
        <v>500</v>
      </c>
      <c r="S65" s="106">
        <v>500</v>
      </c>
      <c r="T65" s="106">
        <v>500</v>
      </c>
      <c r="U65" s="106">
        <v>500</v>
      </c>
      <c r="V65" s="106">
        <v>500</v>
      </c>
      <c r="W65" s="106">
        <v>500</v>
      </c>
      <c r="X65" s="106">
        <v>500</v>
      </c>
      <c r="Y65" s="106">
        <v>500</v>
      </c>
      <c r="Z65" s="106">
        <v>2000</v>
      </c>
      <c r="AA65" s="106">
        <v>2000</v>
      </c>
      <c r="AB65" s="106">
        <v>2000</v>
      </c>
      <c r="AC65" s="106">
        <f t="shared" si="166"/>
        <v>10500</v>
      </c>
    </row>
    <row r="66" spans="1:29" s="109" customFormat="1" x14ac:dyDescent="0.35">
      <c r="A66" s="104"/>
      <c r="B66" s="105" t="s">
        <v>81</v>
      </c>
      <c r="C66" s="106"/>
      <c r="D66" s="106"/>
      <c r="E66" s="106"/>
      <c r="F66" s="106"/>
      <c r="G66" s="106">
        <v>5000</v>
      </c>
      <c r="H66" s="106">
        <v>6000</v>
      </c>
      <c r="I66" s="106"/>
      <c r="J66" s="106"/>
      <c r="K66" s="106">
        <v>5000</v>
      </c>
      <c r="L66" s="106"/>
      <c r="M66" s="106"/>
      <c r="N66" s="106">
        <v>5000</v>
      </c>
      <c r="O66" s="106">
        <f t="shared" si="113"/>
        <v>21000</v>
      </c>
      <c r="P66" s="108"/>
      <c r="Q66" s="106"/>
      <c r="R66" s="106">
        <v>6000</v>
      </c>
      <c r="S66" s="106">
        <v>5000</v>
      </c>
      <c r="T66" s="106"/>
      <c r="U66" s="106"/>
      <c r="V66" s="106">
        <v>5000</v>
      </c>
      <c r="W66" s="106"/>
      <c r="X66" s="106">
        <v>6000</v>
      </c>
      <c r="Y66" s="106">
        <v>5000</v>
      </c>
      <c r="Z66" s="106"/>
      <c r="AA66" s="106"/>
      <c r="AB66" s="106"/>
      <c r="AC66" s="106">
        <f t="shared" si="166"/>
        <v>27000</v>
      </c>
    </row>
    <row r="67" spans="1:29" s="103" customFormat="1" x14ac:dyDescent="0.35">
      <c r="A67" s="98"/>
      <c r="B67" s="99" t="s">
        <v>44</v>
      </c>
      <c r="C67" s="100">
        <f t="shared" ref="C67:N67" si="167">SUM(C68:C69)</f>
        <v>0</v>
      </c>
      <c r="D67" s="100">
        <f t="shared" si="167"/>
        <v>0</v>
      </c>
      <c r="E67" s="100">
        <f t="shared" si="167"/>
        <v>0</v>
      </c>
      <c r="F67" s="100">
        <f t="shared" si="167"/>
        <v>0</v>
      </c>
      <c r="G67" s="100">
        <f t="shared" si="167"/>
        <v>0</v>
      </c>
      <c r="H67" s="100">
        <f t="shared" si="167"/>
        <v>70000</v>
      </c>
      <c r="I67" s="100">
        <f t="shared" si="167"/>
        <v>0</v>
      </c>
      <c r="J67" s="100">
        <f t="shared" si="167"/>
        <v>0</v>
      </c>
      <c r="K67" s="100">
        <f t="shared" si="167"/>
        <v>0</v>
      </c>
      <c r="L67" s="100">
        <f t="shared" si="167"/>
        <v>0</v>
      </c>
      <c r="M67" s="100">
        <f t="shared" si="167"/>
        <v>0</v>
      </c>
      <c r="N67" s="100">
        <f t="shared" si="167"/>
        <v>0</v>
      </c>
      <c r="O67" s="101">
        <f t="shared" si="113"/>
        <v>70000</v>
      </c>
      <c r="P67" s="102"/>
      <c r="Q67" s="100">
        <f t="shared" ref="Q67:AB67" si="168">SUM(Q68:Q69)</f>
        <v>0</v>
      </c>
      <c r="R67" s="100">
        <f t="shared" si="168"/>
        <v>0</v>
      </c>
      <c r="S67" s="100">
        <f t="shared" si="168"/>
        <v>0</v>
      </c>
      <c r="T67" s="100">
        <f t="shared" si="168"/>
        <v>0</v>
      </c>
      <c r="U67" s="100">
        <f t="shared" si="168"/>
        <v>0</v>
      </c>
      <c r="V67" s="100">
        <f t="shared" si="168"/>
        <v>0</v>
      </c>
      <c r="W67" s="100">
        <f t="shared" si="168"/>
        <v>0</v>
      </c>
      <c r="X67" s="100">
        <f t="shared" si="168"/>
        <v>0</v>
      </c>
      <c r="Y67" s="100">
        <f t="shared" si="168"/>
        <v>0</v>
      </c>
      <c r="Z67" s="100">
        <f t="shared" si="168"/>
        <v>0</v>
      </c>
      <c r="AA67" s="100">
        <f t="shared" si="168"/>
        <v>0</v>
      </c>
      <c r="AB67" s="100">
        <f t="shared" si="168"/>
        <v>0</v>
      </c>
      <c r="AC67" s="101">
        <f>SUM(Q67:AB67)</f>
        <v>0</v>
      </c>
    </row>
    <row r="68" spans="1:29" s="109" customFormat="1" x14ac:dyDescent="0.35">
      <c r="A68" s="104"/>
      <c r="B68" s="105" t="s">
        <v>45</v>
      </c>
      <c r="C68" s="106"/>
      <c r="D68" s="106"/>
      <c r="E68" s="106"/>
      <c r="F68" s="106"/>
      <c r="G68" s="106"/>
      <c r="H68" s="106">
        <v>40000</v>
      </c>
      <c r="I68" s="106"/>
      <c r="J68" s="106"/>
      <c r="K68" s="106"/>
      <c r="L68" s="106"/>
      <c r="M68" s="106"/>
      <c r="N68" s="106"/>
      <c r="O68" s="106">
        <f t="shared" si="113"/>
        <v>40000</v>
      </c>
      <c r="P68" s="108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>
        <f t="shared" ref="AC68:AC69" si="169">SUM(Q68:AB68)</f>
        <v>0</v>
      </c>
    </row>
    <row r="69" spans="1:29" s="109" customFormat="1" x14ac:dyDescent="0.35">
      <c r="A69" s="104"/>
      <c r="B69" s="105" t="s">
        <v>46</v>
      </c>
      <c r="C69" s="106"/>
      <c r="D69" s="106"/>
      <c r="E69" s="106"/>
      <c r="F69" s="106"/>
      <c r="G69" s="106"/>
      <c r="H69" s="106">
        <v>30000</v>
      </c>
      <c r="I69" s="106"/>
      <c r="J69" s="106"/>
      <c r="K69" s="106"/>
      <c r="L69" s="106"/>
      <c r="M69" s="106"/>
      <c r="N69" s="106"/>
      <c r="O69" s="106">
        <f t="shared" si="113"/>
        <v>30000</v>
      </c>
      <c r="P69" s="108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>
        <f t="shared" si="169"/>
        <v>0</v>
      </c>
    </row>
    <row r="70" spans="1:29" s="103" customFormat="1" x14ac:dyDescent="0.35">
      <c r="A70" s="98"/>
      <c r="B70" s="99" t="s">
        <v>47</v>
      </c>
      <c r="C70" s="100">
        <f t="shared" ref="C70:N70" si="170">SUM(C71:C72)</f>
        <v>0</v>
      </c>
      <c r="D70" s="100">
        <f t="shared" si="170"/>
        <v>0</v>
      </c>
      <c r="E70" s="100">
        <f t="shared" si="170"/>
        <v>0</v>
      </c>
      <c r="F70" s="100">
        <f t="shared" si="170"/>
        <v>0</v>
      </c>
      <c r="G70" s="100">
        <f t="shared" si="170"/>
        <v>0</v>
      </c>
      <c r="H70" s="100">
        <f t="shared" si="170"/>
        <v>15000</v>
      </c>
      <c r="I70" s="100">
        <f t="shared" si="170"/>
        <v>20000</v>
      </c>
      <c r="J70" s="100">
        <f t="shared" si="170"/>
        <v>22500</v>
      </c>
      <c r="K70" s="100">
        <f t="shared" si="170"/>
        <v>27500</v>
      </c>
      <c r="L70" s="100">
        <f t="shared" si="170"/>
        <v>32500</v>
      </c>
      <c r="M70" s="100">
        <f t="shared" si="170"/>
        <v>40000</v>
      </c>
      <c r="N70" s="100">
        <f t="shared" si="170"/>
        <v>52500</v>
      </c>
      <c r="O70" s="101">
        <f t="shared" si="113"/>
        <v>210000</v>
      </c>
      <c r="P70" s="102"/>
      <c r="Q70" s="100">
        <f t="shared" ref="Q70:AB70" si="171">SUM(Q71:Q72)</f>
        <v>17500</v>
      </c>
      <c r="R70" s="100">
        <f t="shared" si="171"/>
        <v>20000</v>
      </c>
      <c r="S70" s="100">
        <f t="shared" si="171"/>
        <v>27500</v>
      </c>
      <c r="T70" s="100">
        <f t="shared" si="171"/>
        <v>40000</v>
      </c>
      <c r="U70" s="100">
        <f t="shared" si="171"/>
        <v>52500</v>
      </c>
      <c r="V70" s="100">
        <f t="shared" si="171"/>
        <v>52500</v>
      </c>
      <c r="W70" s="100">
        <f t="shared" si="171"/>
        <v>40000</v>
      </c>
      <c r="X70" s="100">
        <f t="shared" si="171"/>
        <v>52500</v>
      </c>
      <c r="Y70" s="100">
        <f t="shared" si="171"/>
        <v>52500</v>
      </c>
      <c r="Z70" s="100">
        <f t="shared" si="171"/>
        <v>40000</v>
      </c>
      <c r="AA70" s="100">
        <f t="shared" si="171"/>
        <v>45000</v>
      </c>
      <c r="AB70" s="100">
        <f t="shared" si="171"/>
        <v>60000</v>
      </c>
      <c r="AC70" s="101">
        <f>SUM(Q70:AB70)</f>
        <v>500000</v>
      </c>
    </row>
    <row r="71" spans="1:29" s="109" customFormat="1" x14ac:dyDescent="0.35">
      <c r="A71" s="104"/>
      <c r="B71" s="105" t="s">
        <v>84</v>
      </c>
      <c r="C71" s="106"/>
      <c r="D71" s="106"/>
      <c r="E71" s="106"/>
      <c r="F71" s="106"/>
      <c r="G71" s="106"/>
      <c r="H71" s="106">
        <f t="shared" ref="H71:N71" si="172">H25*2500</f>
        <v>0</v>
      </c>
      <c r="I71" s="106">
        <f t="shared" si="172"/>
        <v>20000</v>
      </c>
      <c r="J71" s="106">
        <f t="shared" si="172"/>
        <v>22500</v>
      </c>
      <c r="K71" s="106">
        <f t="shared" si="172"/>
        <v>27500</v>
      </c>
      <c r="L71" s="106">
        <f t="shared" si="172"/>
        <v>32500</v>
      </c>
      <c r="M71" s="106">
        <f t="shared" si="172"/>
        <v>40000</v>
      </c>
      <c r="N71" s="106">
        <f t="shared" si="172"/>
        <v>52500</v>
      </c>
      <c r="O71" s="106">
        <f t="shared" si="113"/>
        <v>195000</v>
      </c>
      <c r="P71" s="108"/>
      <c r="Q71" s="106">
        <f t="shared" ref="Q71:AB71" si="173">Q25*2500</f>
        <v>17500</v>
      </c>
      <c r="R71" s="106">
        <f t="shared" si="173"/>
        <v>20000</v>
      </c>
      <c r="S71" s="106">
        <f t="shared" si="173"/>
        <v>27500</v>
      </c>
      <c r="T71" s="106">
        <f t="shared" si="173"/>
        <v>40000</v>
      </c>
      <c r="U71" s="106">
        <f t="shared" si="173"/>
        <v>52500</v>
      </c>
      <c r="V71" s="106">
        <f t="shared" si="173"/>
        <v>52500</v>
      </c>
      <c r="W71" s="106">
        <f t="shared" si="173"/>
        <v>40000</v>
      </c>
      <c r="X71" s="106">
        <f t="shared" si="173"/>
        <v>52500</v>
      </c>
      <c r="Y71" s="106">
        <f t="shared" si="173"/>
        <v>52500</v>
      </c>
      <c r="Z71" s="106">
        <f t="shared" si="173"/>
        <v>40000</v>
      </c>
      <c r="AA71" s="106">
        <f t="shared" si="173"/>
        <v>45000</v>
      </c>
      <c r="AB71" s="106">
        <f t="shared" si="173"/>
        <v>60000</v>
      </c>
      <c r="AC71" s="106">
        <f t="shared" ref="AC71:AC72" si="174">SUM(Q71:AB71)</f>
        <v>500000</v>
      </c>
    </row>
    <row r="72" spans="1:29" s="109" customFormat="1" x14ac:dyDescent="0.35">
      <c r="A72" s="104"/>
      <c r="B72" s="105" t="s">
        <v>77</v>
      </c>
      <c r="C72" s="106"/>
      <c r="D72" s="106"/>
      <c r="E72" s="106"/>
      <c r="F72" s="106"/>
      <c r="G72" s="106"/>
      <c r="H72" s="106">
        <v>15000</v>
      </c>
      <c r="I72" s="106"/>
      <c r="J72" s="106"/>
      <c r="K72" s="106"/>
      <c r="L72" s="106"/>
      <c r="M72" s="106"/>
      <c r="N72" s="106"/>
      <c r="O72" s="106">
        <f t="shared" si="113"/>
        <v>15000</v>
      </c>
      <c r="P72" s="108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06">
        <f t="shared" si="174"/>
        <v>0</v>
      </c>
    </row>
    <row r="73" spans="1:29" s="97" customFormat="1" ht="15.5" x14ac:dyDescent="0.35">
      <c r="A73" s="93" t="s">
        <v>49</v>
      </c>
      <c r="B73" s="93"/>
      <c r="C73" s="94">
        <f t="shared" ref="C73:N73" si="175">C74+C84+C89</f>
        <v>0</v>
      </c>
      <c r="D73" s="94">
        <f t="shared" si="175"/>
        <v>0</v>
      </c>
      <c r="E73" s="94">
        <f t="shared" si="175"/>
        <v>0</v>
      </c>
      <c r="F73" s="94">
        <f t="shared" si="175"/>
        <v>0</v>
      </c>
      <c r="G73" s="94">
        <f t="shared" si="175"/>
        <v>195000</v>
      </c>
      <c r="H73" s="94">
        <f t="shared" si="175"/>
        <v>299000</v>
      </c>
      <c r="I73" s="94">
        <f t="shared" si="175"/>
        <v>107000</v>
      </c>
      <c r="J73" s="94">
        <f t="shared" si="175"/>
        <v>107000</v>
      </c>
      <c r="K73" s="94">
        <f t="shared" si="175"/>
        <v>207000</v>
      </c>
      <c r="L73" s="94">
        <f t="shared" si="175"/>
        <v>137000</v>
      </c>
      <c r="M73" s="94">
        <f t="shared" si="175"/>
        <v>137000</v>
      </c>
      <c r="N73" s="94">
        <f t="shared" si="175"/>
        <v>257000</v>
      </c>
      <c r="O73" s="95">
        <f t="shared" si="113"/>
        <v>1446000</v>
      </c>
      <c r="P73" s="96"/>
      <c r="Q73" s="94">
        <f t="shared" ref="Q73:AB73" si="176">Q74+Q84+Q89</f>
        <v>137000</v>
      </c>
      <c r="R73" s="94">
        <f t="shared" si="176"/>
        <v>137000</v>
      </c>
      <c r="S73" s="94">
        <f t="shared" si="176"/>
        <v>137000</v>
      </c>
      <c r="T73" s="94">
        <f t="shared" si="176"/>
        <v>137000</v>
      </c>
      <c r="U73" s="94">
        <f t="shared" si="176"/>
        <v>137000</v>
      </c>
      <c r="V73" s="94">
        <f t="shared" si="176"/>
        <v>137000</v>
      </c>
      <c r="W73" s="94">
        <f t="shared" si="176"/>
        <v>137000</v>
      </c>
      <c r="X73" s="94">
        <f t="shared" si="176"/>
        <v>137000</v>
      </c>
      <c r="Y73" s="94">
        <f t="shared" si="176"/>
        <v>137000</v>
      </c>
      <c r="Z73" s="94">
        <f t="shared" si="176"/>
        <v>137000</v>
      </c>
      <c r="AA73" s="94">
        <f t="shared" si="176"/>
        <v>137000</v>
      </c>
      <c r="AB73" s="94">
        <f t="shared" si="176"/>
        <v>137000</v>
      </c>
      <c r="AC73" s="95">
        <f>SUM(Q73:AB73)</f>
        <v>1644000</v>
      </c>
    </row>
    <row r="74" spans="1:29" s="103" customFormat="1" x14ac:dyDescent="0.35">
      <c r="A74" s="98"/>
      <c r="B74" s="99" t="s">
        <v>50</v>
      </c>
      <c r="C74" s="100">
        <f t="shared" ref="C74:N74" si="177">SUM(C75:C83)</f>
        <v>0</v>
      </c>
      <c r="D74" s="100">
        <f t="shared" si="177"/>
        <v>0</v>
      </c>
      <c r="E74" s="100">
        <f t="shared" si="177"/>
        <v>0</v>
      </c>
      <c r="F74" s="100">
        <f t="shared" si="177"/>
        <v>0</v>
      </c>
      <c r="G74" s="100">
        <f t="shared" si="177"/>
        <v>190000</v>
      </c>
      <c r="H74" s="100">
        <f t="shared" si="177"/>
        <v>142000</v>
      </c>
      <c r="I74" s="100">
        <f t="shared" si="177"/>
        <v>107000</v>
      </c>
      <c r="J74" s="100">
        <f t="shared" si="177"/>
        <v>107000</v>
      </c>
      <c r="K74" s="100">
        <f t="shared" si="177"/>
        <v>137000</v>
      </c>
      <c r="L74" s="100">
        <f t="shared" si="177"/>
        <v>137000</v>
      </c>
      <c r="M74" s="100">
        <f t="shared" si="177"/>
        <v>137000</v>
      </c>
      <c r="N74" s="100">
        <f t="shared" si="177"/>
        <v>137000</v>
      </c>
      <c r="O74" s="101">
        <f t="shared" si="113"/>
        <v>1094000</v>
      </c>
      <c r="P74" s="102"/>
      <c r="Q74" s="100">
        <f t="shared" ref="Q74:AB74" si="178">SUM(Q75:Q83)</f>
        <v>137000</v>
      </c>
      <c r="R74" s="100">
        <f t="shared" si="178"/>
        <v>137000</v>
      </c>
      <c r="S74" s="100">
        <f t="shared" si="178"/>
        <v>137000</v>
      </c>
      <c r="T74" s="100">
        <f t="shared" si="178"/>
        <v>137000</v>
      </c>
      <c r="U74" s="100">
        <f t="shared" si="178"/>
        <v>137000</v>
      </c>
      <c r="V74" s="100">
        <f t="shared" si="178"/>
        <v>137000</v>
      </c>
      <c r="W74" s="100">
        <f t="shared" si="178"/>
        <v>137000</v>
      </c>
      <c r="X74" s="100">
        <f t="shared" si="178"/>
        <v>137000</v>
      </c>
      <c r="Y74" s="100">
        <f t="shared" si="178"/>
        <v>137000</v>
      </c>
      <c r="Z74" s="100">
        <f t="shared" si="178"/>
        <v>137000</v>
      </c>
      <c r="AA74" s="100">
        <f t="shared" si="178"/>
        <v>137000</v>
      </c>
      <c r="AB74" s="100">
        <f t="shared" si="178"/>
        <v>137000</v>
      </c>
      <c r="AC74" s="101">
        <f>SUM(Q74:AB74)</f>
        <v>1644000</v>
      </c>
    </row>
    <row r="75" spans="1:29" s="109" customFormat="1" x14ac:dyDescent="0.35">
      <c r="A75" s="104"/>
      <c r="B75" s="105" t="s">
        <v>68</v>
      </c>
      <c r="C75" s="106"/>
      <c r="D75" s="106"/>
      <c r="E75" s="106"/>
      <c r="F75" s="106"/>
      <c r="G75" s="106">
        <v>30000</v>
      </c>
      <c r="H75" s="106">
        <v>50000</v>
      </c>
      <c r="I75" s="106">
        <v>50000</v>
      </c>
      <c r="J75" s="106">
        <v>50000</v>
      </c>
      <c r="K75" s="106">
        <v>50000</v>
      </c>
      <c r="L75" s="106">
        <v>50000</v>
      </c>
      <c r="M75" s="106">
        <v>50000</v>
      </c>
      <c r="N75" s="106">
        <v>50000</v>
      </c>
      <c r="O75" s="106">
        <f t="shared" si="113"/>
        <v>380000</v>
      </c>
      <c r="P75" s="112"/>
      <c r="Q75" s="106">
        <v>50000</v>
      </c>
      <c r="R75" s="106">
        <v>50000</v>
      </c>
      <c r="S75" s="106">
        <v>50000</v>
      </c>
      <c r="T75" s="106">
        <v>50000</v>
      </c>
      <c r="U75" s="106">
        <v>50000</v>
      </c>
      <c r="V75" s="106">
        <v>50000</v>
      </c>
      <c r="W75" s="106">
        <v>50000</v>
      </c>
      <c r="X75" s="106">
        <v>50000</v>
      </c>
      <c r="Y75" s="106">
        <v>50000</v>
      </c>
      <c r="Z75" s="106">
        <v>50000</v>
      </c>
      <c r="AA75" s="106">
        <v>50000</v>
      </c>
      <c r="AB75" s="106">
        <v>50000</v>
      </c>
      <c r="AC75" s="106">
        <f>SUM(Q75:AB75)</f>
        <v>600000</v>
      </c>
    </row>
    <row r="76" spans="1:29" s="109" customFormat="1" x14ac:dyDescent="0.35">
      <c r="A76" s="104"/>
      <c r="B76" s="105" t="s">
        <v>69</v>
      </c>
      <c r="C76" s="106"/>
      <c r="D76" s="106"/>
      <c r="E76" s="106"/>
      <c r="F76" s="106"/>
      <c r="G76" s="106">
        <v>30000</v>
      </c>
      <c r="H76" s="106">
        <v>30000</v>
      </c>
      <c r="I76" s="106">
        <v>30000</v>
      </c>
      <c r="J76" s="106">
        <v>30000</v>
      </c>
      <c r="K76" s="106">
        <v>30000</v>
      </c>
      <c r="L76" s="106">
        <v>30000</v>
      </c>
      <c r="M76" s="106">
        <v>30000</v>
      </c>
      <c r="N76" s="106">
        <v>30000</v>
      </c>
      <c r="O76" s="106">
        <f t="shared" si="113"/>
        <v>240000</v>
      </c>
      <c r="P76" s="112"/>
      <c r="Q76" s="106">
        <v>30000</v>
      </c>
      <c r="R76" s="106">
        <v>30000</v>
      </c>
      <c r="S76" s="106">
        <v>30000</v>
      </c>
      <c r="T76" s="106">
        <v>30000</v>
      </c>
      <c r="U76" s="106">
        <v>30000</v>
      </c>
      <c r="V76" s="106">
        <v>30000</v>
      </c>
      <c r="W76" s="106">
        <v>30000</v>
      </c>
      <c r="X76" s="106">
        <v>30000</v>
      </c>
      <c r="Y76" s="106">
        <v>30000</v>
      </c>
      <c r="Z76" s="106">
        <v>30000</v>
      </c>
      <c r="AA76" s="106">
        <v>30000</v>
      </c>
      <c r="AB76" s="106">
        <v>30000</v>
      </c>
      <c r="AC76" s="106">
        <f t="shared" ref="AC76:AC94" si="179">SUM(Q76:AB76)</f>
        <v>360000</v>
      </c>
    </row>
    <row r="77" spans="1:29" s="109" customFormat="1" x14ac:dyDescent="0.35">
      <c r="A77" s="104"/>
      <c r="B77" s="105" t="s">
        <v>70</v>
      </c>
      <c r="C77" s="106"/>
      <c r="D77" s="106"/>
      <c r="E77" s="106"/>
      <c r="F77" s="106"/>
      <c r="G77" s="106"/>
      <c r="H77" s="106">
        <v>20000</v>
      </c>
      <c r="I77" s="106">
        <v>20000</v>
      </c>
      <c r="J77" s="106">
        <v>20000</v>
      </c>
      <c r="K77" s="106">
        <v>50000</v>
      </c>
      <c r="L77" s="106">
        <v>50000</v>
      </c>
      <c r="M77" s="106">
        <v>50000</v>
      </c>
      <c r="N77" s="106">
        <v>50000</v>
      </c>
      <c r="O77" s="106">
        <f t="shared" si="113"/>
        <v>260000</v>
      </c>
      <c r="P77" s="112"/>
      <c r="Q77" s="106">
        <v>50000</v>
      </c>
      <c r="R77" s="106">
        <v>50000</v>
      </c>
      <c r="S77" s="106">
        <v>50000</v>
      </c>
      <c r="T77" s="106">
        <v>50000</v>
      </c>
      <c r="U77" s="106">
        <v>50000</v>
      </c>
      <c r="V77" s="106">
        <v>50000</v>
      </c>
      <c r="W77" s="106">
        <v>50000</v>
      </c>
      <c r="X77" s="106">
        <v>50000</v>
      </c>
      <c r="Y77" s="106">
        <v>50000</v>
      </c>
      <c r="Z77" s="106">
        <v>50000</v>
      </c>
      <c r="AA77" s="106">
        <v>50000</v>
      </c>
      <c r="AB77" s="106">
        <v>50000</v>
      </c>
      <c r="AC77" s="106">
        <f t="shared" si="179"/>
        <v>600000</v>
      </c>
    </row>
    <row r="78" spans="1:29" s="109" customFormat="1" x14ac:dyDescent="0.35">
      <c r="A78" s="104"/>
      <c r="B78" s="105" t="s">
        <v>252</v>
      </c>
      <c r="C78" s="106"/>
      <c r="D78" s="106"/>
      <c r="E78" s="106"/>
      <c r="F78" s="106"/>
      <c r="G78" s="106"/>
      <c r="H78" s="106">
        <v>2000</v>
      </c>
      <c r="I78" s="106">
        <v>2000</v>
      </c>
      <c r="J78" s="106">
        <v>2000</v>
      </c>
      <c r="K78" s="106">
        <v>2000</v>
      </c>
      <c r="L78" s="106">
        <v>2000</v>
      </c>
      <c r="M78" s="106">
        <v>2000</v>
      </c>
      <c r="N78" s="106">
        <v>2000</v>
      </c>
      <c r="O78" s="106">
        <f t="shared" si="113"/>
        <v>14000</v>
      </c>
      <c r="P78" s="112"/>
      <c r="Q78" s="106">
        <v>2000</v>
      </c>
      <c r="R78" s="106">
        <v>2000</v>
      </c>
      <c r="S78" s="106">
        <v>2000</v>
      </c>
      <c r="T78" s="106">
        <v>2000</v>
      </c>
      <c r="U78" s="106">
        <v>2000</v>
      </c>
      <c r="V78" s="106">
        <v>2000</v>
      </c>
      <c r="W78" s="106">
        <v>2000</v>
      </c>
      <c r="X78" s="106">
        <v>2000</v>
      </c>
      <c r="Y78" s="106">
        <v>2000</v>
      </c>
      <c r="Z78" s="106">
        <v>2000</v>
      </c>
      <c r="AA78" s="106">
        <v>2000</v>
      </c>
      <c r="AB78" s="106">
        <v>2000</v>
      </c>
      <c r="AC78" s="106">
        <f t="shared" si="179"/>
        <v>24000</v>
      </c>
    </row>
    <row r="79" spans="1:29" s="109" customFormat="1" x14ac:dyDescent="0.35">
      <c r="A79" s="104"/>
      <c r="B79" s="105" t="s">
        <v>51</v>
      </c>
      <c r="C79" s="106"/>
      <c r="D79" s="106"/>
      <c r="E79" s="106"/>
      <c r="F79" s="106"/>
      <c r="G79" s="106">
        <v>20000</v>
      </c>
      <c r="H79" s="106"/>
      <c r="I79" s="106"/>
      <c r="J79" s="106"/>
      <c r="K79" s="106"/>
      <c r="L79" s="106"/>
      <c r="M79" s="106"/>
      <c r="N79" s="106"/>
      <c r="O79" s="106">
        <f t="shared" si="113"/>
        <v>20000</v>
      </c>
      <c r="P79" s="112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>
        <f t="shared" si="179"/>
        <v>0</v>
      </c>
    </row>
    <row r="80" spans="1:29" s="109" customFormat="1" x14ac:dyDescent="0.35">
      <c r="A80" s="104"/>
      <c r="B80" s="105" t="s">
        <v>71</v>
      </c>
      <c r="C80" s="106"/>
      <c r="D80" s="106"/>
      <c r="E80" s="106"/>
      <c r="F80" s="106"/>
      <c r="G80" s="106">
        <v>5000</v>
      </c>
      <c r="H80" s="106"/>
      <c r="I80" s="106"/>
      <c r="J80" s="106"/>
      <c r="K80" s="106"/>
      <c r="L80" s="106"/>
      <c r="M80" s="106"/>
      <c r="N80" s="106"/>
      <c r="O80" s="106">
        <f t="shared" si="113"/>
        <v>5000</v>
      </c>
      <c r="P80" s="112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>
        <f t="shared" si="179"/>
        <v>0</v>
      </c>
    </row>
    <row r="81" spans="1:29" s="109" customFormat="1" x14ac:dyDescent="0.35">
      <c r="A81" s="104"/>
      <c r="B81" s="105" t="s">
        <v>52</v>
      </c>
      <c r="C81" s="106"/>
      <c r="D81" s="106"/>
      <c r="E81" s="106"/>
      <c r="F81" s="111"/>
      <c r="G81" s="106">
        <v>5000</v>
      </c>
      <c r="H81" s="106"/>
      <c r="I81" s="106"/>
      <c r="J81" s="106"/>
      <c r="K81" s="106"/>
      <c r="L81" s="113"/>
      <c r="M81" s="106"/>
      <c r="N81" s="106"/>
      <c r="O81" s="106">
        <f t="shared" si="113"/>
        <v>5000</v>
      </c>
      <c r="P81" s="112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>
        <f t="shared" si="179"/>
        <v>0</v>
      </c>
    </row>
    <row r="82" spans="1:29" s="109" customFormat="1" x14ac:dyDescent="0.35">
      <c r="A82" s="104"/>
      <c r="B82" s="105" t="s">
        <v>78</v>
      </c>
      <c r="C82" s="106"/>
      <c r="D82" s="106"/>
      <c r="E82" s="106"/>
      <c r="F82" s="111"/>
      <c r="G82" s="106"/>
      <c r="H82" s="106">
        <v>35000</v>
      </c>
      <c r="I82" s="106"/>
      <c r="J82" s="106"/>
      <c r="K82" s="106"/>
      <c r="L82" s="106"/>
      <c r="M82" s="106"/>
      <c r="N82" s="106"/>
      <c r="O82" s="106">
        <f t="shared" si="113"/>
        <v>35000</v>
      </c>
      <c r="P82" s="112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>
        <f t="shared" si="179"/>
        <v>0</v>
      </c>
    </row>
    <row r="83" spans="1:29" s="109" customFormat="1" x14ac:dyDescent="0.35">
      <c r="A83" s="104"/>
      <c r="B83" s="105" t="s">
        <v>75</v>
      </c>
      <c r="C83" s="106"/>
      <c r="D83" s="106"/>
      <c r="E83" s="106"/>
      <c r="F83" s="106"/>
      <c r="G83" s="106">
        <v>100000</v>
      </c>
      <c r="H83" s="106">
        <v>5000</v>
      </c>
      <c r="I83" s="106">
        <v>5000</v>
      </c>
      <c r="J83" s="106">
        <v>5000</v>
      </c>
      <c r="K83" s="106">
        <v>5000</v>
      </c>
      <c r="L83" s="106">
        <v>5000</v>
      </c>
      <c r="M83" s="106">
        <v>5000</v>
      </c>
      <c r="N83" s="106">
        <v>5000</v>
      </c>
      <c r="O83" s="106">
        <f t="shared" si="113"/>
        <v>135000</v>
      </c>
      <c r="P83" s="112"/>
      <c r="Q83" s="111">
        <v>5000</v>
      </c>
      <c r="R83" s="111">
        <v>5000</v>
      </c>
      <c r="S83" s="111">
        <v>5000</v>
      </c>
      <c r="T83" s="111">
        <v>5000</v>
      </c>
      <c r="U83" s="111">
        <v>5000</v>
      </c>
      <c r="V83" s="111">
        <v>5000</v>
      </c>
      <c r="W83" s="111">
        <v>5000</v>
      </c>
      <c r="X83" s="111">
        <v>5000</v>
      </c>
      <c r="Y83" s="111">
        <v>5000</v>
      </c>
      <c r="Z83" s="111">
        <v>5000</v>
      </c>
      <c r="AA83" s="111">
        <v>5000</v>
      </c>
      <c r="AB83" s="111">
        <v>5000</v>
      </c>
      <c r="AC83" s="106">
        <f t="shared" si="179"/>
        <v>60000</v>
      </c>
    </row>
    <row r="84" spans="1:29" s="103" customFormat="1" x14ac:dyDescent="0.35">
      <c r="A84" s="98"/>
      <c r="B84" s="99" t="s">
        <v>67</v>
      </c>
      <c r="C84" s="100">
        <f>SUM(C85:C88)</f>
        <v>0</v>
      </c>
      <c r="D84" s="100">
        <f t="shared" ref="D84:F84" si="180">SUM(D85:D88)</f>
        <v>0</v>
      </c>
      <c r="E84" s="100">
        <f t="shared" si="180"/>
        <v>0</v>
      </c>
      <c r="F84" s="100">
        <f t="shared" si="180"/>
        <v>0</v>
      </c>
      <c r="G84" s="100">
        <f t="shared" ref="G84:N84" si="181">SUM(G85:G88)</f>
        <v>5000</v>
      </c>
      <c r="H84" s="100">
        <f t="shared" si="181"/>
        <v>157000</v>
      </c>
      <c r="I84" s="100">
        <f t="shared" si="181"/>
        <v>0</v>
      </c>
      <c r="J84" s="100">
        <f t="shared" si="181"/>
        <v>0</v>
      </c>
      <c r="K84" s="100">
        <f t="shared" si="181"/>
        <v>70000</v>
      </c>
      <c r="L84" s="100">
        <f t="shared" si="181"/>
        <v>0</v>
      </c>
      <c r="M84" s="100">
        <f t="shared" si="181"/>
        <v>0</v>
      </c>
      <c r="N84" s="100">
        <f t="shared" si="181"/>
        <v>120000</v>
      </c>
      <c r="O84" s="101">
        <f t="shared" si="113"/>
        <v>352000</v>
      </c>
      <c r="P84" s="102"/>
      <c r="Q84" s="100">
        <f t="shared" ref="Q84:AB84" si="182">SUM(Q85:Q88)</f>
        <v>0</v>
      </c>
      <c r="R84" s="100">
        <f t="shared" si="182"/>
        <v>0</v>
      </c>
      <c r="S84" s="100">
        <f t="shared" si="182"/>
        <v>0</v>
      </c>
      <c r="T84" s="100">
        <f t="shared" si="182"/>
        <v>0</v>
      </c>
      <c r="U84" s="100">
        <f t="shared" si="182"/>
        <v>0</v>
      </c>
      <c r="V84" s="100">
        <f t="shared" si="182"/>
        <v>0</v>
      </c>
      <c r="W84" s="100">
        <f t="shared" si="182"/>
        <v>0</v>
      </c>
      <c r="X84" s="100">
        <f t="shared" si="182"/>
        <v>0</v>
      </c>
      <c r="Y84" s="100">
        <f t="shared" si="182"/>
        <v>0</v>
      </c>
      <c r="Z84" s="100">
        <f t="shared" si="182"/>
        <v>0</v>
      </c>
      <c r="AA84" s="100">
        <f t="shared" si="182"/>
        <v>0</v>
      </c>
      <c r="AB84" s="100">
        <f t="shared" si="182"/>
        <v>0</v>
      </c>
      <c r="AC84" s="101">
        <f>SUM(Q84:AB84)</f>
        <v>0</v>
      </c>
    </row>
    <row r="85" spans="1:29" s="109" customFormat="1" x14ac:dyDescent="0.35">
      <c r="A85" s="104"/>
      <c r="B85" s="105" t="s">
        <v>53</v>
      </c>
      <c r="C85" s="106"/>
      <c r="D85" s="106"/>
      <c r="E85" s="106"/>
      <c r="F85" s="106"/>
      <c r="G85" s="106"/>
      <c r="H85" s="106">
        <v>22000</v>
      </c>
      <c r="I85" s="106"/>
      <c r="J85" s="106"/>
      <c r="K85" s="106">
        <v>50000</v>
      </c>
      <c r="L85" s="106"/>
      <c r="M85" s="106"/>
      <c r="N85" s="106">
        <v>50000</v>
      </c>
      <c r="O85" s="106">
        <f t="shared" si="113"/>
        <v>122000</v>
      </c>
      <c r="P85" s="108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>
        <f t="shared" si="179"/>
        <v>0</v>
      </c>
    </row>
    <row r="86" spans="1:29" s="109" customFormat="1" x14ac:dyDescent="0.35">
      <c r="A86" s="104"/>
      <c r="B86" s="105" t="s">
        <v>54</v>
      </c>
      <c r="C86" s="106"/>
      <c r="D86" s="106"/>
      <c r="E86" s="106"/>
      <c r="F86" s="106"/>
      <c r="G86" s="106"/>
      <c r="H86" s="106">
        <v>20000</v>
      </c>
      <c r="I86" s="106"/>
      <c r="J86" s="106"/>
      <c r="K86" s="106">
        <v>20000</v>
      </c>
      <c r="L86" s="106"/>
      <c r="M86" s="106"/>
      <c r="N86" s="106">
        <v>70000</v>
      </c>
      <c r="O86" s="106">
        <f t="shared" si="113"/>
        <v>110000</v>
      </c>
      <c r="P86" s="108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06">
        <f t="shared" si="179"/>
        <v>0</v>
      </c>
    </row>
    <row r="87" spans="1:29" s="109" customFormat="1" x14ac:dyDescent="0.35">
      <c r="A87" s="104"/>
      <c r="B87" s="105" t="s">
        <v>72</v>
      </c>
      <c r="C87" s="106"/>
      <c r="D87" s="106"/>
      <c r="E87" s="106"/>
      <c r="F87" s="106"/>
      <c r="G87" s="106"/>
      <c r="H87" s="106">
        <v>115000</v>
      </c>
      <c r="I87" s="106"/>
      <c r="J87" s="106"/>
      <c r="K87" s="106"/>
      <c r="L87" s="106"/>
      <c r="M87" s="106"/>
      <c r="N87" s="106"/>
      <c r="O87" s="106">
        <f t="shared" si="113"/>
        <v>115000</v>
      </c>
      <c r="P87" s="108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06">
        <f t="shared" si="179"/>
        <v>0</v>
      </c>
    </row>
    <row r="88" spans="1:29" s="109" customFormat="1" ht="14" customHeight="1" x14ac:dyDescent="0.35">
      <c r="A88" s="104"/>
      <c r="B88" s="105" t="s">
        <v>73</v>
      </c>
      <c r="C88" s="106"/>
      <c r="D88" s="106"/>
      <c r="E88" s="106"/>
      <c r="F88" s="106"/>
      <c r="G88" s="106">
        <v>5000</v>
      </c>
      <c r="H88" s="106"/>
      <c r="I88" s="106"/>
      <c r="J88" s="106"/>
      <c r="K88" s="106"/>
      <c r="L88" s="106"/>
      <c r="M88" s="106"/>
      <c r="N88" s="106"/>
      <c r="O88" s="106">
        <f t="shared" si="113"/>
        <v>5000</v>
      </c>
      <c r="P88" s="108"/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106">
        <f t="shared" si="179"/>
        <v>0</v>
      </c>
    </row>
    <row r="89" spans="1:29" s="103" customFormat="1" x14ac:dyDescent="0.35">
      <c r="A89" s="98"/>
      <c r="B89" s="99" t="s">
        <v>55</v>
      </c>
      <c r="C89" s="100">
        <f>SUM(C90:C92)</f>
        <v>0</v>
      </c>
      <c r="D89" s="100">
        <f t="shared" ref="D89:N89" si="183">SUM(D90:D92)</f>
        <v>0</v>
      </c>
      <c r="E89" s="100">
        <f t="shared" si="183"/>
        <v>0</v>
      </c>
      <c r="F89" s="100">
        <f t="shared" si="183"/>
        <v>0</v>
      </c>
      <c r="G89" s="100">
        <f t="shared" si="183"/>
        <v>0</v>
      </c>
      <c r="H89" s="100">
        <f t="shared" si="183"/>
        <v>0</v>
      </c>
      <c r="I89" s="100">
        <f t="shared" si="183"/>
        <v>0</v>
      </c>
      <c r="J89" s="100">
        <f t="shared" si="183"/>
        <v>0</v>
      </c>
      <c r="K89" s="100">
        <f t="shared" si="183"/>
        <v>0</v>
      </c>
      <c r="L89" s="100">
        <f t="shared" si="183"/>
        <v>0</v>
      </c>
      <c r="M89" s="100">
        <f t="shared" si="183"/>
        <v>0</v>
      </c>
      <c r="N89" s="100">
        <f t="shared" si="183"/>
        <v>0</v>
      </c>
      <c r="O89" s="101">
        <f t="shared" si="113"/>
        <v>0</v>
      </c>
      <c r="P89" s="102"/>
      <c r="Q89" s="100">
        <f t="shared" ref="Q89:AB89" si="184">SUM(Q90:Q92)</f>
        <v>0</v>
      </c>
      <c r="R89" s="100">
        <f t="shared" si="184"/>
        <v>0</v>
      </c>
      <c r="S89" s="100">
        <f t="shared" si="184"/>
        <v>0</v>
      </c>
      <c r="T89" s="100">
        <f t="shared" si="184"/>
        <v>0</v>
      </c>
      <c r="U89" s="100">
        <f t="shared" si="184"/>
        <v>0</v>
      </c>
      <c r="V89" s="100">
        <f t="shared" si="184"/>
        <v>0</v>
      </c>
      <c r="W89" s="100">
        <f t="shared" si="184"/>
        <v>0</v>
      </c>
      <c r="X89" s="100">
        <f t="shared" si="184"/>
        <v>0</v>
      </c>
      <c r="Y89" s="100">
        <f t="shared" si="184"/>
        <v>0</v>
      </c>
      <c r="Z89" s="100">
        <f t="shared" si="184"/>
        <v>0</v>
      </c>
      <c r="AA89" s="100">
        <f t="shared" si="184"/>
        <v>0</v>
      </c>
      <c r="AB89" s="100">
        <f t="shared" si="184"/>
        <v>0</v>
      </c>
      <c r="AC89" s="101">
        <f>SUM(Q89:AB89)</f>
        <v>0</v>
      </c>
    </row>
    <row r="90" spans="1:29" s="109" customFormat="1" x14ac:dyDescent="0.35">
      <c r="A90" s="104"/>
      <c r="B90" s="105" t="s">
        <v>56</v>
      </c>
      <c r="C90" s="115"/>
      <c r="D90" s="115"/>
      <c r="E90" s="115"/>
      <c r="F90" s="115"/>
      <c r="G90" s="115"/>
      <c r="H90" s="115"/>
      <c r="I90" s="115"/>
      <c r="J90" s="115"/>
      <c r="K90" s="115"/>
      <c r="L90" s="116"/>
      <c r="M90" s="115"/>
      <c r="N90" s="106"/>
      <c r="O90" s="106">
        <f t="shared" si="113"/>
        <v>0</v>
      </c>
      <c r="P90" s="108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>
        <f t="shared" si="179"/>
        <v>0</v>
      </c>
    </row>
    <row r="91" spans="1:29" s="109" customFormat="1" x14ac:dyDescent="0.35">
      <c r="A91" s="104"/>
      <c r="B91" s="105" t="s">
        <v>57</v>
      </c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06"/>
      <c r="O91" s="106">
        <f t="shared" si="113"/>
        <v>0</v>
      </c>
      <c r="P91" s="108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>
        <f t="shared" si="179"/>
        <v>0</v>
      </c>
    </row>
    <row r="92" spans="1:29" s="109" customFormat="1" x14ac:dyDescent="0.35">
      <c r="A92" s="104"/>
      <c r="B92" s="105" t="s">
        <v>58</v>
      </c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06"/>
      <c r="O92" s="106">
        <f t="shared" si="113"/>
        <v>0</v>
      </c>
      <c r="P92" s="108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>
        <f t="shared" si="179"/>
        <v>0</v>
      </c>
    </row>
    <row r="93" spans="1:29" s="97" customFormat="1" ht="15.5" x14ac:dyDescent="0.35">
      <c r="A93" s="93" t="s">
        <v>59</v>
      </c>
      <c r="B93" s="93"/>
      <c r="C93" s="94">
        <f>C94</f>
        <v>0</v>
      </c>
      <c r="D93" s="94">
        <f t="shared" ref="D93:N93" si="185">D94</f>
        <v>0</v>
      </c>
      <c r="E93" s="94">
        <f t="shared" si="185"/>
        <v>0</v>
      </c>
      <c r="F93" s="94">
        <f t="shared" si="185"/>
        <v>0</v>
      </c>
      <c r="G93" s="94">
        <f t="shared" si="185"/>
        <v>0</v>
      </c>
      <c r="H93" s="94">
        <f t="shared" si="185"/>
        <v>0</v>
      </c>
      <c r="I93" s="94">
        <f t="shared" si="185"/>
        <v>0</v>
      </c>
      <c r="J93" s="94">
        <f t="shared" si="185"/>
        <v>0</v>
      </c>
      <c r="K93" s="94">
        <f t="shared" si="185"/>
        <v>0</v>
      </c>
      <c r="L93" s="94">
        <f t="shared" si="185"/>
        <v>0</v>
      </c>
      <c r="M93" s="94">
        <f t="shared" si="185"/>
        <v>0</v>
      </c>
      <c r="N93" s="94">
        <f t="shared" si="185"/>
        <v>0</v>
      </c>
      <c r="O93" s="95">
        <f t="shared" si="113"/>
        <v>0</v>
      </c>
      <c r="P93" s="96"/>
      <c r="Q93" s="94">
        <f t="shared" ref="Q93:AB93" si="186">Q94</f>
        <v>0</v>
      </c>
      <c r="R93" s="94">
        <f t="shared" si="186"/>
        <v>0</v>
      </c>
      <c r="S93" s="94">
        <f t="shared" si="186"/>
        <v>0</v>
      </c>
      <c r="T93" s="94">
        <f t="shared" si="186"/>
        <v>0</v>
      </c>
      <c r="U93" s="94">
        <f t="shared" si="186"/>
        <v>0</v>
      </c>
      <c r="V93" s="94">
        <f t="shared" si="186"/>
        <v>0</v>
      </c>
      <c r="W93" s="94">
        <f t="shared" si="186"/>
        <v>0</v>
      </c>
      <c r="X93" s="94">
        <f t="shared" si="186"/>
        <v>0</v>
      </c>
      <c r="Y93" s="94">
        <f t="shared" si="186"/>
        <v>0</v>
      </c>
      <c r="Z93" s="94">
        <f t="shared" si="186"/>
        <v>0</v>
      </c>
      <c r="AA93" s="94">
        <f t="shared" si="186"/>
        <v>0</v>
      </c>
      <c r="AB93" s="94">
        <f t="shared" si="186"/>
        <v>0</v>
      </c>
      <c r="AC93" s="95">
        <f>SUM(Q93:AB93)</f>
        <v>0</v>
      </c>
    </row>
    <row r="94" spans="1:29" s="109" customFormat="1" x14ac:dyDescent="0.35">
      <c r="A94" s="104"/>
      <c r="B94" s="105" t="s">
        <v>76</v>
      </c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>
        <f t="shared" si="113"/>
        <v>0</v>
      </c>
      <c r="P94" s="108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>
        <f t="shared" si="179"/>
        <v>0</v>
      </c>
    </row>
    <row r="95" spans="1:29" s="97" customFormat="1" ht="15.5" x14ac:dyDescent="0.35">
      <c r="A95" s="93" t="s">
        <v>60</v>
      </c>
      <c r="B95" s="93"/>
      <c r="C95" s="94">
        <f>C37+C73+C93</f>
        <v>0</v>
      </c>
      <c r="D95" s="94">
        <f t="shared" ref="D95:F95" si="187">D37+D73+D93</f>
        <v>0</v>
      </c>
      <c r="E95" s="94">
        <f t="shared" si="187"/>
        <v>0</v>
      </c>
      <c r="F95" s="94">
        <f t="shared" si="187"/>
        <v>0</v>
      </c>
      <c r="G95" s="94">
        <f t="shared" ref="G95:N95" si="188">G37+G73+G93</f>
        <v>498300</v>
      </c>
      <c r="H95" s="94">
        <f t="shared" si="188"/>
        <v>724500</v>
      </c>
      <c r="I95" s="94">
        <f t="shared" si="188"/>
        <v>525500</v>
      </c>
      <c r="J95" s="94">
        <f t="shared" si="188"/>
        <v>528000</v>
      </c>
      <c r="K95" s="94">
        <f t="shared" si="188"/>
        <v>638000</v>
      </c>
      <c r="L95" s="94">
        <f t="shared" si="188"/>
        <v>578000</v>
      </c>
      <c r="M95" s="94">
        <f t="shared" si="188"/>
        <v>923216</v>
      </c>
      <c r="N95" s="94">
        <f t="shared" si="188"/>
        <v>1148796</v>
      </c>
      <c r="O95" s="95">
        <f t="shared" si="113"/>
        <v>5564312</v>
      </c>
      <c r="P95" s="96"/>
      <c r="Q95" s="94">
        <f t="shared" ref="Q95:AB95" si="189">Q37+Q73+Q93</f>
        <v>739172</v>
      </c>
      <c r="R95" s="94">
        <f t="shared" si="189"/>
        <v>766288</v>
      </c>
      <c r="S95" s="94">
        <f t="shared" si="189"/>
        <v>876996</v>
      </c>
      <c r="T95" s="94">
        <f t="shared" si="189"/>
        <v>1077576</v>
      </c>
      <c r="U95" s="94">
        <f t="shared" si="189"/>
        <v>1178156</v>
      </c>
      <c r="V95" s="94">
        <f t="shared" si="189"/>
        <v>1183156</v>
      </c>
      <c r="W95" s="94">
        <f t="shared" si="189"/>
        <v>1072576</v>
      </c>
      <c r="X95" s="94">
        <f t="shared" si="189"/>
        <v>1184156</v>
      </c>
      <c r="Y95" s="94">
        <f t="shared" si="189"/>
        <v>1183156</v>
      </c>
      <c r="Z95" s="94">
        <f t="shared" si="189"/>
        <v>1074076</v>
      </c>
      <c r="AA95" s="94">
        <f t="shared" si="189"/>
        <v>1116308</v>
      </c>
      <c r="AB95" s="94">
        <f t="shared" si="189"/>
        <v>1243004</v>
      </c>
      <c r="AC95" s="95">
        <f>SUM(Q95:AB95)</f>
        <v>12694620</v>
      </c>
    </row>
    <row r="96" spans="1:29" s="76" customFormat="1" ht="15.5" x14ac:dyDescent="0.35">
      <c r="A96" s="117"/>
      <c r="B96" s="118"/>
      <c r="C96" s="118"/>
      <c r="D96" s="118"/>
      <c r="E96" s="118"/>
      <c r="F96" s="118"/>
      <c r="P96" s="119"/>
      <c r="Q96" s="118"/>
      <c r="R96" s="118"/>
      <c r="S96" s="118"/>
      <c r="T96" s="118"/>
    </row>
  </sheetData>
  <sheetProtection algorithmName="SHA-512" hashValue="g7wQpRFlvsFOP+ecQcOIHDePVq+Aj5nuiSdm18HMa/4+mRupljzBAZph6Fmsy2dAmocXGdMgOU5D0VSucCi21w==" saltValue="6Za4svseAvz/hnumo/SkqQ==" spinCount="100000" sheet="1" formatCells="0" formatColumns="0" formatRows="0" insertColumns="0" insertRows="0" insertHyperlinks="0" deleteColumns="0" deleteRows="0" sort="0" autoFilter="0" pivotTables="0"/>
  <mergeCells count="6">
    <mergeCell ref="Q1:AB1"/>
    <mergeCell ref="A95:B95"/>
    <mergeCell ref="C1:N1"/>
    <mergeCell ref="A37:B37"/>
    <mergeCell ref="A73:B73"/>
    <mergeCell ref="A93:B93"/>
  </mergeCells>
  <conditionalFormatting sqref="C16:N16">
    <cfRule type="cellIs" dxfId="32" priority="19" operator="lessThan">
      <formula>0</formula>
    </cfRule>
  </conditionalFormatting>
  <conditionalFormatting sqref="O16">
    <cfRule type="cellIs" dxfId="31" priority="20" operator="lessThan">
      <formula>1000000</formula>
    </cfRule>
  </conditionalFormatting>
  <conditionalFormatting sqref="C30:N30">
    <cfRule type="cellIs" dxfId="30" priority="17" operator="lessThan">
      <formula>0</formula>
    </cfRule>
  </conditionalFormatting>
  <conditionalFormatting sqref="O30">
    <cfRule type="cellIs" dxfId="29" priority="18" operator="lessThan">
      <formula>1000000</formula>
    </cfRule>
  </conditionalFormatting>
  <conditionalFormatting sqref="Q16:AB16">
    <cfRule type="cellIs" dxfId="28" priority="10" operator="lessThan">
      <formula>0</formula>
    </cfRule>
  </conditionalFormatting>
  <conditionalFormatting sqref="Q30:AB30">
    <cfRule type="cellIs" dxfId="27" priority="8" operator="lessThan">
      <formula>0</formula>
    </cfRule>
  </conditionalFormatting>
  <conditionalFormatting sqref="AC30">
    <cfRule type="cellIs" dxfId="26" priority="9" operator="lessThan">
      <formula>1000000</formula>
    </cfRule>
  </conditionalFormatting>
  <conditionalFormatting sqref="C21:N21">
    <cfRule type="cellIs" dxfId="25" priority="6" operator="lessThan">
      <formula>0</formula>
    </cfRule>
  </conditionalFormatting>
  <conditionalFormatting sqref="C35:N35">
    <cfRule type="cellIs" dxfId="24" priority="5" operator="lessThan">
      <formula>0</formula>
    </cfRule>
  </conditionalFormatting>
  <conditionalFormatting sqref="Q21:AB21">
    <cfRule type="cellIs" dxfId="23" priority="4" operator="lessThan">
      <formula>0</formula>
    </cfRule>
  </conditionalFormatting>
  <conditionalFormatting sqref="Q35:AB35">
    <cfRule type="cellIs" dxfId="22" priority="3" operator="lessThan">
      <formula>0</formula>
    </cfRule>
  </conditionalFormatting>
  <conditionalFormatting sqref="AC16">
    <cfRule type="cellIs" dxfId="21" priority="2" operator="lessThan">
      <formula>1000000</formula>
    </cfRule>
  </conditionalFormatting>
  <conditionalFormatting sqref="A10:XFD35">
    <cfRule type="cellIs" dxfId="20" priority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D26" sqref="D26"/>
    </sheetView>
  </sheetViews>
  <sheetFormatPr defaultRowHeight="14.5" x14ac:dyDescent="0.35"/>
  <cols>
    <col min="1" max="1" width="19.7265625" style="42" customWidth="1"/>
    <col min="2" max="2" width="13.08984375" style="42" customWidth="1"/>
    <col min="3" max="3" width="11.81640625" style="42" bestFit="1" customWidth="1"/>
    <col min="4" max="4" width="10.81640625" style="42" bestFit="1" customWidth="1"/>
    <col min="5" max="5" width="9.7265625" style="42" bestFit="1" customWidth="1"/>
    <col min="6" max="6" width="11.81640625" style="42" bestFit="1" customWidth="1"/>
    <col min="7" max="13" width="10.81640625" style="42" bestFit="1" customWidth="1"/>
    <col min="14" max="14" width="11.81640625" style="42" bestFit="1" customWidth="1"/>
    <col min="15" max="15" width="10.81640625" style="42" bestFit="1" customWidth="1"/>
    <col min="16" max="18" width="11.81640625" style="42" bestFit="1" customWidth="1"/>
    <col min="19" max="19" width="10.81640625" style="42" bestFit="1" customWidth="1"/>
    <col min="20" max="20" width="11.81640625" style="42" bestFit="1" customWidth="1"/>
    <col min="21" max="16384" width="8.7265625" style="42"/>
  </cols>
  <sheetData>
    <row r="1" spans="1:20" x14ac:dyDescent="0.35">
      <c r="A1" s="120"/>
      <c r="B1" s="121" t="s">
        <v>5</v>
      </c>
      <c r="C1" s="121"/>
      <c r="D1" s="121" t="s">
        <v>6</v>
      </c>
      <c r="E1" s="121"/>
      <c r="F1" s="122" t="s">
        <v>7</v>
      </c>
      <c r="G1" s="122"/>
      <c r="H1" s="122" t="s">
        <v>8</v>
      </c>
      <c r="I1" s="122"/>
      <c r="J1" s="122" t="s">
        <v>9</v>
      </c>
      <c r="K1" s="122"/>
      <c r="L1" s="121" t="s">
        <v>10</v>
      </c>
      <c r="M1" s="121"/>
      <c r="N1" s="121" t="s">
        <v>11</v>
      </c>
      <c r="O1" s="121"/>
      <c r="P1" s="121" t="s">
        <v>12</v>
      </c>
      <c r="Q1" s="121"/>
      <c r="R1" s="120"/>
      <c r="S1" s="123" t="s">
        <v>209</v>
      </c>
      <c r="T1" s="121"/>
    </row>
    <row r="2" spans="1:20" x14ac:dyDescent="0.35">
      <c r="A2" s="120"/>
      <c r="B2" s="48" t="s">
        <v>196</v>
      </c>
      <c r="C2" s="48" t="s">
        <v>197</v>
      </c>
      <c r="D2" s="48" t="s">
        <v>196</v>
      </c>
      <c r="E2" s="48" t="s">
        <v>197</v>
      </c>
      <c r="F2" s="48" t="s">
        <v>196</v>
      </c>
      <c r="G2" s="48" t="s">
        <v>197</v>
      </c>
      <c r="H2" s="48" t="s">
        <v>196</v>
      </c>
      <c r="I2" s="48" t="s">
        <v>197</v>
      </c>
      <c r="J2" s="48" t="s">
        <v>196</v>
      </c>
      <c r="K2" s="48" t="s">
        <v>197</v>
      </c>
      <c r="L2" s="48" t="s">
        <v>196</v>
      </c>
      <c r="M2" s="48" t="s">
        <v>197</v>
      </c>
      <c r="N2" s="48" t="s">
        <v>196</v>
      </c>
      <c r="O2" s="48" t="s">
        <v>197</v>
      </c>
      <c r="P2" s="48" t="s">
        <v>196</v>
      </c>
      <c r="Q2" s="48" t="s">
        <v>197</v>
      </c>
      <c r="R2" s="120"/>
      <c r="S2" s="48" t="s">
        <v>196</v>
      </c>
      <c r="T2" s="48" t="s">
        <v>197</v>
      </c>
    </row>
    <row r="3" spans="1:20" x14ac:dyDescent="0.35">
      <c r="A3" s="124" t="s">
        <v>208</v>
      </c>
      <c r="B3" s="106">
        <f>'Стат 2022-23'!G10</f>
        <v>0</v>
      </c>
      <c r="C3" s="106"/>
      <c r="D3" s="106">
        <f>'Стат 2022-23'!H10</f>
        <v>0</v>
      </c>
      <c r="E3" s="106"/>
      <c r="F3" s="106">
        <f>'Стат 2022-23'!I10</f>
        <v>4550000</v>
      </c>
      <c r="G3" s="106"/>
      <c r="H3" s="106">
        <f>'Стат 2022-23'!J10</f>
        <v>5200000</v>
      </c>
      <c r="I3" s="106"/>
      <c r="J3" s="106">
        <f>'Стат 2022-23'!K10</f>
        <v>6500000</v>
      </c>
      <c r="K3" s="106"/>
      <c r="L3" s="106">
        <f>'Стат 2022-23'!L10</f>
        <v>7800000</v>
      </c>
      <c r="M3" s="106"/>
      <c r="N3" s="106">
        <f>'Стат 2022-23'!M10</f>
        <v>9750000</v>
      </c>
      <c r="O3" s="120"/>
      <c r="P3" s="106">
        <f>'Стат 2022-23'!N10</f>
        <v>13000000</v>
      </c>
      <c r="Q3" s="106"/>
      <c r="R3" s="106">
        <f>SUM(B3:Q3)</f>
        <v>46800000</v>
      </c>
      <c r="S3" s="106">
        <f>'Стат 2022-23'!Q10</f>
        <v>3900000</v>
      </c>
      <c r="T3" s="106"/>
    </row>
    <row r="4" spans="1:20" x14ac:dyDescent="0.35">
      <c r="A4" s="124" t="s">
        <v>23</v>
      </c>
      <c r="B4" s="106"/>
      <c r="C4" s="106">
        <f>'Стат 2022-23'!G20</f>
        <v>498300</v>
      </c>
      <c r="D4" s="106"/>
      <c r="E4" s="106">
        <f>'Стат 2022-23'!H20</f>
        <v>724500</v>
      </c>
      <c r="F4" s="106"/>
      <c r="G4" s="106">
        <f>'Стат 2022-23'!I20</f>
        <v>525500</v>
      </c>
      <c r="H4" s="106"/>
      <c r="I4" s="106">
        <f>'Стат 2022-23'!J20</f>
        <v>528000</v>
      </c>
      <c r="J4" s="106"/>
      <c r="K4" s="106">
        <f>'Стат 2022-23'!K20</f>
        <v>638000</v>
      </c>
      <c r="L4" s="106"/>
      <c r="M4" s="106">
        <f>'Стат 2022-23'!L20</f>
        <v>578000</v>
      </c>
      <c r="N4" s="106"/>
      <c r="O4" s="106">
        <f>'Стат 2022-23'!M20</f>
        <v>923216</v>
      </c>
      <c r="P4" s="120"/>
      <c r="Q4" s="106">
        <f>'Стат 2022-23'!N20</f>
        <v>1148796</v>
      </c>
      <c r="R4" s="106">
        <f t="shared" ref="R4:R11" si="0">SUM(B4:Q4)</f>
        <v>5564312</v>
      </c>
      <c r="S4" s="120"/>
      <c r="T4" s="106">
        <f>'Стат 2022-23'!Q20</f>
        <v>739172</v>
      </c>
    </row>
    <row r="5" spans="1:20" x14ac:dyDescent="0.35">
      <c r="A5" s="124" t="s">
        <v>193</v>
      </c>
      <c r="B5" s="106"/>
      <c r="C5" s="106">
        <v>10000000</v>
      </c>
      <c r="D5" s="106"/>
      <c r="E5" s="106"/>
      <c r="F5" s="106"/>
      <c r="G5" s="106">
        <v>5000000</v>
      </c>
      <c r="H5" s="106"/>
      <c r="I5" s="106">
        <v>5000000</v>
      </c>
      <c r="J5" s="106"/>
      <c r="K5" s="106">
        <v>5000000</v>
      </c>
      <c r="L5" s="106"/>
      <c r="M5" s="106">
        <v>5000000</v>
      </c>
      <c r="N5" s="106"/>
      <c r="O5" s="106">
        <v>5000000</v>
      </c>
      <c r="P5" s="120"/>
      <c r="Q5" s="106">
        <v>7000000</v>
      </c>
      <c r="R5" s="106">
        <f t="shared" si="0"/>
        <v>42000000</v>
      </c>
      <c r="S5" s="120"/>
      <c r="T5" s="106"/>
    </row>
    <row r="6" spans="1:20" x14ac:dyDescent="0.35">
      <c r="A6" s="124" t="s">
        <v>198</v>
      </c>
      <c r="B6" s="106"/>
      <c r="C6" s="106">
        <f>C5*0.08</f>
        <v>800000</v>
      </c>
      <c r="D6" s="106"/>
      <c r="E6" s="106">
        <f>E5*0.08</f>
        <v>0</v>
      </c>
      <c r="F6" s="106"/>
      <c r="G6" s="106">
        <f>G5*0.08</f>
        <v>400000</v>
      </c>
      <c r="H6" s="106"/>
      <c r="I6" s="106">
        <f>I5*0.08</f>
        <v>400000</v>
      </c>
      <c r="J6" s="106"/>
      <c r="K6" s="106">
        <f>K5*0.08</f>
        <v>400000</v>
      </c>
      <c r="L6" s="106"/>
      <c r="M6" s="106">
        <f>M5*0.08</f>
        <v>400000</v>
      </c>
      <c r="N6" s="106"/>
      <c r="O6" s="106">
        <f>O5*0.08</f>
        <v>400000</v>
      </c>
      <c r="P6" s="120"/>
      <c r="Q6" s="106">
        <f>Q5*0.08</f>
        <v>560000</v>
      </c>
      <c r="R6" s="106">
        <f t="shared" si="0"/>
        <v>3360000</v>
      </c>
      <c r="S6" s="120"/>
      <c r="T6" s="106">
        <f>T5*0.08</f>
        <v>0</v>
      </c>
    </row>
    <row r="7" spans="1:20" x14ac:dyDescent="0.35">
      <c r="A7" s="124" t="s">
        <v>199</v>
      </c>
      <c r="B7" s="106"/>
      <c r="C7" s="106">
        <f>(C5+C6)*0.2</f>
        <v>2160000</v>
      </c>
      <c r="D7" s="106"/>
      <c r="E7" s="106">
        <f t="shared" ref="E7" si="1">(E5+E6)*0.2</f>
        <v>0</v>
      </c>
      <c r="F7" s="106"/>
      <c r="G7" s="106">
        <f t="shared" ref="G7" si="2">(G5+G6)*0.2</f>
        <v>1080000</v>
      </c>
      <c r="H7" s="106"/>
      <c r="I7" s="106">
        <f t="shared" ref="I7" si="3">(I5+I6)*0.2</f>
        <v>1080000</v>
      </c>
      <c r="J7" s="106"/>
      <c r="K7" s="106">
        <f t="shared" ref="K7" si="4">(K5+K6)*0.2</f>
        <v>1080000</v>
      </c>
      <c r="L7" s="106"/>
      <c r="M7" s="106">
        <f t="shared" ref="M7" si="5">(M5+M6)*0.2</f>
        <v>1080000</v>
      </c>
      <c r="N7" s="106"/>
      <c r="O7" s="106">
        <f t="shared" ref="O7" si="6">(O5+O6)*0.2</f>
        <v>1080000</v>
      </c>
      <c r="P7" s="106"/>
      <c r="Q7" s="106">
        <f t="shared" ref="Q7" si="7">(Q5+Q6)*0.2</f>
        <v>1512000</v>
      </c>
      <c r="R7" s="106">
        <f t="shared" si="0"/>
        <v>9072000</v>
      </c>
      <c r="S7" s="106"/>
      <c r="T7" s="106">
        <f t="shared" ref="T7" si="8">(T5+T6)*0.2</f>
        <v>0</v>
      </c>
    </row>
    <row r="8" spans="1:20" x14ac:dyDescent="0.35">
      <c r="A8" s="124" t="s">
        <v>188</v>
      </c>
      <c r="B8" s="106"/>
      <c r="C8" s="106">
        <f>C5*0.1</f>
        <v>1000000</v>
      </c>
      <c r="D8" s="106"/>
      <c r="E8" s="106">
        <f t="shared" ref="E8" si="9">E5*0.1</f>
        <v>0</v>
      </c>
      <c r="F8" s="106"/>
      <c r="G8" s="106">
        <f t="shared" ref="G8" si="10">G5*0.1</f>
        <v>500000</v>
      </c>
      <c r="H8" s="106"/>
      <c r="I8" s="106">
        <f t="shared" ref="I8" si="11">I5*0.1</f>
        <v>500000</v>
      </c>
      <c r="J8" s="106"/>
      <c r="K8" s="106">
        <f t="shared" ref="K8" si="12">K5*0.1</f>
        <v>500000</v>
      </c>
      <c r="L8" s="106"/>
      <c r="M8" s="125">
        <f t="shared" ref="M8" si="13">M5*0.1</f>
        <v>500000</v>
      </c>
      <c r="N8" s="106"/>
      <c r="O8" s="106">
        <f t="shared" ref="O8" si="14">O5*0.1</f>
        <v>500000</v>
      </c>
      <c r="P8" s="106"/>
      <c r="Q8" s="106">
        <f t="shared" ref="Q8" si="15">Q5*0.1</f>
        <v>700000</v>
      </c>
      <c r="R8" s="106">
        <f t="shared" si="0"/>
        <v>4200000</v>
      </c>
      <c r="S8" s="106"/>
      <c r="T8" s="106">
        <f t="shared" ref="T8" si="16">T5*0.1</f>
        <v>0</v>
      </c>
    </row>
    <row r="9" spans="1:20" x14ac:dyDescent="0.35">
      <c r="A9" s="124" t="s">
        <v>200</v>
      </c>
      <c r="B9" s="106"/>
      <c r="C9" s="106"/>
      <c r="D9" s="106"/>
      <c r="E9" s="106"/>
      <c r="F9" s="106"/>
      <c r="G9" s="125">
        <f>SUM('Стат 2022-23'!G18:H18)</f>
        <v>0</v>
      </c>
      <c r="H9" s="106"/>
      <c r="I9" s="106"/>
      <c r="J9" s="106"/>
      <c r="K9" s="106"/>
      <c r="L9" s="106"/>
      <c r="M9" s="125">
        <f>SUM('Стат 2022-23'!I18:K18)</f>
        <v>640903.30788804067</v>
      </c>
      <c r="N9" s="106"/>
      <c r="O9" s="120"/>
      <c r="P9" s="120"/>
      <c r="Q9" s="106"/>
      <c r="R9" s="106">
        <f t="shared" si="0"/>
        <v>640903.30788804067</v>
      </c>
      <c r="S9" s="120"/>
      <c r="T9" s="106"/>
    </row>
    <row r="10" spans="1:20" x14ac:dyDescent="0.35">
      <c r="A10" s="124" t="s">
        <v>66</v>
      </c>
      <c r="B10" s="106"/>
      <c r="C10" s="106">
        <f>'Стат 2022-23'!G17</f>
        <v>0</v>
      </c>
      <c r="D10" s="106"/>
      <c r="E10" s="106">
        <f>'Стат 2022-23'!H17</f>
        <v>0</v>
      </c>
      <c r="F10" s="106"/>
      <c r="G10" s="106">
        <f>'Стат 2022-23'!I17</f>
        <v>74352.926208651392</v>
      </c>
      <c r="H10" s="106"/>
      <c r="I10" s="106">
        <f>'Стат 2022-23'!J17</f>
        <v>99489.058524173059</v>
      </c>
      <c r="J10" s="106"/>
      <c r="K10" s="106">
        <f>'Стат 2022-23'!K17</f>
        <v>128761.32315521625</v>
      </c>
      <c r="L10" s="106"/>
      <c r="M10" s="106">
        <f>'Стат 2022-23'!L17</f>
        <v>192033.5877862596</v>
      </c>
      <c r="N10" s="106"/>
      <c r="O10" s="106">
        <f>'Стат 2022-23'!M17</f>
        <v>77025.133333333331</v>
      </c>
      <c r="P10" s="106"/>
      <c r="Q10" s="106">
        <f>'Стат 2022-23'!N17</f>
        <v>282963.44631043251</v>
      </c>
      <c r="R10" s="106">
        <f t="shared" si="0"/>
        <v>854625.47531806608</v>
      </c>
      <c r="S10" s="106"/>
      <c r="T10" s="106">
        <f>'Стат 2022-23'!Q17</f>
        <v>5982.3938931297926</v>
      </c>
    </row>
    <row r="11" spans="1:20" x14ac:dyDescent="0.35">
      <c r="A11" s="124" t="s">
        <v>195</v>
      </c>
      <c r="B11" s="106">
        <v>18500000</v>
      </c>
      <c r="C11" s="106"/>
      <c r="D11" s="106"/>
      <c r="E11" s="106"/>
      <c r="F11" s="106">
        <v>6500000</v>
      </c>
      <c r="G11" s="106"/>
      <c r="H11" s="106"/>
      <c r="I11" s="106"/>
      <c r="J11" s="106"/>
      <c r="K11" s="106"/>
      <c r="L11" s="106"/>
      <c r="M11" s="106"/>
      <c r="N11" s="106"/>
      <c r="O11" s="120"/>
      <c r="P11" s="120"/>
      <c r="Q11" s="106"/>
      <c r="R11" s="106">
        <f t="shared" si="0"/>
        <v>25000000</v>
      </c>
      <c r="S11" s="120"/>
      <c r="T11" s="106"/>
    </row>
    <row r="12" spans="1:20" x14ac:dyDescent="0.35">
      <c r="A12" s="124" t="s">
        <v>194</v>
      </c>
      <c r="B12" s="106">
        <f>SUM(B3:B11)</f>
        <v>18500000</v>
      </c>
      <c r="C12" s="106">
        <f t="shared" ref="C12:Q12" si="17">SUM(C3:C11)</f>
        <v>14458300</v>
      </c>
      <c r="D12" s="106">
        <f t="shared" si="17"/>
        <v>0</v>
      </c>
      <c r="E12" s="106">
        <f t="shared" si="17"/>
        <v>724500</v>
      </c>
      <c r="F12" s="106">
        <f t="shared" si="17"/>
        <v>11050000</v>
      </c>
      <c r="G12" s="106">
        <f t="shared" si="17"/>
        <v>7579852.9262086516</v>
      </c>
      <c r="H12" s="106">
        <f t="shared" si="17"/>
        <v>5200000</v>
      </c>
      <c r="I12" s="106">
        <f t="shared" si="17"/>
        <v>7607489.0585241728</v>
      </c>
      <c r="J12" s="106">
        <f t="shared" si="17"/>
        <v>6500000</v>
      </c>
      <c r="K12" s="106">
        <f t="shared" si="17"/>
        <v>7746761.3231552159</v>
      </c>
      <c r="L12" s="106">
        <f t="shared" si="17"/>
        <v>7800000</v>
      </c>
      <c r="M12" s="106">
        <f t="shared" si="17"/>
        <v>8390936.8956742994</v>
      </c>
      <c r="N12" s="106">
        <f t="shared" si="17"/>
        <v>9750000</v>
      </c>
      <c r="O12" s="106">
        <f t="shared" si="17"/>
        <v>7980241.1333333338</v>
      </c>
      <c r="P12" s="106">
        <f t="shared" si="17"/>
        <v>13000000</v>
      </c>
      <c r="Q12" s="106">
        <f t="shared" si="17"/>
        <v>11203759.446310433</v>
      </c>
      <c r="R12" s="126"/>
      <c r="S12" s="106">
        <f t="shared" ref="S12:T12" si="18">SUM(S3:S11)</f>
        <v>3900000</v>
      </c>
      <c r="T12" s="106">
        <f t="shared" si="18"/>
        <v>745154.39389312977</v>
      </c>
    </row>
    <row r="13" spans="1:20" x14ac:dyDescent="0.35">
      <c r="A13" s="127" t="s">
        <v>191</v>
      </c>
      <c r="B13" s="128">
        <f>B12-C12</f>
        <v>4041700</v>
      </c>
      <c r="C13" s="128"/>
      <c r="D13" s="128">
        <f>B13+D12-E12</f>
        <v>3317200</v>
      </c>
      <c r="E13" s="128"/>
      <c r="F13" s="128">
        <f t="shared" ref="F13" si="19">D13+F12-G12</f>
        <v>6787347.0737913484</v>
      </c>
      <c r="G13" s="128"/>
      <c r="H13" s="128">
        <f t="shared" ref="H13" si="20">F13+H12-I12</f>
        <v>4379858.0152671747</v>
      </c>
      <c r="I13" s="128"/>
      <c r="J13" s="128">
        <f t="shared" ref="J13" si="21">H13+J12-K12</f>
        <v>3133096.6921119587</v>
      </c>
      <c r="K13" s="128"/>
      <c r="L13" s="128">
        <f t="shared" ref="L13" si="22">J13+L12-M12</f>
        <v>2542159.7964376584</v>
      </c>
      <c r="M13" s="128"/>
      <c r="N13" s="128">
        <f t="shared" ref="N13" si="23">L13+N12-O12</f>
        <v>4311918.6631043246</v>
      </c>
      <c r="O13" s="128"/>
      <c r="P13" s="128">
        <f t="shared" ref="P13" si="24">N13+P12-Q12</f>
        <v>6108159.2167938929</v>
      </c>
      <c r="Q13" s="128"/>
      <c r="S13" s="128">
        <f>P13+S12-T12</f>
        <v>9263004.8229007628</v>
      </c>
      <c r="T13" s="128"/>
    </row>
    <row r="15" spans="1:20" x14ac:dyDescent="0.35">
      <c r="B15" s="42" t="s">
        <v>201</v>
      </c>
      <c r="C15" s="129"/>
      <c r="E15" s="129">
        <f>SUM(C5:C8)</f>
        <v>13960000</v>
      </c>
      <c r="G15" s="129">
        <f t="shared" ref="G15" si="25">SUM(E5:E8)</f>
        <v>0</v>
      </c>
      <c r="I15" s="129">
        <f t="shared" ref="I15" si="26">SUM(G5:G8)</f>
        <v>6980000</v>
      </c>
      <c r="K15" s="129">
        <f t="shared" ref="K15" si="27">SUM(I5:I8)</f>
        <v>6980000</v>
      </c>
      <c r="M15" s="129">
        <f t="shared" ref="M15" si="28">SUM(K5:K8)</f>
        <v>6980000</v>
      </c>
      <c r="O15" s="129">
        <f t="shared" ref="O15" si="29">SUM(M5:M8)</f>
        <v>6980000</v>
      </c>
      <c r="Q15" s="129">
        <f t="shared" ref="Q15" si="30">SUM(O5:O8)</f>
        <v>6980000</v>
      </c>
      <c r="T15" s="129">
        <f>SUM(Q5:Q8)</f>
        <v>9772000</v>
      </c>
    </row>
    <row r="16" spans="1:20" x14ac:dyDescent="0.35">
      <c r="B16" s="42" t="s">
        <v>202</v>
      </c>
      <c r="C16" s="130">
        <v>0.45</v>
      </c>
      <c r="E16" s="130">
        <v>0.45</v>
      </c>
      <c r="G16" s="130">
        <v>0.45</v>
      </c>
      <c r="I16" s="130">
        <v>0.45</v>
      </c>
      <c r="K16" s="130">
        <v>0.45</v>
      </c>
      <c r="M16" s="130">
        <v>0.45</v>
      </c>
      <c r="O16" s="130">
        <v>0.45</v>
      </c>
      <c r="Q16" s="130">
        <v>0.45</v>
      </c>
      <c r="T16" s="130">
        <v>0.45</v>
      </c>
    </row>
    <row r="17" spans="1:20" x14ac:dyDescent="0.35">
      <c r="B17" s="42" t="s">
        <v>203</v>
      </c>
      <c r="C17" s="129">
        <f>C15*(1+C16)</f>
        <v>0</v>
      </c>
      <c r="E17" s="129">
        <f>E15*(1+E16)</f>
        <v>20242000</v>
      </c>
      <c r="G17" s="129">
        <f t="shared" ref="G17" si="31">G15*(1+G16)</f>
        <v>0</v>
      </c>
      <c r="I17" s="129">
        <f t="shared" ref="I17" si="32">I15*(1+I16)</f>
        <v>10121000</v>
      </c>
      <c r="K17" s="129">
        <f t="shared" ref="K17" si="33">K15*(1+K16)</f>
        <v>10121000</v>
      </c>
      <c r="M17" s="129">
        <f t="shared" ref="M17" si="34">M15*(1+M16)</f>
        <v>10121000</v>
      </c>
      <c r="O17" s="129">
        <f t="shared" ref="O17" si="35">O15*(1+O16)</f>
        <v>10121000</v>
      </c>
      <c r="Q17" s="129">
        <f t="shared" ref="Q17" si="36">Q15*(1+Q16)</f>
        <v>10121000</v>
      </c>
      <c r="T17" s="129">
        <f t="shared" ref="T17" si="37">T15*(1+T16)</f>
        <v>14169400</v>
      </c>
    </row>
    <row r="18" spans="1:20" x14ac:dyDescent="0.35">
      <c r="B18" s="42" t="s">
        <v>204</v>
      </c>
      <c r="C18" s="129">
        <f>C17-C15</f>
        <v>0</v>
      </c>
      <c r="D18" s="131"/>
      <c r="E18" s="129">
        <f>E17-E15</f>
        <v>6282000</v>
      </c>
      <c r="F18" s="131"/>
      <c r="G18" s="129">
        <f t="shared" ref="G18" si="38">G17-G15</f>
        <v>0</v>
      </c>
      <c r="H18" s="131"/>
      <c r="I18" s="129">
        <f t="shared" ref="I18" si="39">I17-I15</f>
        <v>3141000</v>
      </c>
      <c r="J18" s="131"/>
      <c r="K18" s="129">
        <f t="shared" ref="K18" si="40">K17-K15</f>
        <v>3141000</v>
      </c>
      <c r="L18" s="131"/>
      <c r="M18" s="129">
        <f t="shared" ref="M18" si="41">M17-M15</f>
        <v>3141000</v>
      </c>
      <c r="N18" s="131"/>
      <c r="O18" s="129">
        <f t="shared" ref="O18" si="42">O17-O15</f>
        <v>3141000</v>
      </c>
      <c r="P18" s="131"/>
      <c r="Q18" s="129">
        <f t="shared" ref="Q18" si="43">Q17-Q15</f>
        <v>3141000</v>
      </c>
      <c r="S18" s="131"/>
      <c r="T18" s="129">
        <f t="shared" ref="T18" si="44">T17-T15</f>
        <v>4397400</v>
      </c>
    </row>
    <row r="19" spans="1:20" x14ac:dyDescent="0.35">
      <c r="C19" s="131">
        <v>0.31</v>
      </c>
      <c r="E19" s="131">
        <f>E18/E17</f>
        <v>0.31034482758620691</v>
      </c>
      <c r="G19" s="131" t="e">
        <f t="shared" ref="G19" si="45">G18/G17</f>
        <v>#DIV/0!</v>
      </c>
      <c r="I19" s="131">
        <f t="shared" ref="I19" si="46">I18/I17</f>
        <v>0.31034482758620691</v>
      </c>
      <c r="K19" s="131">
        <f t="shared" ref="K19" si="47">K18/K17</f>
        <v>0.31034482758620691</v>
      </c>
      <c r="M19" s="131">
        <f t="shared" ref="M19" si="48">M18/M17</f>
        <v>0.31034482758620691</v>
      </c>
      <c r="O19" s="131">
        <f t="shared" ref="O19" si="49">O18/O17</f>
        <v>0.31034482758620691</v>
      </c>
      <c r="Q19" s="131">
        <f t="shared" ref="Q19" si="50">Q18/Q17</f>
        <v>0.31034482758620691</v>
      </c>
      <c r="T19" s="131">
        <f t="shared" ref="T19" si="51">T18/T17</f>
        <v>0.31034482758620691</v>
      </c>
    </row>
    <row r="20" spans="1:20" x14ac:dyDescent="0.35">
      <c r="A20" s="42" t="s">
        <v>205</v>
      </c>
      <c r="B20" s="129">
        <f>C17</f>
        <v>0</v>
      </c>
      <c r="C20" s="129">
        <f>B3</f>
        <v>0</v>
      </c>
      <c r="D20" s="129">
        <f>C21+E17</f>
        <v>20242000</v>
      </c>
      <c r="E20" s="129">
        <f>D3</f>
        <v>0</v>
      </c>
      <c r="F20" s="129">
        <f t="shared" ref="F20" si="52">E21+G17</f>
        <v>20242000</v>
      </c>
      <c r="G20" s="129">
        <f t="shared" ref="G20" si="53">F3</f>
        <v>4550000</v>
      </c>
      <c r="H20" s="129">
        <f t="shared" ref="H20" si="54">G21+I17</f>
        <v>25813000</v>
      </c>
      <c r="I20" s="129">
        <f t="shared" ref="I20" si="55">H3</f>
        <v>5200000</v>
      </c>
      <c r="J20" s="129">
        <f t="shared" ref="J20" si="56">I21+K17</f>
        <v>30734000</v>
      </c>
      <c r="K20" s="129">
        <f t="shared" ref="K20" si="57">J3</f>
        <v>6500000</v>
      </c>
      <c r="L20" s="129">
        <f t="shared" ref="L20" si="58">K21+M17</f>
        <v>34355000</v>
      </c>
      <c r="M20" s="129">
        <f t="shared" ref="M20" si="59">L3</f>
        <v>7800000</v>
      </c>
      <c r="N20" s="129">
        <f t="shared" ref="N20" si="60">M21+O17</f>
        <v>36676000</v>
      </c>
      <c r="O20" s="129">
        <f t="shared" ref="O20" si="61">N3</f>
        <v>9750000</v>
      </c>
      <c r="P20" s="129">
        <f t="shared" ref="P20" si="62">O21+Q17</f>
        <v>37047000</v>
      </c>
      <c r="Q20" s="129">
        <f t="shared" ref="Q20" si="63">P3</f>
        <v>13000000</v>
      </c>
      <c r="S20" s="129">
        <f>Q21+T17</f>
        <v>38216400</v>
      </c>
      <c r="T20" s="129">
        <f t="shared" ref="T20" si="64">S3</f>
        <v>3900000</v>
      </c>
    </row>
    <row r="21" spans="1:20" x14ac:dyDescent="0.35">
      <c r="A21" s="42" t="s">
        <v>207</v>
      </c>
      <c r="C21" s="129">
        <f>B20-C20</f>
        <v>0</v>
      </c>
      <c r="E21" s="129">
        <f>D20-E20</f>
        <v>20242000</v>
      </c>
      <c r="G21" s="129">
        <f t="shared" ref="G21" si="65">F20-G20</f>
        <v>15692000</v>
      </c>
      <c r="I21" s="129">
        <f t="shared" ref="I21" si="66">H20-I20</f>
        <v>20613000</v>
      </c>
      <c r="K21" s="129">
        <f t="shared" ref="K21" si="67">J20-K20</f>
        <v>24234000</v>
      </c>
      <c r="M21" s="129">
        <f t="shared" ref="M21" si="68">L20-M20</f>
        <v>26555000</v>
      </c>
      <c r="O21" s="129">
        <f t="shared" ref="O21" si="69">N20-O20</f>
        <v>26926000</v>
      </c>
      <c r="Q21" s="129">
        <f t="shared" ref="Q21" si="70">P20-Q20</f>
        <v>24047000</v>
      </c>
      <c r="T21" s="129">
        <f>S20-T20</f>
        <v>34316400</v>
      </c>
    </row>
    <row r="22" spans="1:20" x14ac:dyDescent="0.35">
      <c r="A22" s="42" t="s">
        <v>206</v>
      </c>
      <c r="C22" s="129">
        <f>C21/1.45</f>
        <v>0</v>
      </c>
      <c r="E22" s="129">
        <f>E21/1.45</f>
        <v>13960000</v>
      </c>
      <c r="G22" s="129">
        <f t="shared" ref="G22" si="71">G21/1.45</f>
        <v>10822068.965517242</v>
      </c>
      <c r="I22" s="129">
        <f t="shared" ref="I22" si="72">I21/1.45</f>
        <v>14215862.068965517</v>
      </c>
      <c r="K22" s="129">
        <f t="shared" ref="K22" si="73">K21/1.45</f>
        <v>16713103.448275862</v>
      </c>
      <c r="M22" s="129">
        <f t="shared" ref="M22" si="74">M21/1.45</f>
        <v>18313793.103448275</v>
      </c>
      <c r="O22" s="129">
        <f t="shared" ref="O22" si="75">O21/1.45</f>
        <v>18569655.172413792</v>
      </c>
      <c r="Q22" s="129">
        <f>Q21/1.45</f>
        <v>16584137.931034483</v>
      </c>
      <c r="T22" s="129">
        <f>T21/1.45</f>
        <v>23666482.758620691</v>
      </c>
    </row>
    <row r="24" spans="1:20" x14ac:dyDescent="0.35">
      <c r="A24" s="43" t="s">
        <v>24</v>
      </c>
    </row>
    <row r="25" spans="1:20" x14ac:dyDescent="0.35">
      <c r="A25" s="120"/>
      <c r="B25" s="121" t="s">
        <v>5</v>
      </c>
      <c r="C25" s="121"/>
      <c r="D25" s="121" t="s">
        <v>6</v>
      </c>
      <c r="E25" s="121"/>
      <c r="F25" s="122" t="s">
        <v>7</v>
      </c>
      <c r="G25" s="122"/>
      <c r="H25" s="122" t="s">
        <v>8</v>
      </c>
      <c r="I25" s="122"/>
      <c r="J25" s="122" t="s">
        <v>9</v>
      </c>
      <c r="K25" s="122"/>
      <c r="L25" s="121" t="s">
        <v>10</v>
      </c>
      <c r="M25" s="121"/>
      <c r="N25" s="121" t="s">
        <v>11</v>
      </c>
      <c r="O25" s="121"/>
      <c r="P25" s="121" t="s">
        <v>12</v>
      </c>
      <c r="Q25" s="121"/>
      <c r="R25" s="120" t="s">
        <v>191</v>
      </c>
      <c r="S25" s="123" t="s">
        <v>209</v>
      </c>
      <c r="T25" s="121"/>
    </row>
    <row r="26" spans="1:20" x14ac:dyDescent="0.35">
      <c r="A26" s="120"/>
      <c r="B26" s="48" t="s">
        <v>196</v>
      </c>
      <c r="C26" s="48" t="s">
        <v>197</v>
      </c>
      <c r="D26" s="48" t="s">
        <v>196</v>
      </c>
      <c r="E26" s="48" t="s">
        <v>197</v>
      </c>
      <c r="F26" s="48" t="s">
        <v>196</v>
      </c>
      <c r="G26" s="48" t="s">
        <v>197</v>
      </c>
      <c r="H26" s="48" t="s">
        <v>196</v>
      </c>
      <c r="I26" s="48" t="s">
        <v>197</v>
      </c>
      <c r="J26" s="48" t="s">
        <v>196</v>
      </c>
      <c r="K26" s="48" t="s">
        <v>197</v>
      </c>
      <c r="L26" s="48" t="s">
        <v>196</v>
      </c>
      <c r="M26" s="48" t="s">
        <v>197</v>
      </c>
      <c r="N26" s="48" t="s">
        <v>196</v>
      </c>
      <c r="O26" s="48" t="s">
        <v>197</v>
      </c>
      <c r="P26" s="48" t="s">
        <v>196</v>
      </c>
      <c r="Q26" s="48" t="s">
        <v>197</v>
      </c>
      <c r="R26" s="120"/>
      <c r="S26" s="48" t="s">
        <v>196</v>
      </c>
      <c r="T26" s="48" t="s">
        <v>197</v>
      </c>
    </row>
    <row r="27" spans="1:20" x14ac:dyDescent="0.35">
      <c r="A27" s="124" t="s">
        <v>208</v>
      </c>
      <c r="B27" s="106">
        <f>'Стат 2022-23'!G24</f>
        <v>0</v>
      </c>
      <c r="C27" s="106"/>
      <c r="D27" s="106">
        <f>'Стат 2022-23'!H24</f>
        <v>0</v>
      </c>
      <c r="E27" s="106"/>
      <c r="F27" s="106">
        <f>'Стат 2022-23'!I24</f>
        <v>5200000</v>
      </c>
      <c r="G27" s="106"/>
      <c r="H27" s="106">
        <f>'Стат 2022-23'!J24</f>
        <v>5850000</v>
      </c>
      <c r="I27" s="106"/>
      <c r="J27" s="106">
        <f>'Стат 2022-23'!K24</f>
        <v>7150000</v>
      </c>
      <c r="K27" s="106"/>
      <c r="L27" s="106">
        <f>'Стат 2022-23'!L24</f>
        <v>8450000</v>
      </c>
      <c r="M27" s="106"/>
      <c r="N27" s="106">
        <f>'Стат 2022-23'!M24</f>
        <v>10400000</v>
      </c>
      <c r="O27" s="120"/>
      <c r="P27" s="106">
        <f>'Стат 2022-23'!N24</f>
        <v>13650000</v>
      </c>
      <c r="Q27" s="106"/>
      <c r="R27" s="106">
        <f>SUM(B27:Q27)</f>
        <v>50700000</v>
      </c>
      <c r="S27" s="106">
        <f>'Стат 2022-23'!Q24</f>
        <v>4550000</v>
      </c>
      <c r="T27" s="106"/>
    </row>
    <row r="28" spans="1:20" x14ac:dyDescent="0.35">
      <c r="A28" s="124" t="s">
        <v>23</v>
      </c>
      <c r="B28" s="106"/>
      <c r="C28" s="106">
        <f>'Стат 2022-23'!G34</f>
        <v>523215</v>
      </c>
      <c r="D28" s="106"/>
      <c r="E28" s="106">
        <f>'Стат 2022-23'!H34</f>
        <v>760725</v>
      </c>
      <c r="F28" s="106"/>
      <c r="G28" s="106">
        <f>'Стат 2022-23'!I34</f>
        <v>551775</v>
      </c>
      <c r="H28" s="106"/>
      <c r="I28" s="106">
        <f>'Стат 2022-23'!J34</f>
        <v>554400</v>
      </c>
      <c r="J28" s="106"/>
      <c r="K28" s="106">
        <f>'Стат 2022-23'!K34</f>
        <v>669900</v>
      </c>
      <c r="L28" s="106"/>
      <c r="M28" s="106">
        <f>'Стат 2022-23'!L34</f>
        <v>606900</v>
      </c>
      <c r="N28" s="106"/>
      <c r="O28" s="106">
        <f>'Стат 2022-23'!M34</f>
        <v>969376.8</v>
      </c>
      <c r="P28" s="120"/>
      <c r="Q28" s="106">
        <f>'Стат 2022-23'!N34</f>
        <v>1206235.8</v>
      </c>
      <c r="R28" s="106">
        <f t="shared" ref="R28:R35" si="76">SUM(B28:Q28)</f>
        <v>5842527.5999999996</v>
      </c>
      <c r="S28" s="120"/>
      <c r="T28" s="106">
        <f>'Стат 2022-23'!Q34</f>
        <v>776130.6</v>
      </c>
    </row>
    <row r="29" spans="1:20" x14ac:dyDescent="0.35">
      <c r="A29" s="124" t="s">
        <v>193</v>
      </c>
      <c r="B29" s="106"/>
      <c r="C29" s="106">
        <v>10000000</v>
      </c>
      <c r="D29" s="106"/>
      <c r="E29" s="106">
        <v>0</v>
      </c>
      <c r="F29" s="106"/>
      <c r="G29" s="106">
        <v>5000000</v>
      </c>
      <c r="H29" s="106"/>
      <c r="I29" s="106">
        <v>5000000</v>
      </c>
      <c r="J29" s="106"/>
      <c r="K29" s="106">
        <v>5000000</v>
      </c>
      <c r="L29" s="106"/>
      <c r="M29" s="106">
        <v>5000000</v>
      </c>
      <c r="N29" s="106"/>
      <c r="O29" s="106">
        <v>8000000</v>
      </c>
      <c r="P29" s="120"/>
      <c r="Q29" s="106">
        <v>7000000</v>
      </c>
      <c r="R29" s="106">
        <f t="shared" si="76"/>
        <v>45000000</v>
      </c>
      <c r="S29" s="120"/>
      <c r="T29" s="106"/>
    </row>
    <row r="30" spans="1:20" x14ac:dyDescent="0.35">
      <c r="A30" s="124" t="s">
        <v>198</v>
      </c>
      <c r="B30" s="106"/>
      <c r="C30" s="106">
        <f>C29*0.08</f>
        <v>800000</v>
      </c>
      <c r="D30" s="106"/>
      <c r="E30" s="106">
        <f>E29*0.08</f>
        <v>0</v>
      </c>
      <c r="F30" s="106"/>
      <c r="G30" s="106">
        <f>G29*0.08</f>
        <v>400000</v>
      </c>
      <c r="H30" s="106"/>
      <c r="I30" s="106">
        <f>I29*0.08</f>
        <v>400000</v>
      </c>
      <c r="J30" s="106"/>
      <c r="K30" s="106">
        <f>K29*0.08</f>
        <v>400000</v>
      </c>
      <c r="L30" s="106"/>
      <c r="M30" s="106">
        <f>M29*0.08</f>
        <v>400000</v>
      </c>
      <c r="N30" s="106"/>
      <c r="O30" s="106">
        <f>O29*0.08</f>
        <v>640000</v>
      </c>
      <c r="P30" s="120"/>
      <c r="Q30" s="106">
        <f>Q29*0.08</f>
        <v>560000</v>
      </c>
      <c r="R30" s="106">
        <f t="shared" si="76"/>
        <v>3600000</v>
      </c>
      <c r="S30" s="120"/>
      <c r="T30" s="106">
        <f>T29*0.08</f>
        <v>0</v>
      </c>
    </row>
    <row r="31" spans="1:20" x14ac:dyDescent="0.35">
      <c r="A31" s="124" t="s">
        <v>199</v>
      </c>
      <c r="B31" s="106"/>
      <c r="C31" s="106">
        <f>(C29+C30)*0.2</f>
        <v>2160000</v>
      </c>
      <c r="D31" s="106"/>
      <c r="E31" s="106">
        <f t="shared" ref="E31" si="77">(E29+E30)*0.2</f>
        <v>0</v>
      </c>
      <c r="F31" s="106"/>
      <c r="G31" s="106">
        <f t="shared" ref="G31" si="78">(G29+G30)*0.2</f>
        <v>1080000</v>
      </c>
      <c r="H31" s="106"/>
      <c r="I31" s="106">
        <f t="shared" ref="I31" si="79">(I29+I30)*0.2</f>
        <v>1080000</v>
      </c>
      <c r="J31" s="106"/>
      <c r="K31" s="106">
        <f t="shared" ref="K31" si="80">(K29+K30)*0.2</f>
        <v>1080000</v>
      </c>
      <c r="L31" s="106"/>
      <c r="M31" s="106">
        <f t="shared" ref="M31" si="81">(M29+M30)*0.2</f>
        <v>1080000</v>
      </c>
      <c r="N31" s="106"/>
      <c r="O31" s="106">
        <f t="shared" ref="O31" si="82">(O29+O30)*0.2</f>
        <v>1728000</v>
      </c>
      <c r="P31" s="106"/>
      <c r="Q31" s="106">
        <f t="shared" ref="Q31" si="83">(Q29+Q30)*0.2</f>
        <v>1512000</v>
      </c>
      <c r="R31" s="106">
        <f t="shared" si="76"/>
        <v>9720000</v>
      </c>
      <c r="S31" s="106"/>
      <c r="T31" s="106">
        <f t="shared" ref="T31" si="84">(T29+T30)*0.2</f>
        <v>0</v>
      </c>
    </row>
    <row r="32" spans="1:20" x14ac:dyDescent="0.35">
      <c r="A32" s="124" t="s">
        <v>188</v>
      </c>
      <c r="B32" s="106"/>
      <c r="C32" s="106">
        <f>C29*0.1</f>
        <v>1000000</v>
      </c>
      <c r="D32" s="106"/>
      <c r="E32" s="106">
        <f t="shared" ref="E32" si="85">E29*0.1</f>
        <v>0</v>
      </c>
      <c r="F32" s="106"/>
      <c r="G32" s="106">
        <f t="shared" ref="G32" si="86">G29*0.1</f>
        <v>500000</v>
      </c>
      <c r="H32" s="106"/>
      <c r="I32" s="106">
        <f t="shared" ref="I32" si="87">I29*0.1</f>
        <v>500000</v>
      </c>
      <c r="J32" s="106"/>
      <c r="K32" s="106">
        <f t="shared" ref="K32" si="88">K29*0.1</f>
        <v>500000</v>
      </c>
      <c r="L32" s="106"/>
      <c r="M32" s="125">
        <f t="shared" ref="M32" si="89">M29*0.1</f>
        <v>500000</v>
      </c>
      <c r="N32" s="106"/>
      <c r="O32" s="106">
        <f t="shared" ref="O32" si="90">O29*0.1</f>
        <v>800000</v>
      </c>
      <c r="P32" s="106"/>
      <c r="Q32" s="106">
        <f t="shared" ref="Q32" si="91">Q29*0.1</f>
        <v>700000</v>
      </c>
      <c r="R32" s="106">
        <f t="shared" si="76"/>
        <v>4500000</v>
      </c>
      <c r="S32" s="106"/>
      <c r="T32" s="106">
        <f t="shared" ref="T32" si="92">T29*0.1</f>
        <v>0</v>
      </c>
    </row>
    <row r="33" spans="1:20" x14ac:dyDescent="0.35">
      <c r="A33" s="124" t="s">
        <v>200</v>
      </c>
      <c r="B33" s="106"/>
      <c r="C33" s="106"/>
      <c r="D33" s="106"/>
      <c r="E33" s="106"/>
      <c r="F33" s="106"/>
      <c r="G33" s="125">
        <f>SUM('Стат 2022-23'!G42:H42)</f>
        <v>0</v>
      </c>
      <c r="H33" s="106"/>
      <c r="I33" s="106"/>
      <c r="J33" s="106"/>
      <c r="K33" s="106"/>
      <c r="L33" s="106"/>
      <c r="M33" s="125">
        <f>SUM('Стат 2022-23'!I42:K42)</f>
        <v>0</v>
      </c>
      <c r="N33" s="106"/>
      <c r="O33" s="120"/>
      <c r="P33" s="120"/>
      <c r="Q33" s="106"/>
      <c r="R33" s="106">
        <f t="shared" si="76"/>
        <v>0</v>
      </c>
      <c r="S33" s="120"/>
      <c r="T33" s="106"/>
    </row>
    <row r="34" spans="1:20" x14ac:dyDescent="0.35">
      <c r="A34" s="124" t="s">
        <v>66</v>
      </c>
      <c r="B34" s="106"/>
      <c r="C34" s="106">
        <f>'Стат 2022-23'!G31</f>
        <v>0</v>
      </c>
      <c r="D34" s="106"/>
      <c r="E34" s="106">
        <f>'Стат 2022-23'!H31</f>
        <v>0</v>
      </c>
      <c r="F34" s="106"/>
      <c r="G34" s="106">
        <f>'Стат 2022-23'!I31</f>
        <v>94734.058524173059</v>
      </c>
      <c r="H34" s="106"/>
      <c r="I34" s="106">
        <f>'Стат 2022-23'!J31</f>
        <v>119845.19083969465</v>
      </c>
      <c r="J34" s="106"/>
      <c r="K34" s="106">
        <f>'Стат 2022-23'!K31</f>
        <v>148017.455470738</v>
      </c>
      <c r="L34" s="106"/>
      <c r="M34" s="106">
        <f>'Стат 2022-23'!L31</f>
        <v>211889.72010178119</v>
      </c>
      <c r="N34" s="106"/>
      <c r="O34" s="106">
        <f>'Стат 2022-23'!M31</f>
        <v>216302.7570483461</v>
      </c>
      <c r="P34" s="106"/>
      <c r="Q34" s="106">
        <f>'Стат 2022-23'!N31</f>
        <v>297111.61862595426</v>
      </c>
      <c r="R34" s="106">
        <f t="shared" si="76"/>
        <v>1087900.8006106871</v>
      </c>
      <c r="S34" s="106"/>
      <c r="T34" s="106">
        <f>'Стат 2022-23'!Q31</f>
        <v>24226.806208651404</v>
      </c>
    </row>
    <row r="35" spans="1:20" x14ac:dyDescent="0.35">
      <c r="A35" s="124" t="s">
        <v>195</v>
      </c>
      <c r="B35" s="106">
        <v>18500000</v>
      </c>
      <c r="C35" s="106"/>
      <c r="D35" s="106"/>
      <c r="E35" s="106"/>
      <c r="F35" s="106">
        <v>6500000</v>
      </c>
      <c r="G35" s="106"/>
      <c r="H35" s="106"/>
      <c r="I35" s="106"/>
      <c r="J35" s="106"/>
      <c r="K35" s="106"/>
      <c r="L35" s="106"/>
      <c r="M35" s="106"/>
      <c r="N35" s="106"/>
      <c r="O35" s="120"/>
      <c r="P35" s="120"/>
      <c r="Q35" s="106"/>
      <c r="R35" s="106">
        <f t="shared" si="76"/>
        <v>25000000</v>
      </c>
      <c r="S35" s="120"/>
      <c r="T35" s="106"/>
    </row>
    <row r="36" spans="1:20" x14ac:dyDescent="0.35">
      <c r="A36" s="124" t="s">
        <v>194</v>
      </c>
      <c r="B36" s="106">
        <f>SUM(B27:B35)</f>
        <v>18500000</v>
      </c>
      <c r="C36" s="106">
        <f t="shared" ref="C36:Q36" si="93">SUM(C27:C35)</f>
        <v>14483215</v>
      </c>
      <c r="D36" s="106">
        <f t="shared" si="93"/>
        <v>0</v>
      </c>
      <c r="E36" s="106">
        <f t="shared" si="93"/>
        <v>760725</v>
      </c>
      <c r="F36" s="106">
        <f t="shared" si="93"/>
        <v>11700000</v>
      </c>
      <c r="G36" s="106">
        <f t="shared" si="93"/>
        <v>7626509.0585241728</v>
      </c>
      <c r="H36" s="106">
        <f t="shared" si="93"/>
        <v>5850000</v>
      </c>
      <c r="I36" s="106">
        <f t="shared" si="93"/>
        <v>7654245.1908396948</v>
      </c>
      <c r="J36" s="106">
        <f t="shared" si="93"/>
        <v>7150000</v>
      </c>
      <c r="K36" s="106">
        <f t="shared" si="93"/>
        <v>7797917.455470738</v>
      </c>
      <c r="L36" s="106">
        <f t="shared" si="93"/>
        <v>8450000</v>
      </c>
      <c r="M36" s="106">
        <f t="shared" si="93"/>
        <v>7798789.7201017812</v>
      </c>
      <c r="N36" s="106">
        <f t="shared" si="93"/>
        <v>10400000</v>
      </c>
      <c r="O36" s="106">
        <f t="shared" si="93"/>
        <v>12353679.557048347</v>
      </c>
      <c r="P36" s="106">
        <f t="shared" si="93"/>
        <v>13650000</v>
      </c>
      <c r="Q36" s="106">
        <f t="shared" si="93"/>
        <v>11275347.418625955</v>
      </c>
      <c r="R36" s="126"/>
      <c r="S36" s="106">
        <f t="shared" ref="S36:T36" si="94">SUM(S27:S35)</f>
        <v>4550000</v>
      </c>
      <c r="T36" s="106">
        <f t="shared" si="94"/>
        <v>800357.40620865137</v>
      </c>
    </row>
    <row r="37" spans="1:20" x14ac:dyDescent="0.35">
      <c r="A37" s="127" t="s">
        <v>191</v>
      </c>
      <c r="B37" s="128">
        <f>B36-C36</f>
        <v>4016785</v>
      </c>
      <c r="C37" s="128"/>
      <c r="D37" s="128">
        <f>B37+D36-E36</f>
        <v>3256060</v>
      </c>
      <c r="E37" s="128"/>
      <c r="F37" s="128">
        <f t="shared" ref="F37" si="95">D37+F36-G36</f>
        <v>7329550.9414758272</v>
      </c>
      <c r="G37" s="128"/>
      <c r="H37" s="128">
        <f t="shared" ref="H37" si="96">F37+H36-I36</f>
        <v>5525305.7506361324</v>
      </c>
      <c r="I37" s="128"/>
      <c r="J37" s="128">
        <f t="shared" ref="J37" si="97">H37+J36-K36</f>
        <v>4877388.2951653944</v>
      </c>
      <c r="K37" s="128"/>
      <c r="L37" s="128">
        <f t="shared" ref="L37" si="98">J37+L36-M36</f>
        <v>5528598.5750636123</v>
      </c>
      <c r="M37" s="128"/>
      <c r="N37" s="128">
        <f t="shared" ref="N37" si="99">L37+N36-O36</f>
        <v>3574919.0180152655</v>
      </c>
      <c r="O37" s="128"/>
      <c r="P37" s="128">
        <f t="shared" ref="P37" si="100">N37+P36-Q36</f>
        <v>5949571.5993893109</v>
      </c>
      <c r="Q37" s="128"/>
      <c r="S37" s="128">
        <f>P37+S36-T36</f>
        <v>9699214.1931806598</v>
      </c>
      <c r="T37" s="128"/>
    </row>
    <row r="39" spans="1:20" x14ac:dyDescent="0.35">
      <c r="B39" s="42" t="s">
        <v>201</v>
      </c>
      <c r="C39" s="129"/>
      <c r="E39" s="129">
        <f>SUM(C29:C32)</f>
        <v>13960000</v>
      </c>
      <c r="G39" s="129">
        <f t="shared" ref="G39" si="101">SUM(E29:E32)</f>
        <v>0</v>
      </c>
      <c r="I39" s="129">
        <f t="shared" ref="I39" si="102">SUM(G29:G32)</f>
        <v>6980000</v>
      </c>
      <c r="K39" s="129">
        <f t="shared" ref="K39" si="103">SUM(I29:I32)</f>
        <v>6980000</v>
      </c>
      <c r="M39" s="129">
        <f t="shared" ref="M39" si="104">SUM(K29:K32)</f>
        <v>6980000</v>
      </c>
      <c r="O39" s="129">
        <f t="shared" ref="O39" si="105">SUM(M29:M32)</f>
        <v>6980000</v>
      </c>
      <c r="Q39" s="129">
        <f t="shared" ref="Q39" si="106">SUM(O29:O32)</f>
        <v>11168000</v>
      </c>
      <c r="T39" s="129">
        <f>SUM(Q29:Q32)</f>
        <v>9772000</v>
      </c>
    </row>
    <row r="40" spans="1:20" x14ac:dyDescent="0.35">
      <c r="B40" s="42" t="s">
        <v>202</v>
      </c>
      <c r="C40" s="130">
        <v>0.45</v>
      </c>
      <c r="E40" s="130">
        <v>0.45</v>
      </c>
      <c r="G40" s="130">
        <v>0.45</v>
      </c>
      <c r="I40" s="130">
        <v>0.45</v>
      </c>
      <c r="K40" s="130">
        <v>0.45</v>
      </c>
      <c r="M40" s="130">
        <v>0.45</v>
      </c>
      <c r="O40" s="130">
        <v>0.45</v>
      </c>
      <c r="Q40" s="130">
        <v>0.45</v>
      </c>
      <c r="T40" s="130">
        <v>0.45</v>
      </c>
    </row>
    <row r="41" spans="1:20" x14ac:dyDescent="0.35">
      <c r="B41" s="42" t="s">
        <v>203</v>
      </c>
      <c r="C41" s="129">
        <f>C39*(1+C40)</f>
        <v>0</v>
      </c>
      <c r="E41" s="129">
        <f>E39*(1+E40)</f>
        <v>20242000</v>
      </c>
      <c r="G41" s="129">
        <f t="shared" ref="G41" si="107">G39*(1+G40)</f>
        <v>0</v>
      </c>
      <c r="I41" s="129">
        <f t="shared" ref="I41" si="108">I39*(1+I40)</f>
        <v>10121000</v>
      </c>
      <c r="K41" s="129">
        <f t="shared" ref="K41" si="109">K39*(1+K40)</f>
        <v>10121000</v>
      </c>
      <c r="M41" s="129">
        <f t="shared" ref="M41" si="110">M39*(1+M40)</f>
        <v>10121000</v>
      </c>
      <c r="O41" s="129">
        <f t="shared" ref="O41" si="111">O39*(1+O40)</f>
        <v>10121000</v>
      </c>
      <c r="Q41" s="129">
        <f t="shared" ref="Q41" si="112">Q39*(1+Q40)</f>
        <v>16193600</v>
      </c>
      <c r="T41" s="129">
        <f t="shared" ref="T41" si="113">T39*(1+T40)</f>
        <v>14169400</v>
      </c>
    </row>
    <row r="42" spans="1:20" x14ac:dyDescent="0.35">
      <c r="B42" s="42" t="s">
        <v>204</v>
      </c>
      <c r="C42" s="129">
        <f>C41-C39</f>
        <v>0</v>
      </c>
      <c r="D42" s="131"/>
      <c r="E42" s="129">
        <f>E41-E39</f>
        <v>6282000</v>
      </c>
      <c r="F42" s="131"/>
      <c r="G42" s="129">
        <f t="shared" ref="G42" si="114">G41-G39</f>
        <v>0</v>
      </c>
      <c r="H42" s="131"/>
      <c r="I42" s="129">
        <f t="shared" ref="I42" si="115">I41-I39</f>
        <v>3141000</v>
      </c>
      <c r="J42" s="131"/>
      <c r="K42" s="129">
        <f t="shared" ref="K42" si="116">K41-K39</f>
        <v>3141000</v>
      </c>
      <c r="L42" s="131"/>
      <c r="M42" s="129">
        <f t="shared" ref="M42" si="117">M41-M39</f>
        <v>3141000</v>
      </c>
      <c r="N42" s="131"/>
      <c r="O42" s="129">
        <f t="shared" ref="O42" si="118">O41-O39</f>
        <v>3141000</v>
      </c>
      <c r="P42" s="131"/>
      <c r="Q42" s="129">
        <f t="shared" ref="Q42" si="119">Q41-Q39</f>
        <v>5025600</v>
      </c>
      <c r="S42" s="131"/>
      <c r="T42" s="129">
        <f t="shared" ref="T42" si="120">T41-T39</f>
        <v>4397400</v>
      </c>
    </row>
    <row r="43" spans="1:20" x14ac:dyDescent="0.35">
      <c r="C43" s="131">
        <v>0.31</v>
      </c>
      <c r="E43" s="131">
        <f>E42/E41</f>
        <v>0.31034482758620691</v>
      </c>
      <c r="G43" s="131" t="e">
        <f t="shared" ref="G43" si="121">G42/G41</f>
        <v>#DIV/0!</v>
      </c>
      <c r="I43" s="131">
        <f t="shared" ref="I43" si="122">I42/I41</f>
        <v>0.31034482758620691</v>
      </c>
      <c r="K43" s="131">
        <f t="shared" ref="K43" si="123">K42/K41</f>
        <v>0.31034482758620691</v>
      </c>
      <c r="M43" s="131">
        <f t="shared" ref="M43" si="124">M42/M41</f>
        <v>0.31034482758620691</v>
      </c>
      <c r="O43" s="131">
        <f t="shared" ref="O43" si="125">O42/O41</f>
        <v>0.31034482758620691</v>
      </c>
      <c r="Q43" s="131">
        <f t="shared" ref="Q43" si="126">Q42/Q41</f>
        <v>0.31034482758620691</v>
      </c>
      <c r="T43" s="131">
        <f t="shared" ref="T43" si="127">T42/T41</f>
        <v>0.31034482758620691</v>
      </c>
    </row>
    <row r="44" spans="1:20" x14ac:dyDescent="0.35">
      <c r="A44" s="42" t="s">
        <v>205</v>
      </c>
      <c r="B44" s="129">
        <f>C41</f>
        <v>0</v>
      </c>
      <c r="C44" s="129">
        <f>B27</f>
        <v>0</v>
      </c>
      <c r="D44" s="129">
        <f>C45+E41</f>
        <v>20242000</v>
      </c>
      <c r="E44" s="129">
        <f>D27</f>
        <v>0</v>
      </c>
      <c r="F44" s="129">
        <f t="shared" ref="F44" si="128">E45+G41</f>
        <v>20242000</v>
      </c>
      <c r="G44" s="129">
        <f t="shared" ref="G44" si="129">F27</f>
        <v>5200000</v>
      </c>
      <c r="H44" s="129">
        <f t="shared" ref="H44" si="130">G45+I41</f>
        <v>25163000</v>
      </c>
      <c r="I44" s="129">
        <f t="shared" ref="I44" si="131">H27</f>
        <v>5850000</v>
      </c>
      <c r="J44" s="129">
        <f t="shared" ref="J44" si="132">I45+K41</f>
        <v>29434000</v>
      </c>
      <c r="K44" s="129">
        <f t="shared" ref="K44" si="133">J27</f>
        <v>7150000</v>
      </c>
      <c r="L44" s="129">
        <f t="shared" ref="L44" si="134">K45+M41</f>
        <v>32405000</v>
      </c>
      <c r="M44" s="129">
        <f t="shared" ref="M44" si="135">L27</f>
        <v>8450000</v>
      </c>
      <c r="N44" s="129">
        <f t="shared" ref="N44" si="136">M45+O41</f>
        <v>34076000</v>
      </c>
      <c r="O44" s="129">
        <f t="shared" ref="O44" si="137">N27</f>
        <v>10400000</v>
      </c>
      <c r="P44" s="129">
        <f t="shared" ref="P44" si="138">O45+Q41</f>
        <v>39869600</v>
      </c>
      <c r="Q44" s="129">
        <f t="shared" ref="Q44" si="139">P27</f>
        <v>13650000</v>
      </c>
      <c r="S44" s="129">
        <f>Q45+T41</f>
        <v>40389000</v>
      </c>
      <c r="T44" s="129">
        <f t="shared" ref="T44" si="140">S27</f>
        <v>4550000</v>
      </c>
    </row>
    <row r="45" spans="1:20" x14ac:dyDescent="0.35">
      <c r="A45" s="42" t="s">
        <v>207</v>
      </c>
      <c r="C45" s="129">
        <f>B44-C44</f>
        <v>0</v>
      </c>
      <c r="E45" s="129">
        <f>D44-E44</f>
        <v>20242000</v>
      </c>
      <c r="G45" s="129">
        <f t="shared" ref="G45" si="141">F44-G44</f>
        <v>15042000</v>
      </c>
      <c r="I45" s="129">
        <f t="shared" ref="I45" si="142">H44-I44</f>
        <v>19313000</v>
      </c>
      <c r="K45" s="129">
        <f t="shared" ref="K45" si="143">J44-K44</f>
        <v>22284000</v>
      </c>
      <c r="M45" s="129">
        <f t="shared" ref="M45" si="144">L44-M44</f>
        <v>23955000</v>
      </c>
      <c r="O45" s="129">
        <f t="shared" ref="O45" si="145">N44-O44</f>
        <v>23676000</v>
      </c>
      <c r="Q45" s="129">
        <f t="shared" ref="Q45" si="146">P44-Q44</f>
        <v>26219600</v>
      </c>
      <c r="T45" s="129">
        <f>S44-T44</f>
        <v>35839000</v>
      </c>
    </row>
    <row r="46" spans="1:20" x14ac:dyDescent="0.35">
      <c r="A46" s="42" t="s">
        <v>206</v>
      </c>
      <c r="C46" s="129">
        <f>C45/1.45</f>
        <v>0</v>
      </c>
      <c r="E46" s="129">
        <f>E45/1.45</f>
        <v>13960000</v>
      </c>
      <c r="G46" s="129">
        <f t="shared" ref="G46" si="147">G45/1.45</f>
        <v>10373793.103448275</v>
      </c>
      <c r="I46" s="129">
        <f t="shared" ref="I46" si="148">I45/1.45</f>
        <v>13319310.344827587</v>
      </c>
      <c r="K46" s="129">
        <f t="shared" ref="K46" si="149">K45/1.45</f>
        <v>15368275.862068966</v>
      </c>
      <c r="M46" s="129">
        <f t="shared" ref="M46" si="150">M45/1.45</f>
        <v>16520689.655172415</v>
      </c>
      <c r="O46" s="129">
        <f t="shared" ref="O46" si="151">O45/1.45</f>
        <v>16328275.862068966</v>
      </c>
      <c r="Q46" s="129">
        <f>Q45/1.45</f>
        <v>18082482.758620691</v>
      </c>
      <c r="T46" s="129">
        <f>T45/1.45</f>
        <v>24716551.724137932</v>
      </c>
    </row>
  </sheetData>
  <sheetProtection algorithmName="SHA-512" hashValue="3uC7QLXh21TpV1fT7M2bIrnnAKMF3HsOHJFqqQhHKfI8rjiGMCBwVFpu0xR2+ZoPS7rZhIdslD7eHYB9MSgIOA==" saltValue="d3BWL4lA3rEVEtkXhnmGzA==" spinCount="100000" sheet="1" formatCells="0" formatColumns="0" formatRows="0" insertColumns="0" insertRows="0" insertHyperlinks="0" deleteColumns="0" deleteRows="0" sort="0" autoFilter="0" pivotTables="0"/>
  <mergeCells count="36">
    <mergeCell ref="B13:C13"/>
    <mergeCell ref="D13:E13"/>
    <mergeCell ref="F13:G13"/>
    <mergeCell ref="H13:I13"/>
    <mergeCell ref="J13:K13"/>
    <mergeCell ref="B1:C1"/>
    <mergeCell ref="D1:E1"/>
    <mergeCell ref="F1:G1"/>
    <mergeCell ref="H1:I1"/>
    <mergeCell ref="J1:K1"/>
    <mergeCell ref="B25:C25"/>
    <mergeCell ref="D25:E25"/>
    <mergeCell ref="F25:G25"/>
    <mergeCell ref="H25:I25"/>
    <mergeCell ref="J25:K25"/>
    <mergeCell ref="B37:C37"/>
    <mergeCell ref="D37:E37"/>
    <mergeCell ref="F37:G37"/>
    <mergeCell ref="H37:I37"/>
    <mergeCell ref="J37:K37"/>
    <mergeCell ref="S1:T1"/>
    <mergeCell ref="S13:T13"/>
    <mergeCell ref="S25:T25"/>
    <mergeCell ref="S37:T37"/>
    <mergeCell ref="L25:M25"/>
    <mergeCell ref="N25:O25"/>
    <mergeCell ref="P25:Q25"/>
    <mergeCell ref="L37:M37"/>
    <mergeCell ref="N37:O37"/>
    <mergeCell ref="P37:Q37"/>
    <mergeCell ref="N13:O13"/>
    <mergeCell ref="P13:Q13"/>
    <mergeCell ref="L1:M1"/>
    <mergeCell ref="N1:O1"/>
    <mergeCell ref="P1:Q1"/>
    <mergeCell ref="L13:M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2"/>
  <sheetViews>
    <sheetView workbookViewId="0">
      <selection activeCell="C6" sqref="C6"/>
    </sheetView>
  </sheetViews>
  <sheetFormatPr defaultRowHeight="14.5" x14ac:dyDescent="0.35"/>
  <cols>
    <col min="1" max="1" width="4.90625" customWidth="1"/>
    <col min="2" max="2" width="22.36328125" bestFit="1" customWidth="1"/>
    <col min="3" max="3" width="9.7265625" bestFit="1" customWidth="1"/>
  </cols>
  <sheetData>
    <row r="2" spans="2:3" x14ac:dyDescent="0.35">
      <c r="B2" t="s">
        <v>186</v>
      </c>
      <c r="C2" s="34">
        <f>SUM('Стат 2022-23'!G20:L20)</f>
        <v>3492300</v>
      </c>
    </row>
    <row r="3" spans="2:3" x14ac:dyDescent="0.35">
      <c r="C3" s="34"/>
    </row>
    <row r="4" spans="2:3" x14ac:dyDescent="0.35">
      <c r="B4" t="s">
        <v>190</v>
      </c>
      <c r="C4" s="34">
        <v>5000000</v>
      </c>
    </row>
    <row r="5" spans="2:3" x14ac:dyDescent="0.35">
      <c r="B5" t="s">
        <v>187</v>
      </c>
      <c r="C5" s="34">
        <f>C4*0.08</f>
        <v>400000</v>
      </c>
    </row>
    <row r="6" spans="2:3" x14ac:dyDescent="0.35">
      <c r="B6" t="s">
        <v>65</v>
      </c>
      <c r="C6" s="34">
        <f>(C4+C5)*0.2</f>
        <v>1080000</v>
      </c>
    </row>
    <row r="7" spans="2:3" x14ac:dyDescent="0.35">
      <c r="B7" t="s">
        <v>188</v>
      </c>
      <c r="C7" s="34">
        <f>C4*0.1</f>
        <v>500000</v>
      </c>
    </row>
    <row r="8" spans="2:3" x14ac:dyDescent="0.35">
      <c r="B8" s="3" t="s">
        <v>191</v>
      </c>
      <c r="C8" s="34">
        <f>SUM(C4:C7)</f>
        <v>6980000</v>
      </c>
    </row>
    <row r="10" spans="2:3" x14ac:dyDescent="0.35">
      <c r="B10" t="s">
        <v>189</v>
      </c>
      <c r="C10" s="34">
        <v>5000000</v>
      </c>
    </row>
    <row r="11" spans="2:3" x14ac:dyDescent="0.35">
      <c r="B11" t="s">
        <v>187</v>
      </c>
      <c r="C11" s="34">
        <f>C10*0.08</f>
        <v>400000</v>
      </c>
    </row>
    <row r="12" spans="2:3" x14ac:dyDescent="0.35">
      <c r="B12" t="s">
        <v>65</v>
      </c>
      <c r="C12" s="34">
        <f>(C10+C11)*0.2</f>
        <v>1080000</v>
      </c>
    </row>
    <row r="13" spans="2:3" x14ac:dyDescent="0.35">
      <c r="B13" t="s">
        <v>188</v>
      </c>
      <c r="C13" s="34">
        <f>C10*0.1</f>
        <v>500000</v>
      </c>
    </row>
    <row r="14" spans="2:3" x14ac:dyDescent="0.35">
      <c r="B14" s="3" t="s">
        <v>191</v>
      </c>
      <c r="C14" s="34">
        <f>SUM(C10:C13)</f>
        <v>6980000</v>
      </c>
    </row>
    <row r="16" spans="2:3" x14ac:dyDescent="0.35">
      <c r="B16" t="s">
        <v>249</v>
      </c>
      <c r="C16" s="34">
        <v>5000000</v>
      </c>
    </row>
    <row r="17" spans="2:3" x14ac:dyDescent="0.35">
      <c r="B17" t="s">
        <v>187</v>
      </c>
      <c r="C17" s="34">
        <f>C16*0.08</f>
        <v>400000</v>
      </c>
    </row>
    <row r="18" spans="2:3" x14ac:dyDescent="0.35">
      <c r="B18" t="s">
        <v>65</v>
      </c>
      <c r="C18" s="34">
        <f>(C16+C17)*0.2</f>
        <v>1080000</v>
      </c>
    </row>
    <row r="19" spans="2:3" x14ac:dyDescent="0.35">
      <c r="B19" t="s">
        <v>188</v>
      </c>
      <c r="C19" s="34">
        <f>C16*0.1</f>
        <v>500000</v>
      </c>
    </row>
    <row r="20" spans="2:3" x14ac:dyDescent="0.35">
      <c r="B20" s="3" t="s">
        <v>191</v>
      </c>
      <c r="C20" s="34">
        <f>SUM(C16:C19)</f>
        <v>6980000</v>
      </c>
    </row>
    <row r="22" spans="2:3" x14ac:dyDescent="0.35">
      <c r="B22" s="3" t="s">
        <v>192</v>
      </c>
      <c r="C22" s="34">
        <f>C14+C8+C2+C20</f>
        <v>24432300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2" sqref="E2"/>
    </sheetView>
  </sheetViews>
  <sheetFormatPr defaultRowHeight="14.5" x14ac:dyDescent="0.35"/>
  <cols>
    <col min="1" max="1" width="18.453125" bestFit="1" customWidth="1"/>
    <col min="2" max="2" width="14.81640625" customWidth="1"/>
    <col min="3" max="3" width="23.54296875" customWidth="1"/>
    <col min="4" max="4" width="19.81640625" customWidth="1"/>
    <col min="5" max="5" width="61.81640625" customWidth="1"/>
  </cols>
  <sheetData>
    <row r="1" spans="1:5" x14ac:dyDescent="0.35">
      <c r="A1" t="s">
        <v>168</v>
      </c>
      <c r="B1" t="s">
        <v>64</v>
      </c>
      <c r="C1" t="s">
        <v>169</v>
      </c>
      <c r="D1" t="s">
        <v>172</v>
      </c>
      <c r="E1" t="s">
        <v>174</v>
      </c>
    </row>
    <row r="2" spans="1:5" x14ac:dyDescent="0.35">
      <c r="A2" t="s">
        <v>167</v>
      </c>
      <c r="B2" s="35">
        <v>650000</v>
      </c>
      <c r="C2" s="35">
        <f>Таблица3[[#This Row],[Средняя цена]]/1.45</f>
        <v>448275.86206896551</v>
      </c>
      <c r="D2">
        <v>1400</v>
      </c>
      <c r="E2" t="s">
        <v>175</v>
      </c>
    </row>
    <row r="3" spans="1:5" x14ac:dyDescent="0.35">
      <c r="A3" t="s">
        <v>170</v>
      </c>
      <c r="C3" s="35">
        <f>Таблица3[[#This Row],[Средняя цена]]/1.45</f>
        <v>0</v>
      </c>
      <c r="E3" t="s">
        <v>177</v>
      </c>
    </row>
    <row r="4" spans="1:5" x14ac:dyDescent="0.35">
      <c r="A4" t="s">
        <v>171</v>
      </c>
      <c r="C4" s="35">
        <f>Таблица3[[#This Row],[Средняя цена]]/1.45</f>
        <v>0</v>
      </c>
      <c r="E4" t="s">
        <v>178</v>
      </c>
    </row>
    <row r="5" spans="1:5" x14ac:dyDescent="0.35">
      <c r="A5" t="s">
        <v>173</v>
      </c>
      <c r="C5" s="35">
        <f>Таблица3[[#This Row],[Средняя цена]]/1.45</f>
        <v>0</v>
      </c>
      <c r="E5" t="s">
        <v>176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D8" sqref="D8"/>
    </sheetView>
  </sheetViews>
  <sheetFormatPr defaultColWidth="8.7265625" defaultRowHeight="14.5" x14ac:dyDescent="0.35"/>
  <cols>
    <col min="1" max="1" width="47.1796875" style="24" customWidth="1"/>
    <col min="2" max="2" width="13.26953125" style="9" bestFit="1" customWidth="1"/>
    <col min="3" max="3" width="17.7265625" style="9" bestFit="1" customWidth="1"/>
    <col min="4" max="4" width="25.453125" style="14" bestFit="1" customWidth="1"/>
    <col min="5" max="5" width="56.7265625" style="2" customWidth="1"/>
    <col min="6" max="6" width="22" style="2" bestFit="1" customWidth="1"/>
    <col min="7" max="16384" width="8.7265625" style="2"/>
  </cols>
  <sheetData>
    <row r="1" spans="1:6" s="15" customFormat="1" ht="18.5" x14ac:dyDescent="0.35">
      <c r="A1" s="20" t="s">
        <v>61</v>
      </c>
      <c r="B1" s="18" t="s">
        <v>103</v>
      </c>
      <c r="C1" s="18" t="s">
        <v>104</v>
      </c>
      <c r="D1" s="18" t="s">
        <v>133</v>
      </c>
      <c r="E1" s="18" t="s">
        <v>93</v>
      </c>
      <c r="F1" s="19" t="s">
        <v>62</v>
      </c>
    </row>
    <row r="2" spans="1:6" x14ac:dyDescent="0.35">
      <c r="A2" s="21" t="s">
        <v>109</v>
      </c>
      <c r="B2" s="11"/>
      <c r="C2" s="12"/>
      <c r="D2" s="26"/>
      <c r="E2" s="31"/>
      <c r="F2" s="16"/>
    </row>
    <row r="3" spans="1:6" x14ac:dyDescent="0.35">
      <c r="A3" s="22" t="s">
        <v>105</v>
      </c>
      <c r="B3" s="11"/>
      <c r="C3" s="12"/>
      <c r="D3" s="27" t="s">
        <v>128</v>
      </c>
      <c r="E3" s="31"/>
      <c r="F3" s="16"/>
    </row>
    <row r="4" spans="1:6" x14ac:dyDescent="0.35">
      <c r="A4" s="22" t="s">
        <v>106</v>
      </c>
      <c r="B4" s="11"/>
      <c r="C4" s="12"/>
      <c r="D4" s="27" t="s">
        <v>127</v>
      </c>
      <c r="E4" s="31"/>
      <c r="F4" s="16"/>
    </row>
    <row r="5" spans="1:6" x14ac:dyDescent="0.35">
      <c r="A5" s="22" t="s">
        <v>115</v>
      </c>
      <c r="B5" s="25"/>
      <c r="C5" s="12"/>
      <c r="D5" s="26"/>
      <c r="E5" s="31"/>
      <c r="F5" s="16"/>
    </row>
    <row r="6" spans="1:6" x14ac:dyDescent="0.35">
      <c r="A6" s="22" t="s">
        <v>107</v>
      </c>
      <c r="B6" s="11"/>
      <c r="C6" s="12"/>
      <c r="D6" s="27" t="s">
        <v>138</v>
      </c>
      <c r="E6" s="31"/>
      <c r="F6" s="16"/>
    </row>
    <row r="7" spans="1:6" x14ac:dyDescent="0.35">
      <c r="A7" s="22" t="s">
        <v>108</v>
      </c>
      <c r="B7" s="11"/>
      <c r="C7" s="12"/>
      <c r="D7" s="27" t="s">
        <v>126</v>
      </c>
      <c r="E7" s="31" t="s">
        <v>160</v>
      </c>
      <c r="F7" s="16"/>
    </row>
    <row r="8" spans="1:6" x14ac:dyDescent="0.35">
      <c r="A8" s="22" t="s">
        <v>110</v>
      </c>
      <c r="B8" s="11"/>
      <c r="C8" s="11"/>
      <c r="D8" s="28" t="s">
        <v>129</v>
      </c>
      <c r="E8" s="31"/>
      <c r="F8" s="16"/>
    </row>
    <row r="9" spans="1:6" x14ac:dyDescent="0.35">
      <c r="A9" s="22" t="s">
        <v>111</v>
      </c>
      <c r="B9" s="11"/>
      <c r="C9" s="11"/>
      <c r="D9" s="28" t="s">
        <v>130</v>
      </c>
      <c r="E9" s="31"/>
      <c r="F9" s="16"/>
    </row>
    <row r="10" spans="1:6" x14ac:dyDescent="0.35">
      <c r="A10" s="22" t="s">
        <v>112</v>
      </c>
      <c r="B10" s="11"/>
      <c r="C10" s="11"/>
      <c r="D10" s="28" t="s">
        <v>131</v>
      </c>
      <c r="E10" s="31"/>
      <c r="F10" s="16"/>
    </row>
    <row r="11" spans="1:6" x14ac:dyDescent="0.35">
      <c r="A11" s="22" t="s">
        <v>113</v>
      </c>
      <c r="B11" s="11"/>
      <c r="C11" s="11"/>
      <c r="D11" s="28" t="s">
        <v>132</v>
      </c>
      <c r="E11" s="31"/>
      <c r="F11" s="16"/>
    </row>
    <row r="12" spans="1:6" x14ac:dyDescent="0.35">
      <c r="A12" s="22" t="s">
        <v>116</v>
      </c>
      <c r="B12" s="11"/>
      <c r="C12" s="11"/>
      <c r="D12" s="28" t="s">
        <v>134</v>
      </c>
      <c r="E12" s="31"/>
      <c r="F12" s="16"/>
    </row>
    <row r="13" spans="1:6" x14ac:dyDescent="0.35">
      <c r="A13" s="22" t="s">
        <v>117</v>
      </c>
      <c r="B13" s="11"/>
      <c r="C13" s="11"/>
      <c r="D13" s="28" t="s">
        <v>134</v>
      </c>
      <c r="E13" s="31"/>
      <c r="F13" s="16"/>
    </row>
    <row r="14" spans="1:6" x14ac:dyDescent="0.35">
      <c r="A14" s="22" t="s">
        <v>118</v>
      </c>
      <c r="B14" s="11"/>
      <c r="C14" s="11"/>
      <c r="D14" s="28" t="s">
        <v>134</v>
      </c>
      <c r="E14" s="31"/>
      <c r="F14" s="16"/>
    </row>
    <row r="15" spans="1:6" x14ac:dyDescent="0.35">
      <c r="A15" s="22" t="s">
        <v>119</v>
      </c>
      <c r="B15" s="11"/>
      <c r="C15" s="11"/>
      <c r="D15" s="28" t="s">
        <v>134</v>
      </c>
      <c r="E15" s="31"/>
      <c r="F15" s="16"/>
    </row>
    <row r="16" spans="1:6" x14ac:dyDescent="0.35">
      <c r="A16" s="22" t="s">
        <v>120</v>
      </c>
      <c r="B16" s="11"/>
      <c r="C16" s="11"/>
      <c r="D16" s="28" t="s">
        <v>134</v>
      </c>
      <c r="E16" s="31" t="s">
        <v>216</v>
      </c>
      <c r="F16" s="16"/>
    </row>
    <row r="17" spans="1:6" x14ac:dyDescent="0.35">
      <c r="A17" s="23" t="s">
        <v>114</v>
      </c>
      <c r="B17" s="11"/>
      <c r="C17" s="11"/>
      <c r="D17" s="28"/>
      <c r="E17" s="31"/>
      <c r="F17" s="16"/>
    </row>
    <row r="18" spans="1:6" x14ac:dyDescent="0.35">
      <c r="A18" s="22" t="s">
        <v>121</v>
      </c>
      <c r="B18" s="10"/>
      <c r="C18" s="10"/>
      <c r="D18" s="29"/>
      <c r="E18" s="31"/>
      <c r="F18" s="16"/>
    </row>
    <row r="19" spans="1:6" x14ac:dyDescent="0.35">
      <c r="A19" s="22" t="s">
        <v>122</v>
      </c>
      <c r="B19" s="11"/>
      <c r="C19" s="11"/>
      <c r="D19" s="28"/>
      <c r="E19" s="31"/>
      <c r="F19" s="16"/>
    </row>
    <row r="20" spans="1:6" x14ac:dyDescent="0.35">
      <c r="A20" s="22" t="s">
        <v>123</v>
      </c>
      <c r="B20" s="11"/>
      <c r="C20" s="11"/>
      <c r="D20" s="28" t="s">
        <v>135</v>
      </c>
      <c r="E20" s="31"/>
      <c r="F20" s="16"/>
    </row>
    <row r="21" spans="1:6" x14ac:dyDescent="0.35">
      <c r="A21" s="22" t="s">
        <v>124</v>
      </c>
      <c r="B21" s="11"/>
      <c r="C21" s="11"/>
      <c r="D21" s="28" t="s">
        <v>137</v>
      </c>
      <c r="E21" s="31"/>
      <c r="F21" s="16"/>
    </row>
    <row r="22" spans="1:6" x14ac:dyDescent="0.35">
      <c r="A22" s="22" t="s">
        <v>125</v>
      </c>
      <c r="B22" s="11"/>
      <c r="C22" s="11"/>
      <c r="D22" s="28" t="s">
        <v>136</v>
      </c>
      <c r="E22" s="31"/>
      <c r="F22" s="16"/>
    </row>
    <row r="23" spans="1:6" x14ac:dyDescent="0.35">
      <c r="A23" s="22" t="s">
        <v>139</v>
      </c>
      <c r="B23" s="11"/>
      <c r="C23" s="11"/>
      <c r="D23" s="28" t="s">
        <v>140</v>
      </c>
      <c r="E23" s="31"/>
      <c r="F23" s="16"/>
    </row>
    <row r="24" spans="1:6" x14ac:dyDescent="0.35">
      <c r="A24" s="22" t="s">
        <v>141</v>
      </c>
      <c r="B24" s="11"/>
      <c r="C24" s="11"/>
      <c r="D24" s="28" t="s">
        <v>134</v>
      </c>
      <c r="E24" s="31"/>
      <c r="F24" s="16"/>
    </row>
    <row r="25" spans="1:6" x14ac:dyDescent="0.35">
      <c r="A25" s="22" t="s">
        <v>149</v>
      </c>
      <c r="B25" s="25"/>
      <c r="C25" s="11"/>
      <c r="D25" s="28" t="s">
        <v>134</v>
      </c>
      <c r="E25" s="31" t="s">
        <v>150</v>
      </c>
      <c r="F25" s="16"/>
    </row>
    <row r="26" spans="1:6" x14ac:dyDescent="0.35">
      <c r="A26" s="22" t="s">
        <v>142</v>
      </c>
      <c r="B26" s="11"/>
      <c r="C26" s="11"/>
      <c r="D26" s="28" t="s">
        <v>134</v>
      </c>
      <c r="E26" s="31"/>
      <c r="F26" s="16"/>
    </row>
    <row r="27" spans="1:6" x14ac:dyDescent="0.35">
      <c r="A27" s="22" t="s">
        <v>151</v>
      </c>
      <c r="B27" s="25"/>
      <c r="C27" s="11"/>
      <c r="D27" s="28" t="s">
        <v>148</v>
      </c>
      <c r="E27" s="31" t="s">
        <v>152</v>
      </c>
      <c r="F27" s="16"/>
    </row>
    <row r="28" spans="1:6" x14ac:dyDescent="0.35">
      <c r="A28" s="22" t="s">
        <v>143</v>
      </c>
      <c r="B28" s="11"/>
      <c r="C28" s="11"/>
      <c r="D28" s="28" t="s">
        <v>144</v>
      </c>
      <c r="E28" s="31"/>
      <c r="F28" s="16"/>
    </row>
    <row r="29" spans="1:6" x14ac:dyDescent="0.35">
      <c r="A29" s="22" t="s">
        <v>145</v>
      </c>
      <c r="B29" s="11"/>
      <c r="C29" s="11"/>
      <c r="D29" s="28"/>
      <c r="E29" s="31"/>
      <c r="F29" s="16"/>
    </row>
    <row r="30" spans="1:6" x14ac:dyDescent="0.35">
      <c r="A30" s="22" t="s">
        <v>146</v>
      </c>
      <c r="B30" s="11"/>
      <c r="C30" s="11"/>
      <c r="D30" s="28"/>
      <c r="E30" s="31"/>
      <c r="F30" s="16"/>
    </row>
    <row r="31" spans="1:6" x14ac:dyDescent="0.35">
      <c r="A31" s="22" t="s">
        <v>157</v>
      </c>
      <c r="B31" s="25"/>
      <c r="C31" s="11"/>
      <c r="D31" s="28" t="s">
        <v>158</v>
      </c>
      <c r="E31" s="31" t="s">
        <v>159</v>
      </c>
      <c r="F31" s="16"/>
    </row>
    <row r="32" spans="1:6" ht="29" x14ac:dyDescent="0.35">
      <c r="A32" s="22" t="s">
        <v>153</v>
      </c>
      <c r="B32" s="11"/>
      <c r="C32" s="11"/>
      <c r="D32" s="28"/>
      <c r="E32" s="31" t="s">
        <v>154</v>
      </c>
      <c r="F32" s="16"/>
    </row>
    <row r="33" spans="1:6" x14ac:dyDescent="0.35">
      <c r="A33" s="22" t="s">
        <v>147</v>
      </c>
      <c r="B33" s="11"/>
      <c r="C33" s="11"/>
      <c r="D33" s="28" t="s">
        <v>148</v>
      </c>
      <c r="E33" s="31"/>
      <c r="F33" s="16"/>
    </row>
    <row r="34" spans="1:6" ht="29" x14ac:dyDescent="0.35">
      <c r="A34" s="23" t="s">
        <v>155</v>
      </c>
      <c r="B34" s="11"/>
      <c r="C34" s="11"/>
      <c r="D34" s="28"/>
      <c r="E34" s="31" t="s">
        <v>156</v>
      </c>
      <c r="F34" s="16"/>
    </row>
    <row r="35" spans="1:6" ht="29" x14ac:dyDescent="0.35">
      <c r="A35" s="22" t="s">
        <v>163</v>
      </c>
      <c r="B35" s="11"/>
      <c r="C35" s="11"/>
      <c r="D35" s="28"/>
      <c r="E35" s="31" t="s">
        <v>164</v>
      </c>
      <c r="F35" s="16"/>
    </row>
    <row r="36" spans="1:6" x14ac:dyDescent="0.35">
      <c r="A36" s="22" t="s">
        <v>162</v>
      </c>
      <c r="B36" s="11"/>
      <c r="C36" s="11"/>
      <c r="D36" s="28"/>
      <c r="E36" s="31"/>
      <c r="F36" s="16"/>
    </row>
    <row r="37" spans="1:6" ht="29" x14ac:dyDescent="0.35">
      <c r="A37" s="22" t="s">
        <v>165</v>
      </c>
      <c r="B37" s="11"/>
      <c r="C37" s="11"/>
      <c r="D37" s="28"/>
      <c r="E37" s="31" t="s">
        <v>166</v>
      </c>
      <c r="F37" s="16"/>
    </row>
    <row r="38" spans="1:6" ht="29" x14ac:dyDescent="0.35">
      <c r="A38" s="36" t="s">
        <v>217</v>
      </c>
      <c r="B38" s="11"/>
      <c r="C38" s="11"/>
      <c r="D38" s="28"/>
      <c r="E38" s="31"/>
      <c r="F38" s="16"/>
    </row>
    <row r="39" spans="1:6" ht="29" x14ac:dyDescent="0.35">
      <c r="A39" s="36" t="s">
        <v>218</v>
      </c>
      <c r="B39" s="11"/>
      <c r="C39" s="11"/>
      <c r="D39" s="28"/>
      <c r="E39" s="32" t="s">
        <v>221</v>
      </c>
      <c r="F39" s="16"/>
    </row>
    <row r="40" spans="1:6" ht="29" x14ac:dyDescent="0.35">
      <c r="A40" s="37" t="s">
        <v>219</v>
      </c>
      <c r="B40" s="13"/>
      <c r="C40" s="13"/>
      <c r="D40" s="30"/>
      <c r="E40" s="32" t="s">
        <v>221</v>
      </c>
      <c r="F40" s="17"/>
    </row>
    <row r="41" spans="1:6" ht="29" x14ac:dyDescent="0.35">
      <c r="A41" s="37" t="s">
        <v>220</v>
      </c>
      <c r="B41" s="38"/>
      <c r="C41" s="39"/>
      <c r="D41" s="40"/>
      <c r="E41" s="32"/>
      <c r="F41" s="17"/>
    </row>
    <row r="42" spans="1:6" x14ac:dyDescent="0.35">
      <c r="A42" s="41" t="s">
        <v>222</v>
      </c>
      <c r="B42" s="38"/>
      <c r="C42" s="39"/>
      <c r="D42" s="40"/>
      <c r="E42" s="32" t="s">
        <v>224</v>
      </c>
      <c r="F42" s="17"/>
    </row>
    <row r="43" spans="1:6" x14ac:dyDescent="0.35">
      <c r="A43" s="41" t="s">
        <v>223</v>
      </c>
      <c r="B43" s="38"/>
      <c r="C43" s="39"/>
      <c r="D43" s="40"/>
      <c r="E43" s="32" t="s">
        <v>225</v>
      </c>
      <c r="F43" s="17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2" sqref="A2"/>
    </sheetView>
  </sheetViews>
  <sheetFormatPr defaultRowHeight="14.5" x14ac:dyDescent="0.35"/>
  <cols>
    <col min="1" max="1" width="16.1796875" customWidth="1"/>
    <col min="2" max="2" width="68.1796875" customWidth="1"/>
    <col min="3" max="3" width="60.453125" customWidth="1"/>
  </cols>
  <sheetData>
    <row r="1" spans="1:3" x14ac:dyDescent="0.35">
      <c r="A1" s="8" t="s">
        <v>91</v>
      </c>
      <c r="B1" s="8" t="s">
        <v>92</v>
      </c>
      <c r="C1" s="8" t="s">
        <v>93</v>
      </c>
    </row>
    <row r="2" spans="1:3" ht="87" x14ac:dyDescent="0.35">
      <c r="A2" s="6" t="s">
        <v>89</v>
      </c>
      <c r="B2" s="6" t="s">
        <v>90</v>
      </c>
      <c r="C2" s="4" t="s">
        <v>94</v>
      </c>
    </row>
    <row r="3" spans="1:3" ht="130.5" x14ac:dyDescent="0.35">
      <c r="A3" s="6" t="s">
        <v>95</v>
      </c>
      <c r="B3" s="5" t="s">
        <v>96</v>
      </c>
      <c r="C3" s="4" t="s">
        <v>97</v>
      </c>
    </row>
    <row r="4" spans="1:3" ht="87" x14ac:dyDescent="0.35">
      <c r="A4" s="6" t="s">
        <v>98</v>
      </c>
      <c r="B4" s="6" t="s">
        <v>99</v>
      </c>
      <c r="C4" s="4" t="s">
        <v>100</v>
      </c>
    </row>
    <row r="5" spans="1:3" ht="58" x14ac:dyDescent="0.35">
      <c r="A5" s="6" t="s">
        <v>101</v>
      </c>
      <c r="B5" s="7" t="s">
        <v>240</v>
      </c>
      <c r="C5" s="4" t="s">
        <v>102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B13" sqref="B13"/>
    </sheetView>
  </sheetViews>
  <sheetFormatPr defaultRowHeight="14.5" x14ac:dyDescent="0.35"/>
  <cols>
    <col min="1" max="1" width="8.7265625" style="1"/>
    <col min="2" max="2" width="111.08984375" style="6" customWidth="1"/>
  </cols>
  <sheetData>
    <row r="1" spans="1:2" x14ac:dyDescent="0.35">
      <c r="A1" s="1" t="s">
        <v>179</v>
      </c>
      <c r="B1" s="33" t="s">
        <v>180</v>
      </c>
    </row>
    <row r="2" spans="1:2" ht="43.5" x14ac:dyDescent="0.35">
      <c r="A2" s="1">
        <v>1</v>
      </c>
      <c r="B2" s="6" t="s">
        <v>181</v>
      </c>
    </row>
    <row r="3" spans="1:2" ht="29" x14ac:dyDescent="0.35">
      <c r="A3" s="1">
        <v>2</v>
      </c>
      <c r="B3" s="6" t="s">
        <v>182</v>
      </c>
    </row>
    <row r="4" spans="1:2" x14ac:dyDescent="0.35">
      <c r="A4" s="1">
        <v>3</v>
      </c>
      <c r="B4" s="6" t="s">
        <v>183</v>
      </c>
    </row>
    <row r="5" spans="1:2" x14ac:dyDescent="0.35">
      <c r="A5" s="1">
        <v>4</v>
      </c>
      <c r="B5" s="6" t="s">
        <v>184</v>
      </c>
    </row>
    <row r="6" spans="1:2" ht="101.5" x14ac:dyDescent="0.35">
      <c r="A6" s="1">
        <v>5</v>
      </c>
      <c r="B6" s="6" t="s">
        <v>211</v>
      </c>
    </row>
    <row r="7" spans="1:2" ht="72.5" x14ac:dyDescent="0.35">
      <c r="A7" s="1">
        <v>6</v>
      </c>
      <c r="B7" s="6" t="s">
        <v>185</v>
      </c>
    </row>
    <row r="8" spans="1:2" ht="145" x14ac:dyDescent="0.35">
      <c r="A8" s="1">
        <v>7</v>
      </c>
      <c r="B8" s="6" t="s">
        <v>212</v>
      </c>
    </row>
    <row r="9" spans="1:2" ht="29" x14ac:dyDescent="0.35">
      <c r="A9" s="1">
        <v>8</v>
      </c>
      <c r="B9" s="6" t="s">
        <v>215</v>
      </c>
    </row>
    <row r="10" spans="1:2" x14ac:dyDescent="0.35">
      <c r="A10" s="1">
        <v>9</v>
      </c>
      <c r="B10" s="6" t="s">
        <v>243</v>
      </c>
    </row>
    <row r="11" spans="1:2" x14ac:dyDescent="0.35">
      <c r="A11" s="1">
        <v>10</v>
      </c>
      <c r="B11" s="6" t="s">
        <v>245</v>
      </c>
    </row>
    <row r="12" spans="1:2" x14ac:dyDescent="0.35">
      <c r="A12" s="1">
        <v>11</v>
      </c>
      <c r="B12" s="6" t="s">
        <v>246</v>
      </c>
    </row>
    <row r="13" spans="1:2" x14ac:dyDescent="0.35">
      <c r="A13" s="1">
        <v>12</v>
      </c>
    </row>
    <row r="14" spans="1:2" x14ac:dyDescent="0.35">
      <c r="A14" s="1">
        <v>13</v>
      </c>
    </row>
    <row r="15" spans="1:2" x14ac:dyDescent="0.35">
      <c r="A15" s="1">
        <v>14</v>
      </c>
    </row>
    <row r="16" spans="1:2" x14ac:dyDescent="0.35">
      <c r="A16" s="1">
        <v>15</v>
      </c>
    </row>
    <row r="17" spans="1:1" x14ac:dyDescent="0.35">
      <c r="A17" s="1">
        <v>16</v>
      </c>
    </row>
    <row r="18" spans="1:1" x14ac:dyDescent="0.35">
      <c r="A18" s="1">
        <v>17</v>
      </c>
    </row>
    <row r="19" spans="1:1" x14ac:dyDescent="0.35">
      <c r="A19" s="1">
        <v>18</v>
      </c>
    </row>
    <row r="20" spans="1:1" x14ac:dyDescent="0.35">
      <c r="A20" s="1">
        <v>19</v>
      </c>
    </row>
    <row r="21" spans="1:1" x14ac:dyDescent="0.35">
      <c r="A21" s="1">
        <v>20</v>
      </c>
    </row>
    <row r="22" spans="1:1" x14ac:dyDescent="0.35">
      <c r="A22" s="1">
        <v>21</v>
      </c>
    </row>
    <row r="23" spans="1:1" x14ac:dyDescent="0.35">
      <c r="A23" s="1">
        <v>22</v>
      </c>
    </row>
    <row r="24" spans="1:1" x14ac:dyDescent="0.35">
      <c r="A24" s="1">
        <v>23</v>
      </c>
    </row>
    <row r="25" spans="1:1" x14ac:dyDescent="0.35">
      <c r="A25" s="1">
        <v>24</v>
      </c>
    </row>
    <row r="26" spans="1:1" x14ac:dyDescent="0.35">
      <c r="A26" s="1">
        <v>25</v>
      </c>
    </row>
    <row r="27" spans="1:1" x14ac:dyDescent="0.35">
      <c r="A27" s="1">
        <v>26</v>
      </c>
    </row>
    <row r="28" spans="1:1" x14ac:dyDescent="0.35">
      <c r="A28" s="1">
        <v>27</v>
      </c>
    </row>
    <row r="29" spans="1:1" x14ac:dyDescent="0.35">
      <c r="A29" s="1">
        <v>28</v>
      </c>
    </row>
    <row r="30" spans="1:1" x14ac:dyDescent="0.35">
      <c r="A30" s="1">
        <v>29</v>
      </c>
    </row>
    <row r="31" spans="1:1" x14ac:dyDescent="0.35">
      <c r="A31" s="1">
        <v>30</v>
      </c>
    </row>
    <row r="32" spans="1:1" x14ac:dyDescent="0.35">
      <c r="A32" s="1">
        <v>31</v>
      </c>
    </row>
    <row r="33" spans="1:1" x14ac:dyDescent="0.35">
      <c r="A33" s="1">
        <v>32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A5" sqref="A5"/>
    </sheetView>
  </sheetViews>
  <sheetFormatPr defaultRowHeight="14.5" x14ac:dyDescent="0.35"/>
  <cols>
    <col min="1" max="1" width="17.1796875" customWidth="1"/>
    <col min="2" max="2" width="87.08984375" bestFit="1" customWidth="1"/>
  </cols>
  <sheetData>
    <row r="1" spans="1:2" x14ac:dyDescent="0.35">
      <c r="A1" t="s">
        <v>226</v>
      </c>
      <c r="B1" t="s">
        <v>93</v>
      </c>
    </row>
    <row r="2" spans="1:2" x14ac:dyDescent="0.35">
      <c r="A2" s="7" t="s">
        <v>68</v>
      </c>
      <c r="B2" s="7" t="s">
        <v>231</v>
      </c>
    </row>
    <row r="3" spans="1:2" x14ac:dyDescent="0.35">
      <c r="A3" s="7" t="s">
        <v>69</v>
      </c>
      <c r="B3" s="7" t="s">
        <v>232</v>
      </c>
    </row>
    <row r="4" spans="1:2" x14ac:dyDescent="0.35">
      <c r="A4" s="7" t="s">
        <v>250</v>
      </c>
      <c r="B4" s="7" t="s">
        <v>251</v>
      </c>
    </row>
    <row r="5" spans="1:2" x14ac:dyDescent="0.35">
      <c r="A5" s="7" t="s">
        <v>70</v>
      </c>
      <c r="B5" s="7" t="s">
        <v>233</v>
      </c>
    </row>
    <row r="6" spans="1:2" x14ac:dyDescent="0.35">
      <c r="A6" s="7" t="s">
        <v>227</v>
      </c>
      <c r="B6" s="7" t="s">
        <v>234</v>
      </c>
    </row>
    <row r="7" spans="1:2" x14ac:dyDescent="0.35">
      <c r="A7" s="7" t="s">
        <v>228</v>
      </c>
      <c r="B7" s="7" t="s">
        <v>235</v>
      </c>
    </row>
    <row r="8" spans="1:2" x14ac:dyDescent="0.35">
      <c r="A8" s="7" t="s">
        <v>214</v>
      </c>
      <c r="B8" s="7"/>
    </row>
    <row r="9" spans="1:2" x14ac:dyDescent="0.35">
      <c r="A9" s="7" t="s">
        <v>229</v>
      </c>
      <c r="B9" s="7" t="s">
        <v>230</v>
      </c>
    </row>
    <row r="10" spans="1:2" x14ac:dyDescent="0.35">
      <c r="A10" s="7" t="s">
        <v>236</v>
      </c>
      <c r="B10" s="7"/>
    </row>
    <row r="11" spans="1:2" x14ac:dyDescent="0.35">
      <c r="A11" s="7" t="s">
        <v>237</v>
      </c>
      <c r="B11" s="7"/>
    </row>
    <row r="12" spans="1:2" x14ac:dyDescent="0.35">
      <c r="A12" s="7" t="s">
        <v>238</v>
      </c>
      <c r="B12" s="7" t="s">
        <v>239</v>
      </c>
    </row>
    <row r="13" spans="1:2" x14ac:dyDescent="0.35">
      <c r="A13" s="7" t="s">
        <v>241</v>
      </c>
      <c r="B13" s="7" t="s">
        <v>242</v>
      </c>
    </row>
    <row r="14" spans="1:2" x14ac:dyDescent="0.35">
      <c r="A14" s="7" t="s">
        <v>244</v>
      </c>
      <c r="B14" s="7" t="s">
        <v>239</v>
      </c>
    </row>
    <row r="15" spans="1:2" x14ac:dyDescent="0.35">
      <c r="A15" s="7"/>
      <c r="B15" s="7"/>
    </row>
    <row r="16" spans="1:2" x14ac:dyDescent="0.35">
      <c r="A16" s="7"/>
      <c r="B16" s="7"/>
    </row>
    <row r="17" spans="1:2" x14ac:dyDescent="0.35">
      <c r="A17" s="7"/>
      <c r="B17" s="7"/>
    </row>
    <row r="18" spans="1:2" x14ac:dyDescent="0.35">
      <c r="A18" s="7"/>
      <c r="B18" s="7"/>
    </row>
    <row r="19" spans="1:2" x14ac:dyDescent="0.35">
      <c r="A19" s="7"/>
      <c r="B19" s="7"/>
    </row>
    <row r="20" spans="1:2" x14ac:dyDescent="0.35">
      <c r="A20" s="7"/>
      <c r="B20" s="7"/>
    </row>
    <row r="21" spans="1:2" x14ac:dyDescent="0.35">
      <c r="A21" s="7"/>
      <c r="B21" s="7"/>
    </row>
    <row r="22" spans="1:2" x14ac:dyDescent="0.35">
      <c r="A22" s="7"/>
      <c r="B22" s="7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Стат 2022-23</vt:lpstr>
      <vt:lpstr>Фин баланс 2023</vt:lpstr>
      <vt:lpstr>Цифры</vt:lpstr>
      <vt:lpstr>Товарные группы</vt:lpstr>
      <vt:lpstr>Тайм план</vt:lpstr>
      <vt:lpstr>Риски</vt:lpstr>
      <vt:lpstr>Заметки</vt:lpstr>
      <vt:lpstr>Маркетинг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2023-06-01T13:43:56Z</dcterms:modified>
</cp:coreProperties>
</file>