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5"/>
  </bookViews>
  <sheets>
    <sheet name="общее" sheetId="1" state="visible" r:id="rId1"/>
    <sheet name="one price" sheetId="2" state="visible" r:id="rId2"/>
    <sheet name="Аренда" sheetId="3" state="visible" r:id="rId3"/>
    <sheet name="Матрица выплат" sheetId="4" state="visible" r:id="rId4"/>
    <sheet name="Таблица распределения средств" sheetId="5" state="visible" r:id="rId5"/>
    <sheet name="показатели эфективности" sheetId="6" state="visible" r:id="rId6"/>
  </sheets>
  <calcPr/>
</workbook>
</file>

<file path=xl/sharedStrings.xml><?xml version="1.0" encoding="utf-8"?>
<sst xmlns="http://schemas.openxmlformats.org/spreadsheetml/2006/main" count="181" uniqueCount="181">
  <si>
    <t xml:space="preserve">Финансовый план ТЦ "Исток"</t>
  </si>
  <si>
    <t>октябрь</t>
  </si>
  <si>
    <t>ноябрь</t>
  </si>
  <si>
    <t>декабрь</t>
  </si>
  <si>
    <t xml:space="preserve">январь 24</t>
  </si>
  <si>
    <t>февраль</t>
  </si>
  <si>
    <t>март</t>
  </si>
  <si>
    <t>апрель</t>
  </si>
  <si>
    <t xml:space="preserve">Валовая прибыль</t>
  </si>
  <si>
    <t>Аренда</t>
  </si>
  <si>
    <t xml:space="preserve">One Price</t>
  </si>
  <si>
    <t xml:space="preserve">Производственные расходы</t>
  </si>
  <si>
    <t xml:space="preserve">содержание объекта</t>
  </si>
  <si>
    <t xml:space="preserve">ФОТ администрации</t>
  </si>
  <si>
    <t xml:space="preserve">выплаты по займу</t>
  </si>
  <si>
    <t xml:space="preserve">реклама аренды помещения </t>
  </si>
  <si>
    <t xml:space="preserve">Текущий ремонт</t>
  </si>
  <si>
    <t xml:space="preserve">Комунальные платежи</t>
  </si>
  <si>
    <t xml:space="preserve">операционная прибыль</t>
  </si>
  <si>
    <t>Объект</t>
  </si>
  <si>
    <t xml:space="preserve">УСН даходы/расходы</t>
  </si>
  <si>
    <t xml:space="preserve">Налог на недвижимость</t>
  </si>
  <si>
    <t xml:space="preserve">Амортизация недвижимости</t>
  </si>
  <si>
    <t xml:space="preserve">Страховые взносы</t>
  </si>
  <si>
    <t>НДФЛ13%</t>
  </si>
  <si>
    <t xml:space="preserve">Налог Патент</t>
  </si>
  <si>
    <t xml:space="preserve">НДФЛ 13%</t>
  </si>
  <si>
    <t>Итого:</t>
  </si>
  <si>
    <t xml:space="preserve">Уменьшение налоговой базы</t>
  </si>
  <si>
    <t xml:space="preserve"> </t>
  </si>
  <si>
    <t xml:space="preserve">Поддержка ИП Юрасов</t>
  </si>
  <si>
    <t>Прибыль</t>
  </si>
  <si>
    <t xml:space="preserve">Прибыль с нарастающим итогом</t>
  </si>
  <si>
    <t>Займ</t>
  </si>
  <si>
    <t>%годовых</t>
  </si>
  <si>
    <t>Срок(лет)</t>
  </si>
  <si>
    <t>Переплата</t>
  </si>
  <si>
    <t>Итого</t>
  </si>
  <si>
    <t>Маржинальность</t>
  </si>
  <si>
    <t xml:space="preserve">Платеж, мес</t>
  </si>
  <si>
    <t xml:space="preserve">Платеж, год</t>
  </si>
  <si>
    <t>год</t>
  </si>
  <si>
    <t>месяц</t>
  </si>
  <si>
    <t xml:space="preserve"> Амортизация оюъекта</t>
  </si>
  <si>
    <t xml:space="preserve">Линейный расчет</t>
  </si>
  <si>
    <t xml:space="preserve">СПИ (лет)</t>
  </si>
  <si>
    <t>Стоимость</t>
  </si>
  <si>
    <t xml:space="preserve">Финансовый план франшизы "One price"</t>
  </si>
  <si>
    <t xml:space="preserve">7 месяц работы</t>
  </si>
  <si>
    <t>январь24</t>
  </si>
  <si>
    <t>Выручка</t>
  </si>
  <si>
    <t>Наличные</t>
  </si>
  <si>
    <t>Безнал</t>
  </si>
  <si>
    <t xml:space="preserve">Валовая прибыль </t>
  </si>
  <si>
    <t>маржинальность,%</t>
  </si>
  <si>
    <t xml:space="preserve">Закупка товара</t>
  </si>
  <si>
    <t xml:space="preserve">хоз нужды</t>
  </si>
  <si>
    <t>интернет</t>
  </si>
  <si>
    <t>ФОТ</t>
  </si>
  <si>
    <t xml:space="preserve">роялти по франшизе 2%</t>
  </si>
  <si>
    <t xml:space="preserve">коммунальные услуги</t>
  </si>
  <si>
    <t>Реклама</t>
  </si>
  <si>
    <t>Уценка/брак/потеря</t>
  </si>
  <si>
    <t>РКО</t>
  </si>
  <si>
    <t xml:space="preserve">Операционная прибыль</t>
  </si>
  <si>
    <t>НДФЛ</t>
  </si>
  <si>
    <t xml:space="preserve">страхов взносы</t>
  </si>
  <si>
    <t xml:space="preserve">Чистая прибыль</t>
  </si>
  <si>
    <t xml:space="preserve">Прибыль  с нарастающим</t>
  </si>
  <si>
    <t xml:space="preserve">Рассчет ведём из показателей:</t>
  </si>
  <si>
    <t>Клиентов/день</t>
  </si>
  <si>
    <t xml:space="preserve">Средний чек</t>
  </si>
  <si>
    <t xml:space="preserve">31 день</t>
  </si>
  <si>
    <t xml:space="preserve">Фактическая оплата труда</t>
  </si>
  <si>
    <t xml:space="preserve">кол во</t>
  </si>
  <si>
    <t>оклад</t>
  </si>
  <si>
    <t xml:space="preserve">премия </t>
  </si>
  <si>
    <t>итого</t>
  </si>
  <si>
    <t>Бонус</t>
  </si>
  <si>
    <t>работник</t>
  </si>
  <si>
    <t xml:space="preserve">Расчет налогов из расчета МРОТ, работники на полставки</t>
  </si>
  <si>
    <t xml:space="preserve">Оклад на 1 сотрудника</t>
  </si>
  <si>
    <t>Страховые</t>
  </si>
  <si>
    <t xml:space="preserve">Итого на 1 сотрудника</t>
  </si>
  <si>
    <t xml:space="preserve">Аренда помещений </t>
  </si>
  <si>
    <t xml:space="preserve">на 6 месяц</t>
  </si>
  <si>
    <t xml:space="preserve">Красное и Белое</t>
  </si>
  <si>
    <t>Вайлдебриз</t>
  </si>
  <si>
    <t>Кафе</t>
  </si>
  <si>
    <t>Другие</t>
  </si>
  <si>
    <t xml:space="preserve">Матрица выплат</t>
  </si>
  <si>
    <t>Обьем</t>
  </si>
  <si>
    <t>Срок</t>
  </si>
  <si>
    <t>%,год</t>
  </si>
  <si>
    <t xml:space="preserve">Доход инвестора</t>
  </si>
  <si>
    <t xml:space="preserve">Платеж в месяц</t>
  </si>
  <si>
    <t xml:space="preserve">Платеж год</t>
  </si>
  <si>
    <t xml:space="preserve">Таблица распределения средств</t>
  </si>
  <si>
    <t xml:space="preserve">Расходы на франшизу</t>
  </si>
  <si>
    <t xml:space="preserve">Статья расходов</t>
  </si>
  <si>
    <t xml:space="preserve">Сумма, руб</t>
  </si>
  <si>
    <t>Примечание</t>
  </si>
  <si>
    <t>Ремонт</t>
  </si>
  <si>
    <t xml:space="preserve">Строительные работы</t>
  </si>
  <si>
    <t xml:space="preserve">предварительный рассчет</t>
  </si>
  <si>
    <t>Оборудование</t>
  </si>
  <si>
    <t xml:space="preserve">Торговое оборудование</t>
  </si>
  <si>
    <t xml:space="preserve">Стеллажи, корзины и т.д.</t>
  </si>
  <si>
    <t xml:space="preserve">Кассовая зона</t>
  </si>
  <si>
    <t xml:space="preserve">кассовый стол</t>
  </si>
  <si>
    <t>Товар</t>
  </si>
  <si>
    <t xml:space="preserve">IT, техника, мультимед</t>
  </si>
  <si>
    <t>Интернет</t>
  </si>
  <si>
    <t>Видеонаблюд</t>
  </si>
  <si>
    <t xml:space="preserve">Трекр подсчета посетит</t>
  </si>
  <si>
    <t xml:space="preserve">Аудио система для фон музык</t>
  </si>
  <si>
    <t xml:space="preserve">Программное обеспечен</t>
  </si>
  <si>
    <t xml:space="preserve">Эвотор 7.2</t>
  </si>
  <si>
    <t xml:space="preserve">Программа лояльн Эвобонус</t>
  </si>
  <si>
    <t xml:space="preserve">Мобильн кассир</t>
  </si>
  <si>
    <t xml:space="preserve">Устанавливается на смартфон</t>
  </si>
  <si>
    <t>Маркетинг</t>
  </si>
  <si>
    <t>Вывеска</t>
  </si>
  <si>
    <t xml:space="preserve">ПОСМ материалы</t>
  </si>
  <si>
    <t xml:space="preserve">Форма сотрудников</t>
  </si>
  <si>
    <t xml:space="preserve">2 комплект</t>
  </si>
  <si>
    <t xml:space="preserve">POSM материалы</t>
  </si>
  <si>
    <t xml:space="preserve">Навигац, брендиров борты</t>
  </si>
  <si>
    <t xml:space="preserve">Брендирован пакеты и шары</t>
  </si>
  <si>
    <t>Полиграфия</t>
  </si>
  <si>
    <t xml:space="preserve">Листовки, ценники</t>
  </si>
  <si>
    <t>Ценники</t>
  </si>
  <si>
    <t xml:space="preserve">Прочие расходы</t>
  </si>
  <si>
    <t>Канцелярия</t>
  </si>
  <si>
    <t xml:space="preserve">Доставка, сборка стеллажей</t>
  </si>
  <si>
    <t xml:space="preserve">Организация подсобн помещ</t>
  </si>
  <si>
    <t xml:space="preserve">стол, стулья для продавцов</t>
  </si>
  <si>
    <t xml:space="preserve">Уголок потребителя</t>
  </si>
  <si>
    <t xml:space="preserve">Кассовый стул</t>
  </si>
  <si>
    <t xml:space="preserve">Командиров расходы</t>
  </si>
  <si>
    <t xml:space="preserve">Мерченд на открытие, обучен</t>
  </si>
  <si>
    <t xml:space="preserve">Средства для уборки, хоз нуж</t>
  </si>
  <si>
    <t xml:space="preserve">Стоимость франшизы</t>
  </si>
  <si>
    <t xml:space="preserve">Перепланировка помещений</t>
  </si>
  <si>
    <t xml:space="preserve">Косметический ремонт</t>
  </si>
  <si>
    <t xml:space="preserve">Оплата работ</t>
  </si>
  <si>
    <t xml:space="preserve">Приобритение обьекта</t>
  </si>
  <si>
    <t>Обьект</t>
  </si>
  <si>
    <t xml:space="preserve">Налог, год</t>
  </si>
  <si>
    <t>Капитал</t>
  </si>
  <si>
    <t xml:space="preserve">Покупка объекта</t>
  </si>
  <si>
    <t xml:space="preserve">Показатели эффективности</t>
  </si>
  <si>
    <t> </t>
  </si>
  <si>
    <t xml:space="preserve">Расчет NVP</t>
  </si>
  <si>
    <t>Показатель</t>
  </si>
  <si>
    <t xml:space="preserve">Международное значение</t>
  </si>
  <si>
    <t xml:space="preserve">Значение (руб.)</t>
  </si>
  <si>
    <t xml:space="preserve">Ставка дисконта</t>
  </si>
  <si>
    <t>Вложения</t>
  </si>
  <si>
    <t xml:space="preserve">NPV, мес</t>
  </si>
  <si>
    <t xml:space="preserve">Безубы
точн</t>
  </si>
  <si>
    <t>Инвестиции</t>
  </si>
  <si>
    <t xml:space="preserve">Среднегодов чистая прибыль</t>
  </si>
  <si>
    <t>Доход,год</t>
  </si>
  <si>
    <t xml:space="preserve">Чистый доход</t>
  </si>
  <si>
    <t>NV</t>
  </si>
  <si>
    <t xml:space="preserve">Чистый дисконтированный доход</t>
  </si>
  <si>
    <t>NPV</t>
  </si>
  <si>
    <t xml:space="preserve">Срок окупаемости, лет</t>
  </si>
  <si>
    <t>PP=N</t>
  </si>
  <si>
    <t xml:space="preserve">Дисконтируемый срок окупаемости, лет</t>
  </si>
  <si>
    <t>DPP</t>
  </si>
  <si>
    <t xml:space="preserve">Внутренняя норма доходности</t>
  </si>
  <si>
    <t>IRR</t>
  </si>
  <si>
    <t xml:space="preserve">Индекс доходности затрат</t>
  </si>
  <si>
    <t>PI</t>
  </si>
  <si>
    <t xml:space="preserve">Индекс доходности дисконтированных затрат</t>
  </si>
  <si>
    <t>DPI</t>
  </si>
  <si>
    <t>-</t>
  </si>
  <si>
    <t xml:space="preserve">Коэффициент эффективности инвестиций</t>
  </si>
  <si>
    <t>ARR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</si>
</sst>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[$₽-19]_-;\-* #,##0.00\ [$₽-19]_-;_-* &quot;-&quot;??\ [$₽-19]_-;_-@_-"/>
    <numFmt numFmtId="161" formatCode="0.0"/>
  </numFmts>
  <fonts count="14">
    <font>
      <sz val="11.000000"/>
      <color theme="1"/>
      <name val="Calibri"/>
    </font>
    <font>
      <sz val="11.000000"/>
      <color theme="1"/>
      <name val="Calibri"/>
      <scheme val="minor"/>
    </font>
    <font>
      <b/>
      <sz val="16.000000"/>
      <color theme="1"/>
      <name val="Calibri"/>
    </font>
    <font>
      <b/>
      <sz val="11.000000"/>
      <color theme="1" tint="0.049989318521683403"/>
      <name val="Calibri"/>
    </font>
    <font>
      <b/>
      <sz val="11.000000"/>
      <name val="Calibri"/>
    </font>
    <font>
      <sz val="11.000000"/>
      <color theme="1" tint="0.049989318521683403"/>
      <name val="Calibri"/>
    </font>
    <font>
      <b/>
      <sz val="11.000000"/>
      <color theme="1"/>
      <name val="Calibri"/>
    </font>
    <font>
      <sz val="11.000000"/>
      <name val="Calibri"/>
    </font>
    <font>
      <b/>
      <sz val="11.000000"/>
      <color theme="1" tint="0"/>
      <name val="Calibri"/>
    </font>
    <font>
      <sz val="12.000000"/>
      <name val="Calibri"/>
    </font>
    <font>
      <b/>
      <sz val="12.000000"/>
      <name val="Calibri"/>
    </font>
    <font>
      <b/>
      <sz val="16.000000"/>
      <name val="Calibri"/>
    </font>
    <font>
      <b/>
      <sz val="11.000000"/>
      <name val="Times New Roman"/>
    </font>
    <font>
      <sz val="11.000000"/>
      <name val="Times New Roman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rgb="FF002060"/>
        <bgColor rgb="FF002060"/>
      </patternFill>
    </fill>
    <fill>
      <patternFill patternType="solid">
        <fgColor rgb="FFFFC000"/>
        <bgColor rgb="FFFFC00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51"/>
      </patternFill>
    </fill>
    <fill>
      <patternFill patternType="solid">
        <fgColor indexed="50"/>
        <bgColor indexed="50"/>
      </patternFill>
    </fill>
    <fill>
      <patternFill patternType="solid">
        <fgColor theme="7" tint="0"/>
        <bgColor theme="7" tint="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39997558519241921"/>
        <bgColor theme="9" tint="0.3999755851924192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2">
    <xf fontId="0" fillId="0" borderId="0" numFmtId="0" applyNumberFormat="1" applyFont="1" applyFill="1" applyBorder="1">
      <alignment vertical="center"/>
    </xf>
    <xf fontId="1" fillId="2" borderId="0" numFmtId="44" applyNumberFormat="1" applyFont="0" applyFill="0" applyBorder="0"/>
  </cellStyleXfs>
  <cellXfs count="173">
    <xf fontId="0" fillId="0" borderId="0" numFmtId="0" xfId="0" applyAlignment="1">
      <alignment vertical="center"/>
    </xf>
    <xf fontId="0" fillId="0" borderId="0" numFmtId="0" xfId="0" applyAlignment="1">
      <alignment horizontal="center" vertical="center"/>
    </xf>
    <xf fontId="0" fillId="3" borderId="0" numFmtId="0" xfId="0" applyFill="1" applyAlignment="1">
      <alignment horizontal="center" vertical="center"/>
    </xf>
    <xf fontId="2" fillId="0" borderId="0" numFmtId="0" xfId="0" applyFont="1" applyAlignment="1">
      <alignment horizontal="center" vertical="center"/>
    </xf>
    <xf fontId="0" fillId="0" borderId="1" numFmtId="0" xfId="0" applyBorder="1" applyAlignment="1">
      <alignment horizontal="center" vertical="center"/>
    </xf>
    <xf fontId="0" fillId="0" borderId="2" numFmtId="0" xfId="0" applyBorder="1" applyAlignment="1">
      <alignment horizontal="center" vertical="center"/>
    </xf>
    <xf fontId="0" fillId="0" borderId="3" numFmtId="0" xfId="0" applyBorder="1" applyAlignment="1">
      <alignment horizontal="center" vertical="center"/>
    </xf>
    <xf fontId="3" fillId="4" borderId="1" numFmtId="0" xfId="0" applyFont="1" applyFill="1" applyBorder="1" applyAlignment="1">
      <alignment horizontal="center" vertical="center"/>
    </xf>
    <xf fontId="3" fillId="4" borderId="1" numFmtId="160" xfId="1" applyNumberFormat="1" applyFont="1" applyFill="1" applyBorder="1" applyAlignment="1">
      <alignment horizontal="center" vertical="center"/>
    </xf>
    <xf fontId="3" fillId="4" borderId="2" numFmtId="160" xfId="1" applyNumberFormat="1" applyFont="1" applyFill="1" applyBorder="1" applyAlignment="1">
      <alignment horizontal="center" vertical="center"/>
    </xf>
    <xf fontId="3" fillId="3" borderId="2" numFmtId="160" xfId="1" applyNumberFormat="1" applyFont="1" applyFill="1" applyBorder="1" applyAlignment="1">
      <alignment horizontal="center" vertical="center"/>
    </xf>
    <xf fontId="3" fillId="4" borderId="3" numFmtId="160" xfId="1" applyNumberFormat="1" applyFont="1" applyFill="1" applyBorder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3" fillId="0" borderId="1" numFmtId="160" xfId="1" applyNumberFormat="1" applyFont="1" applyBorder="1" applyAlignment="1">
      <alignment horizontal="center" vertical="center"/>
    </xf>
    <xf fontId="3" fillId="0" borderId="2" numFmtId="160" xfId="1" applyNumberFormat="1" applyFont="1" applyBorder="1" applyAlignment="1">
      <alignment horizontal="center" vertical="center"/>
    </xf>
    <xf fontId="3" fillId="0" borderId="3" numFmtId="160" xfId="1" applyNumberFormat="1" applyFont="1" applyBorder="1" applyAlignment="1">
      <alignment horizontal="center" vertical="center"/>
    </xf>
    <xf fontId="4" fillId="4" borderId="1" numFmtId="160" xfId="1" applyNumberFormat="1" applyFont="1" applyFill="1" applyBorder="1" applyAlignment="1">
      <alignment horizontal="center" vertical="center"/>
    </xf>
    <xf fontId="4" fillId="4" borderId="2" numFmtId="160" xfId="1" applyNumberFormat="1" applyFont="1" applyFill="1" applyBorder="1" applyAlignment="1">
      <alignment horizontal="center" vertical="center"/>
    </xf>
    <xf fontId="4" fillId="4" borderId="3" numFmtId="160" xfId="1" applyNumberFormat="1" applyFont="1" applyFill="1" applyBorder="1" applyAlignment="1">
      <alignment horizontal="center" vertical="center"/>
    </xf>
    <xf fontId="5" fillId="0" borderId="1" numFmtId="0" xfId="0" applyFont="1" applyBorder="1" applyAlignment="1">
      <alignment horizontal="center" vertical="center"/>
    </xf>
    <xf fontId="5" fillId="0" borderId="1" numFmtId="160" xfId="1" applyNumberFormat="1" applyFont="1" applyBorder="1" applyAlignment="1">
      <alignment horizontal="center" vertical="center"/>
    </xf>
    <xf fontId="5" fillId="0" borderId="2" numFmtId="160" xfId="1" applyNumberFormat="1" applyFont="1" applyBorder="1" applyAlignment="1">
      <alignment horizontal="center" vertical="center"/>
    </xf>
    <xf fontId="5" fillId="3" borderId="2" numFmtId="160" xfId="1" applyNumberFormat="1" applyFont="1" applyFill="1" applyBorder="1" applyAlignment="1">
      <alignment horizontal="center" vertical="center"/>
    </xf>
    <xf fontId="5" fillId="0" borderId="3" numFmtId="160" xfId="1" applyNumberFormat="1" applyFont="1" applyBorder="1" applyAlignment="1">
      <alignment horizontal="center" vertical="center"/>
    </xf>
    <xf fontId="4" fillId="4" borderId="1" numFmtId="0" xfId="0" applyFont="1" applyFill="1" applyBorder="1" applyAlignment="1">
      <alignment horizontal="center" vertical="center"/>
    </xf>
    <xf fontId="4" fillId="3" borderId="2" numFmtId="160" xfId="1" applyNumberFormat="1" applyFont="1" applyFill="1" applyBorder="1" applyAlignment="1">
      <alignment horizontal="center" vertical="center"/>
    </xf>
    <xf fontId="4" fillId="5" borderId="1" numFmtId="0" xfId="0" applyFont="1" applyFill="1" applyBorder="1" applyAlignment="1">
      <alignment horizontal="center" vertical="center"/>
    </xf>
    <xf fontId="6" fillId="5" borderId="1" numFmtId="160" xfId="1" applyNumberFormat="1" applyFont="1" applyFill="1" applyBorder="1" applyAlignment="1">
      <alignment horizontal="center" vertical="center"/>
    </xf>
    <xf fontId="6" fillId="5" borderId="2" numFmtId="160" xfId="1" applyNumberFormat="1" applyFont="1" applyFill="1" applyBorder="1" applyAlignment="1">
      <alignment horizontal="center" vertical="center"/>
    </xf>
    <xf fontId="6" fillId="3" borderId="2" numFmtId="160" xfId="1" applyNumberFormat="1" applyFont="1" applyFill="1" applyBorder="1" applyAlignment="1">
      <alignment horizontal="center" vertical="center"/>
    </xf>
    <xf fontId="6" fillId="5" borderId="3" numFmtId="160" xfId="1" applyNumberFormat="1" applyFont="1" applyFill="1" applyBorder="1" applyAlignment="1">
      <alignment horizontal="center" vertical="center"/>
    </xf>
    <xf fontId="7" fillId="0" borderId="1" numFmtId="0" xfId="0" applyFont="1" applyBorder="1" applyAlignment="1">
      <alignment horizontal="center" vertical="center"/>
    </xf>
    <xf fontId="0" fillId="0" borderId="1" numFmtId="160" xfId="1" applyNumberFormat="1" applyBorder="1" applyAlignment="1">
      <alignment horizontal="center" vertical="center"/>
    </xf>
    <xf fontId="0" fillId="0" borderId="2" numFmtId="160" xfId="1" applyNumberFormat="1" applyBorder="1" applyAlignment="1">
      <alignment horizontal="center" vertical="center"/>
    </xf>
    <xf fontId="0" fillId="3" borderId="2" numFmtId="160" xfId="1" applyNumberFormat="1" applyFill="1" applyBorder="1" applyAlignment="1">
      <alignment horizontal="center" vertical="center"/>
    </xf>
    <xf fontId="0" fillId="0" borderId="3" numFmtId="160" xfId="1" applyNumberFormat="1" applyBorder="1" applyAlignment="1">
      <alignment horizontal="center" vertical="center"/>
    </xf>
    <xf fontId="4" fillId="6" borderId="1" numFmtId="0" xfId="0" applyFont="1" applyFill="1" applyBorder="1" applyAlignment="1">
      <alignment horizontal="center" vertical="center"/>
    </xf>
    <xf fontId="6" fillId="6" borderId="1" numFmtId="160" xfId="1" applyNumberFormat="1" applyFont="1" applyFill="1" applyBorder="1" applyAlignment="1">
      <alignment horizontal="center" vertical="center"/>
    </xf>
    <xf fontId="6" fillId="6" borderId="2" numFmtId="160" xfId="1" applyNumberFormat="1" applyFont="1" applyFill="1" applyBorder="1" applyAlignment="1">
      <alignment horizontal="center" vertical="center"/>
    </xf>
    <xf fontId="6" fillId="6" borderId="3" numFmtId="160" xfId="1" applyNumberFormat="1" applyFont="1" applyFill="1" applyBorder="1" applyAlignment="1">
      <alignment horizontal="center" vertical="center"/>
    </xf>
    <xf fontId="0" fillId="0" borderId="4" numFmtId="0" xfId="0" applyBorder="1" applyAlignment="1">
      <alignment horizontal="center" vertical="center"/>
    </xf>
    <xf fontId="4" fillId="0" borderId="1" numFmtId="0" xfId="0" applyFont="1" applyBorder="1" applyAlignment="1">
      <alignment horizontal="center" vertical="center"/>
    </xf>
    <xf fontId="4" fillId="0" borderId="1" numFmtId="160" xfId="1" applyNumberFormat="1" applyFont="1" applyBorder="1" applyAlignment="1">
      <alignment horizontal="center" vertical="center"/>
    </xf>
    <xf fontId="4" fillId="0" borderId="2" numFmtId="160" xfId="1" applyNumberFormat="1" applyFont="1" applyBorder="1" applyAlignment="1">
      <alignment horizontal="center" vertical="center"/>
    </xf>
    <xf fontId="4" fillId="0" borderId="3" numFmtId="160" xfId="1" applyNumberFormat="1" applyFont="1" applyBorder="1" applyAlignment="1">
      <alignment horizontal="center" vertical="center"/>
    </xf>
    <xf fontId="4" fillId="7" borderId="1" numFmtId="0" xfId="0" applyFont="1" applyFill="1" applyBorder="1" applyAlignment="1">
      <alignment horizontal="center" vertical="center"/>
    </xf>
    <xf fontId="4" fillId="7" borderId="1" numFmtId="160" xfId="1" applyNumberFormat="1" applyFont="1" applyFill="1" applyBorder="1" applyAlignment="1">
      <alignment horizontal="center" vertical="center"/>
    </xf>
    <xf fontId="4" fillId="7" borderId="2" numFmtId="160" xfId="1" applyNumberFormat="1" applyFont="1" applyFill="1" applyBorder="1" applyAlignment="1">
      <alignment horizontal="center" vertical="center"/>
    </xf>
    <xf fontId="4" fillId="7" borderId="3" numFmtId="160" xfId="1" applyNumberFormat="1" applyFont="1" applyFill="1" applyBorder="1" applyAlignment="1">
      <alignment horizontal="center" vertical="center"/>
    </xf>
    <xf fontId="4" fillId="8" borderId="5" numFmtId="0" xfId="0" applyFont="1" applyFill="1" applyBorder="1" applyAlignment="1">
      <alignment horizontal="center" vertical="center"/>
    </xf>
    <xf fontId="4" fillId="8" borderId="5" numFmtId="160" xfId="1" applyNumberFormat="1" applyFont="1" applyFill="1" applyBorder="1" applyAlignment="1">
      <alignment horizontal="center" vertical="center"/>
    </xf>
    <xf fontId="4" fillId="8" borderId="6" numFmtId="160" xfId="1" applyNumberFormat="1" applyFont="1" applyFill="1" applyBorder="1" applyAlignment="1">
      <alignment horizontal="center" vertical="center"/>
    </xf>
    <xf fontId="4" fillId="3" borderId="6" numFmtId="160" xfId="1" applyNumberFormat="1" applyFont="1" applyFill="1" applyBorder="1" applyAlignment="1">
      <alignment horizontal="center" vertical="center"/>
    </xf>
    <xf fontId="4" fillId="8" borderId="3" numFmtId="160" xfId="1" applyNumberFormat="1" applyFont="1" applyFill="1" applyBorder="1" applyAlignment="1">
      <alignment horizontal="center" vertical="center"/>
    </xf>
    <xf fontId="4" fillId="0" borderId="3" numFmtId="0" xfId="0" applyFont="1" applyBorder="1" applyAlignment="1">
      <alignment horizontal="center" vertical="center"/>
    </xf>
    <xf fontId="4" fillId="3" borderId="3" numFmtId="160" xfId="1" applyNumberFormat="1" applyFont="1" applyFill="1" applyBorder="1" applyAlignment="1">
      <alignment horizontal="center" vertical="center"/>
    </xf>
    <xf fontId="4" fillId="0" borderId="0" numFmtId="0" xfId="0" applyFont="1" applyAlignment="1">
      <alignment horizontal="center" vertical="center"/>
    </xf>
    <xf fontId="4" fillId="0" borderId="0" numFmtId="1" xfId="0" applyNumberFormat="1" applyFont="1" applyAlignment="1">
      <alignment horizontal="center" vertical="center"/>
    </xf>
    <xf fontId="4" fillId="3" borderId="0" numFmtId="1" xfId="0" applyNumberFormat="1" applyFont="1" applyFill="1" applyAlignment="1">
      <alignment horizontal="center" vertical="center"/>
    </xf>
    <xf fontId="6" fillId="9" borderId="3" numFmtId="160" xfId="1" applyNumberFormat="1" applyFont="1" applyFill="1" applyBorder="1" applyAlignment="1">
      <alignment horizontal="center" vertical="center"/>
    </xf>
    <xf fontId="6" fillId="9" borderId="3" numFmtId="9" xfId="0" applyNumberFormat="1" applyFont="1" applyFill="1" applyBorder="1" applyAlignment="1">
      <alignment horizontal="center" vertical="center"/>
    </xf>
    <xf fontId="6" fillId="9" borderId="3" numFmtId="0" xfId="0" applyFont="1" applyFill="1" applyBorder="1" applyAlignment="1">
      <alignment horizontal="center" vertical="center"/>
    </xf>
    <xf fontId="6" fillId="8" borderId="3" numFmtId="0" xfId="0" applyFont="1" applyFill="1" applyBorder="1" applyAlignment="1">
      <alignment horizontal="center" vertical="center"/>
    </xf>
    <xf fontId="8" fillId="9" borderId="3" numFmtId="160" xfId="1" applyNumberFormat="1" applyFont="1" applyFill="1" applyBorder="1" applyAlignment="1">
      <alignment horizontal="center" vertical="center"/>
    </xf>
    <xf fontId="0" fillId="8" borderId="3" numFmtId="0" xfId="0" applyFill="1" applyBorder="1" applyAlignment="1">
      <alignment horizontal="center" vertical="center"/>
    </xf>
    <xf fontId="7" fillId="0" borderId="0" numFmtId="0" xfId="0" applyFont="1" applyAlignment="1">
      <alignment horizontal="center" vertical="center"/>
    </xf>
    <xf fontId="0" fillId="3" borderId="0" numFmtId="0" xfId="0" applyFill="1" applyAlignment="1">
      <alignment vertical="center"/>
    </xf>
    <xf fontId="2" fillId="0" borderId="0" numFmtId="0" xfId="0" applyFont="1" applyAlignment="1">
      <alignment horizontal="center" vertical="center"/>
    </xf>
    <xf fontId="0" fillId="0" borderId="0" numFmtId="0" xfId="0" applyAlignment="1">
      <alignment vertical="center"/>
    </xf>
    <xf fontId="0" fillId="3" borderId="3" numFmtId="0" xfId="0" applyFill="1" applyBorder="1" applyAlignment="1">
      <alignment horizontal="center" vertical="center"/>
    </xf>
    <xf fontId="4" fillId="10" borderId="1" numFmtId="0" xfId="0" applyFont="1" applyFill="1" applyBorder="1" applyAlignment="1">
      <alignment horizontal="center" vertical="center"/>
    </xf>
    <xf fontId="4" fillId="10" borderId="5" numFmtId="160" xfId="1" applyNumberFormat="1" applyFont="1" applyFill="1" applyBorder="1" applyAlignment="1">
      <alignment horizontal="center" vertical="center"/>
    </xf>
    <xf fontId="4" fillId="10" borderId="7" numFmtId="160" xfId="1" applyNumberFormat="1" applyFont="1" applyFill="1" applyBorder="1" applyAlignment="1">
      <alignment horizontal="center" vertical="center"/>
    </xf>
    <xf fontId="4" fillId="3" borderId="0" numFmtId="160" xfId="1" applyNumberFormat="1" applyFont="1" applyFill="1" applyAlignment="1">
      <alignment horizontal="center" vertical="center"/>
    </xf>
    <xf fontId="4" fillId="10" borderId="3" numFmtId="160" xfId="1" applyNumberFormat="1" applyFont="1" applyFill="1" applyBorder="1" applyAlignment="1">
      <alignment horizontal="center" vertical="center"/>
    </xf>
    <xf fontId="0" fillId="3" borderId="0" numFmtId="160" xfId="1" applyNumberFormat="1" applyFill="1" applyAlignment="1">
      <alignment horizontal="center" vertical="center"/>
    </xf>
    <xf fontId="0" fillId="0" borderId="0" numFmtId="1" xfId="0" applyNumberFormat="1" applyAlignment="1">
      <alignment vertical="center"/>
    </xf>
    <xf fontId="0" fillId="0" borderId="8" numFmtId="160" xfId="1" applyNumberFormat="1" applyBorder="1" applyAlignment="1">
      <alignment horizontal="center" vertical="center"/>
    </xf>
    <xf fontId="0" fillId="0" borderId="9" numFmtId="160" xfId="1" applyNumberFormat="1" applyBorder="1" applyAlignment="1">
      <alignment horizontal="center" vertical="center"/>
    </xf>
    <xf fontId="4" fillId="10" borderId="8" numFmtId="160" xfId="1" applyNumberFormat="1" applyFont="1" applyFill="1" applyBorder="1" applyAlignment="1">
      <alignment horizontal="center" vertical="center"/>
    </xf>
    <xf fontId="4" fillId="10" borderId="9" numFmtId="160" xfId="1" applyNumberFormat="1" applyFont="1" applyFill="1" applyBorder="1" applyAlignment="1">
      <alignment horizontal="center" vertical="center"/>
    </xf>
    <xf fontId="4" fillId="6" borderId="8" numFmtId="160" xfId="1" applyNumberFormat="1" applyFont="1" applyFill="1" applyBorder="1" applyAlignment="1">
      <alignment horizontal="center" vertical="center"/>
    </xf>
    <xf fontId="4" fillId="6" borderId="9" numFmtId="160" xfId="1" applyNumberFormat="1" applyFont="1" applyFill="1" applyBorder="1" applyAlignment="1">
      <alignment horizontal="center" vertical="center"/>
    </xf>
    <xf fontId="4" fillId="6" borderId="3" numFmtId="160" xfId="1" applyNumberFormat="1" applyFont="1" applyFill="1" applyBorder="1" applyAlignment="1">
      <alignment horizontal="center" vertical="center"/>
    </xf>
    <xf fontId="4" fillId="6" borderId="8" numFmtId="0" xfId="1" applyFont="1" applyFill="1" applyBorder="1" applyAlignment="1">
      <alignment horizontal="center" vertical="center"/>
    </xf>
    <xf fontId="4" fillId="6" borderId="10" numFmtId="0" xfId="1" applyFont="1" applyFill="1" applyBorder="1" applyAlignment="1">
      <alignment horizontal="center" vertical="center"/>
    </xf>
    <xf fontId="4" fillId="6" borderId="9" numFmtId="0" xfId="1" applyFont="1" applyFill="1" applyBorder="1" applyAlignment="1">
      <alignment horizontal="center" vertical="center"/>
    </xf>
    <xf fontId="4" fillId="3" borderId="0" numFmtId="0" xfId="1" applyFont="1" applyFill="1" applyAlignment="1">
      <alignment horizontal="center" vertical="center"/>
    </xf>
    <xf fontId="4" fillId="6" borderId="3" numFmtId="0" xfId="1" applyFont="1" applyFill="1" applyBorder="1" applyAlignment="1">
      <alignment horizontal="center" vertical="center"/>
    </xf>
    <xf fontId="7" fillId="0" borderId="8" numFmtId="160" xfId="1" applyNumberFormat="1" applyFont="1" applyBorder="1" applyAlignment="1">
      <alignment horizontal="center" vertical="center"/>
    </xf>
    <xf fontId="7" fillId="0" borderId="9" numFmtId="160" xfId="1" applyNumberFormat="1" applyFont="1" applyBorder="1" applyAlignment="1">
      <alignment horizontal="center" vertical="center"/>
    </xf>
    <xf fontId="7" fillId="0" borderId="3" numFmtId="160" xfId="1" applyNumberFormat="1" applyFont="1" applyBorder="1" applyAlignment="1">
      <alignment horizontal="center" vertical="center"/>
    </xf>
    <xf fontId="7" fillId="0" borderId="11" numFmtId="160" xfId="1" applyNumberFormat="1" applyFont="1" applyBorder="1" applyAlignment="1">
      <alignment horizontal="center" vertical="center"/>
    </xf>
    <xf fontId="7" fillId="0" borderId="12" numFmtId="160" xfId="1" applyNumberFormat="1" applyFont="1" applyBorder="1" applyAlignment="1">
      <alignment horizontal="center" vertical="center"/>
    </xf>
    <xf fontId="7" fillId="3" borderId="0" numFmtId="160" xfId="1" applyNumberFormat="1" applyFont="1" applyFill="1" applyAlignment="1">
      <alignment horizontal="center" vertical="center"/>
    </xf>
    <xf fontId="9" fillId="0" borderId="1" numFmtId="0" xfId="0" applyFont="1" applyBorder="1" applyAlignment="1">
      <alignment horizontal="center" vertical="center"/>
    </xf>
    <xf fontId="10" fillId="0" borderId="1" numFmtId="0" xfId="0" applyFont="1" applyBorder="1" applyAlignment="1">
      <alignment horizontal="center" vertical="center"/>
    </xf>
    <xf fontId="4" fillId="10" borderId="1" numFmtId="160" xfId="1" applyNumberFormat="1" applyFont="1" applyFill="1" applyBorder="1" applyAlignment="1">
      <alignment horizontal="center" vertical="center"/>
    </xf>
    <xf fontId="4" fillId="10" borderId="2" numFmtId="160" xfId="1" applyNumberFormat="1" applyFont="1" applyFill="1" applyBorder="1" applyAlignment="1">
      <alignment horizontal="center" vertical="center"/>
    </xf>
    <xf fontId="4" fillId="11" borderId="5" numFmtId="0" xfId="0" applyFont="1" applyFill="1" applyBorder="1" applyAlignment="1">
      <alignment horizontal="center" vertical="center"/>
    </xf>
    <xf fontId="4" fillId="11" borderId="5" numFmtId="160" xfId="1" applyNumberFormat="1" applyFont="1" applyFill="1" applyBorder="1" applyAlignment="1">
      <alignment horizontal="center" vertical="center"/>
    </xf>
    <xf fontId="4" fillId="11" borderId="6" numFmtId="160" xfId="1" applyNumberFormat="1" applyFont="1" applyFill="1" applyBorder="1" applyAlignment="1">
      <alignment horizontal="center" vertical="center"/>
    </xf>
    <xf fontId="4" fillId="11" borderId="3" numFmtId="160" xfId="1" applyNumberFormat="1" applyFont="1" applyFill="1" applyBorder="1" applyAlignment="1">
      <alignment horizontal="center" vertical="center"/>
    </xf>
    <xf fontId="0" fillId="3" borderId="3" numFmtId="160" xfId="1" applyNumberFormat="1" applyFill="1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0" fillId="3" borderId="1" numFmtId="0" xfId="0" applyFill="1" applyBorder="1" applyAlignment="1">
      <alignment horizontal="center" vertical="center"/>
    </xf>
    <xf fontId="4" fillId="8" borderId="1" numFmtId="160" xfId="1" applyNumberFormat="1" applyFont="1" applyFill="1" applyBorder="1" applyAlignment="1">
      <alignment horizontal="center" vertical="center"/>
    </xf>
    <xf fontId="4" fillId="3" borderId="1" numFmtId="160" xfId="1" applyNumberFormat="1" applyFont="1" applyFill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0" fillId="0" borderId="14" numFmtId="0" xfId="0" applyBorder="1" applyAlignment="1">
      <alignment horizontal="center" vertical="center"/>
    </xf>
    <xf fontId="0" fillId="0" borderId="15" numFmtId="0" xfId="0" applyBorder="1" applyAlignment="1">
      <alignment horizontal="center" vertical="center"/>
    </xf>
    <xf fontId="0" fillId="0" borderId="8" numFmtId="0" xfId="0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1" numFmtId="9" xfId="0" applyNumberFormat="1" applyBorder="1" applyAlignment="1">
      <alignment horizontal="center" vertical="center"/>
    </xf>
    <xf fontId="0" fillId="0" borderId="16" numFmtId="0" xfId="0" applyBorder="1" applyAlignment="1">
      <alignment horizontal="center" vertical="center"/>
    </xf>
    <xf fontId="0" fillId="0" borderId="0" numFmtId="9" xfId="0" applyNumberFormat="1" applyAlignment="1">
      <alignment horizontal="center" vertical="center"/>
    </xf>
    <xf fontId="0" fillId="0" borderId="8" numFmtId="0" xfId="0" applyBorder="1" applyAlignment="1">
      <alignment horizontal="left" vertical="center"/>
    </xf>
    <xf fontId="0" fillId="0" borderId="1" numFmtId="0" xfId="0" applyBorder="1" applyAlignment="1">
      <alignment horizontal="left" vertical="center"/>
    </xf>
    <xf fontId="4" fillId="8" borderId="1" numFmtId="9" xfId="0" applyNumberFormat="1" applyFont="1" applyFill="1" applyBorder="1" applyAlignment="1">
      <alignment horizontal="center" vertical="center"/>
    </xf>
    <xf fontId="11" fillId="0" borderId="0" numFmtId="0" xfId="0" applyFont="1" applyAlignment="1">
      <alignment horizontal="center" vertical="center"/>
    </xf>
    <xf fontId="7" fillId="0" borderId="0" numFmtId="0" xfId="0" applyFont="1" applyAlignment="1">
      <alignment vertical="center"/>
    </xf>
    <xf fontId="7" fillId="0" borderId="3" numFmtId="0" xfId="0" applyFont="1" applyBorder="1" applyAlignment="1">
      <alignment horizontal="center" vertical="center"/>
    </xf>
    <xf fontId="0" fillId="0" borderId="3" numFmtId="0" xfId="0" applyBorder="1" applyAlignment="1">
      <alignment horizontal="center" vertical="center"/>
    </xf>
    <xf fontId="7" fillId="0" borderId="1" numFmtId="0" xfId="0" applyFont="1" applyBorder="1" applyAlignment="1">
      <alignment vertical="center"/>
    </xf>
    <xf fontId="0" fillId="0" borderId="0" numFmtId="160" xfId="1" applyNumberFormat="1" applyAlignment="1">
      <alignment horizontal="center" vertical="center"/>
    </xf>
    <xf fontId="4" fillId="9" borderId="1" numFmtId="0" xfId="0" applyFont="1" applyFill="1" applyBorder="1" applyAlignment="1">
      <alignment vertical="center"/>
    </xf>
    <xf fontId="4" fillId="9" borderId="1" numFmtId="160" xfId="1" applyNumberFormat="1" applyFont="1" applyFill="1" applyBorder="1" applyAlignment="1">
      <alignment horizontal="center" vertical="center"/>
    </xf>
    <xf fontId="6" fillId="12" borderId="3" numFmtId="0" xfId="0" applyFont="1" applyFill="1" applyBorder="1" applyAlignment="1">
      <alignment horizontal="center" vertical="center"/>
    </xf>
    <xf fontId="6" fillId="4" borderId="3" numFmtId="0" xfId="0" applyFont="1" applyFill="1" applyBorder="1" applyAlignment="1">
      <alignment vertical="center"/>
    </xf>
    <xf fontId="6" fillId="4" borderId="3" numFmtId="0" xfId="0" applyFont="1" applyFill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0" fillId="0" borderId="3" numFmtId="9" xfId="0" applyNumberFormat="1" applyBorder="1" applyAlignment="1">
      <alignment horizontal="center" vertical="center"/>
    </xf>
    <xf fontId="0" fillId="5" borderId="3" numFmtId="160" xfId="1" applyNumberFormat="1" applyFill="1" applyBorder="1" applyAlignment="1">
      <alignment horizontal="center" vertical="center"/>
    </xf>
    <xf fontId="0" fillId="13" borderId="3" numFmtId="160" xfId="1" applyNumberFormat="1" applyFill="1" applyBorder="1" applyAlignment="1">
      <alignment horizontal="center" vertical="center"/>
    </xf>
    <xf fontId="0" fillId="0" borderId="18" numFmtId="0" xfId="0" applyBorder="1" applyAlignment="1">
      <alignment horizontal="center" vertical="center"/>
    </xf>
    <xf fontId="6" fillId="4" borderId="3" numFmtId="160" xfId="1" applyNumberFormat="1" applyFont="1" applyFill="1" applyBorder="1" applyAlignment="1">
      <alignment horizontal="center" vertical="center"/>
    </xf>
    <xf fontId="6" fillId="4" borderId="3" numFmtId="0" xfId="0" applyFont="1" applyFill="1" applyBorder="1" applyAlignment="1">
      <alignment horizontal="left" vertical="center"/>
    </xf>
    <xf fontId="0" fillId="0" borderId="3" numFmtId="0" xfId="0" applyBorder="1" applyAlignment="1">
      <alignment vertical="center"/>
    </xf>
    <xf fontId="0" fillId="0" borderId="3" numFmtId="0" xfId="0" applyBorder="1" applyAlignment="1">
      <alignment horizontal="left" vertical="center"/>
    </xf>
    <xf fontId="0" fillId="0" borderId="3" numFmtId="0" xfId="0" applyBorder="1" applyAlignment="1">
      <alignment vertical="center"/>
    </xf>
    <xf fontId="6" fillId="6" borderId="3" numFmtId="0" xfId="0" applyFont="1" applyFill="1" applyBorder="1" applyAlignment="1">
      <alignment vertical="center"/>
    </xf>
    <xf fontId="6" fillId="8" borderId="3" numFmtId="0" xfId="0" applyFont="1" applyFill="1" applyBorder="1" applyAlignment="1">
      <alignment vertical="center"/>
    </xf>
    <xf fontId="6" fillId="8" borderId="3" numFmtId="160" xfId="1" applyNumberFormat="1" applyFont="1" applyFill="1" applyBorder="1" applyAlignment="1">
      <alignment horizontal="center" vertical="center"/>
    </xf>
    <xf fontId="0" fillId="0" borderId="3" numFmtId="160" xfId="1" applyNumberFormat="1" applyBorder="1" applyAlignment="1">
      <alignment vertical="center"/>
    </xf>
    <xf fontId="0" fillId="4" borderId="3" numFmtId="0" xfId="0" applyFill="1" applyBorder="1" applyAlignment="1">
      <alignment horizontal="center" vertical="center"/>
    </xf>
    <xf fontId="8" fillId="4" borderId="3" numFmtId="160" xfId="1" applyNumberFormat="1" applyFont="1" applyFill="1" applyBorder="1" applyAlignment="1">
      <alignment horizontal="center" vertical="center"/>
    </xf>
    <xf fontId="8" fillId="8" borderId="3" numFmtId="160" xfId="1" applyNumberFormat="1" applyFont="1" applyFill="1" applyBorder="1" applyAlignment="1">
      <alignment horizontal="center" vertical="center"/>
    </xf>
    <xf fontId="12" fillId="14" borderId="12" numFmtId="0" xfId="0" applyFont="1" applyFill="1" applyBorder="1" applyAlignment="1">
      <alignment horizontal="center" vertical="center" wrapText="1"/>
    </xf>
    <xf fontId="12" fillId="0" borderId="1" numFmtId="0" xfId="0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0" fillId="0" borderId="19" numFmtId="0" xfId="0" applyBorder="1" applyAlignment="1">
      <alignment horizontal="center" vertical="center"/>
    </xf>
    <xf fontId="12" fillId="14" borderId="8" numFmtId="0" xfId="0" applyFont="1" applyFill="1" applyBorder="1" applyAlignment="1">
      <alignment horizontal="center" vertical="center" wrapText="1"/>
    </xf>
    <xf fontId="12" fillId="0" borderId="8" numFmtId="0" xfId="0" applyFont="1" applyBorder="1" applyAlignment="1">
      <alignment horizontal="center" vertical="center" wrapText="1"/>
    </xf>
    <xf fontId="0" fillId="0" borderId="13" numFmtId="0" xfId="0" applyBorder="1" applyAlignment="1">
      <alignment horizontal="left" vertical="center"/>
    </xf>
    <xf fontId="0" fillId="0" borderId="14" numFmtId="0" xfId="0" applyBorder="1" applyAlignment="1">
      <alignment horizontal="left" vertical="center"/>
    </xf>
    <xf fontId="0" fillId="0" borderId="15" numFmtId="0" xfId="0" applyBorder="1" applyAlignment="1">
      <alignment horizontal="left" vertical="center"/>
    </xf>
    <xf fontId="0" fillId="5" borderId="3" numFmtId="0" xfId="0" applyFill="1" applyBorder="1" applyAlignment="1">
      <alignment horizontal="center" vertical="center"/>
    </xf>
    <xf fontId="0" fillId="0" borderId="3" numFmtId="0" xfId="0" applyBorder="1" applyAlignment="1">
      <alignment horizontal="center" vertical="center" wrapText="1"/>
    </xf>
    <xf fontId="12" fillId="14" borderId="8" numFmtId="0" xfId="0" applyFont="1" applyFill="1" applyBorder="1" applyAlignment="1">
      <alignment horizontal="left" vertical="center" wrapText="1"/>
    </xf>
    <xf fontId="12" fillId="0" borderId="8" numFmtId="160" xfId="1" applyNumberFormat="1" applyFont="1" applyBorder="1" applyAlignment="1">
      <alignment horizontal="center" vertical="center" wrapText="1"/>
    </xf>
    <xf fontId="0" fillId="9" borderId="3" numFmtId="0" xfId="0" applyFill="1" applyBorder="1" applyAlignment="1">
      <alignment vertical="center"/>
    </xf>
    <xf fontId="0" fillId="9" borderId="3" numFmtId="0" xfId="0" applyFill="1" applyBorder="1" applyAlignment="1">
      <alignment horizontal="center" vertical="center"/>
    </xf>
    <xf fontId="0" fillId="0" borderId="3" numFmtId="2" xfId="0" applyNumberFormat="1" applyBorder="1" applyAlignment="1">
      <alignment horizontal="center" vertical="center"/>
    </xf>
    <xf fontId="13" fillId="14" borderId="8" numFmtId="0" xfId="0" applyFont="1" applyFill="1" applyBorder="1" applyAlignment="1">
      <alignment horizontal="left" vertical="center" wrapText="1"/>
    </xf>
    <xf fontId="13" fillId="14" borderId="11" numFmtId="0" xfId="0" applyFont="1" applyFill="1" applyBorder="1" applyAlignment="1">
      <alignment horizontal="center" vertical="center" wrapText="1"/>
    </xf>
    <xf fontId="13" fillId="0" borderId="11" numFmtId="160" xfId="1" applyNumberFormat="1" applyFont="1" applyBorder="1" applyAlignment="1">
      <alignment horizontal="center" vertical="center" wrapText="1"/>
    </xf>
    <xf fontId="13" fillId="0" borderId="11" numFmtId="161" xfId="0" applyNumberFormat="1" applyFont="1" applyBorder="1" applyAlignment="1">
      <alignment horizontal="center" vertical="center" wrapText="1"/>
    </xf>
    <xf fontId="13" fillId="0" borderId="11" numFmtId="0" xfId="0" applyFont="1" applyBorder="1" applyAlignment="1">
      <alignment horizontal="center" vertical="center" wrapText="1"/>
    </xf>
    <xf fontId="13" fillId="0" borderId="11" numFmtId="9" xfId="0" applyNumberFormat="1" applyFont="1" applyBorder="1" applyAlignment="1">
      <alignment horizontal="center" vertical="center" wrapText="1"/>
    </xf>
    <xf fontId="6" fillId="15" borderId="3" numFmtId="0" xfId="0" applyFont="1" applyFill="1" applyBorder="1" applyAlignment="1">
      <alignment vertical="center"/>
    </xf>
    <xf fontId="13" fillId="14" borderId="12" numFmtId="0" xfId="0" applyFont="1" applyFill="1" applyBorder="1" applyAlignment="1">
      <alignment horizontal="center" vertical="center" wrapText="1"/>
    </xf>
    <xf fontId="13" fillId="0" borderId="8" numFmtId="0" xfId="0" applyFont="1" applyBorder="1" applyAlignment="1">
      <alignment horizontal="center" vertical="center" wrapText="1"/>
    </xf>
    <xf fontId="6" fillId="16" borderId="3" numFmtId="0" xfId="0" applyFont="1" applyFill="1" applyBorder="1" applyAlignment="1">
      <alignment horizontal="center" vertical="center"/>
    </xf>
  </cellXfs>
  <cellStyles count="2">
    <cellStyle name="Обычный" xfId="0" builtinId="0"/>
    <cellStyle name="Currenc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G32" activeCellId="0" sqref="G32"/>
    </sheetView>
  </sheetViews>
  <sheetFormatPr defaultColWidth="10" defaultRowHeight="14.25"/>
  <cols>
    <col customWidth="1" min="1" max="1" style="1" width="31.28125"/>
    <col customWidth="1" min="2" max="2" style="1" width="17.7109375"/>
    <col customWidth="1" min="3" max="3" style="1" width="16.28125"/>
    <col customWidth="1" min="4" max="4" style="1" width="16.8515625"/>
    <col customWidth="1" min="5" max="6" style="1" width="18.8515625"/>
    <col customWidth="1" min="7" max="7" style="1" width="16.28125"/>
    <col customWidth="1" min="8" max="8" style="2" width="1.6328125"/>
    <col customWidth="1" min="9" max="9" style="1" width="15.7109375"/>
    <col customWidth="1" min="10" max="10" style="1" width="11.42578125"/>
    <col customWidth="1" min="11" max="11" style="1" width="18.28125"/>
    <col customWidth="1" min="12" max="12" style="1" width="10.8515625"/>
    <col customWidth="1" min="13" max="13" style="1" width="16.8515625"/>
    <col customWidth="1" min="14" max="14" style="1" width="18.28125"/>
    <col customWidth="1" min="15" max="15" style="1" width="18.57421875"/>
    <col customWidth="1" min="16" max="16" style="1" width="16.8515625"/>
    <col customWidth="1" min="17" max="17" style="1" width="13.28515625"/>
    <col customWidth="1" min="18" max="18" style="1" width="11.42578125"/>
    <col customWidth="1" min="19" max="19" style="1" width="15.85546875"/>
    <col bestFit="1" customWidth="1" min="20" max="20" style="1" width="10.140625"/>
    <col customWidth="1" min="21" max="258" style="1" width="11.42578125"/>
    <col min="259" max="16384" style="1" width="10"/>
  </cols>
  <sheetData>
    <row r="1" ht="21">
      <c r="A1" s="3" t="s">
        <v>0</v>
      </c>
      <c r="B1" s="3"/>
      <c r="C1" s="3"/>
      <c r="D1" s="3"/>
      <c r="E1" s="3"/>
      <c r="F1" s="3"/>
      <c r="G1" s="3"/>
      <c r="H1" s="3"/>
      <c r="I1" s="3"/>
    </row>
    <row r="2">
      <c r="B2" s="1"/>
      <c r="C2" s="1"/>
    </row>
    <row r="3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2"/>
      <c r="I3" s="6" t="s">
        <v>7</v>
      </c>
    </row>
    <row r="4">
      <c r="A4" s="7" t="s">
        <v>8</v>
      </c>
      <c r="B4" s="8">
        <f>'one price'!B24+Аренда!B8</f>
        <v>125361</v>
      </c>
      <c r="C4" s="8">
        <f>'one price'!C24+Аренда!B8</f>
        <v>168734</v>
      </c>
      <c r="D4" s="8">
        <f>'one price'!D24+Аренда!B8</f>
        <v>261854</v>
      </c>
      <c r="E4" s="8">
        <f>'one price'!E24+Аренда!B8</f>
        <v>318859.24242424243</v>
      </c>
      <c r="F4" s="8">
        <f>'one price'!F24+Аренда!B8</f>
        <v>392996.1176470588</v>
      </c>
      <c r="G4" s="9">
        <f>'one price'!G24+Аренда!C8</f>
        <v>345702</v>
      </c>
      <c r="H4" s="10"/>
      <c r="I4" s="11">
        <f>SUM(I5:I6)</f>
        <v>553702</v>
      </c>
      <c r="N4" s="1"/>
      <c r="O4" s="1"/>
      <c r="P4" s="1"/>
    </row>
    <row r="5">
      <c r="A5" s="12" t="s">
        <v>9</v>
      </c>
      <c r="B5" s="13">
        <f>Аренда!B8</f>
        <v>68000</v>
      </c>
      <c r="C5" s="13">
        <f>Аренда!B8</f>
        <v>68000</v>
      </c>
      <c r="D5" s="13">
        <f>Аренда!B8</f>
        <v>68000</v>
      </c>
      <c r="E5" s="13">
        <f>Аренда!B8</f>
        <v>68000</v>
      </c>
      <c r="F5" s="13">
        <f>Аренда!B8</f>
        <v>68000</v>
      </c>
      <c r="G5" s="14">
        <f>Аренда!B8</f>
        <v>68000</v>
      </c>
      <c r="H5" s="10"/>
      <c r="I5" s="15">
        <f>Аренда!D8</f>
        <v>120000</v>
      </c>
    </row>
    <row r="6">
      <c r="A6" s="12" t="s">
        <v>10</v>
      </c>
      <c r="B6" s="13">
        <f>'one price'!B24</f>
        <v>57361</v>
      </c>
      <c r="C6" s="13">
        <f>'one price'!C24</f>
        <v>100734</v>
      </c>
      <c r="D6" s="13">
        <f>'one price'!D24</f>
        <v>193854</v>
      </c>
      <c r="E6" s="13">
        <f>'one price'!E24</f>
        <v>250859.24242424243</v>
      </c>
      <c r="F6" s="13">
        <f>'one price'!F24</f>
        <v>324996.1176470588</v>
      </c>
      <c r="G6" s="14">
        <f>'one price'!G24</f>
        <v>345702</v>
      </c>
      <c r="H6" s="10"/>
      <c r="I6" s="15">
        <f>'one price'!I24</f>
        <v>433702</v>
      </c>
    </row>
    <row r="7">
      <c r="A7" s="7" t="s">
        <v>11</v>
      </c>
      <c r="B7" s="16">
        <f>SUM(B8:B13)</f>
        <v>20000</v>
      </c>
      <c r="C7" s="16">
        <f>SUM(C8:C13)</f>
        <v>15000</v>
      </c>
      <c r="D7" s="16">
        <f>SUM(D8:D13)</f>
        <v>482500</v>
      </c>
      <c r="E7" s="16">
        <f>SUM(E8:E13)</f>
        <v>30000</v>
      </c>
      <c r="F7" s="16">
        <f>SUM(F8:F13)</f>
        <v>35000</v>
      </c>
      <c r="G7" s="17">
        <f>SUM(G8:G13)</f>
        <v>592500</v>
      </c>
      <c r="H7" s="17"/>
      <c r="I7" s="18">
        <f>SUM(I8:I13)</f>
        <v>35000</v>
      </c>
      <c r="M7" s="1"/>
      <c r="N7" s="1"/>
    </row>
    <row r="8">
      <c r="A8" s="19" t="s">
        <v>12</v>
      </c>
      <c r="B8" s="20">
        <v>10000</v>
      </c>
      <c r="C8" s="20">
        <v>10000</v>
      </c>
      <c r="D8" s="20">
        <v>10000</v>
      </c>
      <c r="E8" s="20">
        <v>10000</v>
      </c>
      <c r="F8" s="20">
        <v>10000</v>
      </c>
      <c r="G8" s="21">
        <v>10000</v>
      </c>
      <c r="H8" s="22"/>
      <c r="I8" s="23">
        <v>10000</v>
      </c>
    </row>
    <row r="9">
      <c r="A9" s="19" t="s">
        <v>13</v>
      </c>
      <c r="B9" s="20"/>
      <c r="C9" s="20"/>
      <c r="D9" s="20"/>
      <c r="E9" s="20"/>
      <c r="F9" s="20"/>
      <c r="G9" s="21"/>
      <c r="H9" s="22"/>
      <c r="I9" s="23"/>
    </row>
    <row r="10">
      <c r="A10" s="19" t="s">
        <v>14</v>
      </c>
      <c r="B10" s="20"/>
      <c r="C10" s="20"/>
      <c r="D10" s="20">
        <f>C36*3-100000</f>
        <v>462500</v>
      </c>
      <c r="E10" s="20"/>
      <c r="F10" s="20"/>
      <c r="G10" s="21">
        <f>C36*3</f>
        <v>562500</v>
      </c>
      <c r="H10" s="22"/>
      <c r="I10" s="23"/>
    </row>
    <row r="11">
      <c r="A11" s="19" t="s">
        <v>15</v>
      </c>
      <c r="B11" s="20">
        <v>5000</v>
      </c>
      <c r="C11" s="20"/>
      <c r="D11" s="20">
        <v>5000</v>
      </c>
      <c r="E11" s="20"/>
      <c r="F11" s="20">
        <v>5000</v>
      </c>
      <c r="G11" s="21"/>
      <c r="H11" s="22"/>
      <c r="I11" s="23">
        <v>5000</v>
      </c>
    </row>
    <row r="12">
      <c r="A12" s="19" t="s">
        <v>16</v>
      </c>
      <c r="B12" s="20"/>
      <c r="C12" s="20"/>
      <c r="D12" s="20"/>
      <c r="E12" s="20">
        <v>15000</v>
      </c>
      <c r="F12" s="20">
        <v>15000</v>
      </c>
      <c r="G12" s="21">
        <v>15000</v>
      </c>
      <c r="H12" s="22"/>
      <c r="I12" s="23">
        <v>15000</v>
      </c>
    </row>
    <row r="13">
      <c r="A13" s="19" t="s">
        <v>17</v>
      </c>
      <c r="B13" s="20">
        <v>5000</v>
      </c>
      <c r="C13" s="20">
        <v>5000</v>
      </c>
      <c r="D13" s="20">
        <v>5000</v>
      </c>
      <c r="E13" s="20">
        <v>5000</v>
      </c>
      <c r="F13" s="20">
        <v>5000</v>
      </c>
      <c r="G13" s="21">
        <v>5000</v>
      </c>
      <c r="H13" s="22"/>
      <c r="I13" s="23">
        <v>5000</v>
      </c>
    </row>
    <row r="14">
      <c r="A14" s="24" t="s">
        <v>18</v>
      </c>
      <c r="B14" s="16">
        <f>B4-B7</f>
        <v>105361</v>
      </c>
      <c r="C14" s="16">
        <f>C4-C7</f>
        <v>153734</v>
      </c>
      <c r="D14" s="16">
        <f>D4-D7</f>
        <v>-220646</v>
      </c>
      <c r="E14" s="16">
        <f>E4-E7</f>
        <v>288859.24242424243</v>
      </c>
      <c r="F14" s="16">
        <f>F4-F7</f>
        <v>357996.1176470588</v>
      </c>
      <c r="G14" s="17">
        <f>G4-G7</f>
        <v>-246798</v>
      </c>
      <c r="H14" s="25"/>
      <c r="I14" s="18">
        <f>I4-I7</f>
        <v>518702</v>
      </c>
      <c r="M14" s="1"/>
    </row>
    <row r="15">
      <c r="A15" s="26" t="s">
        <v>19</v>
      </c>
      <c r="B15" s="27">
        <f>SUM(B16:B20)</f>
        <v>35200</v>
      </c>
      <c r="C15" s="27">
        <f>SUM(C16:C20)</f>
        <v>23450</v>
      </c>
      <c r="D15" s="27">
        <f>SUM(D16:D20)</f>
        <v>-46675</v>
      </c>
      <c r="E15" s="27">
        <f>SUM(E16:E20)</f>
        <v>21200</v>
      </c>
      <c r="F15" s="27">
        <f>SUM(F16:F20)</f>
        <v>20450</v>
      </c>
      <c r="G15" s="28">
        <f>SUM(G16:G20)</f>
        <v>-73375</v>
      </c>
      <c r="H15" s="29"/>
      <c r="I15" s="30">
        <f>SUM(I16:I20)</f>
        <v>28250</v>
      </c>
    </row>
    <row r="16">
      <c r="A16" s="31" t="s">
        <v>20</v>
      </c>
      <c r="B16" s="32">
        <f>(B14-B6)*0.15</f>
        <v>7200</v>
      </c>
      <c r="C16" s="32">
        <f>(C14-C6)*0.15</f>
        <v>7950</v>
      </c>
      <c r="D16" s="32">
        <f>(D14-D6)*0.15</f>
        <v>-62175</v>
      </c>
      <c r="E16" s="32">
        <f>(E14-E6)*0.15</f>
        <v>5700</v>
      </c>
      <c r="F16" s="32">
        <f>(F14-F6)*0.15</f>
        <v>4950</v>
      </c>
      <c r="G16" s="33">
        <f>(G14-G6)*0.15</f>
        <v>-88875</v>
      </c>
      <c r="H16" s="34"/>
      <c r="I16" s="35">
        <f>(I14-I6)*0.15</f>
        <v>12750</v>
      </c>
    </row>
    <row r="17">
      <c r="A17" s="31" t="s">
        <v>21</v>
      </c>
      <c r="B17" s="32">
        <v>28000</v>
      </c>
      <c r="C17" s="32">
        <v>28000</v>
      </c>
      <c r="D17" s="32">
        <v>28000</v>
      </c>
      <c r="E17" s="32">
        <v>28000</v>
      </c>
      <c r="F17" s="32">
        <v>28000</v>
      </c>
      <c r="G17" s="33">
        <v>28000</v>
      </c>
      <c r="H17" s="34"/>
      <c r="I17" s="35">
        <v>28000</v>
      </c>
    </row>
    <row r="18">
      <c r="A18" s="31" t="s">
        <v>22</v>
      </c>
      <c r="B18" s="32"/>
      <c r="C18" s="32">
        <v>-12500</v>
      </c>
      <c r="D18" s="32">
        <v>-12500</v>
      </c>
      <c r="E18" s="32">
        <v>-12500</v>
      </c>
      <c r="F18" s="32">
        <v>-12500</v>
      </c>
      <c r="G18" s="33">
        <v>-12500</v>
      </c>
      <c r="H18" s="34"/>
      <c r="I18" s="35">
        <v>-12500</v>
      </c>
    </row>
    <row r="19">
      <c r="A19" s="31" t="s">
        <v>23</v>
      </c>
      <c r="B19" s="32"/>
      <c r="C19" s="32"/>
      <c r="D19" s="32"/>
      <c r="E19" s="32"/>
      <c r="F19" s="32"/>
      <c r="G19" s="33"/>
      <c r="H19" s="34"/>
      <c r="I19" s="35"/>
    </row>
    <row r="20">
      <c r="A20" s="31" t="s">
        <v>24</v>
      </c>
      <c r="B20" s="32"/>
      <c r="C20" s="32"/>
      <c r="D20" s="32"/>
      <c r="E20" s="32"/>
      <c r="F20" s="32"/>
      <c r="G20" s="33"/>
      <c r="H20" s="34"/>
      <c r="I20" s="35"/>
    </row>
    <row r="21">
      <c r="A21" s="26" t="s">
        <v>10</v>
      </c>
      <c r="B21" s="27">
        <f>SUM(B22:B24)</f>
        <v>15255</v>
      </c>
      <c r="C21" s="27">
        <f>SUM(C22:C24)</f>
        <v>15255</v>
      </c>
      <c r="D21" s="27">
        <f>SUM(D22:D24)</f>
        <v>15255</v>
      </c>
      <c r="E21" s="27">
        <f>SUM(E22:E24)</f>
        <v>15255</v>
      </c>
      <c r="F21" s="27">
        <f>SUM(F22:F24)</f>
        <v>15255</v>
      </c>
      <c r="G21" s="28">
        <f>SUM(G22:G24)</f>
        <v>15256</v>
      </c>
      <c r="H21" s="29"/>
      <c r="I21" s="30">
        <f>SUM(I22:I24)</f>
        <v>15257</v>
      </c>
    </row>
    <row r="22">
      <c r="A22" s="31" t="s">
        <v>25</v>
      </c>
      <c r="B22" s="32">
        <v>6500</v>
      </c>
      <c r="C22" s="32">
        <v>6500</v>
      </c>
      <c r="D22" s="32">
        <v>6500</v>
      </c>
      <c r="E22" s="32">
        <v>6500</v>
      </c>
      <c r="F22" s="32">
        <v>6500</v>
      </c>
      <c r="G22" s="33">
        <v>6501</v>
      </c>
      <c r="H22" s="34"/>
      <c r="I22" s="35">
        <v>6502</v>
      </c>
    </row>
    <row r="23">
      <c r="A23" s="31" t="s">
        <v>23</v>
      </c>
      <c r="B23" s="32">
        <f>'one price'!B37*3*0.3</f>
        <v>7650</v>
      </c>
      <c r="C23" s="32">
        <f>'one price'!B37*3*0.3</f>
        <v>7650</v>
      </c>
      <c r="D23" s="32">
        <f>'one price'!B37*3*0.3</f>
        <v>7650</v>
      </c>
      <c r="E23" s="32">
        <f>'one price'!B37*3*0.3</f>
        <v>7650</v>
      </c>
      <c r="F23" s="32">
        <f>'one price'!B37*3*0.3</f>
        <v>7650</v>
      </c>
      <c r="G23" s="33">
        <f>'one price'!B37*3*0.3</f>
        <v>7650</v>
      </c>
      <c r="H23" s="34"/>
      <c r="I23" s="35">
        <f>'one price'!B37*3*0.3</f>
        <v>7650</v>
      </c>
    </row>
    <row r="24">
      <c r="A24" s="31" t="s">
        <v>26</v>
      </c>
      <c r="B24" s="32">
        <f>'one price'!B37*0.13</f>
        <v>1105</v>
      </c>
      <c r="C24" s="32">
        <f>'one price'!B37*0.13</f>
        <v>1105</v>
      </c>
      <c r="D24" s="32">
        <f>'one price'!B37*0.13</f>
        <v>1105</v>
      </c>
      <c r="E24" s="32">
        <f>'one price'!B37*0.13</f>
        <v>1105</v>
      </c>
      <c r="F24" s="32">
        <f>'one price'!B37*0.13</f>
        <v>1105</v>
      </c>
      <c r="G24" s="33">
        <f>'one price'!B37*0.13</f>
        <v>1105</v>
      </c>
      <c r="H24" s="34"/>
      <c r="I24" s="35">
        <f>'one price'!B37*0.13</f>
        <v>1105</v>
      </c>
    </row>
    <row r="25">
      <c r="A25" s="36" t="s">
        <v>27</v>
      </c>
      <c r="B25" s="37">
        <f>B15+B21</f>
        <v>50455</v>
      </c>
      <c r="C25" s="37">
        <f>C15+C21</f>
        <v>38705</v>
      </c>
      <c r="D25" s="37">
        <f>D15+D21</f>
        <v>-31420</v>
      </c>
      <c r="E25" s="37">
        <f>E15+E21</f>
        <v>36455</v>
      </c>
      <c r="F25" s="37">
        <f>F15+F21</f>
        <v>35705</v>
      </c>
      <c r="G25" s="38">
        <f>G15+G21</f>
        <v>-58119</v>
      </c>
      <c r="H25" s="29"/>
      <c r="I25" s="39">
        <f>I15+I21</f>
        <v>43507</v>
      </c>
    </row>
    <row r="26">
      <c r="A26" s="31" t="s">
        <v>28</v>
      </c>
      <c r="B26" s="32">
        <f>-B25</f>
        <v>-50455</v>
      </c>
      <c r="C26" s="32">
        <f>-C25</f>
        <v>-38705</v>
      </c>
      <c r="D26" s="32">
        <f>-D25</f>
        <v>31420</v>
      </c>
      <c r="E26" s="32"/>
      <c r="F26" s="32"/>
      <c r="G26" s="33"/>
      <c r="H26" s="34"/>
      <c r="I26" s="35"/>
      <c r="J26" s="40"/>
      <c r="N26" s="1" t="s">
        <v>29</v>
      </c>
    </row>
    <row r="27">
      <c r="A27" s="41" t="s">
        <v>27</v>
      </c>
      <c r="B27" s="42">
        <f>B25+B26</f>
        <v>0</v>
      </c>
      <c r="C27" s="42">
        <f>C25+C26</f>
        <v>0</v>
      </c>
      <c r="D27" s="42">
        <f>D25+D26</f>
        <v>0</v>
      </c>
      <c r="E27" s="42">
        <f>E25+E26</f>
        <v>36455</v>
      </c>
      <c r="F27" s="42">
        <f>F25+F26</f>
        <v>35705</v>
      </c>
      <c r="G27" s="43">
        <f>G25+G26</f>
        <v>-58119</v>
      </c>
      <c r="H27" s="25"/>
      <c r="I27" s="44">
        <f>I25+I26</f>
        <v>43507</v>
      </c>
      <c r="J27" s="1"/>
    </row>
    <row r="28">
      <c r="A28" s="45" t="s">
        <v>30</v>
      </c>
      <c r="B28" s="46"/>
      <c r="C28" s="46"/>
      <c r="D28" s="46"/>
      <c r="E28" s="46"/>
      <c r="F28" s="46"/>
      <c r="G28" s="47"/>
      <c r="H28" s="25"/>
      <c r="I28" s="48"/>
      <c r="J28" s="40"/>
    </row>
    <row r="29">
      <c r="A29" s="49" t="s">
        <v>31</v>
      </c>
      <c r="B29" s="50">
        <f>B14-B27+B28</f>
        <v>105361</v>
      </c>
      <c r="C29" s="50">
        <f>C14-C27+C28</f>
        <v>153734</v>
      </c>
      <c r="D29" s="50">
        <f>D14-D27+D28</f>
        <v>-220646</v>
      </c>
      <c r="E29" s="50">
        <f>E14-E27+E28</f>
        <v>252404.24242424243</v>
      </c>
      <c r="F29" s="50">
        <f>F14-F27+F28</f>
        <v>322291.1176470588</v>
      </c>
      <c r="G29" s="51">
        <f>G14-G27+G28</f>
        <v>-188679</v>
      </c>
      <c r="H29" s="52"/>
      <c r="I29" s="53">
        <f>I14-I27+I28</f>
        <v>475195</v>
      </c>
    </row>
    <row r="30">
      <c r="A30" s="54" t="s">
        <v>32</v>
      </c>
      <c r="B30" s="44">
        <f>B29</f>
        <v>105361</v>
      </c>
      <c r="C30" s="44">
        <f>C29+B30</f>
        <v>259095</v>
      </c>
      <c r="D30" s="44">
        <f>D29+C30</f>
        <v>38449</v>
      </c>
      <c r="E30" s="44">
        <f>E29+D30</f>
        <v>290853.24242424243</v>
      </c>
      <c r="F30" s="44">
        <f>F29+E30</f>
        <v>613144.36007130123</v>
      </c>
      <c r="G30" s="44">
        <f>G29+F30</f>
        <v>424465.36007130123</v>
      </c>
      <c r="H30" s="55"/>
      <c r="I30" s="44">
        <f>I29+G30</f>
        <v>899660.36007130123</v>
      </c>
    </row>
    <row r="31">
      <c r="A31" s="56"/>
      <c r="B31" s="57"/>
      <c r="C31" s="57"/>
      <c r="D31" s="57"/>
      <c r="E31" s="57"/>
      <c r="F31" s="57"/>
      <c r="G31" s="57"/>
      <c r="H31" s="58"/>
      <c r="I31" s="1"/>
      <c r="J31" s="1"/>
    </row>
    <row r="32" ht="14.25">
      <c r="A32" s="6" t="s">
        <v>33</v>
      </c>
      <c r="B32" s="6" t="s">
        <v>34</v>
      </c>
      <c r="C32" s="6" t="s">
        <v>35</v>
      </c>
      <c r="D32" s="6" t="s">
        <v>36</v>
      </c>
      <c r="E32" s="6" t="s">
        <v>37</v>
      </c>
      <c r="F32" s="6" t="s">
        <v>38</v>
      </c>
      <c r="G32" s="1"/>
      <c r="H32" s="2"/>
      <c r="I32" s="1"/>
    </row>
    <row r="33">
      <c r="A33" s="59">
        <v>9000000</v>
      </c>
      <c r="B33" s="60">
        <v>0.14999999999999999</v>
      </c>
      <c r="C33" s="61">
        <v>10</v>
      </c>
      <c r="D33" s="59">
        <f>A33*B33*C33</f>
        <v>13500000</v>
      </c>
      <c r="E33" s="59">
        <f>A33+D33</f>
        <v>22500000</v>
      </c>
      <c r="F33" s="62">
        <f>E33*100/A33-100</f>
        <v>150</v>
      </c>
      <c r="G33" s="1"/>
      <c r="H33" s="2"/>
      <c r="I33" s="1"/>
    </row>
    <row r="34">
      <c r="A34" s="1"/>
      <c r="B34" s="1"/>
      <c r="C34" s="1"/>
      <c r="D34" s="1"/>
      <c r="E34" s="1"/>
      <c r="F34" s="1"/>
      <c r="H34" s="2"/>
    </row>
    <row r="35">
      <c r="A35" s="1"/>
      <c r="B35" s="1"/>
      <c r="C35" s="6" t="s">
        <v>39</v>
      </c>
      <c r="D35" s="6" t="s">
        <v>40</v>
      </c>
      <c r="E35" s="1"/>
      <c r="F35" s="1"/>
      <c r="G35" s="1"/>
      <c r="H35" s="2"/>
    </row>
    <row r="36">
      <c r="A36" s="1"/>
      <c r="B36" s="1"/>
      <c r="C36" s="63">
        <f>E33/(C33*12)</f>
        <v>187500</v>
      </c>
      <c r="D36" s="63">
        <f>C36*12</f>
        <v>2250000</v>
      </c>
      <c r="E36" s="1"/>
      <c r="F36" s="1"/>
      <c r="G36" s="1"/>
    </row>
    <row r="37" ht="14.25">
      <c r="A37" s="1"/>
      <c r="B37" s="1"/>
      <c r="F37" s="1"/>
      <c r="G37" s="1"/>
    </row>
    <row r="38" ht="14.25">
      <c r="A38" s="1"/>
      <c r="B38" s="1"/>
      <c r="C38" s="1"/>
      <c r="D38" s="1"/>
      <c r="E38" s="1"/>
      <c r="F38" s="1"/>
      <c r="G38" s="1"/>
    </row>
    <row r="39" ht="14.25">
      <c r="A39" s="1"/>
      <c r="B39" s="6" t="s">
        <v>41</v>
      </c>
      <c r="C39" s="6" t="s">
        <v>42</v>
      </c>
      <c r="D39" s="1"/>
    </row>
    <row r="40" ht="14.25">
      <c r="A40" s="6" t="s">
        <v>43</v>
      </c>
      <c r="B40" s="6">
        <f>B42/C41</f>
        <v>150000</v>
      </c>
      <c r="C40" s="6">
        <f>B40/12</f>
        <v>12500</v>
      </c>
    </row>
    <row r="41" ht="14.25">
      <c r="A41" s="64" t="s">
        <v>44</v>
      </c>
      <c r="B41" s="64" t="s">
        <v>45</v>
      </c>
      <c r="C41" s="64">
        <v>30</v>
      </c>
      <c r="D41" s="1"/>
      <c r="E41" s="1"/>
      <c r="F41" s="1"/>
      <c r="G41" s="1"/>
    </row>
    <row r="42" ht="14.25">
      <c r="A42" s="6" t="s">
        <v>46</v>
      </c>
      <c r="B42" s="6">
        <v>4500000</v>
      </c>
      <c r="C42" s="6"/>
      <c r="D42" s="1"/>
      <c r="E42" s="1"/>
      <c r="F42" s="65"/>
      <c r="G42" s="1"/>
    </row>
    <row r="43" ht="14.25">
      <c r="B43" s="1"/>
      <c r="C43" s="1"/>
      <c r="D43" s="1"/>
      <c r="E43" s="1"/>
      <c r="F43" s="1"/>
      <c r="G43" s="1"/>
    </row>
    <row r="44" ht="14.25">
      <c r="A44" s="1"/>
      <c r="B44" s="1"/>
      <c r="D44" s="1"/>
      <c r="E44" s="1"/>
      <c r="F44" s="1"/>
      <c r="G44" s="1"/>
    </row>
    <row r="45" ht="14.25">
      <c r="B45" s="1"/>
      <c r="D45" s="1"/>
      <c r="E45" s="1"/>
    </row>
    <row r="46" ht="14.25">
      <c r="B46" s="1"/>
      <c r="D46" s="1"/>
      <c r="E46" s="1"/>
    </row>
    <row r="47" ht="14.25">
      <c r="A47" s="1"/>
      <c r="C47" s="1"/>
      <c r="D47" s="1"/>
      <c r="E47" s="1"/>
    </row>
    <row r="48" ht="14.25">
      <c r="B48" s="1"/>
      <c r="C48" s="1"/>
      <c r="D48" s="1"/>
    </row>
    <row r="49" ht="14.25">
      <c r="B49" s="1"/>
      <c r="C49" s="1"/>
      <c r="D49" s="1"/>
    </row>
    <row r="50" ht="14.25">
      <c r="B50" s="1"/>
      <c r="C50" s="1"/>
      <c r="D50" s="1"/>
    </row>
    <row r="51" ht="14.25">
      <c r="D51" s="1"/>
    </row>
    <row r="52" ht="14.25">
      <c r="D52" s="1"/>
    </row>
    <row r="53" ht="14.25">
      <c r="D53" s="1"/>
    </row>
    <row r="54" ht="14.25">
      <c r="D54" s="1"/>
    </row>
  </sheetData>
  <mergeCells count="1">
    <mergeCell ref="A1:I1"/>
  </mergeCells>
  <printOptions headings="0" gridLines="0"/>
  <pageMargins left="0.70078740157480324" right="0.89763779527559051" top="0.75196850393700776" bottom="0.75196850393700776" header="0.29999999999999999" footer="0.29999999999999999"/>
  <pageSetup paperSize="9" scale="59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3" workbookViewId="0">
      <selection activeCell="D32" activeCellId="0" sqref="D32"/>
    </sheetView>
  </sheetViews>
  <sheetFormatPr defaultColWidth="10" defaultRowHeight="14.25"/>
  <cols>
    <col customWidth="1" min="1" max="1" width="24.42578125"/>
    <col customWidth="1" min="2" max="4" width="13.8515625"/>
    <col customWidth="1" min="5" max="5" width="14.8515625"/>
    <col customWidth="1" min="6" max="6" width="15.140625"/>
    <col customWidth="1" min="7" max="7" width="15.421875"/>
    <col customWidth="1" min="8" max="8" style="66" width="2.00390625"/>
    <col customWidth="1" min="9" max="9" width="15.7109375"/>
    <col customWidth="1" min="10" max="255" width="11.42578125"/>
  </cols>
  <sheetData>
    <row r="1" ht="21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>
      <c r="A2" s="68"/>
      <c r="I2" t="s">
        <v>48</v>
      </c>
    </row>
    <row r="3">
      <c r="A3" s="4"/>
      <c r="B3" s="4" t="s">
        <v>1</v>
      </c>
      <c r="C3" s="4" t="s">
        <v>2</v>
      </c>
      <c r="D3" s="4" t="s">
        <v>3</v>
      </c>
      <c r="E3" s="4" t="s">
        <v>49</v>
      </c>
      <c r="F3" s="5" t="s">
        <v>5</v>
      </c>
      <c r="G3" s="6" t="s">
        <v>6</v>
      </c>
      <c r="H3" s="69"/>
      <c r="I3" s="6" t="s">
        <v>7</v>
      </c>
    </row>
    <row r="4">
      <c r="A4" s="70" t="s">
        <v>50</v>
      </c>
      <c r="B4" s="71">
        <f>B30</f>
        <v>651000</v>
      </c>
      <c r="C4" s="71">
        <f>C30</f>
        <v>744000</v>
      </c>
      <c r="D4" s="71">
        <f>D30</f>
        <v>976500</v>
      </c>
      <c r="E4" s="71">
        <f>E30</f>
        <v>1085000</v>
      </c>
      <c r="F4" s="71">
        <f>F30</f>
        <v>1232000</v>
      </c>
      <c r="G4" s="72">
        <f>G30</f>
        <v>1232000</v>
      </c>
      <c r="H4" s="73"/>
      <c r="I4" s="74">
        <f>I30</f>
        <v>1232000</v>
      </c>
    </row>
    <row r="5">
      <c r="A5" s="5" t="s">
        <v>51</v>
      </c>
      <c r="B5" s="32">
        <f>B4*0.2</f>
        <v>130200</v>
      </c>
      <c r="C5" s="32">
        <f>C4*0.2</f>
        <v>148800</v>
      </c>
      <c r="D5" s="32">
        <f>D4*0.2</f>
        <v>195300</v>
      </c>
      <c r="E5" s="32">
        <f>E4*0.2</f>
        <v>217000</v>
      </c>
      <c r="F5" s="32">
        <f>F4*0.2</f>
        <v>246400</v>
      </c>
      <c r="G5" s="33">
        <f>G4*0.2</f>
        <v>246400</v>
      </c>
      <c r="H5" s="75"/>
      <c r="I5" s="35">
        <f>I4*0.2</f>
        <v>246400</v>
      </c>
      <c r="J5" s="76"/>
    </row>
    <row r="6">
      <c r="A6" s="5" t="s">
        <v>52</v>
      </c>
      <c r="B6" s="77">
        <f>B4-B5</f>
        <v>520800</v>
      </c>
      <c r="C6" s="77">
        <f>C4-C5</f>
        <v>595200</v>
      </c>
      <c r="D6" s="77">
        <f>D4-D5</f>
        <v>781200</v>
      </c>
      <c r="E6" s="77">
        <f>E4-E5</f>
        <v>868000</v>
      </c>
      <c r="F6" s="77">
        <f>F4-F5</f>
        <v>985600</v>
      </c>
      <c r="G6" s="78">
        <f>G4-G5</f>
        <v>985600</v>
      </c>
      <c r="H6" s="75"/>
      <c r="I6" s="35">
        <f>I4-I5</f>
        <v>985600</v>
      </c>
    </row>
    <row r="7">
      <c r="A7" s="70" t="s">
        <v>53</v>
      </c>
      <c r="B7" s="79">
        <f>B4</f>
        <v>651000</v>
      </c>
      <c r="C7" s="79">
        <f>C4</f>
        <v>744000</v>
      </c>
      <c r="D7" s="79">
        <f>D4</f>
        <v>976500</v>
      </c>
      <c r="E7" s="79">
        <f>E4</f>
        <v>1085000</v>
      </c>
      <c r="F7" s="79">
        <f>F4</f>
        <v>1232000</v>
      </c>
      <c r="G7" s="80">
        <f>G4</f>
        <v>1232000</v>
      </c>
      <c r="H7" s="73"/>
      <c r="I7" s="74">
        <f>I4</f>
        <v>1232000</v>
      </c>
    </row>
    <row r="8">
      <c r="A8" s="36" t="s">
        <v>31</v>
      </c>
      <c r="B8" s="81">
        <f>B7-B10</f>
        <v>217000</v>
      </c>
      <c r="C8" s="81">
        <f>C7-C10</f>
        <v>264000</v>
      </c>
      <c r="D8" s="81">
        <f>D7-D10</f>
        <v>366187.5</v>
      </c>
      <c r="E8" s="81">
        <f>E7-E10</f>
        <v>427424.24242424243</v>
      </c>
      <c r="F8" s="81">
        <f>F7-F10</f>
        <v>507294.1176470588</v>
      </c>
      <c r="G8" s="82">
        <f>G7-G10</f>
        <v>528000</v>
      </c>
      <c r="H8" s="73"/>
      <c r="I8" s="83">
        <f>I7-I10</f>
        <v>616000</v>
      </c>
      <c r="J8" s="76"/>
    </row>
    <row r="9">
      <c r="A9" s="36" t="s">
        <v>54</v>
      </c>
      <c r="B9" s="84">
        <f>B8*100/B10</f>
        <v>50</v>
      </c>
      <c r="C9" s="84">
        <f>C8*100/C10</f>
        <v>55</v>
      </c>
      <c r="D9" s="84">
        <f>D8*100/D10</f>
        <v>60</v>
      </c>
      <c r="E9" s="85">
        <f>E8*100/E10</f>
        <v>65</v>
      </c>
      <c r="F9" s="84">
        <f>F8*100/F10</f>
        <v>70</v>
      </c>
      <c r="G9" s="86">
        <f>G8*100/G10</f>
        <v>75</v>
      </c>
      <c r="H9" s="87"/>
      <c r="I9" s="88">
        <f>I8*100/I10</f>
        <v>100</v>
      </c>
    </row>
    <row r="10">
      <c r="A10" s="31" t="s">
        <v>55</v>
      </c>
      <c r="B10" s="89">
        <f>B7*100/150</f>
        <v>434000</v>
      </c>
      <c r="C10" s="89">
        <f>C7*100/155</f>
        <v>480000</v>
      </c>
      <c r="D10" s="90">
        <f>D7*100/160</f>
        <v>610312.5</v>
      </c>
      <c r="E10" s="91">
        <f>E7*100/165</f>
        <v>657575.75757575757</v>
      </c>
      <c r="F10" s="92">
        <f>F7*100/170</f>
        <v>724705.8823529412</v>
      </c>
      <c r="G10" s="93">
        <f>G7*100/175</f>
        <v>704000</v>
      </c>
      <c r="H10" s="94"/>
      <c r="I10" s="91">
        <f>I7*100/200</f>
        <v>616000</v>
      </c>
      <c r="J10" s="76"/>
    </row>
    <row r="11">
      <c r="A11" s="4" t="s">
        <v>56</v>
      </c>
      <c r="B11" s="32">
        <v>10000</v>
      </c>
      <c r="C11" s="32">
        <v>10000</v>
      </c>
      <c r="D11" s="32">
        <v>10000</v>
      </c>
      <c r="E11" s="77">
        <v>10000</v>
      </c>
      <c r="F11" s="32">
        <v>10000</v>
      </c>
      <c r="G11" s="33">
        <v>10000</v>
      </c>
      <c r="H11" s="75"/>
      <c r="I11" s="35">
        <v>10000</v>
      </c>
    </row>
    <row r="12">
      <c r="A12" s="4" t="s">
        <v>57</v>
      </c>
      <c r="B12" s="32">
        <v>2000</v>
      </c>
      <c r="C12" s="32">
        <v>2000</v>
      </c>
      <c r="D12" s="32">
        <v>2000</v>
      </c>
      <c r="E12" s="32">
        <v>2000</v>
      </c>
      <c r="F12" s="32">
        <v>2000</v>
      </c>
      <c r="G12" s="33">
        <v>2000</v>
      </c>
      <c r="H12" s="75"/>
      <c r="I12" s="35">
        <v>2000</v>
      </c>
    </row>
    <row r="13">
      <c r="A13" s="4" t="s">
        <v>58</v>
      </c>
      <c r="B13" s="32">
        <f>E34</f>
        <v>101250</v>
      </c>
      <c r="C13" s="32">
        <f>E34</f>
        <v>101250</v>
      </c>
      <c r="D13" s="32">
        <f>E34</f>
        <v>101250</v>
      </c>
      <c r="E13" s="32">
        <f>E34</f>
        <v>101250</v>
      </c>
      <c r="F13" s="32">
        <f>E34</f>
        <v>101250</v>
      </c>
      <c r="G13" s="33">
        <f>E34</f>
        <v>101250</v>
      </c>
      <c r="H13" s="75"/>
      <c r="I13" s="35">
        <f>E34</f>
        <v>101250</v>
      </c>
    </row>
    <row r="14">
      <c r="A14" s="31" t="s">
        <v>59</v>
      </c>
      <c r="B14" s="32">
        <f>B4*0.02</f>
        <v>13020</v>
      </c>
      <c r="C14" s="32">
        <f>C4*0.02</f>
        <v>14880</v>
      </c>
      <c r="D14" s="32">
        <f>D4*0.02</f>
        <v>19530</v>
      </c>
      <c r="E14" s="32">
        <f>E4*0.02</f>
        <v>21700</v>
      </c>
      <c r="F14" s="32">
        <f>F4*0.02</f>
        <v>24640</v>
      </c>
      <c r="G14" s="33">
        <f>G4*0.02</f>
        <v>24640</v>
      </c>
      <c r="H14" s="75"/>
      <c r="I14" s="35">
        <f>I4*0.02</f>
        <v>24640</v>
      </c>
    </row>
    <row r="15" ht="16.5">
      <c r="A15" s="95" t="s">
        <v>60</v>
      </c>
      <c r="B15" s="32">
        <v>10000</v>
      </c>
      <c r="C15" s="32">
        <v>10000</v>
      </c>
      <c r="D15" s="32">
        <v>10000</v>
      </c>
      <c r="E15" s="32">
        <v>10000</v>
      </c>
      <c r="F15" s="32">
        <v>10000</v>
      </c>
      <c r="G15" s="33">
        <v>10000</v>
      </c>
      <c r="H15" s="75"/>
      <c r="I15" s="35">
        <v>10000</v>
      </c>
    </row>
    <row r="16" ht="16.5">
      <c r="A16" s="95" t="s">
        <v>61</v>
      </c>
      <c r="B16" s="32">
        <v>10000</v>
      </c>
      <c r="C16" s="32">
        <v>10000</v>
      </c>
      <c r="D16" s="32">
        <v>10000</v>
      </c>
      <c r="E16" s="32">
        <v>10000</v>
      </c>
      <c r="F16" s="32">
        <v>10000</v>
      </c>
      <c r="G16" s="33">
        <v>10000</v>
      </c>
      <c r="H16" s="75"/>
      <c r="I16" s="35">
        <v>10000</v>
      </c>
    </row>
    <row r="17" ht="16.5">
      <c r="A17" s="95" t="s">
        <v>62</v>
      </c>
      <c r="B17" s="32">
        <f>B4*0.3%</f>
        <v>1953</v>
      </c>
      <c r="C17" s="32">
        <f>C4*0.3%</f>
        <v>2232</v>
      </c>
      <c r="D17" s="32">
        <f>D4*0.3%</f>
        <v>2929.5</v>
      </c>
      <c r="E17" s="32">
        <f>E4*0.3%</f>
        <v>3255</v>
      </c>
      <c r="F17" s="32">
        <f>F4*0.3%</f>
        <v>3696</v>
      </c>
      <c r="G17" s="33">
        <f>G4*0.3%</f>
        <v>3696</v>
      </c>
      <c r="H17" s="75"/>
      <c r="I17" s="35">
        <f>I4*0.3%</f>
        <v>3696</v>
      </c>
    </row>
    <row r="18" ht="16.5">
      <c r="A18" s="95" t="s">
        <v>63</v>
      </c>
      <c r="B18" s="32">
        <f>B6*0.02+1000</f>
        <v>11416</v>
      </c>
      <c r="C18" s="32">
        <f>C6*0.02+1000</f>
        <v>12904</v>
      </c>
      <c r="D18" s="32">
        <f>D6*0.02+1000</f>
        <v>16624</v>
      </c>
      <c r="E18" s="32">
        <f>E6*0.02+1000</f>
        <v>18360</v>
      </c>
      <c r="F18" s="32">
        <f>F6*0.02+1000</f>
        <v>20712</v>
      </c>
      <c r="G18" s="33">
        <f>G6*0.02+1000</f>
        <v>20712</v>
      </c>
      <c r="H18" s="75"/>
      <c r="I18" s="35">
        <f>I6*0.02+1000</f>
        <v>20712</v>
      </c>
    </row>
    <row r="19" ht="16.5">
      <c r="A19" s="96" t="s">
        <v>27</v>
      </c>
      <c r="B19" s="42">
        <f>SUM(B10:B18)</f>
        <v>593639</v>
      </c>
      <c r="C19" s="42">
        <f>SUM(C10:C18)</f>
        <v>643266</v>
      </c>
      <c r="D19" s="42">
        <f>SUM(D10:D18)</f>
        <v>782646</v>
      </c>
      <c r="E19" s="42">
        <f>SUM(E10:E18)</f>
        <v>834140.75757575757</v>
      </c>
      <c r="F19" s="42">
        <f>SUM(F10:F18)</f>
        <v>907003.8823529412</v>
      </c>
      <c r="G19" s="43">
        <f>SUM(G10:G18)</f>
        <v>886298</v>
      </c>
      <c r="H19" s="73"/>
      <c r="I19" s="44">
        <f>SUM(I10:I18)</f>
        <v>798298</v>
      </c>
    </row>
    <row r="20">
      <c r="A20" s="70" t="s">
        <v>64</v>
      </c>
      <c r="B20" s="97">
        <f>B7-B19</f>
        <v>57361</v>
      </c>
      <c r="C20" s="97">
        <f>C7-C19</f>
        <v>100734</v>
      </c>
      <c r="D20" s="97">
        <f>D7-D19</f>
        <v>193854</v>
      </c>
      <c r="E20" s="97">
        <f>E7-E19</f>
        <v>250859.24242424243</v>
      </c>
      <c r="F20" s="97">
        <f>F7-F19</f>
        <v>324996.1176470588</v>
      </c>
      <c r="G20" s="98">
        <f>G7-G19</f>
        <v>345702</v>
      </c>
      <c r="H20" s="73"/>
      <c r="I20" s="74">
        <f>I7-I19</f>
        <v>433702</v>
      </c>
    </row>
    <row r="21">
      <c r="A21" s="31" t="s">
        <v>65</v>
      </c>
      <c r="B21" s="32"/>
      <c r="C21" s="32"/>
      <c r="D21" s="32"/>
      <c r="E21" s="32"/>
      <c r="F21" s="32"/>
      <c r="G21" s="33"/>
      <c r="H21" s="75"/>
      <c r="I21" s="35"/>
    </row>
    <row r="22">
      <c r="A22" s="4" t="s">
        <v>66</v>
      </c>
      <c r="B22" s="32"/>
      <c r="C22" s="32"/>
      <c r="D22" s="32"/>
      <c r="E22" s="32"/>
      <c r="F22" s="32"/>
      <c r="G22" s="33"/>
      <c r="H22" s="75"/>
      <c r="I22" s="35"/>
    </row>
    <row r="23">
      <c r="A23" s="41" t="s">
        <v>27</v>
      </c>
      <c r="B23" s="32">
        <f>SUM(B21:B22)</f>
        <v>0</v>
      </c>
      <c r="C23" s="32">
        <f>SUM(C21:C22)</f>
        <v>0</v>
      </c>
      <c r="D23" s="32">
        <f>SUM(D21:D22)</f>
        <v>0</v>
      </c>
      <c r="E23" s="32">
        <f>SUM(E21:E22)</f>
        <v>0</v>
      </c>
      <c r="F23" s="32">
        <f>SUM(F21:F22)</f>
        <v>0</v>
      </c>
      <c r="G23" s="33">
        <f>SUM(G21:G22)</f>
        <v>0</v>
      </c>
      <c r="H23" s="75"/>
      <c r="I23" s="35">
        <f>SUM(I21:I22)</f>
        <v>0</v>
      </c>
    </row>
    <row r="24" ht="16.149999999999999" customHeight="1">
      <c r="A24" s="99" t="s">
        <v>67</v>
      </c>
      <c r="B24" s="100">
        <f>B20-B23-B21</f>
        <v>57361</v>
      </c>
      <c r="C24" s="100">
        <f>C20-C23-C21</f>
        <v>100734</v>
      </c>
      <c r="D24" s="100">
        <f>D20-D23-D21</f>
        <v>193854</v>
      </c>
      <c r="E24" s="100">
        <f>E20-E23-E21</f>
        <v>250859.24242424243</v>
      </c>
      <c r="F24" s="100">
        <f>F20-F23-F21</f>
        <v>324996.1176470588</v>
      </c>
      <c r="G24" s="101">
        <f>G20-G23-G21</f>
        <v>345702</v>
      </c>
      <c r="H24" s="73"/>
      <c r="I24" s="102">
        <f>I20-I23-I21</f>
        <v>433702</v>
      </c>
    </row>
    <row r="25">
      <c r="A25" s="6" t="s">
        <v>68</v>
      </c>
      <c r="B25" s="35">
        <f>B24</f>
        <v>57361</v>
      </c>
      <c r="C25" s="35">
        <f>B25+C24</f>
        <v>158095</v>
      </c>
      <c r="D25" s="35">
        <f>C25+D24</f>
        <v>351949</v>
      </c>
      <c r="E25" s="35">
        <f>D25+E24</f>
        <v>602808.24242424243</v>
      </c>
      <c r="F25" s="35">
        <f>E25+F24</f>
        <v>927804.36007130123</v>
      </c>
      <c r="G25" s="35">
        <f>F25+G24</f>
        <v>1273506.3600713012</v>
      </c>
      <c r="H25" s="103"/>
      <c r="I25" s="35">
        <f>G25+I24</f>
        <v>1707208.3600713012</v>
      </c>
    </row>
    <row r="26">
      <c r="A26" s="1"/>
      <c r="B26" s="1"/>
      <c r="C26" s="1"/>
      <c r="D26" s="1"/>
      <c r="E26" s="1"/>
      <c r="F26" s="1"/>
    </row>
    <row r="27">
      <c r="A27" s="104" t="s">
        <v>69</v>
      </c>
      <c r="B27" s="1"/>
      <c r="C27" s="1"/>
      <c r="D27" s="1"/>
      <c r="E27" s="1"/>
      <c r="F27" s="1"/>
      <c r="G27" s="1"/>
      <c r="H27" s="2"/>
    </row>
    <row r="28">
      <c r="A28" s="4" t="s">
        <v>70</v>
      </c>
      <c r="B28" s="4">
        <v>70</v>
      </c>
      <c r="C28" s="4">
        <v>80</v>
      </c>
      <c r="D28" s="4">
        <v>90</v>
      </c>
      <c r="E28" s="4">
        <v>100</v>
      </c>
      <c r="F28" s="4">
        <v>110</v>
      </c>
      <c r="G28" s="4">
        <v>110</v>
      </c>
      <c r="H28" s="105"/>
      <c r="I28" s="4">
        <v>110</v>
      </c>
    </row>
    <row r="29">
      <c r="A29" s="4" t="s">
        <v>71</v>
      </c>
      <c r="B29" s="4">
        <v>300</v>
      </c>
      <c r="C29" s="4">
        <v>300</v>
      </c>
      <c r="D29" s="4">
        <v>350</v>
      </c>
      <c r="E29" s="4">
        <v>350</v>
      </c>
      <c r="F29" s="4">
        <v>400</v>
      </c>
      <c r="G29" s="4">
        <v>400</v>
      </c>
      <c r="H29" s="105"/>
      <c r="I29" s="4">
        <v>400</v>
      </c>
    </row>
    <row r="30">
      <c r="A30" s="31" t="s">
        <v>72</v>
      </c>
      <c r="B30" s="106">
        <f>B28*B29*31</f>
        <v>651000</v>
      </c>
      <c r="C30" s="106">
        <f>C28*C29*31</f>
        <v>744000</v>
      </c>
      <c r="D30" s="106">
        <f>D28*D29*31</f>
        <v>976500</v>
      </c>
      <c r="E30" s="106">
        <f>E28*E29*31</f>
        <v>1085000</v>
      </c>
      <c r="F30" s="106">
        <f>F28*F29*28</f>
        <v>1232000</v>
      </c>
      <c r="G30" s="106">
        <f>G28*G29*28</f>
        <v>1232000</v>
      </c>
      <c r="H30" s="107"/>
      <c r="I30" s="106">
        <f>I28*I29*28</f>
        <v>1232000</v>
      </c>
    </row>
    <row r="31">
      <c r="A31" s="65"/>
      <c r="B31" s="56"/>
      <c r="C31" s="1"/>
      <c r="D31" s="1"/>
      <c r="E31" s="1"/>
      <c r="F31" s="1"/>
    </row>
    <row r="32">
      <c r="A32" s="108" t="s">
        <v>73</v>
      </c>
      <c r="B32" s="109"/>
      <c r="C32" s="109"/>
      <c r="D32" s="109"/>
      <c r="E32" s="110"/>
      <c r="F32" s="1"/>
    </row>
    <row r="33">
      <c r="A33" s="111" t="s">
        <v>58</v>
      </c>
      <c r="B33" s="111" t="s">
        <v>74</v>
      </c>
      <c r="C33" s="111" t="s">
        <v>75</v>
      </c>
      <c r="D33" s="111" t="s">
        <v>76</v>
      </c>
      <c r="E33" s="111" t="s">
        <v>77</v>
      </c>
      <c r="F33" s="1" t="s">
        <v>78</v>
      </c>
    </row>
    <row r="34" ht="16.699999999999999" customHeight="1">
      <c r="A34" s="112" t="s">
        <v>79</v>
      </c>
      <c r="B34" s="112">
        <v>3</v>
      </c>
      <c r="C34" s="4">
        <v>1800</v>
      </c>
      <c r="D34" s="113">
        <v>0.25</v>
      </c>
      <c r="E34" s="106">
        <f>(C34+(C34*0.25))*B34*15</f>
        <v>101250</v>
      </c>
      <c r="F34" s="1"/>
    </row>
    <row r="35" ht="16.699999999999999" customHeight="1">
      <c r="A35" s="114"/>
      <c r="B35" s="114"/>
      <c r="C35" s="1"/>
      <c r="D35" s="115"/>
      <c r="E35" s="56"/>
      <c r="F35" s="1"/>
    </row>
    <row r="36" ht="16.699999999999999" customHeight="1">
      <c r="A36" s="116" t="s">
        <v>80</v>
      </c>
      <c r="B36" s="111"/>
      <c r="C36" s="1"/>
      <c r="D36" s="115"/>
      <c r="E36" s="56"/>
      <c r="F36" s="1"/>
    </row>
    <row r="37" ht="16.699999999999999" customHeight="1">
      <c r="A37" s="117" t="s">
        <v>81</v>
      </c>
      <c r="B37" s="4">
        <v>8500</v>
      </c>
      <c r="C37" s="1"/>
      <c r="D37" s="115"/>
      <c r="E37" s="56"/>
      <c r="F37" s="1"/>
    </row>
    <row r="38">
      <c r="A38" s="31" t="s">
        <v>82</v>
      </c>
      <c r="B38" s="118">
        <v>0.29999999999999999</v>
      </c>
      <c r="C38" s="1">
        <f>B37*0.3</f>
        <v>2550</v>
      </c>
      <c r="D38" s="1"/>
      <c r="E38" s="1"/>
      <c r="F38" s="1"/>
    </row>
    <row r="39">
      <c r="A39" s="31" t="s">
        <v>83</v>
      </c>
      <c r="B39" s="106">
        <f>B37+C38</f>
        <v>11050</v>
      </c>
      <c r="C39" s="1"/>
      <c r="D39" s="1"/>
      <c r="E39" s="1"/>
      <c r="F39" s="1"/>
    </row>
    <row r="40">
      <c r="A40" s="1"/>
      <c r="B40" s="1"/>
      <c r="C40" s="1"/>
      <c r="D40" s="1"/>
      <c r="E40" s="1"/>
      <c r="F40" s="1"/>
    </row>
    <row r="41">
      <c r="A41" s="1"/>
      <c r="B41" s="1"/>
      <c r="C41" s="1"/>
      <c r="D41" s="1"/>
      <c r="E41" s="1"/>
      <c r="F41" s="1"/>
    </row>
    <row r="42" ht="25.149999999999999" customHeight="1">
      <c r="A42" s="1"/>
      <c r="B42" s="1"/>
      <c r="C42" s="1"/>
      <c r="D42" s="1"/>
      <c r="E42" s="1"/>
      <c r="F42" s="1"/>
    </row>
    <row r="43">
      <c r="A43" s="1"/>
      <c r="B43" s="1"/>
      <c r="C43" s="1"/>
      <c r="D43" s="1"/>
      <c r="E43" s="1"/>
      <c r="F43" s="1"/>
    </row>
  </sheetData>
  <mergeCells count="3">
    <mergeCell ref="A1:I1"/>
    <mergeCell ref="A27:G27"/>
    <mergeCell ref="A32:E32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8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40" activeCellId="0" sqref="B40"/>
    </sheetView>
  </sheetViews>
  <sheetFormatPr defaultColWidth="10" defaultRowHeight="14.25"/>
  <cols>
    <col customWidth="1" min="1" max="1" width="19.140625"/>
    <col customWidth="1" min="2" max="2" width="13.140625"/>
    <col customWidth="1" min="3" max="3" width="11.42578125"/>
    <col customWidth="1" min="4" max="4" width="13.8515625"/>
    <col customWidth="1" min="5" max="256" width="11.42578125"/>
  </cols>
  <sheetData>
    <row r="1">
      <c r="A1" s="119" t="s">
        <v>84</v>
      </c>
      <c r="B1" s="119"/>
      <c r="C1" s="119"/>
      <c r="D1" s="119"/>
    </row>
    <row r="2">
      <c r="A2" s="120"/>
      <c r="B2" s="1"/>
      <c r="C2" s="1"/>
      <c r="D2" s="1"/>
    </row>
    <row r="3">
      <c r="A3" s="120"/>
      <c r="B3" s="121" t="s">
        <v>31</v>
      </c>
      <c r="C3" s="1"/>
      <c r="D3" s="122" t="s">
        <v>85</v>
      </c>
    </row>
    <row r="4">
      <c r="A4" s="123" t="s">
        <v>86</v>
      </c>
      <c r="B4" s="77">
        <v>30000</v>
      </c>
      <c r="C4" s="124"/>
      <c r="D4" s="35">
        <v>30000</v>
      </c>
    </row>
    <row r="5">
      <c r="A5" s="123" t="s">
        <v>87</v>
      </c>
      <c r="B5" s="32">
        <v>18000</v>
      </c>
      <c r="C5" s="124"/>
      <c r="D5" s="35">
        <v>15000</v>
      </c>
    </row>
    <row r="6">
      <c r="A6" s="123" t="s">
        <v>88</v>
      </c>
      <c r="B6" s="32">
        <v>20000</v>
      </c>
      <c r="C6" s="124"/>
      <c r="D6" s="35">
        <v>45000</v>
      </c>
    </row>
    <row r="7">
      <c r="A7" s="123" t="s">
        <v>89</v>
      </c>
      <c r="B7" s="32"/>
      <c r="C7" s="124"/>
      <c r="D7" s="35">
        <v>30000</v>
      </c>
    </row>
    <row r="8">
      <c r="A8" s="125" t="s">
        <v>27</v>
      </c>
      <c r="B8" s="126">
        <f>SUM(B4:B6)</f>
        <v>68000</v>
      </c>
      <c r="C8" s="124"/>
      <c r="D8" s="59">
        <f>SUM(D4:D7)</f>
        <v>120000</v>
      </c>
    </row>
  </sheetData>
  <mergeCells count="1">
    <mergeCell ref="A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2" max="2" width="7.7109375"/>
    <col customWidth="1" min="4" max="4" width="16.00390625"/>
    <col customWidth="1" min="5" max="5" width="17.28125"/>
    <col customWidth="1" min="6" max="6" width="16.00390625"/>
    <col customWidth="1" min="7" max="7" width="14.7109375"/>
  </cols>
  <sheetData>
    <row r="1" ht="14.25">
      <c r="A1" s="67" t="s">
        <v>90</v>
      </c>
      <c r="B1" s="67"/>
      <c r="C1" s="67"/>
      <c r="D1" s="67"/>
      <c r="E1" s="67"/>
      <c r="F1" s="67"/>
      <c r="G1" s="67"/>
    </row>
    <row r="2" ht="14.25"/>
    <row r="3" ht="14.25">
      <c r="A3" s="127" t="s">
        <v>91</v>
      </c>
      <c r="B3" s="127" t="s">
        <v>92</v>
      </c>
      <c r="C3" s="127" t="s">
        <v>93</v>
      </c>
      <c r="D3" s="127" t="s">
        <v>37</v>
      </c>
      <c r="E3" s="127" t="s">
        <v>94</v>
      </c>
      <c r="F3" s="128" t="s">
        <v>95</v>
      </c>
      <c r="G3" s="129" t="s">
        <v>96</v>
      </c>
      <c r="H3" s="76"/>
    </row>
    <row r="4" ht="14.25">
      <c r="A4" s="130">
        <v>1500000</v>
      </c>
      <c r="B4" s="6">
        <v>7</v>
      </c>
      <c r="C4" s="131">
        <v>0.12</v>
      </c>
      <c r="D4" s="35">
        <f>A4*B4*C4+A4</f>
        <v>2760000</v>
      </c>
      <c r="E4" s="35">
        <f>D4-A4</f>
        <v>1260000</v>
      </c>
      <c r="F4" s="132">
        <f t="shared" ref="F4:F9" si="0">D4/(B4*12)</f>
        <v>32857.142857142855</v>
      </c>
      <c r="G4" s="133">
        <f t="shared" ref="G4:G9" si="1">F4*12</f>
        <v>394285.71428571426</v>
      </c>
    </row>
    <row r="5" ht="14.25">
      <c r="A5" s="134"/>
      <c r="B5" s="6">
        <v>10</v>
      </c>
      <c r="C5" s="131">
        <v>0.14999999999999999</v>
      </c>
      <c r="D5" s="35">
        <f>A4*B5*C5+A4</f>
        <v>3750000</v>
      </c>
      <c r="E5" s="35">
        <f t="shared" ref="E5:E7" si="2">D5-A4</f>
        <v>2250000</v>
      </c>
      <c r="F5" s="132">
        <f t="shared" si="0"/>
        <v>31250</v>
      </c>
      <c r="G5" s="133">
        <f t="shared" si="1"/>
        <v>375000</v>
      </c>
    </row>
    <row r="6" ht="14.25">
      <c r="A6" s="130">
        <v>3000000</v>
      </c>
      <c r="B6" s="6">
        <v>7</v>
      </c>
      <c r="C6" s="131">
        <v>0.12</v>
      </c>
      <c r="D6" s="35">
        <f>A6*B6*C6+A6</f>
        <v>5520000</v>
      </c>
      <c r="E6" s="35">
        <f t="shared" si="2"/>
        <v>5520000</v>
      </c>
      <c r="F6" s="132">
        <f t="shared" si="0"/>
        <v>65714.28571428571</v>
      </c>
      <c r="G6" s="133">
        <f t="shared" si="1"/>
        <v>788571.42857142852</v>
      </c>
    </row>
    <row r="7" ht="14.25">
      <c r="A7" s="134"/>
      <c r="B7" s="6">
        <v>10</v>
      </c>
      <c r="C7" s="131">
        <v>0.14999999999999999</v>
      </c>
      <c r="D7" s="35">
        <f>A6*B7*C7+A6</f>
        <v>7500000</v>
      </c>
      <c r="E7" s="35">
        <f t="shared" si="2"/>
        <v>4500000</v>
      </c>
      <c r="F7" s="132">
        <f t="shared" si="0"/>
        <v>62500</v>
      </c>
      <c r="G7" s="133">
        <f t="shared" si="1"/>
        <v>750000</v>
      </c>
    </row>
    <row r="8" ht="14.25">
      <c r="A8" s="130">
        <v>6000000</v>
      </c>
      <c r="B8" s="130">
        <v>10</v>
      </c>
      <c r="C8" s="131">
        <v>0.14999999999999999</v>
      </c>
      <c r="D8" s="35">
        <f t="shared" ref="D8:D9" si="3">A8*B8*C8+A8</f>
        <v>15000000</v>
      </c>
      <c r="E8" s="35">
        <f t="shared" ref="E8:E9" si="4">D8-A8</f>
        <v>9000000</v>
      </c>
      <c r="F8" s="132">
        <f t="shared" si="0"/>
        <v>125000</v>
      </c>
      <c r="G8" s="133">
        <f t="shared" si="1"/>
        <v>1500000</v>
      </c>
    </row>
    <row r="9" ht="14.25">
      <c r="A9" s="6">
        <v>9000000</v>
      </c>
      <c r="B9" s="6">
        <v>10</v>
      </c>
      <c r="C9" s="131">
        <v>0.14999999999999999</v>
      </c>
      <c r="D9" s="35">
        <f t="shared" si="3"/>
        <v>22500000</v>
      </c>
      <c r="E9" s="35">
        <f t="shared" si="4"/>
        <v>13500000</v>
      </c>
      <c r="F9" s="132">
        <f t="shared" si="0"/>
        <v>187500</v>
      </c>
      <c r="G9" s="133">
        <f t="shared" si="1"/>
        <v>2250000</v>
      </c>
    </row>
    <row r="10" ht="14.25"/>
    <row r="11" ht="14.25"/>
  </sheetData>
  <mergeCells count="3">
    <mergeCell ref="A1:G1"/>
    <mergeCell ref="A4:A5"/>
    <mergeCell ref="A6:A7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RowHeight="14.25"/>
  <cols>
    <col customWidth="1" min="1" max="1" width="27.8515625"/>
    <col customWidth="1" min="2" max="2" width="15.7109375"/>
    <col customWidth="1" min="3" max="3" width="28.421875"/>
    <col customWidth="1" min="4" max="4" width="13.421875"/>
    <col customWidth="1" min="6" max="6" width="20.421875"/>
    <col customWidth="1" min="7" max="7" width="16.28125"/>
    <col customWidth="1" min="8" max="8" width="21.8515625"/>
    <col customWidth="1" min="9" max="9" width="15.7109375"/>
  </cols>
  <sheetData>
    <row r="1" ht="21">
      <c r="A1" s="67" t="s">
        <v>97</v>
      </c>
      <c r="B1" s="67"/>
      <c r="C1" s="67"/>
    </row>
    <row r="2" ht="14.25"/>
    <row r="3" ht="14.25">
      <c r="A3" s="62" t="s">
        <v>98</v>
      </c>
      <c r="B3" s="62"/>
      <c r="C3" s="62"/>
    </row>
    <row r="4" ht="14.25">
      <c r="A4" s="6" t="s">
        <v>99</v>
      </c>
      <c r="B4" s="6" t="s">
        <v>100</v>
      </c>
      <c r="C4" s="6" t="s">
        <v>101</v>
      </c>
    </row>
    <row r="5" ht="14.25">
      <c r="A5" s="128" t="s">
        <v>102</v>
      </c>
      <c r="B5" s="135">
        <f>B6</f>
        <v>400000</v>
      </c>
      <c r="C5" s="136"/>
      <c r="F5" s="1"/>
      <c r="G5" s="1"/>
    </row>
    <row r="6" ht="14.25">
      <c r="A6" s="137" t="s">
        <v>103</v>
      </c>
      <c r="B6" s="35">
        <v>400000</v>
      </c>
      <c r="C6" s="138" t="s">
        <v>104</v>
      </c>
    </row>
    <row r="7" ht="14.25">
      <c r="A7" s="128" t="s">
        <v>105</v>
      </c>
      <c r="B7" s="135">
        <f>SUM(B8:B9)</f>
        <v>609000</v>
      </c>
      <c r="C7" s="136"/>
    </row>
    <row r="8" ht="14.25">
      <c r="A8" s="137" t="s">
        <v>106</v>
      </c>
      <c r="B8" s="35">
        <v>580000</v>
      </c>
      <c r="C8" s="137" t="s">
        <v>107</v>
      </c>
    </row>
    <row r="9" ht="14.25">
      <c r="A9" s="137" t="s">
        <v>108</v>
      </c>
      <c r="B9" s="35">
        <v>29000</v>
      </c>
      <c r="C9" s="137" t="s">
        <v>109</v>
      </c>
    </row>
    <row r="10" ht="14.25">
      <c r="A10" s="128" t="s">
        <v>110</v>
      </c>
      <c r="B10" s="135">
        <f>B11</f>
        <v>1600000</v>
      </c>
      <c r="C10" s="128"/>
    </row>
    <row r="11" ht="14.25">
      <c r="A11" s="137" t="s">
        <v>55</v>
      </c>
      <c r="B11" s="35">
        <v>1600000</v>
      </c>
      <c r="C11" s="137"/>
    </row>
    <row r="12" ht="14.25">
      <c r="A12" s="128" t="s">
        <v>111</v>
      </c>
      <c r="B12" s="135">
        <f>SUM(B13:B16)</f>
        <v>43500</v>
      </c>
      <c r="C12" s="128"/>
    </row>
    <row r="13" ht="14.25">
      <c r="A13" s="137" t="s">
        <v>112</v>
      </c>
      <c r="B13" s="35">
        <v>5000</v>
      </c>
      <c r="C13" s="137"/>
    </row>
    <row r="14" ht="14.25">
      <c r="A14" s="137" t="s">
        <v>113</v>
      </c>
      <c r="B14" s="35">
        <v>15000</v>
      </c>
      <c r="C14" s="137"/>
    </row>
    <row r="15" ht="14.25">
      <c r="A15" s="137" t="s">
        <v>114</v>
      </c>
      <c r="B15" s="35">
        <v>6500</v>
      </c>
      <c r="C15" s="137"/>
    </row>
    <row r="16" ht="14.25">
      <c r="A16" s="137" t="s">
        <v>115</v>
      </c>
      <c r="B16" s="35">
        <v>17000</v>
      </c>
      <c r="C16" s="137"/>
    </row>
    <row r="17" ht="14.25">
      <c r="A17" s="128" t="s">
        <v>116</v>
      </c>
      <c r="B17" s="135">
        <f>SUM(B18:B20)</f>
        <v>24000</v>
      </c>
      <c r="C17" s="128"/>
    </row>
    <row r="18" ht="14.25">
      <c r="A18" s="137" t="s">
        <v>117</v>
      </c>
      <c r="B18" s="35">
        <v>12000</v>
      </c>
      <c r="C18" s="137"/>
    </row>
    <row r="19" ht="14.25">
      <c r="A19" s="137" t="s">
        <v>118</v>
      </c>
      <c r="B19" s="35">
        <v>9000</v>
      </c>
      <c r="C19" s="137"/>
    </row>
    <row r="20" ht="14.25">
      <c r="A20" s="137" t="s">
        <v>119</v>
      </c>
      <c r="B20" s="35">
        <v>3000</v>
      </c>
      <c r="C20" s="139" t="s">
        <v>120</v>
      </c>
    </row>
    <row r="21" ht="14.25">
      <c r="A21" s="128" t="s">
        <v>121</v>
      </c>
      <c r="B21" s="135">
        <f>B22</f>
        <v>35000</v>
      </c>
      <c r="C21" s="128"/>
    </row>
    <row r="22" ht="14.25">
      <c r="A22" s="137" t="s">
        <v>122</v>
      </c>
      <c r="B22" s="35">
        <v>35000</v>
      </c>
      <c r="C22" s="137"/>
    </row>
    <row r="23" ht="14.25">
      <c r="A23" s="128" t="s">
        <v>123</v>
      </c>
      <c r="B23" s="135">
        <f>SUM(B24:B28)</f>
        <v>96000</v>
      </c>
      <c r="C23" s="128"/>
    </row>
    <row r="24" ht="14.25">
      <c r="A24" s="137" t="s">
        <v>124</v>
      </c>
      <c r="B24" s="35">
        <v>10000</v>
      </c>
      <c r="C24" s="137" t="s">
        <v>125</v>
      </c>
    </row>
    <row r="25" ht="14.25">
      <c r="A25" s="137" t="s">
        <v>126</v>
      </c>
      <c r="B25" s="35">
        <v>50000</v>
      </c>
      <c r="C25" s="137" t="s">
        <v>127</v>
      </c>
    </row>
    <row r="26" ht="14.25">
      <c r="A26" s="137" t="s">
        <v>128</v>
      </c>
      <c r="B26" s="35">
        <v>8000</v>
      </c>
      <c r="C26" s="137"/>
    </row>
    <row r="27" ht="14.25">
      <c r="A27" s="137" t="s">
        <v>129</v>
      </c>
      <c r="B27" s="35">
        <v>8000</v>
      </c>
      <c r="C27" s="137" t="s">
        <v>130</v>
      </c>
    </row>
    <row r="28" ht="14.25">
      <c r="A28" s="137" t="s">
        <v>131</v>
      </c>
      <c r="B28" s="35">
        <v>20000</v>
      </c>
      <c r="C28" s="137"/>
    </row>
    <row r="29" ht="14.25">
      <c r="A29" s="128" t="s">
        <v>132</v>
      </c>
      <c r="B29" s="135">
        <f>SUM(B30:B36)</f>
        <v>102500</v>
      </c>
      <c r="C29" s="128"/>
    </row>
    <row r="30" ht="14.25">
      <c r="A30" s="137" t="s">
        <v>133</v>
      </c>
      <c r="B30" s="35">
        <v>5000</v>
      </c>
      <c r="C30" s="137"/>
    </row>
    <row r="31" ht="14.25">
      <c r="A31" s="137" t="s">
        <v>134</v>
      </c>
      <c r="B31" s="35">
        <v>35000</v>
      </c>
      <c r="C31" s="137"/>
    </row>
    <row r="32" ht="14.25">
      <c r="A32" s="137" t="s">
        <v>135</v>
      </c>
      <c r="B32" s="35">
        <v>15000</v>
      </c>
      <c r="C32" s="137" t="s">
        <v>136</v>
      </c>
    </row>
    <row r="33" ht="14.25">
      <c r="A33" s="137" t="s">
        <v>137</v>
      </c>
      <c r="B33" s="35">
        <v>2000</v>
      </c>
      <c r="C33" s="137"/>
    </row>
    <row r="34" ht="14.25">
      <c r="A34" s="137" t="s">
        <v>138</v>
      </c>
      <c r="B34" s="35">
        <v>4000</v>
      </c>
      <c r="C34" s="137"/>
    </row>
    <row r="35" ht="14.25">
      <c r="A35" s="137" t="s">
        <v>139</v>
      </c>
      <c r="B35" s="35">
        <v>40000</v>
      </c>
      <c r="C35" s="137" t="s">
        <v>140</v>
      </c>
    </row>
    <row r="36" ht="14.25">
      <c r="A36" s="137" t="s">
        <v>141</v>
      </c>
      <c r="B36" s="35">
        <v>1500</v>
      </c>
      <c r="C36" s="137"/>
    </row>
    <row r="37" ht="14.25">
      <c r="A37" s="140" t="s">
        <v>142</v>
      </c>
      <c r="B37" s="39">
        <v>690000</v>
      </c>
      <c r="C37" s="140"/>
    </row>
    <row r="38" ht="14.25">
      <c r="A38" s="141" t="s">
        <v>37</v>
      </c>
      <c r="B38" s="142">
        <f>B5+B7+B10+B12+B17+B21+B23+B29+B37</f>
        <v>3600000</v>
      </c>
      <c r="C38" s="141"/>
    </row>
    <row r="40" ht="14.25">
      <c r="A40" s="62" t="s">
        <v>102</v>
      </c>
      <c r="B40" s="62"/>
      <c r="C40" s="62"/>
    </row>
    <row r="41" ht="14.25">
      <c r="A41" s="137" t="s">
        <v>143</v>
      </c>
      <c r="B41" s="35">
        <v>150000</v>
      </c>
      <c r="C41" s="137"/>
    </row>
    <row r="42" ht="14.25">
      <c r="A42" s="137" t="s">
        <v>16</v>
      </c>
      <c r="B42" s="35">
        <v>400000</v>
      </c>
      <c r="C42" s="137"/>
    </row>
    <row r="43" ht="14.25">
      <c r="A43" s="137" t="s">
        <v>144</v>
      </c>
      <c r="B43" s="35">
        <v>200000</v>
      </c>
      <c r="C43" s="137"/>
    </row>
    <row r="44" ht="14.25">
      <c r="A44" s="137" t="s">
        <v>145</v>
      </c>
      <c r="B44" s="35">
        <v>150000</v>
      </c>
      <c r="C44" s="137"/>
    </row>
    <row r="45" ht="14.25">
      <c r="A45" s="141" t="s">
        <v>27</v>
      </c>
      <c r="B45" s="142">
        <f>SUM(B41:B44)</f>
        <v>900000</v>
      </c>
      <c r="C45" s="141"/>
    </row>
    <row r="46" ht="14.25"/>
    <row r="47" ht="14.25">
      <c r="A47" s="64" t="s">
        <v>146</v>
      </c>
      <c r="B47" s="64"/>
      <c r="C47" s="64"/>
    </row>
    <row r="48" ht="14.25">
      <c r="A48" s="137" t="s">
        <v>147</v>
      </c>
      <c r="B48" s="143">
        <v>4500000</v>
      </c>
      <c r="C48" s="137"/>
    </row>
    <row r="49" ht="14.25">
      <c r="A49" s="137" t="s">
        <v>148</v>
      </c>
      <c r="B49" s="143">
        <v>336000</v>
      </c>
      <c r="C49" s="137"/>
    </row>
    <row r="51" ht="14.25"/>
    <row r="52" ht="14.25">
      <c r="A52" s="144" t="s">
        <v>149</v>
      </c>
      <c r="B52" s="6" t="s">
        <v>150</v>
      </c>
      <c r="C52" s="6" t="s">
        <v>98</v>
      </c>
      <c r="D52" s="6" t="s">
        <v>102</v>
      </c>
    </row>
    <row r="53" ht="14.25">
      <c r="A53" s="145">
        <f>SUM(B53,C53,D53)</f>
        <v>9000000</v>
      </c>
      <c r="B53" s="146">
        <f>B48</f>
        <v>4500000</v>
      </c>
      <c r="C53" s="146">
        <f>B38</f>
        <v>3600000</v>
      </c>
      <c r="D53" s="146">
        <f>B45</f>
        <v>900000</v>
      </c>
    </row>
  </sheetData>
  <mergeCells count="4">
    <mergeCell ref="A1:C1"/>
    <mergeCell ref="A3:C3"/>
    <mergeCell ref="A40:C40"/>
    <mergeCell ref="A47:C47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94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RowHeight="14.25"/>
  <cols>
    <col customWidth="1" min="1" max="1" width="26.57421875"/>
    <col customWidth="1" min="2" max="2" width="10.00390625"/>
    <col customWidth="1" min="3" max="3" width="20.00390625"/>
    <col customWidth="1" min="8" max="8" width="10.57421875"/>
    <col customWidth="1" min="9" max="9" width="12.28125"/>
    <col customWidth="1" min="10" max="10" width="12.57421875"/>
    <col customWidth="1" min="12" max="12" width="13.421875"/>
    <col customWidth="1" min="13" max="13" width="13.7109375"/>
  </cols>
  <sheetData>
    <row r="1" ht="21">
      <c r="A1" s="67" t="s">
        <v>151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ht="42.75">
      <c r="A3" s="147" t="s">
        <v>152</v>
      </c>
      <c r="B3" s="147" t="s">
        <v>152</v>
      </c>
      <c r="C3" s="148">
        <v>2023</v>
      </c>
      <c r="E3" s="149" t="s">
        <v>153</v>
      </c>
      <c r="F3" s="149"/>
      <c r="G3" s="149"/>
      <c r="H3" s="149"/>
      <c r="I3" s="149"/>
      <c r="J3" s="149"/>
      <c r="K3" s="149"/>
      <c r="L3" s="149"/>
      <c r="M3" s="150"/>
    </row>
    <row r="4" ht="42.75">
      <c r="A4" s="151" t="s">
        <v>154</v>
      </c>
      <c r="B4" s="147" t="s">
        <v>155</v>
      </c>
      <c r="C4" s="152" t="s">
        <v>156</v>
      </c>
      <c r="E4" s="153" t="s">
        <v>157</v>
      </c>
      <c r="F4" s="154"/>
      <c r="G4" s="155"/>
      <c r="H4" s="131">
        <v>0.12</v>
      </c>
      <c r="I4" s="137" t="s">
        <v>158</v>
      </c>
      <c r="J4" s="137">
        <v>-9000000</v>
      </c>
      <c r="K4" s="137"/>
      <c r="L4" s="156" t="s">
        <v>159</v>
      </c>
      <c r="M4" s="157" t="s">
        <v>160</v>
      </c>
    </row>
    <row r="5" ht="24" customHeight="1">
      <c r="A5" s="158" t="s">
        <v>161</v>
      </c>
      <c r="B5" s="147" t="s">
        <v>152</v>
      </c>
      <c r="C5" s="159">
        <v>-9000000</v>
      </c>
      <c r="E5" s="137" t="s">
        <v>162</v>
      </c>
      <c r="F5" s="137"/>
      <c r="G5" s="137"/>
      <c r="H5" s="137">
        <f>SUM(C6)/10</f>
        <v>1350000</v>
      </c>
      <c r="I5" s="160" t="s">
        <v>163</v>
      </c>
      <c r="J5" s="161">
        <f>общее!C36*12</f>
        <v>2250000</v>
      </c>
      <c r="K5" s="162">
        <f>(1+H4)^1</f>
        <v>1.1200000000000001</v>
      </c>
      <c r="L5" s="156">
        <f>J5/K5</f>
        <v>2008928.5714285711</v>
      </c>
      <c r="M5" s="137">
        <f>J4+L5</f>
        <v>-6991071.4285714291</v>
      </c>
    </row>
    <row r="6" ht="14.25">
      <c r="A6" s="163" t="s">
        <v>164</v>
      </c>
      <c r="B6" s="164" t="s">
        <v>165</v>
      </c>
      <c r="C6" s="165">
        <f>J15+C5</f>
        <v>13500000</v>
      </c>
      <c r="I6" s="1"/>
      <c r="J6" s="161">
        <f>общее!C36*12</f>
        <v>2250000</v>
      </c>
      <c r="K6" s="162">
        <f>(1+H4)^2</f>
        <v>1.2544000000000002</v>
      </c>
      <c r="L6" s="156">
        <f>J6/K6</f>
        <v>1793686.2244897957</v>
      </c>
      <c r="M6" s="137">
        <f>M5+L6</f>
        <v>-5197385.2040816331</v>
      </c>
    </row>
    <row r="7" ht="33.75" customHeight="1">
      <c r="A7" s="163" t="s">
        <v>166</v>
      </c>
      <c r="B7" s="164" t="s">
        <v>167</v>
      </c>
      <c r="C7" s="165">
        <f>C5+L15</f>
        <v>3713001.813924443</v>
      </c>
      <c r="I7" s="1"/>
      <c r="J7" s="161">
        <f>общее!C36*12</f>
        <v>2250000</v>
      </c>
      <c r="K7" s="162">
        <f>(1+H4)^3</f>
        <v>1.4049280000000004</v>
      </c>
      <c r="L7" s="156">
        <f>J7/K7</f>
        <v>1601505.5575801744</v>
      </c>
      <c r="M7" s="137">
        <f>M6+L7</f>
        <v>-3595879.6465014587</v>
      </c>
    </row>
    <row r="8" ht="14.25">
      <c r="A8" s="163" t="s">
        <v>168</v>
      </c>
      <c r="B8" s="164" t="s">
        <v>169</v>
      </c>
      <c r="C8" s="166">
        <f>-C5/J5</f>
        <v>4</v>
      </c>
      <c r="I8" s="1"/>
      <c r="J8" s="161">
        <f>общее!C36*12</f>
        <v>2250000</v>
      </c>
      <c r="K8" s="162">
        <f>(1+H4)^4</f>
        <v>1.5735193600000004</v>
      </c>
      <c r="L8" s="156">
        <f>J8/K8</f>
        <v>1429915.6764108702</v>
      </c>
      <c r="M8" s="137">
        <f>M7+L8</f>
        <v>-2165963.9700905886</v>
      </c>
    </row>
    <row r="9" ht="30.75" customHeight="1">
      <c r="A9" s="163" t="s">
        <v>170</v>
      </c>
      <c r="B9" s="164" t="s">
        <v>171</v>
      </c>
      <c r="C9" s="167">
        <f>COUNTIF(M5:M14,"&lt;0")</f>
        <v>5</v>
      </c>
      <c r="I9" s="1"/>
      <c r="J9" s="161">
        <f>общее!C36*12</f>
        <v>2250000</v>
      </c>
      <c r="K9" s="162">
        <f>(1+H4)^5</f>
        <v>1.7623416832000005</v>
      </c>
      <c r="L9" s="156">
        <f>J9/K9</f>
        <v>1276710.4253668482</v>
      </c>
      <c r="M9" s="137">
        <f>M8+L9</f>
        <v>-889253.54472374031</v>
      </c>
    </row>
    <row r="10" ht="28.5">
      <c r="A10" s="163" t="s">
        <v>172</v>
      </c>
      <c r="B10" s="164" t="s">
        <v>173</v>
      </c>
      <c r="C10" s="168">
        <f>IRR(J4:J14)</f>
        <v>0.21406465112705017</v>
      </c>
      <c r="I10" s="1"/>
      <c r="J10" s="161">
        <f>общее!C36*12</f>
        <v>2250000</v>
      </c>
      <c r="K10" s="162">
        <f>(1+H4)^6</f>
        <v>1.9738226851840008</v>
      </c>
      <c r="L10" s="156">
        <f>J10/K10</f>
        <v>1139920.0226489715</v>
      </c>
      <c r="M10" s="169">
        <f>M9+L10</f>
        <v>250666.47792523121</v>
      </c>
    </row>
    <row r="11" ht="36.75" customHeight="1">
      <c r="A11" s="163" t="s">
        <v>174</v>
      </c>
      <c r="B11" s="164" t="s">
        <v>175</v>
      </c>
      <c r="C11" s="166">
        <f>C7/C5*-1</f>
        <v>0.41255575710271586</v>
      </c>
      <c r="I11" s="1"/>
      <c r="J11" s="161">
        <f>общее!C36*12</f>
        <v>2250000</v>
      </c>
      <c r="K11" s="162">
        <f>(1+H4)^7</f>
        <v>2.210681407406081</v>
      </c>
      <c r="L11" s="156">
        <f>J11/K11</f>
        <v>1017785.7345080102</v>
      </c>
      <c r="M11" s="137">
        <f>M10+L11</f>
        <v>1268452.2124332413</v>
      </c>
    </row>
    <row r="12" ht="47.25" customHeight="1">
      <c r="A12" s="163" t="s">
        <v>176</v>
      </c>
      <c r="B12" s="170" t="s">
        <v>177</v>
      </c>
      <c r="C12" s="171" t="s">
        <v>178</v>
      </c>
      <c r="I12" s="1"/>
      <c r="J12" s="161">
        <f>общее!C36*12</f>
        <v>2250000</v>
      </c>
      <c r="K12" s="162">
        <f>(1+H4)^8</f>
        <v>2.4759631762948109</v>
      </c>
      <c r="L12" s="156">
        <f>J12/K12</f>
        <v>908737.26295358047</v>
      </c>
      <c r="M12" s="137">
        <f>M11+L12</f>
        <v>2177189.4753868217</v>
      </c>
    </row>
    <row r="13" ht="42.75">
      <c r="A13" s="163" t="s">
        <v>179</v>
      </c>
      <c r="B13" s="164" t="s">
        <v>180</v>
      </c>
      <c r="C13" s="167">
        <f>H5/C5*-1</f>
        <v>0.14999999999999999</v>
      </c>
      <c r="I13" s="1"/>
      <c r="J13" s="161">
        <f>общее!C36*12</f>
        <v>2250000</v>
      </c>
      <c r="K13" s="162">
        <f>(1+H4)^9</f>
        <v>2.7730787574501883</v>
      </c>
      <c r="L13" s="156">
        <f>J13/K13</f>
        <v>811372.55620855396</v>
      </c>
      <c r="M13" s="137">
        <f>M12+L13</f>
        <v>2988562.0315953754</v>
      </c>
    </row>
    <row r="14" ht="14.25">
      <c r="I14" s="1"/>
      <c r="J14" s="161">
        <f>общее!C36*12</f>
        <v>2250000</v>
      </c>
      <c r="K14" s="162">
        <f>(1+H4)^10</f>
        <v>3.1058482083442112</v>
      </c>
      <c r="L14" s="156">
        <f>J14/K14</f>
        <v>724439.78232906596</v>
      </c>
      <c r="M14" s="137">
        <f>M13+L14</f>
        <v>3713001.8139244411</v>
      </c>
    </row>
    <row r="15" ht="14.25">
      <c r="I15" s="1"/>
      <c r="J15" s="129">
        <f>SUM(J5:J14)</f>
        <v>22500000</v>
      </c>
      <c r="K15" s="1"/>
      <c r="L15" s="172">
        <f>SUM(L5:L14)</f>
        <v>12713001.813924443</v>
      </c>
    </row>
  </sheetData>
  <mergeCells count="3">
    <mergeCell ref="A1:M1"/>
    <mergeCell ref="E3:M3"/>
    <mergeCell ref="E4:G4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83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R7-Office/7.3.3.59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21051182G</dc:creator>
  <cp:lastModifiedBy>Ден Юрасов</cp:lastModifiedBy>
  <cp:revision>25</cp:revision>
  <dcterms:created xsi:type="dcterms:W3CDTF">2023-08-26T09:08:43Z</dcterms:created>
  <dcterms:modified xsi:type="dcterms:W3CDTF">2023-09-04T13:12:56Z</dcterms:modified>
</cp:coreProperties>
</file>