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36" windowWidth="15960" windowHeight="13176"/>
  </bookViews>
  <sheets>
    <sheet name="СМЕТА 1-го мероприятия" sheetId="1" r:id="rId1"/>
    <sheet name="крышка техника" sheetId="2" r:id="rId2"/>
    <sheet name="пляж техника_см отдельный файл" sheetId="3" r:id="rId3"/>
    <sheet name="МЕНЮ- фуршет - Tаблиц" sheetId="4" r:id="rId4"/>
    <sheet name="БАР" sheetId="7" r:id="rId5"/>
    <sheet name="Алкогольная карта" sheetId="8" r:id="rId6"/>
    <sheet name="ФОТОГРАФИИ и ПРОМО" sheetId="9" r:id="rId7"/>
    <sheet name="Муз. группы" sheetId="10" r:id="rId8"/>
  </sheets>
  <calcPr calcId="125725"/>
</workbook>
</file>

<file path=xl/calcChain.xml><?xml version="1.0" encoding="utf-8"?>
<calcChain xmlns="http://schemas.openxmlformats.org/spreadsheetml/2006/main">
  <c r="G35" i="7"/>
  <c r="G34" l="1"/>
  <c r="G33" s="1"/>
  <c r="G32" s="1"/>
  <c r="G31" s="1"/>
  <c r="G30" s="1"/>
  <c r="G29"/>
  <c r="G28"/>
  <c r="G27"/>
  <c r="G26"/>
  <c r="G25"/>
  <c r="G24"/>
  <c r="G23"/>
  <c r="G20" s="1"/>
  <c r="G19"/>
  <c r="G18"/>
  <c r="G17"/>
  <c r="G16"/>
  <c r="G15"/>
  <c r="G14"/>
  <c r="G13"/>
  <c r="B554" i="2"/>
  <c r="C553" s="1"/>
  <c r="B553"/>
  <c r="O551"/>
  <c r="M551" s="1"/>
  <c r="L551" s="1"/>
  <c r="G551"/>
  <c r="A551"/>
  <c r="G550"/>
  <c r="A550"/>
  <c r="G549" s="1"/>
  <c r="G547" s="1"/>
  <c r="I546"/>
  <c r="G546" s="1"/>
  <c r="E546"/>
  <c r="C546"/>
  <c r="I545"/>
  <c r="G545" s="1"/>
  <c r="E545"/>
  <c r="C545"/>
  <c r="I544"/>
  <c r="G544" s="1"/>
  <c r="E544"/>
  <c r="C544"/>
  <c r="I543"/>
  <c r="A543"/>
  <c r="I542"/>
  <c r="I541"/>
  <c r="G541" s="1"/>
  <c r="I540"/>
  <c r="G540"/>
  <c r="E540"/>
  <c r="I539"/>
  <c r="G539" s="1"/>
  <c r="E539"/>
  <c r="C539"/>
  <c r="I538"/>
  <c r="G538"/>
  <c r="E538"/>
  <c r="I537"/>
  <c r="G537"/>
  <c r="E537"/>
  <c r="I536"/>
  <c r="G536"/>
  <c r="E536"/>
  <c r="I535"/>
  <c r="G535"/>
  <c r="E535"/>
  <c r="I534"/>
  <c r="G534"/>
  <c r="E534"/>
  <c r="I533"/>
  <c r="G533"/>
  <c r="E533"/>
  <c r="C533"/>
  <c r="I532"/>
  <c r="G532"/>
  <c r="E532"/>
  <c r="I531"/>
  <c r="G531"/>
  <c r="E531"/>
  <c r="I530"/>
  <c r="G530"/>
  <c r="E530"/>
  <c r="I529"/>
  <c r="G529" s="1"/>
  <c r="E529"/>
  <c r="C529"/>
  <c r="I528"/>
  <c r="A528"/>
  <c r="I526"/>
  <c r="G526"/>
  <c r="I525"/>
  <c r="G525"/>
  <c r="F525"/>
  <c r="E525"/>
  <c r="I524"/>
  <c r="G524" s="1"/>
  <c r="E524"/>
  <c r="C524"/>
  <c r="I523"/>
  <c r="G523"/>
  <c r="E523"/>
  <c r="I522"/>
  <c r="G522"/>
  <c r="E522"/>
  <c r="I521"/>
  <c r="G521"/>
  <c r="F521"/>
  <c r="E521"/>
  <c r="C521"/>
  <c r="I520"/>
  <c r="G520" s="1"/>
  <c r="F520"/>
  <c r="E520"/>
  <c r="C520"/>
  <c r="I519"/>
  <c r="G519"/>
  <c r="F519"/>
  <c r="E519"/>
  <c r="C519"/>
  <c r="I518" s="1"/>
  <c r="G518" s="1"/>
  <c r="F518"/>
  <c r="E518"/>
  <c r="D518"/>
  <c r="C518"/>
  <c r="I517"/>
  <c r="G517" s="1"/>
  <c r="F517"/>
  <c r="E517"/>
  <c r="I516"/>
  <c r="G516" s="1"/>
  <c r="F516"/>
  <c r="E516"/>
  <c r="C516"/>
  <c r="I515"/>
  <c r="G515" s="1"/>
  <c r="E515"/>
  <c r="D515"/>
  <c r="C515"/>
  <c r="I514"/>
  <c r="G514" s="1"/>
  <c r="E514"/>
  <c r="C514"/>
  <c r="I513"/>
  <c r="G513" s="1"/>
  <c r="E513"/>
  <c r="C513"/>
  <c r="I512"/>
  <c r="G512"/>
  <c r="E512"/>
  <c r="I511"/>
  <c r="G511"/>
  <c r="F511"/>
  <c r="E511"/>
  <c r="I510"/>
  <c r="G510"/>
  <c r="E510"/>
  <c r="I509"/>
  <c r="G509"/>
  <c r="E509"/>
  <c r="I508"/>
  <c r="G508"/>
  <c r="E508"/>
  <c r="I507"/>
  <c r="G507" s="1"/>
  <c r="F507"/>
  <c r="E507"/>
  <c r="I506"/>
  <c r="G506"/>
  <c r="E506"/>
  <c r="I505"/>
  <c r="G505"/>
  <c r="E505"/>
  <c r="I504"/>
  <c r="G504" s="1"/>
  <c r="E504"/>
  <c r="C504"/>
  <c r="I503"/>
  <c r="G503"/>
  <c r="E503"/>
  <c r="I502"/>
  <c r="G502"/>
  <c r="E502"/>
  <c r="I501"/>
  <c r="G501"/>
  <c r="E501"/>
  <c r="I500"/>
  <c r="G500"/>
  <c r="E500"/>
  <c r="I499"/>
  <c r="G499"/>
  <c r="E499"/>
  <c r="I498"/>
  <c r="G498"/>
  <c r="E498"/>
  <c r="I497"/>
  <c r="G497"/>
  <c r="E497"/>
  <c r="I496"/>
  <c r="G496"/>
  <c r="E496"/>
  <c r="A495"/>
  <c r="I493"/>
  <c r="G493" s="1"/>
  <c r="I492"/>
  <c r="G492"/>
  <c r="E492"/>
  <c r="I491"/>
  <c r="G491" s="1"/>
  <c r="E491"/>
  <c r="C491"/>
  <c r="I490"/>
  <c r="G490"/>
  <c r="E490"/>
  <c r="I489"/>
  <c r="G489"/>
  <c r="E489"/>
  <c r="I488"/>
  <c r="G488"/>
  <c r="E488"/>
  <c r="I487"/>
  <c r="G487"/>
  <c r="E487"/>
  <c r="I486"/>
  <c r="G486"/>
  <c r="E486"/>
  <c r="I485"/>
  <c r="G485"/>
  <c r="E485"/>
  <c r="G484"/>
  <c r="E484"/>
  <c r="I483"/>
  <c r="G483"/>
  <c r="E483"/>
  <c r="I482"/>
  <c r="G482"/>
  <c r="E482"/>
  <c r="I481"/>
  <c r="G481"/>
  <c r="E481"/>
  <c r="I480"/>
  <c r="G480"/>
  <c r="E480"/>
  <c r="C480"/>
  <c r="I479"/>
  <c r="G479"/>
  <c r="E479"/>
  <c r="I478"/>
  <c r="G478"/>
  <c r="E478"/>
  <c r="G477" s="1"/>
  <c r="E477"/>
  <c r="C477"/>
  <c r="A476"/>
  <c r="A475"/>
  <c r="O473" s="1"/>
  <c r="M473" s="1"/>
  <c r="L473" s="1"/>
  <c r="I473"/>
  <c r="G473" s="1"/>
  <c r="O472" s="1"/>
  <c r="N472"/>
  <c r="M472"/>
  <c r="L472"/>
  <c r="I472"/>
  <c r="G472"/>
  <c r="F472"/>
  <c r="E472"/>
  <c r="C472"/>
  <c r="O471"/>
  <c r="N471"/>
  <c r="M471"/>
  <c r="L471"/>
  <c r="I471"/>
  <c r="G471" s="1"/>
  <c r="F471"/>
  <c r="E471"/>
  <c r="C471"/>
  <c r="O470" s="1"/>
  <c r="N470"/>
  <c r="M470"/>
  <c r="L470"/>
  <c r="I470"/>
  <c r="G470"/>
  <c r="F470"/>
  <c r="E470"/>
  <c r="C470"/>
  <c r="O469" s="1"/>
  <c r="N469"/>
  <c r="M469"/>
  <c r="L469"/>
  <c r="I469"/>
  <c r="G469" s="1"/>
  <c r="F469"/>
  <c r="E469"/>
  <c r="C469"/>
  <c r="O468" s="1"/>
  <c r="N468"/>
  <c r="M468"/>
  <c r="L468"/>
  <c r="I468"/>
  <c r="G468"/>
  <c r="F468"/>
  <c r="E468"/>
  <c r="C468"/>
  <c r="I467"/>
  <c r="A467"/>
  <c r="O465" s="1"/>
  <c r="M465" s="1"/>
  <c r="I465"/>
  <c r="G465" s="1"/>
  <c r="O464"/>
  <c r="N464"/>
  <c r="M464"/>
  <c r="I464"/>
  <c r="G464"/>
  <c r="F464"/>
  <c r="E464"/>
  <c r="C464"/>
  <c r="O463"/>
  <c r="N463"/>
  <c r="M463"/>
  <c r="I463"/>
  <c r="G463"/>
  <c r="F463"/>
  <c r="E463"/>
  <c r="C463"/>
  <c r="O462" s="1"/>
  <c r="N462"/>
  <c r="I462"/>
  <c r="G462" s="1"/>
  <c r="F462"/>
  <c r="E462"/>
  <c r="C462"/>
  <c r="O461" s="1"/>
  <c r="N461"/>
  <c r="I461"/>
  <c r="G461"/>
  <c r="F461"/>
  <c r="E461"/>
  <c r="C461"/>
  <c r="O460"/>
  <c r="N460"/>
  <c r="M460"/>
  <c r="I460"/>
  <c r="G460"/>
  <c r="F460"/>
  <c r="E460"/>
  <c r="C460"/>
  <c r="O459"/>
  <c r="N459"/>
  <c r="M459"/>
  <c r="I459"/>
  <c r="G459"/>
  <c r="F459"/>
  <c r="E459"/>
  <c r="C459"/>
  <c r="O458" s="1"/>
  <c r="N458"/>
  <c r="I458"/>
  <c r="G458" s="1"/>
  <c r="F458"/>
  <c r="E458"/>
  <c r="C458"/>
  <c r="O457" s="1"/>
  <c r="N457"/>
  <c r="I457"/>
  <c r="G457"/>
  <c r="F457"/>
  <c r="E457"/>
  <c r="C457"/>
  <c r="O456" s="1"/>
  <c r="N456"/>
  <c r="I456"/>
  <c r="G456" s="1"/>
  <c r="F456"/>
  <c r="E456"/>
  <c r="C456"/>
  <c r="O455" s="1"/>
  <c r="N455"/>
  <c r="I455"/>
  <c r="G455"/>
  <c r="F455"/>
  <c r="E455"/>
  <c r="C455"/>
  <c r="O454"/>
  <c r="N454"/>
  <c r="M454"/>
  <c r="I454"/>
  <c r="G454"/>
  <c r="F454"/>
  <c r="E454"/>
  <c r="C454"/>
  <c r="O453"/>
  <c r="N453"/>
  <c r="M453"/>
  <c r="I453"/>
  <c r="G453"/>
  <c r="F453"/>
  <c r="E453"/>
  <c r="C453"/>
  <c r="O452"/>
  <c r="N452"/>
  <c r="M452"/>
  <c r="I452"/>
  <c r="G452"/>
  <c r="F452"/>
  <c r="E452"/>
  <c r="C452"/>
  <c r="O451"/>
  <c r="N451"/>
  <c r="M451"/>
  <c r="I451"/>
  <c r="G451"/>
  <c r="F451"/>
  <c r="E451"/>
  <c r="C451"/>
  <c r="O450"/>
  <c r="N450"/>
  <c r="M450"/>
  <c r="I450"/>
  <c r="G450"/>
  <c r="F450"/>
  <c r="E450"/>
  <c r="C450"/>
  <c r="A449"/>
  <c r="O447" s="1"/>
  <c r="M447" s="1"/>
  <c r="I447"/>
  <c r="G447" s="1"/>
  <c r="O446" s="1"/>
  <c r="N446"/>
  <c r="I446"/>
  <c r="G446"/>
  <c r="F446"/>
  <c r="E446"/>
  <c r="O445" s="1"/>
  <c r="N445"/>
  <c r="I445"/>
  <c r="G445"/>
  <c r="F445"/>
  <c r="E445"/>
  <c r="C445"/>
  <c r="O444" s="1"/>
  <c r="N444"/>
  <c r="I444"/>
  <c r="G444" s="1"/>
  <c r="F444"/>
  <c r="E444"/>
  <c r="C444"/>
  <c r="O443" s="1"/>
  <c r="N443"/>
  <c r="M443"/>
  <c r="I443"/>
  <c r="G443" s="1"/>
  <c r="F443"/>
  <c r="E443"/>
  <c r="C443"/>
  <c r="O442" s="1"/>
  <c r="N442"/>
  <c r="M442"/>
  <c r="I442"/>
  <c r="G442" s="1"/>
  <c r="F442"/>
  <c r="E442"/>
  <c r="C442"/>
  <c r="O441" s="1"/>
  <c r="N441"/>
  <c r="M441"/>
  <c r="I441"/>
  <c r="G441" s="1"/>
  <c r="F441"/>
  <c r="E441"/>
  <c r="O440" s="1"/>
  <c r="N440"/>
  <c r="I440"/>
  <c r="G440" s="1"/>
  <c r="F440"/>
  <c r="E440"/>
  <c r="C440"/>
  <c r="O439" s="1"/>
  <c r="N439"/>
  <c r="I439"/>
  <c r="G439"/>
  <c r="F439"/>
  <c r="E439"/>
  <c r="C439"/>
  <c r="O438" s="1"/>
  <c r="N438"/>
  <c r="I438"/>
  <c r="G438" s="1"/>
  <c r="F438"/>
  <c r="E438"/>
  <c r="C438"/>
  <c r="O437" s="1"/>
  <c r="N437"/>
  <c r="I437"/>
  <c r="G437"/>
  <c r="F437"/>
  <c r="E437"/>
  <c r="C437"/>
  <c r="O436"/>
  <c r="N436"/>
  <c r="I436"/>
  <c r="G436" s="1"/>
  <c r="E436"/>
  <c r="C436"/>
  <c r="O435" s="1"/>
  <c r="N435"/>
  <c r="I435"/>
  <c r="G435" s="1"/>
  <c r="F435"/>
  <c r="E435"/>
  <c r="C435"/>
  <c r="O434" s="1"/>
  <c r="N434"/>
  <c r="M434"/>
  <c r="I434"/>
  <c r="G434" s="1"/>
  <c r="F434"/>
  <c r="E434"/>
  <c r="C434"/>
  <c r="O433" s="1"/>
  <c r="N433"/>
  <c r="M433"/>
  <c r="I433"/>
  <c r="G433" s="1"/>
  <c r="F433"/>
  <c r="E433"/>
  <c r="C433"/>
  <c r="O432" s="1"/>
  <c r="N432"/>
  <c r="M432"/>
  <c r="I432"/>
  <c r="G432" s="1"/>
  <c r="F432"/>
  <c r="E432"/>
  <c r="C432"/>
  <c r="O431" s="1"/>
  <c r="N431"/>
  <c r="M431"/>
  <c r="I431"/>
  <c r="G431" s="1"/>
  <c r="F431"/>
  <c r="E431"/>
  <c r="C431"/>
  <c r="O430" s="1"/>
  <c r="N430"/>
  <c r="I430"/>
  <c r="G430"/>
  <c r="F430"/>
  <c r="E430"/>
  <c r="C430"/>
  <c r="O429" s="1"/>
  <c r="N429"/>
  <c r="I429"/>
  <c r="G429" s="1"/>
  <c r="F429"/>
  <c r="E429"/>
  <c r="C429"/>
  <c r="O428" s="1"/>
  <c r="N428"/>
  <c r="I428"/>
  <c r="G428"/>
  <c r="F428"/>
  <c r="E428"/>
  <c r="C428"/>
  <c r="O427" s="1"/>
  <c r="N427"/>
  <c r="I427"/>
  <c r="G427" s="1"/>
  <c r="F427"/>
  <c r="E427"/>
  <c r="C427"/>
  <c r="O426" s="1"/>
  <c r="N426"/>
  <c r="I426"/>
  <c r="G426"/>
  <c r="F426"/>
  <c r="E426"/>
  <c r="C426"/>
  <c r="O425" s="1"/>
  <c r="N425"/>
  <c r="I425"/>
  <c r="G425" s="1"/>
  <c r="F425"/>
  <c r="E425"/>
  <c r="C425"/>
  <c r="O424" s="1"/>
  <c r="N424"/>
  <c r="I424"/>
  <c r="G424"/>
  <c r="F424"/>
  <c r="E424"/>
  <c r="C424"/>
  <c r="O423" s="1"/>
  <c r="N423"/>
  <c r="I423"/>
  <c r="G423" s="1"/>
  <c r="F423"/>
  <c r="E423"/>
  <c r="C423"/>
  <c r="O422" s="1"/>
  <c r="N422"/>
  <c r="I422"/>
  <c r="G422"/>
  <c r="F422"/>
  <c r="E422"/>
  <c r="C422"/>
  <c r="O421" s="1"/>
  <c r="N421"/>
  <c r="I421"/>
  <c r="G421" s="1"/>
  <c r="F421"/>
  <c r="E421"/>
  <c r="C421"/>
  <c r="O420" s="1"/>
  <c r="N420"/>
  <c r="I420"/>
  <c r="G420"/>
  <c r="F420"/>
  <c r="E420"/>
  <c r="C420"/>
  <c r="O419" s="1"/>
  <c r="N419"/>
  <c r="I419"/>
  <c r="G419" s="1"/>
  <c r="F419"/>
  <c r="E419"/>
  <c r="C419"/>
  <c r="O418" s="1"/>
  <c r="N418"/>
  <c r="I418"/>
  <c r="G418"/>
  <c r="F418"/>
  <c r="E418"/>
  <c r="C418"/>
  <c r="O417" s="1"/>
  <c r="N417"/>
  <c r="I417"/>
  <c r="G417" s="1"/>
  <c r="F417"/>
  <c r="E417"/>
  <c r="C417"/>
  <c r="O416" s="1"/>
  <c r="N416"/>
  <c r="M416"/>
  <c r="I416"/>
  <c r="G416" s="1"/>
  <c r="F416"/>
  <c r="E416"/>
  <c r="C416"/>
  <c r="O415" s="1"/>
  <c r="N415"/>
  <c r="M415"/>
  <c r="I415"/>
  <c r="G415" s="1"/>
  <c r="F415"/>
  <c r="E415"/>
  <c r="C415"/>
  <c r="O414" s="1"/>
  <c r="N414"/>
  <c r="I414"/>
  <c r="G414"/>
  <c r="F414"/>
  <c r="E414"/>
  <c r="C414"/>
  <c r="O413" s="1"/>
  <c r="N413"/>
  <c r="I413"/>
  <c r="G413" s="1"/>
  <c r="F413"/>
  <c r="E413"/>
  <c r="C413"/>
  <c r="O412" s="1"/>
  <c r="N412"/>
  <c r="I412"/>
  <c r="G412"/>
  <c r="F412"/>
  <c r="E412"/>
  <c r="C412"/>
  <c r="O411"/>
  <c r="N411"/>
  <c r="M411"/>
  <c r="I411"/>
  <c r="G411"/>
  <c r="F411"/>
  <c r="E411"/>
  <c r="C411"/>
  <c r="O410"/>
  <c r="N410"/>
  <c r="M410"/>
  <c r="I410"/>
  <c r="G410"/>
  <c r="F410"/>
  <c r="E410"/>
  <c r="C410"/>
  <c r="O409" s="1"/>
  <c r="N409"/>
  <c r="I409"/>
  <c r="G409" s="1"/>
  <c r="F409"/>
  <c r="E409"/>
  <c r="C409"/>
  <c r="O408" s="1"/>
  <c r="N408"/>
  <c r="I408"/>
  <c r="G408"/>
  <c r="F408"/>
  <c r="E408"/>
  <c r="C408"/>
  <c r="O407"/>
  <c r="N407"/>
  <c r="M407"/>
  <c r="I407"/>
  <c r="G407"/>
  <c r="F407"/>
  <c r="E407"/>
  <c r="O406" s="1"/>
  <c r="N406"/>
  <c r="I406"/>
  <c r="G406"/>
  <c r="F406"/>
  <c r="E406"/>
  <c r="C406"/>
  <c r="O405" s="1"/>
  <c r="N405"/>
  <c r="I405"/>
  <c r="G405"/>
  <c r="F405"/>
  <c r="E405"/>
  <c r="O404" s="1"/>
  <c r="N404"/>
  <c r="I404"/>
  <c r="G404" s="1"/>
  <c r="F404"/>
  <c r="E404"/>
  <c r="C404"/>
  <c r="O403" s="1"/>
  <c r="N403"/>
  <c r="M403"/>
  <c r="I403"/>
  <c r="G403" s="1"/>
  <c r="F403"/>
  <c r="E403"/>
  <c r="O402" s="1"/>
  <c r="N402"/>
  <c r="I402"/>
  <c r="G402" s="1"/>
  <c r="F402"/>
  <c r="E402"/>
  <c r="C402"/>
  <c r="O401" s="1"/>
  <c r="N401"/>
  <c r="I401"/>
  <c r="G401"/>
  <c r="F401"/>
  <c r="E401"/>
  <c r="O400" s="1"/>
  <c r="N400"/>
  <c r="I400"/>
  <c r="G400"/>
  <c r="F400"/>
  <c r="E400"/>
  <c r="C400"/>
  <c r="O399" s="1"/>
  <c r="N399"/>
  <c r="I399"/>
  <c r="G399"/>
  <c r="F399"/>
  <c r="E399"/>
  <c r="O398" s="1"/>
  <c r="N398"/>
  <c r="I398"/>
  <c r="G398"/>
  <c r="F398"/>
  <c r="E398"/>
  <c r="O397" s="1"/>
  <c r="N397"/>
  <c r="I397"/>
  <c r="G397"/>
  <c r="F397"/>
  <c r="E397"/>
  <c r="I396"/>
  <c r="A396"/>
  <c r="O394" s="1"/>
  <c r="M394" s="1"/>
  <c r="L394" s="1"/>
  <c r="I394"/>
  <c r="G394" s="1"/>
  <c r="O393" s="1"/>
  <c r="N393"/>
  <c r="I393"/>
  <c r="G393"/>
  <c r="F393"/>
  <c r="E393"/>
  <c r="C393"/>
  <c r="O392" s="1"/>
  <c r="N392"/>
  <c r="I392"/>
  <c r="G392" s="1"/>
  <c r="F392"/>
  <c r="E392"/>
  <c r="C392"/>
  <c r="O391" s="1"/>
  <c r="N391"/>
  <c r="I391"/>
  <c r="G391"/>
  <c r="F391"/>
  <c r="E391"/>
  <c r="C391"/>
  <c r="O390" s="1"/>
  <c r="N390"/>
  <c r="I390"/>
  <c r="G390" s="1"/>
  <c r="F390"/>
  <c r="E390"/>
  <c r="C390"/>
  <c r="O389" s="1"/>
  <c r="N389"/>
  <c r="I389"/>
  <c r="G389"/>
  <c r="F389"/>
  <c r="E389"/>
  <c r="C389"/>
  <c r="O388" s="1"/>
  <c r="N388"/>
  <c r="I388"/>
  <c r="G388" s="1"/>
  <c r="F388"/>
  <c r="E388"/>
  <c r="C388"/>
  <c r="O387" s="1"/>
  <c r="N387"/>
  <c r="I387"/>
  <c r="G387"/>
  <c r="F387"/>
  <c r="E387"/>
  <c r="C387"/>
  <c r="O386" s="1"/>
  <c r="N386"/>
  <c r="I386"/>
  <c r="G386" s="1"/>
  <c r="F386"/>
  <c r="E386"/>
  <c r="C386"/>
  <c r="O385" s="1"/>
  <c r="N385"/>
  <c r="I385"/>
  <c r="G385"/>
  <c r="F385"/>
  <c r="E385"/>
  <c r="C385"/>
  <c r="O384" s="1"/>
  <c r="N384"/>
  <c r="I384"/>
  <c r="G384" s="1"/>
  <c r="F384"/>
  <c r="E384"/>
  <c r="C384"/>
  <c r="O383" s="1"/>
  <c r="N383"/>
  <c r="I383" s="1"/>
  <c r="G383" s="1"/>
  <c r="F383"/>
  <c r="E383"/>
  <c r="D383"/>
  <c r="C383"/>
  <c r="O382" s="1"/>
  <c r="N382"/>
  <c r="I382"/>
  <c r="G382"/>
  <c r="F382"/>
  <c r="E382"/>
  <c r="C382"/>
  <c r="O381" s="1"/>
  <c r="N381"/>
  <c r="I381"/>
  <c r="G381" s="1"/>
  <c r="F381"/>
  <c r="E381"/>
  <c r="C381"/>
  <c r="O380" s="1"/>
  <c r="N380"/>
  <c r="I380"/>
  <c r="G380"/>
  <c r="F380"/>
  <c r="E380"/>
  <c r="C380"/>
  <c r="O379" s="1"/>
  <c r="N379"/>
  <c r="I379"/>
  <c r="G379" s="1"/>
  <c r="F379"/>
  <c r="E379"/>
  <c r="C379"/>
  <c r="O378" s="1"/>
  <c r="N378"/>
  <c r="I378"/>
  <c r="G378"/>
  <c r="F378"/>
  <c r="E378"/>
  <c r="C378"/>
  <c r="O377" s="1"/>
  <c r="N377"/>
  <c r="I377"/>
  <c r="G377" s="1"/>
  <c r="F377"/>
  <c r="E377"/>
  <c r="C377"/>
  <c r="O376" s="1"/>
  <c r="N376"/>
  <c r="I376"/>
  <c r="G376"/>
  <c r="F376"/>
  <c r="E376"/>
  <c r="C376"/>
  <c r="O375" s="1"/>
  <c r="N375"/>
  <c r="I375"/>
  <c r="G375" s="1"/>
  <c r="F375"/>
  <c r="E375"/>
  <c r="C375"/>
  <c r="O374" s="1"/>
  <c r="N374"/>
  <c r="I374"/>
  <c r="G374"/>
  <c r="F374"/>
  <c r="E374"/>
  <c r="C374"/>
  <c r="O373" s="1"/>
  <c r="N373"/>
  <c r="I373"/>
  <c r="G373" s="1"/>
  <c r="F373"/>
  <c r="E373"/>
  <c r="C373"/>
  <c r="O372" s="1"/>
  <c r="N372"/>
  <c r="I372"/>
  <c r="G372"/>
  <c r="F372"/>
  <c r="E372"/>
  <c r="C372"/>
  <c r="O371" s="1"/>
  <c r="N371"/>
  <c r="I371"/>
  <c r="G371" s="1"/>
  <c r="F371"/>
  <c r="E371"/>
  <c r="C371"/>
  <c r="O370" s="1"/>
  <c r="N370"/>
  <c r="L370"/>
  <c r="I370"/>
  <c r="G370" s="1"/>
  <c r="F370"/>
  <c r="E370"/>
  <c r="C370"/>
  <c r="O369" s="1"/>
  <c r="N369"/>
  <c r="I369"/>
  <c r="G369"/>
  <c r="F369"/>
  <c r="E369"/>
  <c r="C369"/>
  <c r="O368" s="1"/>
  <c r="N368"/>
  <c r="I368"/>
  <c r="G368" s="1"/>
  <c r="F368"/>
  <c r="E368"/>
  <c r="C368"/>
  <c r="O367" s="1"/>
  <c r="N367"/>
  <c r="I367"/>
  <c r="G367"/>
  <c r="F367"/>
  <c r="E367"/>
  <c r="C367"/>
  <c r="O366" s="1"/>
  <c r="N366"/>
  <c r="I366"/>
  <c r="G366" s="1"/>
  <c r="F366"/>
  <c r="E366"/>
  <c r="C366"/>
  <c r="O365" s="1"/>
  <c r="N365"/>
  <c r="I365"/>
  <c r="G365"/>
  <c r="F365"/>
  <c r="E365"/>
  <c r="C365"/>
  <c r="O364" s="1"/>
  <c r="N364"/>
  <c r="I364"/>
  <c r="G364" s="1"/>
  <c r="F364"/>
  <c r="E364"/>
  <c r="C364"/>
  <c r="O363" s="1"/>
  <c r="N363"/>
  <c r="I363"/>
  <c r="G363"/>
  <c r="F363"/>
  <c r="E363"/>
  <c r="C363"/>
  <c r="O362" s="1"/>
  <c r="N362"/>
  <c r="I362"/>
  <c r="G362" s="1"/>
  <c r="F362"/>
  <c r="E362"/>
  <c r="C362"/>
  <c r="O361" s="1"/>
  <c r="N361"/>
  <c r="I361"/>
  <c r="G361"/>
  <c r="F361"/>
  <c r="E361"/>
  <c r="C361"/>
  <c r="O360" s="1"/>
  <c r="N360"/>
  <c r="I360"/>
  <c r="G360" s="1"/>
  <c r="F360"/>
  <c r="E360"/>
  <c r="C360"/>
  <c r="O359" s="1"/>
  <c r="N359"/>
  <c r="I359"/>
  <c r="G359"/>
  <c r="F359"/>
  <c r="E359"/>
  <c r="C359"/>
  <c r="O358" s="1"/>
  <c r="N358"/>
  <c r="I358"/>
  <c r="G358" s="1"/>
  <c r="F358"/>
  <c r="E358"/>
  <c r="C358"/>
  <c r="O357" s="1"/>
  <c r="N357"/>
  <c r="I357"/>
  <c r="G357"/>
  <c r="F357"/>
  <c r="E357"/>
  <c r="C357"/>
  <c r="O356" s="1"/>
  <c r="N356"/>
  <c r="I356"/>
  <c r="G356" s="1"/>
  <c r="F356"/>
  <c r="E356"/>
  <c r="C356"/>
  <c r="O355" s="1"/>
  <c r="N355"/>
  <c r="I355"/>
  <c r="G355"/>
  <c r="F355"/>
  <c r="E355"/>
  <c r="C355"/>
  <c r="O354" s="1"/>
  <c r="N354"/>
  <c r="I354"/>
  <c r="G354" s="1"/>
  <c r="F354"/>
  <c r="E354"/>
  <c r="C354"/>
  <c r="O353" s="1"/>
  <c r="N353"/>
  <c r="I353"/>
  <c r="G353"/>
  <c r="F353"/>
  <c r="E353"/>
  <c r="C353"/>
  <c r="O352" s="1"/>
  <c r="N352"/>
  <c r="I352"/>
  <c r="G352" s="1"/>
  <c r="F352"/>
  <c r="E352"/>
  <c r="C352"/>
  <c r="O351" s="1"/>
  <c r="N351"/>
  <c r="I351" s="1"/>
  <c r="G351" s="1"/>
  <c r="F351"/>
  <c r="E351"/>
  <c r="D351"/>
  <c r="C351"/>
  <c r="O350" s="1"/>
  <c r="N350"/>
  <c r="I350"/>
  <c r="G350"/>
  <c r="F350"/>
  <c r="E350"/>
  <c r="C350"/>
  <c r="O349" s="1"/>
  <c r="N349"/>
  <c r="I349"/>
  <c r="G349" s="1"/>
  <c r="F349"/>
  <c r="E349"/>
  <c r="C349"/>
  <c r="O348" s="1"/>
  <c r="N348"/>
  <c r="I348" s="1"/>
  <c r="G348" s="1"/>
  <c r="F348"/>
  <c r="E348"/>
  <c r="D348"/>
  <c r="C348"/>
  <c r="O347" s="1"/>
  <c r="N347"/>
  <c r="I347"/>
  <c r="G347"/>
  <c r="F347"/>
  <c r="E347"/>
  <c r="C347"/>
  <c r="O346" s="1"/>
  <c r="N346"/>
  <c r="I346" s="1"/>
  <c r="G346" s="1"/>
  <c r="F346"/>
  <c r="E346"/>
  <c r="D346"/>
  <c r="C346"/>
  <c r="O345" s="1"/>
  <c r="N345"/>
  <c r="I345"/>
  <c r="G345" s="1"/>
  <c r="F345"/>
  <c r="E345"/>
  <c r="C345"/>
  <c r="O344" s="1"/>
  <c r="N344"/>
  <c r="I344" s="1"/>
  <c r="G344" s="1"/>
  <c r="F344"/>
  <c r="E344"/>
  <c r="D344"/>
  <c r="C344"/>
  <c r="O343" s="1"/>
  <c r="N343"/>
  <c r="I343"/>
  <c r="G343"/>
  <c r="F343"/>
  <c r="E343"/>
  <c r="C343"/>
  <c r="O342" s="1"/>
  <c r="N342"/>
  <c r="I342"/>
  <c r="G342" s="1"/>
  <c r="F342"/>
  <c r="E342"/>
  <c r="C342"/>
  <c r="O341" s="1"/>
  <c r="N341"/>
  <c r="I341"/>
  <c r="G341"/>
  <c r="F341"/>
  <c r="E341"/>
  <c r="C341"/>
  <c r="O340"/>
  <c r="N340"/>
  <c r="L340"/>
  <c r="I340"/>
  <c r="G340"/>
  <c r="F340"/>
  <c r="E340"/>
  <c r="C340"/>
  <c r="O339" s="1"/>
  <c r="N339"/>
  <c r="M339"/>
  <c r="L339"/>
  <c r="I339"/>
  <c r="G339" s="1"/>
  <c r="F339"/>
  <c r="E339"/>
  <c r="C339"/>
  <c r="O338" s="1"/>
  <c r="N338"/>
  <c r="M338"/>
  <c r="L338"/>
  <c r="I338"/>
  <c r="G338"/>
  <c r="F338"/>
  <c r="E338"/>
  <c r="C338"/>
  <c r="O337" s="1"/>
  <c r="N337"/>
  <c r="I337"/>
  <c r="G337" s="1"/>
  <c r="F337"/>
  <c r="E337"/>
  <c r="C337"/>
  <c r="O336" s="1"/>
  <c r="N336"/>
  <c r="L336"/>
  <c r="I336"/>
  <c r="G336" s="1"/>
  <c r="F336"/>
  <c r="E336"/>
  <c r="C336"/>
  <c r="O335" s="1"/>
  <c r="N335"/>
  <c r="L335"/>
  <c r="I335"/>
  <c r="G335" s="1"/>
  <c r="F335"/>
  <c r="E335"/>
  <c r="C335"/>
  <c r="O334" s="1"/>
  <c r="N334"/>
  <c r="L334"/>
  <c r="I334"/>
  <c r="G334" s="1"/>
  <c r="F334"/>
  <c r="E334"/>
  <c r="C334"/>
  <c r="O333" s="1"/>
  <c r="N333"/>
  <c r="L333"/>
  <c r="I333"/>
  <c r="G333" s="1"/>
  <c r="F333"/>
  <c r="E333"/>
  <c r="C333"/>
  <c r="O332" s="1"/>
  <c r="N332"/>
  <c r="M332"/>
  <c r="L332"/>
  <c r="I332"/>
  <c r="G332"/>
  <c r="F332"/>
  <c r="E332"/>
  <c r="C332"/>
  <c r="O331"/>
  <c r="N331"/>
  <c r="M331"/>
  <c r="L331"/>
  <c r="I331"/>
  <c r="G331" s="1"/>
  <c r="F331"/>
  <c r="E331"/>
  <c r="C331"/>
  <c r="O330" s="1"/>
  <c r="N330"/>
  <c r="M330"/>
  <c r="L330"/>
  <c r="I330"/>
  <c r="G330" s="1"/>
  <c r="F330"/>
  <c r="E330"/>
  <c r="C330"/>
  <c r="O329" s="1"/>
  <c r="N329"/>
  <c r="M329"/>
  <c r="L329"/>
  <c r="I329"/>
  <c r="G329" s="1"/>
  <c r="F329"/>
  <c r="E329"/>
  <c r="C329"/>
  <c r="O328" s="1"/>
  <c r="N328"/>
  <c r="I328"/>
  <c r="G328" s="1"/>
  <c r="F328"/>
  <c r="E328"/>
  <c r="C328"/>
  <c r="O327" s="1"/>
  <c r="N327"/>
  <c r="L327"/>
  <c r="I327"/>
  <c r="G327" s="1"/>
  <c r="F327"/>
  <c r="E327"/>
  <c r="C327"/>
  <c r="O326" s="1"/>
  <c r="N326"/>
  <c r="L326"/>
  <c r="I326"/>
  <c r="G326" s="1"/>
  <c r="F326"/>
  <c r="E326"/>
  <c r="C326"/>
  <c r="O325" s="1"/>
  <c r="N325"/>
  <c r="L325"/>
  <c r="I325"/>
  <c r="G325" s="1"/>
  <c r="F325"/>
  <c r="E325"/>
  <c r="C325"/>
  <c r="O324" s="1"/>
  <c r="N324"/>
  <c r="L324"/>
  <c r="I324"/>
  <c r="G324" s="1"/>
  <c r="F324"/>
  <c r="E324"/>
  <c r="C324"/>
  <c r="O323" s="1"/>
  <c r="N323"/>
  <c r="M323"/>
  <c r="L323"/>
  <c r="I323"/>
  <c r="G323" s="1"/>
  <c r="F323"/>
  <c r="E323"/>
  <c r="C323"/>
  <c r="O322" s="1"/>
  <c r="N322"/>
  <c r="M322"/>
  <c r="L322"/>
  <c r="I322"/>
  <c r="G322"/>
  <c r="F322"/>
  <c r="E322"/>
  <c r="C322"/>
  <c r="A321"/>
  <c r="I320"/>
  <c r="O319" s="1"/>
  <c r="M319" s="1"/>
  <c r="L319" s="1"/>
  <c r="I319"/>
  <c r="G319"/>
  <c r="O318" s="1"/>
  <c r="N318"/>
  <c r="I318"/>
  <c r="G318" s="1"/>
  <c r="F318"/>
  <c r="E318"/>
  <c r="C318"/>
  <c r="O317" s="1"/>
  <c r="N317"/>
  <c r="I317"/>
  <c r="G317" s="1"/>
  <c r="F317"/>
  <c r="E317"/>
  <c r="O316" s="1"/>
  <c r="N316"/>
  <c r="I316"/>
  <c r="G316"/>
  <c r="F316"/>
  <c r="E316"/>
  <c r="C316"/>
  <c r="O315" s="1"/>
  <c r="N315"/>
  <c r="I315"/>
  <c r="G315" s="1"/>
  <c r="F315"/>
  <c r="E315"/>
  <c r="O314" s="1"/>
  <c r="N314"/>
  <c r="I314"/>
  <c r="G314"/>
  <c r="F314"/>
  <c r="E314"/>
  <c r="C314"/>
  <c r="O313" s="1"/>
  <c r="N313"/>
  <c r="I313"/>
  <c r="G313"/>
  <c r="F313"/>
  <c r="E313"/>
  <c r="C313"/>
  <c r="O312" s="1"/>
  <c r="N312"/>
  <c r="L312"/>
  <c r="I312"/>
  <c r="G312" s="1"/>
  <c r="F312"/>
  <c r="E312"/>
  <c r="C312"/>
  <c r="O311" s="1"/>
  <c r="N311"/>
  <c r="M311"/>
  <c r="L311"/>
  <c r="I311"/>
  <c r="G311"/>
  <c r="F311"/>
  <c r="E311"/>
  <c r="C311"/>
  <c r="O310"/>
  <c r="N310"/>
  <c r="L310"/>
  <c r="I310"/>
  <c r="G310"/>
  <c r="F310"/>
  <c r="E310"/>
  <c r="C310"/>
  <c r="O309"/>
  <c r="N309"/>
  <c r="L309"/>
  <c r="I309"/>
  <c r="G309"/>
  <c r="F309"/>
  <c r="E309"/>
  <c r="C309"/>
  <c r="O308"/>
  <c r="N308"/>
  <c r="L308"/>
  <c r="I308"/>
  <c r="G308"/>
  <c r="F308"/>
  <c r="E308"/>
  <c r="C308"/>
  <c r="O307"/>
  <c r="N307"/>
  <c r="L307"/>
  <c r="I307"/>
  <c r="G307"/>
  <c r="F307"/>
  <c r="E307"/>
  <c r="O306" s="1"/>
  <c r="N306"/>
  <c r="M306"/>
  <c r="L306"/>
  <c r="I306"/>
  <c r="G306"/>
  <c r="F306"/>
  <c r="E306"/>
  <c r="C306"/>
  <c r="O305"/>
  <c r="N305"/>
  <c r="M305"/>
  <c r="L305"/>
  <c r="I305"/>
  <c r="G305" s="1"/>
  <c r="F305"/>
  <c r="E305"/>
  <c r="C305"/>
  <c r="O304" s="1"/>
  <c r="N304"/>
  <c r="M304"/>
  <c r="L304"/>
  <c r="I304"/>
  <c r="G304" s="1"/>
  <c r="F304"/>
  <c r="E304"/>
  <c r="C304"/>
  <c r="O303" s="1"/>
  <c r="N303"/>
  <c r="M303"/>
  <c r="L303"/>
  <c r="I303"/>
  <c r="G303" s="1"/>
  <c r="F303"/>
  <c r="E303"/>
  <c r="C303"/>
  <c r="O302" s="1"/>
  <c r="N302"/>
  <c r="I302"/>
  <c r="G302"/>
  <c r="O301" s="1"/>
  <c r="N301"/>
  <c r="M301"/>
  <c r="L301"/>
  <c r="I301"/>
  <c r="G301"/>
  <c r="F301"/>
  <c r="E301"/>
  <c r="C301"/>
  <c r="O300"/>
  <c r="N300"/>
  <c r="M300"/>
  <c r="L300"/>
  <c r="I300"/>
  <c r="G300" s="1"/>
  <c r="F300"/>
  <c r="E300"/>
  <c r="C300"/>
  <c r="O299" s="1"/>
  <c r="N299"/>
  <c r="M299"/>
  <c r="L299"/>
  <c r="I299"/>
  <c r="G299" s="1"/>
  <c r="F299"/>
  <c r="E299"/>
  <c r="C299"/>
  <c r="O298" s="1"/>
  <c r="N298"/>
  <c r="M298"/>
  <c r="L298"/>
  <c r="I298"/>
  <c r="G298" s="1"/>
  <c r="F298"/>
  <c r="E298"/>
  <c r="O297" s="1"/>
  <c r="N297"/>
  <c r="M297"/>
  <c r="L297"/>
  <c r="I297"/>
  <c r="G297" s="1"/>
  <c r="F297"/>
  <c r="E297"/>
  <c r="C297"/>
  <c r="O296" s="1"/>
  <c r="N296"/>
  <c r="M296"/>
  <c r="L296"/>
  <c r="I296"/>
  <c r="G296"/>
  <c r="F296"/>
  <c r="E296"/>
  <c r="O295" s="1"/>
  <c r="N295"/>
  <c r="M295"/>
  <c r="L295"/>
  <c r="I295"/>
  <c r="G295"/>
  <c r="F295"/>
  <c r="E295"/>
  <c r="C295"/>
  <c r="O294"/>
  <c r="N294"/>
  <c r="M294"/>
  <c r="L294"/>
  <c r="I294"/>
  <c r="G294" s="1"/>
  <c r="F294"/>
  <c r="E294"/>
  <c r="C294"/>
  <c r="O293" s="1"/>
  <c r="N293"/>
  <c r="M293"/>
  <c r="I293"/>
  <c r="G293" s="1"/>
  <c r="F293"/>
  <c r="E293"/>
  <c r="C293"/>
  <c r="O292" s="1"/>
  <c r="N292"/>
  <c r="M292"/>
  <c r="L292"/>
  <c r="I292"/>
  <c r="G292" s="1"/>
  <c r="F292"/>
  <c r="E292"/>
  <c r="C292"/>
  <c r="O291" s="1"/>
  <c r="N291"/>
  <c r="M291"/>
  <c r="L291"/>
  <c r="I291"/>
  <c r="G291" s="1"/>
  <c r="F291"/>
  <c r="E291"/>
  <c r="C291"/>
  <c r="O290" s="1"/>
  <c r="N290"/>
  <c r="M290"/>
  <c r="L290"/>
  <c r="I290"/>
  <c r="G290"/>
  <c r="F290"/>
  <c r="E290"/>
  <c r="C290"/>
  <c r="O289"/>
  <c r="N289"/>
  <c r="M289"/>
  <c r="L289"/>
  <c r="I289"/>
  <c r="G289" s="1"/>
  <c r="F289"/>
  <c r="E289"/>
  <c r="C289"/>
  <c r="O288" s="1"/>
  <c r="N288"/>
  <c r="M288"/>
  <c r="L288"/>
  <c r="I288"/>
  <c r="G288" s="1"/>
  <c r="F288"/>
  <c r="E288"/>
  <c r="C288"/>
  <c r="O287" s="1"/>
  <c r="N287"/>
  <c r="M287"/>
  <c r="L287"/>
  <c r="I287"/>
  <c r="G287" s="1"/>
  <c r="F287"/>
  <c r="E287"/>
  <c r="C287"/>
  <c r="O286" s="1"/>
  <c r="N286"/>
  <c r="M286"/>
  <c r="L286"/>
  <c r="I286"/>
  <c r="G286"/>
  <c r="F286"/>
  <c r="E286"/>
  <c r="C286"/>
  <c r="O285"/>
  <c r="N285"/>
  <c r="M285"/>
  <c r="L285"/>
  <c r="I285"/>
  <c r="G285" s="1"/>
  <c r="F285"/>
  <c r="E285"/>
  <c r="C285"/>
  <c r="O284" s="1"/>
  <c r="N284"/>
  <c r="M284"/>
  <c r="L284"/>
  <c r="I284"/>
  <c r="G284" s="1"/>
  <c r="F284"/>
  <c r="E284"/>
  <c r="C284"/>
  <c r="O283" s="1"/>
  <c r="N283"/>
  <c r="M283"/>
  <c r="L283"/>
  <c r="I283"/>
  <c r="G283" s="1"/>
  <c r="F283"/>
  <c r="E283"/>
  <c r="C283"/>
  <c r="O282" s="1"/>
  <c r="N282"/>
  <c r="I282"/>
  <c r="G282" s="1"/>
  <c r="F282"/>
  <c r="E282"/>
  <c r="C282"/>
  <c r="O281" s="1"/>
  <c r="N281"/>
  <c r="M281"/>
  <c r="I281"/>
  <c r="G281" s="1"/>
  <c r="F281"/>
  <c r="E281"/>
  <c r="O280" s="1"/>
  <c r="N280"/>
  <c r="M280"/>
  <c r="L280"/>
  <c r="I280"/>
  <c r="G280" s="1"/>
  <c r="F280"/>
  <c r="E280"/>
  <c r="C280"/>
  <c r="O279" s="1"/>
  <c r="N279"/>
  <c r="M279"/>
  <c r="L279"/>
  <c r="I279"/>
  <c r="G279" s="1"/>
  <c r="F279"/>
  <c r="E279"/>
  <c r="O278" s="1"/>
  <c r="N278"/>
  <c r="I278"/>
  <c r="G278" s="1"/>
  <c r="F278"/>
  <c r="E278"/>
  <c r="C278"/>
  <c r="O277" s="1"/>
  <c r="N277"/>
  <c r="I277"/>
  <c r="G277"/>
  <c r="F277"/>
  <c r="E277"/>
  <c r="C277"/>
  <c r="O276"/>
  <c r="N276"/>
  <c r="M276"/>
  <c r="L276"/>
  <c r="I276"/>
  <c r="G276" s="1"/>
  <c r="F276"/>
  <c r="E276"/>
  <c r="C276"/>
  <c r="O275" s="1"/>
  <c r="N275"/>
  <c r="M275"/>
  <c r="L275"/>
  <c r="I275"/>
  <c r="G275" s="1"/>
  <c r="F275"/>
  <c r="E275"/>
  <c r="C275"/>
  <c r="O274" s="1"/>
  <c r="N274"/>
  <c r="I274"/>
  <c r="G274" s="1"/>
  <c r="F274"/>
  <c r="E274"/>
  <c r="C274"/>
  <c r="O273" s="1"/>
  <c r="N273"/>
  <c r="M273"/>
  <c r="L273"/>
  <c r="I273"/>
  <c r="G273" s="1"/>
  <c r="F273"/>
  <c r="E273"/>
  <c r="C273"/>
  <c r="O272" s="1"/>
  <c r="N272"/>
  <c r="M272"/>
  <c r="L272"/>
  <c r="I272"/>
  <c r="G272" s="1"/>
  <c r="F272"/>
  <c r="E272"/>
  <c r="C272"/>
  <c r="O271" s="1"/>
  <c r="N271"/>
  <c r="I271"/>
  <c r="G271" s="1"/>
  <c r="F271"/>
  <c r="E271"/>
  <c r="C271"/>
  <c r="O270" s="1"/>
  <c r="N270"/>
  <c r="I270"/>
  <c r="G270"/>
  <c r="F270"/>
  <c r="E270"/>
  <c r="O269"/>
  <c r="N269"/>
  <c r="M269"/>
  <c r="L269"/>
  <c r="I269"/>
  <c r="G269" s="1"/>
  <c r="F269"/>
  <c r="E269"/>
  <c r="C269"/>
  <c r="O268" s="1"/>
  <c r="N268"/>
  <c r="M268"/>
  <c r="L268"/>
  <c r="I268"/>
  <c r="G268" s="1"/>
  <c r="F268"/>
  <c r="E268"/>
  <c r="C268"/>
  <c r="O267" s="1"/>
  <c r="N267"/>
  <c r="M267"/>
  <c r="L267"/>
  <c r="I267"/>
  <c r="G267" s="1"/>
  <c r="F267"/>
  <c r="E267"/>
  <c r="O266" s="1"/>
  <c r="N266"/>
  <c r="M266"/>
  <c r="L266"/>
  <c r="I266"/>
  <c r="G266" s="1"/>
  <c r="F266"/>
  <c r="E266"/>
  <c r="C266"/>
  <c r="O265" s="1"/>
  <c r="N265"/>
  <c r="M265"/>
  <c r="L265"/>
  <c r="I265"/>
  <c r="G265"/>
  <c r="F265"/>
  <c r="E265"/>
  <c r="C265"/>
  <c r="O264"/>
  <c r="N264"/>
  <c r="M264"/>
  <c r="L264"/>
  <c r="I264"/>
  <c r="G264"/>
  <c r="F264"/>
  <c r="E264"/>
  <c r="O263" s="1"/>
  <c r="N263"/>
  <c r="I263"/>
  <c r="G263"/>
  <c r="F263"/>
  <c r="E263"/>
  <c r="C263"/>
  <c r="O262" s="1"/>
  <c r="N262"/>
  <c r="M262"/>
  <c r="L262"/>
  <c r="I262"/>
  <c r="G262"/>
  <c r="F262"/>
  <c r="E262"/>
  <c r="O261" s="1"/>
  <c r="N261"/>
  <c r="M261"/>
  <c r="L261"/>
  <c r="I261"/>
  <c r="G261"/>
  <c r="F261"/>
  <c r="E261"/>
  <c r="O260" s="1"/>
  <c r="N260"/>
  <c r="I260"/>
  <c r="G260" s="1"/>
  <c r="F260"/>
  <c r="E260"/>
  <c r="O259"/>
  <c r="N259"/>
  <c r="M259"/>
  <c r="I259"/>
  <c r="G259" s="1"/>
  <c r="F259"/>
  <c r="E259"/>
  <c r="C259"/>
  <c r="O258"/>
  <c r="N258"/>
  <c r="M258"/>
  <c r="I258"/>
  <c r="G258" s="1"/>
  <c r="F258"/>
  <c r="E258"/>
  <c r="C258"/>
  <c r="O257" s="1"/>
  <c r="N257"/>
  <c r="M257"/>
  <c r="L257"/>
  <c r="I257"/>
  <c r="G257" s="1"/>
  <c r="F257"/>
  <c r="E257"/>
  <c r="C257"/>
  <c r="O256" s="1"/>
  <c r="N256"/>
  <c r="M256"/>
  <c r="L256"/>
  <c r="I256"/>
  <c r="G256" s="1"/>
  <c r="F256"/>
  <c r="E256"/>
  <c r="O255" s="1"/>
  <c r="N255"/>
  <c r="M255"/>
  <c r="L255"/>
  <c r="I255"/>
  <c r="G255"/>
  <c r="F255"/>
  <c r="E255"/>
  <c r="C255"/>
  <c r="A254"/>
  <c r="O252" s="1"/>
  <c r="M252" s="1"/>
  <c r="L252" s="1"/>
  <c r="G252" s="1"/>
  <c r="O251"/>
  <c r="N251"/>
  <c r="M251"/>
  <c r="I251"/>
  <c r="G251"/>
  <c r="F251"/>
  <c r="E251"/>
  <c r="O250" s="1"/>
  <c r="N250"/>
  <c r="I250"/>
  <c r="G250" s="1"/>
  <c r="F250"/>
  <c r="E250"/>
  <c r="C250"/>
  <c r="O249" s="1"/>
  <c r="N249"/>
  <c r="I249"/>
  <c r="G249"/>
  <c r="F249"/>
  <c r="E249"/>
  <c r="O248"/>
  <c r="N248"/>
  <c r="L248"/>
  <c r="I248"/>
  <c r="G248" s="1"/>
  <c r="F248"/>
  <c r="E248"/>
  <c r="C248"/>
  <c r="O247"/>
  <c r="N247"/>
  <c r="L247"/>
  <c r="I247"/>
  <c r="G247"/>
  <c r="F247"/>
  <c r="E247"/>
  <c r="O246"/>
  <c r="N246"/>
  <c r="L246"/>
  <c r="I246"/>
  <c r="G246"/>
  <c r="F246"/>
  <c r="E246"/>
  <c r="O245" s="1"/>
  <c r="N245"/>
  <c r="L245"/>
  <c r="I245"/>
  <c r="G245" s="1"/>
  <c r="F245"/>
  <c r="E245"/>
  <c r="C245"/>
  <c r="O244" s="1"/>
  <c r="N244"/>
  <c r="L244"/>
  <c r="I244"/>
  <c r="G244" s="1"/>
  <c r="F244"/>
  <c r="E244"/>
  <c r="O243"/>
  <c r="N243"/>
  <c r="L243"/>
  <c r="I243"/>
  <c r="G243"/>
  <c r="F243"/>
  <c r="E243"/>
  <c r="O242"/>
  <c r="N242"/>
  <c r="M242"/>
  <c r="L242"/>
  <c r="I242"/>
  <c r="G242" s="1"/>
  <c r="F242"/>
  <c r="E242"/>
  <c r="C242"/>
  <c r="O241"/>
  <c r="N241"/>
  <c r="L241"/>
  <c r="I241"/>
  <c r="G241" s="1"/>
  <c r="F241"/>
  <c r="E241"/>
  <c r="C241"/>
  <c r="O240" s="1"/>
  <c r="N240"/>
  <c r="M240"/>
  <c r="L240"/>
  <c r="I240"/>
  <c r="G240" s="1"/>
  <c r="F240"/>
  <c r="E240"/>
  <c r="C240"/>
  <c r="O239" s="1"/>
  <c r="N239"/>
  <c r="I239"/>
  <c r="G239"/>
  <c r="F239"/>
  <c r="E239"/>
  <c r="O238"/>
  <c r="N238"/>
  <c r="M238"/>
  <c r="L238"/>
  <c r="I238"/>
  <c r="G238"/>
  <c r="F238"/>
  <c r="E238"/>
  <c r="O237"/>
  <c r="N237"/>
  <c r="M237"/>
  <c r="L237"/>
  <c r="I237"/>
  <c r="G237"/>
  <c r="F237"/>
  <c r="E237"/>
  <c r="O236"/>
  <c r="N236"/>
  <c r="L236"/>
  <c r="I236"/>
  <c r="G236" s="1"/>
  <c r="F236"/>
  <c r="E236"/>
  <c r="C236"/>
  <c r="O235" s="1"/>
  <c r="N235"/>
  <c r="I235"/>
  <c r="G235"/>
  <c r="F235"/>
  <c r="E235"/>
  <c r="C235"/>
  <c r="O234" s="1"/>
  <c r="N234"/>
  <c r="I234"/>
  <c r="G234" s="1"/>
  <c r="F234"/>
  <c r="E234"/>
  <c r="C234"/>
  <c r="O233" s="1"/>
  <c r="N233"/>
  <c r="M233"/>
  <c r="L233"/>
  <c r="I233"/>
  <c r="G233"/>
  <c r="F233"/>
  <c r="E233"/>
  <c r="C233"/>
  <c r="O232"/>
  <c r="N232"/>
  <c r="M232"/>
  <c r="L232"/>
  <c r="I232"/>
  <c r="G232" s="1"/>
  <c r="F232"/>
  <c r="E232"/>
  <c r="C232"/>
  <c r="O231"/>
  <c r="N231"/>
  <c r="M231"/>
  <c r="L231"/>
  <c r="I231"/>
  <c r="G231" s="1"/>
  <c r="F231"/>
  <c r="E231"/>
  <c r="C231"/>
  <c r="O230" s="1"/>
  <c r="N230"/>
  <c r="M230"/>
  <c r="L230"/>
  <c r="I230"/>
  <c r="G230" s="1"/>
  <c r="F230"/>
  <c r="E230"/>
  <c r="C230"/>
  <c r="O229" s="1"/>
  <c r="N229"/>
  <c r="M229"/>
  <c r="L229"/>
  <c r="I229"/>
  <c r="G229"/>
  <c r="F229"/>
  <c r="E229"/>
  <c r="C229"/>
  <c r="O228"/>
  <c r="N228"/>
  <c r="L228"/>
  <c r="I228"/>
  <c r="G228"/>
  <c r="F228"/>
  <c r="E228"/>
  <c r="O227" s="1"/>
  <c r="N227"/>
  <c r="L227"/>
  <c r="I227"/>
  <c r="G227" s="1"/>
  <c r="F227"/>
  <c r="E227"/>
  <c r="O226" s="1"/>
  <c r="N226"/>
  <c r="I226"/>
  <c r="G226" s="1"/>
  <c r="F226"/>
  <c r="E226"/>
  <c r="C226"/>
  <c r="O225" s="1"/>
  <c r="N225"/>
  <c r="I225"/>
  <c r="G225"/>
  <c r="F225"/>
  <c r="E225"/>
  <c r="C225"/>
  <c r="O224" s="1"/>
  <c r="N224"/>
  <c r="I224"/>
  <c r="G224" s="1"/>
  <c r="F224"/>
  <c r="E224"/>
  <c r="C224"/>
  <c r="O223" s="1"/>
  <c r="N223"/>
  <c r="I223"/>
  <c r="G223" s="1"/>
  <c r="F223"/>
  <c r="E223"/>
  <c r="C223"/>
  <c r="O222" s="1"/>
  <c r="N222"/>
  <c r="I222"/>
  <c r="G222" s="1"/>
  <c r="F222"/>
  <c r="E222"/>
  <c r="C222"/>
  <c r="O221" s="1"/>
  <c r="N221"/>
  <c r="I221"/>
  <c r="G221"/>
  <c r="F221"/>
  <c r="E221"/>
  <c r="C221"/>
  <c r="O220" s="1"/>
  <c r="N220"/>
  <c r="I220"/>
  <c r="G220" s="1"/>
  <c r="F220"/>
  <c r="E220"/>
  <c r="C220"/>
  <c r="O219" s="1"/>
  <c r="N219"/>
  <c r="I219" s="1"/>
  <c r="G219"/>
  <c r="F219"/>
  <c r="E219"/>
  <c r="D219"/>
  <c r="O218" s="1"/>
  <c r="N218"/>
  <c r="I218"/>
  <c r="G218" s="1"/>
  <c r="F218"/>
  <c r="E218"/>
  <c r="C218"/>
  <c r="O217" s="1"/>
  <c r="N217"/>
  <c r="I217"/>
  <c r="G217"/>
  <c r="F217"/>
  <c r="E217"/>
  <c r="O216" s="1"/>
  <c r="N216"/>
  <c r="M216"/>
  <c r="L216"/>
  <c r="I216"/>
  <c r="G216"/>
  <c r="F216"/>
  <c r="E216"/>
  <c r="O215" s="1"/>
  <c r="N215"/>
  <c r="M215"/>
  <c r="L215"/>
  <c r="I215"/>
  <c r="G215"/>
  <c r="F215"/>
  <c r="E215"/>
  <c r="O214" s="1"/>
  <c r="N214"/>
  <c r="M214"/>
  <c r="L214"/>
  <c r="I214"/>
  <c r="G214"/>
  <c r="F214"/>
  <c r="E214"/>
  <c r="O213" s="1"/>
  <c r="N213"/>
  <c r="M213"/>
  <c r="L213"/>
  <c r="I213"/>
  <c r="G213"/>
  <c r="F213"/>
  <c r="E213"/>
  <c r="C213"/>
  <c r="O212" s="1"/>
  <c r="N212"/>
  <c r="I212"/>
  <c r="G212" s="1"/>
  <c r="F212"/>
  <c r="E212"/>
  <c r="C212"/>
  <c r="O211" s="1"/>
  <c r="N211"/>
  <c r="I211"/>
  <c r="G211" s="1"/>
  <c r="F211"/>
  <c r="E211"/>
  <c r="C211"/>
  <c r="O210" s="1"/>
  <c r="N210"/>
  <c r="I210"/>
  <c r="G210" s="1"/>
  <c r="F210"/>
  <c r="E210"/>
  <c r="C210"/>
  <c r="O209" s="1"/>
  <c r="N209"/>
  <c r="I209"/>
  <c r="G209"/>
  <c r="F209"/>
  <c r="E209"/>
  <c r="C209"/>
  <c r="O208"/>
  <c r="N208"/>
  <c r="I208"/>
  <c r="G208" s="1"/>
  <c r="F208"/>
  <c r="E208"/>
  <c r="C208"/>
  <c r="O207" s="1"/>
  <c r="N207"/>
  <c r="I207"/>
  <c r="G207" s="1"/>
  <c r="F207"/>
  <c r="E207"/>
  <c r="C207"/>
  <c r="O206" s="1"/>
  <c r="N206"/>
  <c r="I206"/>
  <c r="G206" s="1"/>
  <c r="F206"/>
  <c r="E206"/>
  <c r="C206"/>
  <c r="O205" s="1"/>
  <c r="N205"/>
  <c r="I205"/>
  <c r="G205"/>
  <c r="F205"/>
  <c r="E205"/>
  <c r="C205"/>
  <c r="O204" s="1"/>
  <c r="N204"/>
  <c r="I204"/>
  <c r="G204" s="1"/>
  <c r="F204"/>
  <c r="E204"/>
  <c r="C204"/>
  <c r="O203" s="1"/>
  <c r="N203"/>
  <c r="I203"/>
  <c r="G203" s="1"/>
  <c r="F203"/>
  <c r="E203"/>
  <c r="C203"/>
  <c r="O202" s="1"/>
  <c r="N202"/>
  <c r="I202"/>
  <c r="G202" s="1"/>
  <c r="F202"/>
  <c r="E202"/>
  <c r="C202"/>
  <c r="O201" s="1"/>
  <c r="N201"/>
  <c r="I201"/>
  <c r="G201"/>
  <c r="F201"/>
  <c r="E201"/>
  <c r="C201"/>
  <c r="O200" s="1"/>
  <c r="N200"/>
  <c r="I200"/>
  <c r="G200" s="1"/>
  <c r="F200"/>
  <c r="E200"/>
  <c r="C200"/>
  <c r="O199" s="1"/>
  <c r="N199"/>
  <c r="I199"/>
  <c r="G199" s="1"/>
  <c r="F199"/>
  <c r="E199"/>
  <c r="C199"/>
  <c r="O198" s="1"/>
  <c r="N198"/>
  <c r="M198"/>
  <c r="L198"/>
  <c r="I198"/>
  <c r="G198" s="1"/>
  <c r="F198"/>
  <c r="E198"/>
  <c r="C198"/>
  <c r="O197" s="1"/>
  <c r="N197"/>
  <c r="M197"/>
  <c r="L197"/>
  <c r="I197"/>
  <c r="G197"/>
  <c r="F197"/>
  <c r="E197"/>
  <c r="C197"/>
  <c r="O196"/>
  <c r="N196"/>
  <c r="M196"/>
  <c r="L196"/>
  <c r="I196"/>
  <c r="G196" s="1"/>
  <c r="F196"/>
  <c r="E196"/>
  <c r="C196"/>
  <c r="O195"/>
  <c r="N195"/>
  <c r="M195"/>
  <c r="L195"/>
  <c r="I195"/>
  <c r="G195" s="1"/>
  <c r="F195"/>
  <c r="E195"/>
  <c r="C195"/>
  <c r="O194" s="1"/>
  <c r="N194"/>
  <c r="I194"/>
  <c r="G194" s="1"/>
  <c r="F194"/>
  <c r="E194"/>
  <c r="C194"/>
  <c r="O193"/>
  <c r="N193"/>
  <c r="M193"/>
  <c r="L193"/>
  <c r="I193"/>
  <c r="G193" s="1"/>
  <c r="F193"/>
  <c r="E193"/>
  <c r="C193"/>
  <c r="O192" s="1"/>
  <c r="N192"/>
  <c r="L192"/>
  <c r="I192"/>
  <c r="G192" s="1"/>
  <c r="F192"/>
  <c r="E192"/>
  <c r="O191"/>
  <c r="N191"/>
  <c r="L191"/>
  <c r="I191"/>
  <c r="G191"/>
  <c r="F191"/>
  <c r="E191"/>
  <c r="O190"/>
  <c r="N190"/>
  <c r="L190"/>
  <c r="I190"/>
  <c r="G190"/>
  <c r="F190"/>
  <c r="E190"/>
  <c r="O189" s="1"/>
  <c r="N189"/>
  <c r="L189"/>
  <c r="I189"/>
  <c r="G189" s="1"/>
  <c r="F189"/>
  <c r="E189"/>
  <c r="O188" s="1"/>
  <c r="N188"/>
  <c r="L188"/>
  <c r="I188"/>
  <c r="G188" s="1"/>
  <c r="F188"/>
  <c r="E188"/>
  <c r="C188"/>
  <c r="O187" s="1"/>
  <c r="N187"/>
  <c r="M187"/>
  <c r="L187"/>
  <c r="I187"/>
  <c r="G187" s="1"/>
  <c r="F187"/>
  <c r="E187"/>
  <c r="C187"/>
  <c r="O186" s="1"/>
  <c r="N186"/>
  <c r="L186"/>
  <c r="I186"/>
  <c r="G186" s="1"/>
  <c r="F186"/>
  <c r="E186"/>
  <c r="C186"/>
  <c r="O185" s="1"/>
  <c r="N185"/>
  <c r="L185"/>
  <c r="I185"/>
  <c r="G185" s="1"/>
  <c r="F185"/>
  <c r="E185"/>
  <c r="C185"/>
  <c r="O184" s="1"/>
  <c r="N184"/>
  <c r="M184"/>
  <c r="L184"/>
  <c r="I184"/>
  <c r="G184"/>
  <c r="F184"/>
  <c r="E184"/>
  <c r="C184"/>
  <c r="O183"/>
  <c r="N183"/>
  <c r="M183"/>
  <c r="L183"/>
  <c r="I183"/>
  <c r="G183"/>
  <c r="F183"/>
  <c r="E183"/>
  <c r="O182"/>
  <c r="N182"/>
  <c r="M182"/>
  <c r="L182"/>
  <c r="I182"/>
  <c r="G182" s="1"/>
  <c r="F182"/>
  <c r="E182"/>
  <c r="C182"/>
  <c r="O181"/>
  <c r="N181"/>
  <c r="M181"/>
  <c r="L181"/>
  <c r="I181"/>
  <c r="G181" s="1"/>
  <c r="F181"/>
  <c r="E181"/>
  <c r="C181"/>
  <c r="O180" s="1"/>
  <c r="N180"/>
  <c r="M180"/>
  <c r="L180"/>
  <c r="I180"/>
  <c r="G180" s="1"/>
  <c r="F180"/>
  <c r="E180"/>
  <c r="C180"/>
  <c r="O179" s="1"/>
  <c r="N179"/>
  <c r="M179"/>
  <c r="L179"/>
  <c r="I179"/>
  <c r="G179"/>
  <c r="F179"/>
  <c r="E179"/>
  <c r="C179"/>
  <c r="O178"/>
  <c r="N178"/>
  <c r="M178"/>
  <c r="L178"/>
  <c r="I178"/>
  <c r="G178" s="1"/>
  <c r="F178"/>
  <c r="E178"/>
  <c r="C178"/>
  <c r="O177"/>
  <c r="N177"/>
  <c r="M177"/>
  <c r="L177"/>
  <c r="I177"/>
  <c r="G177" s="1"/>
  <c r="F177"/>
  <c r="E177"/>
  <c r="C177"/>
  <c r="O176" s="1"/>
  <c r="N176"/>
  <c r="M176"/>
  <c r="L176"/>
  <c r="I176"/>
  <c r="G176" s="1"/>
  <c r="F176"/>
  <c r="E176"/>
  <c r="C176"/>
  <c r="O175" s="1"/>
  <c r="N175"/>
  <c r="L175"/>
  <c r="I175"/>
  <c r="G175" s="1"/>
  <c r="F175"/>
  <c r="E175"/>
  <c r="C175"/>
  <c r="O174" s="1"/>
  <c r="N174"/>
  <c r="L174"/>
  <c r="I174"/>
  <c r="G174" s="1"/>
  <c r="F174"/>
  <c r="E174"/>
  <c r="O173" s="1"/>
  <c r="N173"/>
  <c r="L173"/>
  <c r="I173"/>
  <c r="G173" s="1"/>
  <c r="F173"/>
  <c r="E173"/>
  <c r="O172"/>
  <c r="N172"/>
  <c r="L172"/>
  <c r="I172"/>
  <c r="G172" s="1"/>
  <c r="F172"/>
  <c r="E172"/>
  <c r="C172"/>
  <c r="O171"/>
  <c r="N171"/>
  <c r="L171"/>
  <c r="I171"/>
  <c r="G171"/>
  <c r="F171"/>
  <c r="E171"/>
  <c r="O170"/>
  <c r="N170"/>
  <c r="L170"/>
  <c r="I170"/>
  <c r="G170"/>
  <c r="F170"/>
  <c r="E170"/>
  <c r="O169" s="1"/>
  <c r="N169"/>
  <c r="L169"/>
  <c r="I169"/>
  <c r="G169" s="1"/>
  <c r="F169"/>
  <c r="E169"/>
  <c r="O168" s="1"/>
  <c r="N168"/>
  <c r="I168"/>
  <c r="G168" s="1"/>
  <c r="F168"/>
  <c r="E168"/>
  <c r="C168"/>
  <c r="I167"/>
  <c r="A167"/>
  <c r="O165" s="1"/>
  <c r="M165" s="1"/>
  <c r="L165" s="1"/>
  <c r="I165"/>
  <c r="G165" s="1"/>
  <c r="O164"/>
  <c r="N164"/>
  <c r="L164"/>
  <c r="I164"/>
  <c r="G164"/>
  <c r="F164"/>
  <c r="E164"/>
  <c r="C164"/>
  <c r="O163" s="1"/>
  <c r="N163"/>
  <c r="I163"/>
  <c r="G163" s="1"/>
  <c r="F163"/>
  <c r="E163"/>
  <c r="C163"/>
  <c r="O162" s="1"/>
  <c r="N162"/>
  <c r="I162"/>
  <c r="G162" s="1"/>
  <c r="F162"/>
  <c r="E162"/>
  <c r="C162"/>
  <c r="O161" s="1"/>
  <c r="N161"/>
  <c r="M161"/>
  <c r="L161"/>
  <c r="J161"/>
  <c r="I161"/>
  <c r="G161"/>
  <c r="F161"/>
  <c r="E161"/>
  <c r="C161"/>
  <c r="O160"/>
  <c r="N160"/>
  <c r="M160"/>
  <c r="L160"/>
  <c r="I160"/>
  <c r="G160" s="1"/>
  <c r="F160"/>
  <c r="E160"/>
  <c r="C160"/>
  <c r="O159"/>
  <c r="N159"/>
  <c r="M159"/>
  <c r="L159"/>
  <c r="I159"/>
  <c r="G159" s="1"/>
  <c r="F159"/>
  <c r="E159"/>
  <c r="C159"/>
  <c r="O158" s="1"/>
  <c r="N158"/>
  <c r="M158"/>
  <c r="L158"/>
  <c r="I158"/>
  <c r="G158" s="1"/>
  <c r="F158"/>
  <c r="E158"/>
  <c r="C158"/>
  <c r="O157" s="1"/>
  <c r="N157"/>
  <c r="M157"/>
  <c r="L157"/>
  <c r="I157"/>
  <c r="G157"/>
  <c r="F157"/>
  <c r="E157"/>
  <c r="C157"/>
  <c r="O156"/>
  <c r="N156"/>
  <c r="M156"/>
  <c r="L156"/>
  <c r="I156"/>
  <c r="G156" s="1"/>
  <c r="F156"/>
  <c r="E156"/>
  <c r="C156"/>
  <c r="O155"/>
  <c r="N155"/>
  <c r="M155"/>
  <c r="L155"/>
  <c r="I155"/>
  <c r="G155" s="1"/>
  <c r="F155"/>
  <c r="E155"/>
  <c r="C155"/>
  <c r="O154" s="1"/>
  <c r="N154"/>
  <c r="M154"/>
  <c r="L154"/>
  <c r="I154"/>
  <c r="G154" s="1"/>
  <c r="F154"/>
  <c r="E154"/>
  <c r="C154"/>
  <c r="O153" s="1"/>
  <c r="N153"/>
  <c r="M153"/>
  <c r="L153"/>
  <c r="I153"/>
  <c r="G153"/>
  <c r="F153"/>
  <c r="E153"/>
  <c r="C153"/>
  <c r="O152"/>
  <c r="N152"/>
  <c r="M152"/>
  <c r="L152"/>
  <c r="I152"/>
  <c r="G152" s="1"/>
  <c r="F152"/>
  <c r="E152"/>
  <c r="C152"/>
  <c r="O151"/>
  <c r="N151"/>
  <c r="M151"/>
  <c r="I151"/>
  <c r="G151" s="1"/>
  <c r="F151"/>
  <c r="E151"/>
  <c r="C151"/>
  <c r="O150"/>
  <c r="N150"/>
  <c r="M150"/>
  <c r="I150"/>
  <c r="G150" s="1"/>
  <c r="F150"/>
  <c r="E150"/>
  <c r="C150"/>
  <c r="O149" s="1"/>
  <c r="N149"/>
  <c r="M149"/>
  <c r="L149"/>
  <c r="J149"/>
  <c r="I149"/>
  <c r="G149" s="1"/>
  <c r="F149"/>
  <c r="E149"/>
  <c r="D149" s="1"/>
  <c r="C149"/>
  <c r="I148"/>
  <c r="D148"/>
  <c r="C148"/>
  <c r="F147"/>
  <c r="E147"/>
  <c r="D147"/>
  <c r="C147"/>
  <c r="O146" s="1"/>
  <c r="N146"/>
  <c r="M146" s="1"/>
  <c r="L146"/>
  <c r="J146"/>
  <c r="I146"/>
  <c r="G146" s="1"/>
  <c r="F146"/>
  <c r="E146"/>
  <c r="D146"/>
  <c r="C146"/>
  <c r="O145" s="1"/>
  <c r="N145"/>
  <c r="M145"/>
  <c r="L145"/>
  <c r="J145"/>
  <c r="I145"/>
  <c r="G145" s="1"/>
  <c r="F145"/>
  <c r="E145"/>
  <c r="D145" s="1"/>
  <c r="C145"/>
  <c r="I144"/>
  <c r="D144"/>
  <c r="C144"/>
  <c r="F143"/>
  <c r="E143"/>
  <c r="D143"/>
  <c r="C143"/>
  <c r="O142" s="1"/>
  <c r="N142" s="1"/>
  <c r="M142"/>
  <c r="L142"/>
  <c r="J142"/>
  <c r="I142"/>
  <c r="G142" s="1"/>
  <c r="F142"/>
  <c r="E142"/>
  <c r="D142"/>
  <c r="C142"/>
  <c r="A141"/>
  <c r="O139" s="1"/>
  <c r="M139" s="1"/>
  <c r="L139" s="1"/>
  <c r="I139"/>
  <c r="G139" s="1"/>
  <c r="O138" s="1"/>
  <c r="N138"/>
  <c r="I138"/>
  <c r="G138"/>
  <c r="F138"/>
  <c r="E138"/>
  <c r="C138"/>
  <c r="O137" s="1"/>
  <c r="N137"/>
  <c r="I137"/>
  <c r="G137" s="1"/>
  <c r="F137"/>
  <c r="E137"/>
  <c r="C137"/>
  <c r="O136" s="1"/>
  <c r="N136"/>
  <c r="I136" s="1"/>
  <c r="G136"/>
  <c r="F136"/>
  <c r="E136"/>
  <c r="D136"/>
  <c r="O135" s="1"/>
  <c r="N135"/>
  <c r="I135"/>
  <c r="G135" s="1"/>
  <c r="F135"/>
  <c r="E135"/>
  <c r="D135"/>
  <c r="O134" s="1"/>
  <c r="N134"/>
  <c r="I134"/>
  <c r="G134"/>
  <c r="F134"/>
  <c r="E134"/>
  <c r="C134"/>
  <c r="O133"/>
  <c r="N133"/>
  <c r="L133"/>
  <c r="I133"/>
  <c r="G133"/>
  <c r="F133"/>
  <c r="E133"/>
  <c r="C133"/>
  <c r="O132"/>
  <c r="N132"/>
  <c r="L132"/>
  <c r="I132"/>
  <c r="G132"/>
  <c r="F132"/>
  <c r="E132"/>
  <c r="C132"/>
  <c r="O131"/>
  <c r="N131"/>
  <c r="M131"/>
  <c r="L131"/>
  <c r="I131"/>
  <c r="G131" s="1"/>
  <c r="F131"/>
  <c r="E131"/>
  <c r="C131"/>
  <c r="O130"/>
  <c r="N130"/>
  <c r="M130"/>
  <c r="L130"/>
  <c r="I130"/>
  <c r="G130"/>
  <c r="F130"/>
  <c r="E130"/>
  <c r="O129"/>
  <c r="N129"/>
  <c r="M129"/>
  <c r="L129"/>
  <c r="I129"/>
  <c r="G129" s="1"/>
  <c r="F129"/>
  <c r="E129"/>
  <c r="C129"/>
  <c r="O128" s="1"/>
  <c r="N128"/>
  <c r="M128"/>
  <c r="L128"/>
  <c r="J128"/>
  <c r="I128"/>
  <c r="G128"/>
  <c r="F128"/>
  <c r="E128"/>
  <c r="C128"/>
  <c r="A127"/>
  <c r="O125" s="1"/>
  <c r="G125" s="1"/>
  <c r="O124" s="1"/>
  <c r="N124"/>
  <c r="I124"/>
  <c r="G124" s="1"/>
  <c r="F124"/>
  <c r="E124"/>
  <c r="C124"/>
  <c r="O123" s="1"/>
  <c r="N123"/>
  <c r="I123"/>
  <c r="G123" s="1"/>
  <c r="F123"/>
  <c r="E123"/>
  <c r="C123"/>
  <c r="O122" s="1"/>
  <c r="N122"/>
  <c r="I122"/>
  <c r="G122"/>
  <c r="F122"/>
  <c r="E122"/>
  <c r="C122"/>
  <c r="O121" s="1"/>
  <c r="N121"/>
  <c r="I121"/>
  <c r="G121"/>
  <c r="F121"/>
  <c r="E121"/>
  <c r="O120" s="1"/>
  <c r="N120"/>
  <c r="I120"/>
  <c r="G120" s="1"/>
  <c r="F120"/>
  <c r="E120"/>
  <c r="C120"/>
  <c r="O119" s="1"/>
  <c r="N119"/>
  <c r="I119"/>
  <c r="G119"/>
  <c r="F119"/>
  <c r="E119"/>
  <c r="O118" s="1"/>
  <c r="N118"/>
  <c r="I118"/>
  <c r="G118" s="1"/>
  <c r="F118"/>
  <c r="E118"/>
  <c r="O117" s="1"/>
  <c r="N117"/>
  <c r="I117"/>
  <c r="G117"/>
  <c r="F117"/>
  <c r="E117"/>
  <c r="I116" s="1"/>
  <c r="D116"/>
  <c r="C116"/>
  <c r="F115"/>
  <c r="E115"/>
  <c r="D115"/>
  <c r="C115"/>
  <c r="O114" s="1"/>
  <c r="N114"/>
  <c r="I114"/>
  <c r="G114"/>
  <c r="F114"/>
  <c r="D114" s="1"/>
  <c r="C114"/>
  <c r="I113"/>
  <c r="D113"/>
  <c r="C113"/>
  <c r="F112"/>
  <c r="E112"/>
  <c r="D112"/>
  <c r="C112"/>
  <c r="O111" s="1"/>
  <c r="N111" s="1"/>
  <c r="I111"/>
  <c r="G111" s="1"/>
  <c r="F111"/>
  <c r="D111"/>
  <c r="C111"/>
  <c r="I110" s="1"/>
  <c r="D110"/>
  <c r="C110"/>
  <c r="F109"/>
  <c r="E109"/>
  <c r="D109"/>
  <c r="C109"/>
  <c r="O108" s="1"/>
  <c r="N108"/>
  <c r="I108"/>
  <c r="G108" s="1"/>
  <c r="F108"/>
  <c r="D108" s="1"/>
  <c r="C108"/>
  <c r="O107" s="1"/>
  <c r="N107"/>
  <c r="I107"/>
  <c r="G107"/>
  <c r="F107"/>
  <c r="O106" s="1"/>
  <c r="N106"/>
  <c r="I106"/>
  <c r="G106"/>
  <c r="F106"/>
  <c r="E106"/>
  <c r="A105"/>
  <c r="O103" s="1"/>
  <c r="M103"/>
  <c r="L103"/>
  <c r="G103"/>
  <c r="O102" s="1"/>
  <c r="N102"/>
  <c r="I102"/>
  <c r="G102"/>
  <c r="F102"/>
  <c r="E102"/>
  <c r="C102"/>
  <c r="O101" s="1"/>
  <c r="N101"/>
  <c r="I101"/>
  <c r="G101" s="1"/>
  <c r="F101"/>
  <c r="E101"/>
  <c r="C101"/>
  <c r="O100" s="1"/>
  <c r="N100"/>
  <c r="I100"/>
  <c r="G100" s="1"/>
  <c r="F100"/>
  <c r="E100"/>
  <c r="C100"/>
  <c r="O99" s="1"/>
  <c r="N99"/>
  <c r="I99"/>
  <c r="G99"/>
  <c r="F99"/>
  <c r="E99"/>
  <c r="O98"/>
  <c r="N98"/>
  <c r="L98"/>
  <c r="I98"/>
  <c r="G98"/>
  <c r="F98"/>
  <c r="E98"/>
  <c r="C98"/>
  <c r="O97"/>
  <c r="N97"/>
  <c r="I97"/>
  <c r="G97" s="1"/>
  <c r="F97"/>
  <c r="E97"/>
  <c r="C97"/>
  <c r="O96" s="1"/>
  <c r="N96"/>
  <c r="M96"/>
  <c r="L96"/>
  <c r="I96"/>
  <c r="G96"/>
  <c r="F96"/>
  <c r="E96"/>
  <c r="C96"/>
  <c r="O95"/>
  <c r="N95"/>
  <c r="L95"/>
  <c r="I95"/>
  <c r="G95"/>
  <c r="F95"/>
  <c r="E95"/>
  <c r="C95"/>
  <c r="O94"/>
  <c r="N94"/>
  <c r="L94"/>
  <c r="I94"/>
  <c r="G94"/>
  <c r="F94"/>
  <c r="E94"/>
  <c r="C94"/>
  <c r="O93"/>
  <c r="N93"/>
  <c r="L93"/>
  <c r="I93"/>
  <c r="G93"/>
  <c r="F93"/>
  <c r="E93"/>
  <c r="C93"/>
  <c r="O92"/>
  <c r="N92"/>
  <c r="M92"/>
  <c r="L92"/>
  <c r="I92"/>
  <c r="G92" s="1"/>
  <c r="F92"/>
  <c r="E92"/>
  <c r="C92"/>
  <c r="O91"/>
  <c r="N91"/>
  <c r="M91"/>
  <c r="L91"/>
  <c r="I91"/>
  <c r="G91" s="1"/>
  <c r="F91"/>
  <c r="E91"/>
  <c r="C91"/>
  <c r="O90" s="1"/>
  <c r="N90"/>
  <c r="M90"/>
  <c r="L90"/>
  <c r="I90"/>
  <c r="G90" s="1"/>
  <c r="F90"/>
  <c r="E90"/>
  <c r="C90"/>
  <c r="O89" s="1"/>
  <c r="N89"/>
  <c r="M89"/>
  <c r="L89"/>
  <c r="I89"/>
  <c r="G89"/>
  <c r="F89"/>
  <c r="E89"/>
  <c r="O88" s="1"/>
  <c r="N88"/>
  <c r="M88"/>
  <c r="L88"/>
  <c r="I88"/>
  <c r="G88"/>
  <c r="F88"/>
  <c r="E88"/>
  <c r="C88"/>
  <c r="O87"/>
  <c r="N87"/>
  <c r="M87"/>
  <c r="L87"/>
  <c r="I87"/>
  <c r="G87" s="1"/>
  <c r="F87"/>
  <c r="E87"/>
  <c r="C87"/>
  <c r="O86"/>
  <c r="N86"/>
  <c r="M86"/>
  <c r="I86"/>
  <c r="G86"/>
  <c r="F86"/>
  <c r="E86"/>
  <c r="O85"/>
  <c r="N85"/>
  <c r="L85"/>
  <c r="I85"/>
  <c r="G85"/>
  <c r="F85"/>
  <c r="E85"/>
  <c r="C85"/>
  <c r="O84"/>
  <c r="N84"/>
  <c r="M84"/>
  <c r="I84"/>
  <c r="G84"/>
  <c r="F84"/>
  <c r="E84"/>
  <c r="O83" s="1"/>
  <c r="N83"/>
  <c r="M83"/>
  <c r="I83"/>
  <c r="G83" s="1"/>
  <c r="F83"/>
  <c r="E83"/>
  <c r="C83"/>
  <c r="O82" s="1"/>
  <c r="N82"/>
  <c r="M82"/>
  <c r="L82"/>
  <c r="I82"/>
  <c r="G82"/>
  <c r="F82"/>
  <c r="E82"/>
  <c r="C82"/>
  <c r="O81"/>
  <c r="N81"/>
  <c r="L81"/>
  <c r="I81"/>
  <c r="G81"/>
  <c r="F81"/>
  <c r="E81"/>
  <c r="C81"/>
  <c r="O80"/>
  <c r="N80"/>
  <c r="L80"/>
  <c r="I80"/>
  <c r="G80"/>
  <c r="F80"/>
  <c r="E80"/>
  <c r="C80"/>
  <c r="O79"/>
  <c r="N79"/>
  <c r="L79"/>
  <c r="I79"/>
  <c r="G79"/>
  <c r="F79"/>
  <c r="E79"/>
  <c r="C79"/>
  <c r="O78"/>
  <c r="N78"/>
  <c r="M78"/>
  <c r="J78"/>
  <c r="I78"/>
  <c r="G78"/>
  <c r="F78"/>
  <c r="E78"/>
  <c r="O77"/>
  <c r="N77"/>
  <c r="M77"/>
  <c r="I77"/>
  <c r="G77"/>
  <c r="F77"/>
  <c r="E77"/>
  <c r="C77"/>
  <c r="O76"/>
  <c r="N76"/>
  <c r="M76"/>
  <c r="L76"/>
  <c r="I76"/>
  <c r="G76" s="1"/>
  <c r="F76"/>
  <c r="E76"/>
  <c r="C76"/>
  <c r="O75"/>
  <c r="N75"/>
  <c r="M75"/>
  <c r="L75"/>
  <c r="I75"/>
  <c r="G75"/>
  <c r="F75"/>
  <c r="E75"/>
  <c r="O74"/>
  <c r="N74"/>
  <c r="M74"/>
  <c r="L74"/>
  <c r="I74"/>
  <c r="G74" s="1"/>
  <c r="F74"/>
  <c r="E74"/>
  <c r="C74"/>
  <c r="O73" s="1"/>
  <c r="N73"/>
  <c r="M73"/>
  <c r="L73"/>
  <c r="I73"/>
  <c r="G73" s="1"/>
  <c r="F73"/>
  <c r="E73"/>
  <c r="C73"/>
  <c r="O72" s="1"/>
  <c r="N72"/>
  <c r="M72"/>
  <c r="L72"/>
  <c r="I72"/>
  <c r="G72"/>
  <c r="F72"/>
  <c r="E72"/>
  <c r="C72"/>
  <c r="O71"/>
  <c r="N71"/>
  <c r="M71"/>
  <c r="L71"/>
  <c r="I71"/>
  <c r="G71" s="1"/>
  <c r="F71"/>
  <c r="E71"/>
  <c r="C71"/>
  <c r="O70"/>
  <c r="N70"/>
  <c r="M70"/>
  <c r="L70"/>
  <c r="I70"/>
  <c r="G70" s="1"/>
  <c r="F70"/>
  <c r="E70"/>
  <c r="C70"/>
  <c r="O69" s="1"/>
  <c r="N69"/>
  <c r="M69"/>
  <c r="L69"/>
  <c r="I69"/>
  <c r="G69" s="1"/>
  <c r="F69"/>
  <c r="E69"/>
  <c r="C69"/>
  <c r="O68" s="1"/>
  <c r="N68"/>
  <c r="M68"/>
  <c r="L68"/>
  <c r="I68"/>
  <c r="G68"/>
  <c r="F68"/>
  <c r="E68"/>
  <c r="C68"/>
  <c r="O67"/>
  <c r="N67"/>
  <c r="M67"/>
  <c r="L67"/>
  <c r="I67"/>
  <c r="G67" s="1"/>
  <c r="F67"/>
  <c r="E67"/>
  <c r="C67"/>
  <c r="O66"/>
  <c r="N66"/>
  <c r="M66"/>
  <c r="L66"/>
  <c r="I66"/>
  <c r="G66" s="1"/>
  <c r="F66"/>
  <c r="E66"/>
  <c r="C66"/>
  <c r="O65" s="1"/>
  <c r="N65"/>
  <c r="M65"/>
  <c r="L65"/>
  <c r="I65"/>
  <c r="G65" s="1"/>
  <c r="F65"/>
  <c r="E65"/>
  <c r="C65"/>
  <c r="O64" s="1"/>
  <c r="N64"/>
  <c r="M64"/>
  <c r="L64"/>
  <c r="J64"/>
  <c r="I64"/>
  <c r="G64" s="1"/>
  <c r="F64"/>
  <c r="E64"/>
  <c r="C64"/>
  <c r="O63"/>
  <c r="N63"/>
  <c r="M63"/>
  <c r="L63"/>
  <c r="I63"/>
  <c r="G63" s="1"/>
  <c r="F63"/>
  <c r="E63"/>
  <c r="C63"/>
  <c r="O62" s="1"/>
  <c r="N62"/>
  <c r="M62"/>
  <c r="L62"/>
  <c r="I62"/>
  <c r="G62" s="1"/>
  <c r="F62"/>
  <c r="E62"/>
  <c r="O61" s="1"/>
  <c r="N61"/>
  <c r="M61"/>
  <c r="J61"/>
  <c r="I61"/>
  <c r="G61" s="1"/>
  <c r="F61"/>
  <c r="E61"/>
  <c r="C61"/>
  <c r="O60" s="1"/>
  <c r="N60"/>
  <c r="L60"/>
  <c r="I60"/>
  <c r="G60" s="1"/>
  <c r="F60"/>
  <c r="E60"/>
  <c r="C60"/>
  <c r="O59" s="1"/>
  <c r="N59"/>
  <c r="L59"/>
  <c r="I59"/>
  <c r="G59" s="1"/>
  <c r="F59"/>
  <c r="E59"/>
  <c r="C59"/>
  <c r="O58" s="1"/>
  <c r="N58"/>
  <c r="L58"/>
  <c r="I58"/>
  <c r="G58" s="1"/>
  <c r="F58"/>
  <c r="E58"/>
  <c r="C58"/>
  <c r="O57" s="1"/>
  <c r="N57"/>
  <c r="M57"/>
  <c r="L57"/>
  <c r="I57"/>
  <c r="G57"/>
  <c r="F57"/>
  <c r="E57"/>
  <c r="C57"/>
  <c r="O56"/>
  <c r="N56"/>
  <c r="M56"/>
  <c r="L56"/>
  <c r="I56"/>
  <c r="G56" s="1"/>
  <c r="F56"/>
  <c r="E56"/>
  <c r="C56"/>
  <c r="O55"/>
  <c r="N55"/>
  <c r="L55"/>
  <c r="I55"/>
  <c r="G55" s="1"/>
  <c r="F55"/>
  <c r="E55"/>
  <c r="C55"/>
  <c r="O54"/>
  <c r="N54"/>
  <c r="L54"/>
  <c r="I54"/>
  <c r="G54" s="1"/>
  <c r="F54"/>
  <c r="E54"/>
  <c r="C54"/>
  <c r="O53"/>
  <c r="N53"/>
  <c r="L53"/>
  <c r="I53"/>
  <c r="G53" s="1"/>
  <c r="F53"/>
  <c r="E53"/>
  <c r="C53"/>
  <c r="O52"/>
  <c r="N52"/>
  <c r="L52"/>
  <c r="I52"/>
  <c r="G52" s="1"/>
  <c r="F52"/>
  <c r="E52"/>
  <c r="C52"/>
  <c r="O51"/>
  <c r="N51"/>
  <c r="M51"/>
  <c r="L51"/>
  <c r="I51"/>
  <c r="G51" s="1"/>
  <c r="F51"/>
  <c r="E51"/>
  <c r="C51"/>
  <c r="O50" s="1"/>
  <c r="N50"/>
  <c r="M50"/>
  <c r="L50"/>
  <c r="I50"/>
  <c r="G50" s="1"/>
  <c r="F50"/>
  <c r="E50"/>
  <c r="C50"/>
  <c r="O49" s="1"/>
  <c r="N49"/>
  <c r="M49"/>
  <c r="L49"/>
  <c r="I49"/>
  <c r="G49"/>
  <c r="F49"/>
  <c r="E49"/>
  <c r="C49"/>
  <c r="O48" s="1"/>
  <c r="N48"/>
  <c r="I48"/>
  <c r="G48"/>
  <c r="F48"/>
  <c r="E48"/>
  <c r="C48"/>
  <c r="O47" s="1"/>
  <c r="N47"/>
  <c r="I47"/>
  <c r="G47" s="1"/>
  <c r="F47"/>
  <c r="E47"/>
  <c r="C47"/>
  <c r="O46" s="1"/>
  <c r="N46"/>
  <c r="I46"/>
  <c r="G46" s="1"/>
  <c r="F46"/>
  <c r="E46"/>
  <c r="C46"/>
  <c r="O45" s="1"/>
  <c r="N45"/>
  <c r="I45"/>
  <c r="G45"/>
  <c r="F45"/>
  <c r="E45"/>
  <c r="C45"/>
  <c r="O44"/>
  <c r="N44"/>
  <c r="I44"/>
  <c r="G44" s="1"/>
  <c r="F44"/>
  <c r="E44"/>
  <c r="C44"/>
  <c r="O43" s="1"/>
  <c r="N43"/>
  <c r="I43"/>
  <c r="G43" s="1"/>
  <c r="F43"/>
  <c r="E43"/>
  <c r="C43"/>
  <c r="O42" s="1"/>
  <c r="N42"/>
  <c r="I42"/>
  <c r="G42" s="1"/>
  <c r="F42"/>
  <c r="E42"/>
  <c r="C42"/>
  <c r="O41" s="1"/>
  <c r="N41"/>
  <c r="I41"/>
  <c r="G41"/>
  <c r="F41"/>
  <c r="E41"/>
  <c r="C41"/>
  <c r="O40"/>
  <c r="N40"/>
  <c r="I40"/>
  <c r="G40" s="1"/>
  <c r="F40"/>
  <c r="E40"/>
  <c r="C40"/>
  <c r="O39" s="1"/>
  <c r="N39"/>
  <c r="I39"/>
  <c r="G39" s="1"/>
  <c r="F39"/>
  <c r="E39"/>
  <c r="C39"/>
  <c r="O38" s="1"/>
  <c r="N38"/>
  <c r="I38"/>
  <c r="G38" s="1"/>
  <c r="F38"/>
  <c r="E38"/>
  <c r="C38"/>
  <c r="O37" s="1"/>
  <c r="N37"/>
  <c r="I37"/>
  <c r="G37"/>
  <c r="F37"/>
  <c r="E37"/>
  <c r="O36" s="1"/>
  <c r="N36"/>
  <c r="I36"/>
  <c r="G36" s="1"/>
  <c r="F36"/>
  <c r="E36"/>
  <c r="C36"/>
  <c r="O35" s="1"/>
  <c r="N35"/>
  <c r="I35"/>
  <c r="G35" s="1"/>
  <c r="F35"/>
  <c r="E35"/>
  <c r="C35"/>
  <c r="O34" s="1"/>
  <c r="N34"/>
  <c r="I34"/>
  <c r="G34"/>
  <c r="F34"/>
  <c r="E34"/>
  <c r="C34"/>
  <c r="O33" s="1"/>
  <c r="N33"/>
  <c r="I33"/>
  <c r="G33" s="1"/>
  <c r="F33"/>
  <c r="E33"/>
  <c r="C33"/>
  <c r="O32" s="1"/>
  <c r="N32"/>
  <c r="I32"/>
  <c r="G32" s="1"/>
  <c r="F32"/>
  <c r="E32"/>
  <c r="C32"/>
  <c r="O31" s="1"/>
  <c r="N31"/>
  <c r="I31"/>
  <c r="G31"/>
  <c r="F31"/>
  <c r="E31"/>
  <c r="O30"/>
  <c r="N30"/>
  <c r="I30"/>
  <c r="G30" s="1"/>
  <c r="F30"/>
  <c r="E30"/>
  <c r="C30"/>
  <c r="O29" s="1"/>
  <c r="N29"/>
  <c r="I29" s="1"/>
  <c r="G29" s="1"/>
  <c r="F29"/>
  <c r="E29"/>
  <c r="D29"/>
  <c r="C29"/>
  <c r="O28" s="1"/>
  <c r="N28"/>
  <c r="I28"/>
  <c r="G28" s="1"/>
  <c r="F28"/>
  <c r="E28"/>
  <c r="C28"/>
  <c r="O27" s="1"/>
  <c r="N27"/>
  <c r="I27"/>
  <c r="G27" s="1"/>
  <c r="F27"/>
  <c r="E27"/>
  <c r="C27"/>
  <c r="O26" s="1"/>
  <c r="N26"/>
  <c r="I26"/>
  <c r="G26"/>
  <c r="F26"/>
  <c r="E26"/>
  <c r="C26"/>
  <c r="O25" s="1"/>
  <c r="N25"/>
  <c r="I25" s="1"/>
  <c r="G25" s="1"/>
  <c r="F25"/>
  <c r="E25"/>
  <c r="D25"/>
  <c r="C25"/>
  <c r="O24" s="1"/>
  <c r="N24"/>
  <c r="I24"/>
  <c r="G24" s="1"/>
  <c r="F24"/>
  <c r="E24"/>
  <c r="C24"/>
  <c r="O23" s="1"/>
  <c r="N23"/>
  <c r="I23"/>
  <c r="G23" s="1"/>
  <c r="F23"/>
  <c r="E23"/>
  <c r="C23"/>
  <c r="O22" s="1"/>
  <c r="N22"/>
  <c r="I22"/>
  <c r="G22" s="1"/>
  <c r="F22"/>
  <c r="E22"/>
  <c r="C22"/>
  <c r="O21" s="1"/>
  <c r="N21"/>
  <c r="I21"/>
  <c r="G21"/>
  <c r="F21"/>
  <c r="E21"/>
  <c r="C21"/>
  <c r="O20" s="1"/>
  <c r="N20"/>
  <c r="I20"/>
  <c r="G20" s="1"/>
  <c r="F20"/>
  <c r="E20"/>
  <c r="C20"/>
  <c r="O19" s="1"/>
  <c r="N19"/>
  <c r="I19"/>
  <c r="G19" s="1"/>
  <c r="F19"/>
  <c r="E19"/>
  <c r="C19"/>
  <c r="O18" s="1"/>
  <c r="N18"/>
  <c r="I18"/>
  <c r="G18" s="1"/>
  <c r="F18"/>
  <c r="E18"/>
  <c r="C18"/>
  <c r="O17" s="1"/>
  <c r="N17"/>
  <c r="I17"/>
  <c r="G17"/>
  <c r="F17"/>
  <c r="E17"/>
  <c r="C17"/>
  <c r="O16" s="1"/>
  <c r="N16"/>
  <c r="I16"/>
  <c r="G16" s="1"/>
  <c r="F16"/>
  <c r="E16"/>
  <c r="C16"/>
  <c r="O15" s="1"/>
  <c r="N15"/>
  <c r="I15"/>
  <c r="G15" s="1"/>
  <c r="F15"/>
  <c r="E15"/>
  <c r="C15"/>
  <c r="O14" s="1"/>
  <c r="N14"/>
  <c r="I14"/>
  <c r="G14" s="1"/>
  <c r="F14"/>
  <c r="E14"/>
  <c r="C14"/>
  <c r="O13" s="1"/>
  <c r="N13"/>
  <c r="I13"/>
  <c r="G13"/>
  <c r="F13"/>
  <c r="E13"/>
  <c r="C13"/>
  <c r="O12" s="1"/>
  <c r="N12"/>
  <c r="I12"/>
  <c r="G12"/>
  <c r="F12"/>
  <c r="E12"/>
  <c r="C12"/>
  <c r="O11" s="1"/>
  <c r="N11"/>
  <c r="I11"/>
  <c r="G11" s="1"/>
  <c r="F11"/>
  <c r="E11"/>
  <c r="C11"/>
  <c r="O10" s="1"/>
  <c r="N10"/>
  <c r="I10"/>
  <c r="G10" s="1"/>
  <c r="F10"/>
  <c r="E10"/>
  <c r="C10"/>
  <c r="O9" s="1"/>
  <c r="N9"/>
  <c r="I9"/>
  <c r="G9"/>
  <c r="F9"/>
  <c r="E9"/>
  <c r="C9"/>
  <c r="O8" s="1"/>
  <c r="N8"/>
  <c r="I8"/>
  <c r="G8"/>
  <c r="F8"/>
  <c r="E8"/>
  <c r="C8"/>
  <c r="O7" s="1"/>
  <c r="N7"/>
  <c r="I7"/>
  <c r="G7" s="1"/>
  <c r="F7"/>
  <c r="E7"/>
  <c r="C7"/>
  <c r="O6" s="1"/>
  <c r="N6"/>
  <c r="I6"/>
  <c r="G6" s="1"/>
  <c r="F6"/>
  <c r="E6"/>
  <c r="C6"/>
  <c r="O5" s="1"/>
  <c r="N5"/>
  <c r="I5"/>
  <c r="G5"/>
  <c r="F5"/>
  <c r="E5"/>
  <c r="C5"/>
  <c r="A4"/>
  <c r="A3"/>
  <c r="P2"/>
  <c r="G2"/>
  <c r="F2"/>
  <c r="E2"/>
  <c r="D2"/>
  <c r="C2"/>
  <c r="B2"/>
  <c r="E49" i="1" l="1"/>
  <c r="E48" l="1"/>
  <c r="E47"/>
  <c r="E46"/>
  <c r="E45"/>
  <c r="E44"/>
  <c r="E43"/>
  <c r="E42"/>
  <c r="E41"/>
  <c r="E40"/>
  <c r="E39"/>
  <c r="E35"/>
  <c r="E34"/>
  <c r="E33"/>
  <c r="E32"/>
  <c r="E31"/>
  <c r="E30"/>
  <c r="E29"/>
  <c r="E28"/>
  <c r="E50" l="1"/>
  <c r="E27"/>
  <c r="E26"/>
  <c r="E25"/>
  <c r="E24"/>
  <c r="E23"/>
  <c r="E22"/>
  <c r="E21"/>
  <c r="E20"/>
  <c r="E19"/>
  <c r="E15"/>
  <c r="E16" l="1"/>
  <c r="E36"/>
  <c r="E11"/>
  <c r="E10"/>
  <c r="E9"/>
  <c r="E8"/>
  <c r="E7"/>
  <c r="E6"/>
  <c r="E4" s="1"/>
  <c r="E3"/>
  <c r="E12" l="1"/>
  <c r="E52" s="1"/>
  <c r="E53" l="1"/>
  <c r="E54" s="1"/>
</calcChain>
</file>

<file path=xl/sharedStrings.xml><?xml version="1.0" encoding="utf-8"?>
<sst xmlns="http://schemas.openxmlformats.org/spreadsheetml/2006/main" count="920" uniqueCount="860">
  <si>
    <t>Услуга</t>
  </si>
  <si>
    <t>Кол-во</t>
  </si>
  <si>
    <t>Ед. изм.</t>
  </si>
  <si>
    <t>Цена</t>
  </si>
  <si>
    <t>Стоимость</t>
  </si>
  <si>
    <t>Примечания</t>
  </si>
  <si>
    <t>усл.</t>
  </si>
  <si>
    <t>Кейтеринг</t>
  </si>
  <si>
    <t>Меню стандарт</t>
  </si>
  <si>
    <t>перс</t>
  </si>
  <si>
    <t>Официанты</t>
  </si>
  <si>
    <t>усл</t>
  </si>
  <si>
    <t>Старший менеджер</t>
  </si>
  <si>
    <t>Транспорт персонал</t>
  </si>
  <si>
    <t>ИТОГО</t>
  </si>
  <si>
    <t>Оборудование</t>
  </si>
  <si>
    <t>к-т</t>
  </si>
  <si>
    <t>Программа</t>
  </si>
  <si>
    <t>Ведущий</t>
  </si>
  <si>
    <t>Диджей</t>
  </si>
  <si>
    <t>Файер шоу на пляже</t>
  </si>
  <si>
    <t>уточняется, изготовление горящего логотипа и низовой фейервек- обсужается</t>
  </si>
  <si>
    <t>чел</t>
  </si>
  <si>
    <t>Фотограф</t>
  </si>
  <si>
    <t>час.</t>
  </si>
  <si>
    <t>Видеооператор+отчетное видео</t>
  </si>
  <si>
    <t>необходимость уточняется</t>
  </si>
  <si>
    <t>Администраторы, навигация на территории</t>
  </si>
  <si>
    <t>Экскурсионное обслуживание (1 час, группа по 20-25 чел.)</t>
  </si>
  <si>
    <t>Трансфер персонала</t>
  </si>
  <si>
    <t>Прочие услуги</t>
  </si>
  <si>
    <t>Реанимобиль</t>
  </si>
  <si>
    <t>Уборка территории и вывоз мусора</t>
  </si>
  <si>
    <t>после монтажа, дежурство на мероприятии, зачистка территории, вывоз мусора пухто</t>
  </si>
  <si>
    <t>Дождевики</t>
  </si>
  <si>
    <t>шт.</t>
  </si>
  <si>
    <t>Пледы</t>
  </si>
  <si>
    <t>Туалетные кабины стандарт (дополнительные)</t>
  </si>
  <si>
    <t>БН, УСН</t>
  </si>
  <si>
    <t>Раздел</t>
  </si>
  <si>
    <t>Наименование</t>
  </si>
  <si>
    <t>Цена/день</t>
  </si>
  <si>
    <t>Ед.Изм.</t>
  </si>
  <si>
    <t>Коэффициент</t>
  </si>
  <si>
    <t>Сумма, ₽</t>
  </si>
  <si>
    <t>Столбец72</t>
  </si>
  <si>
    <t>Столбец73</t>
  </si>
  <si>
    <t>Столбец74</t>
  </si>
  <si>
    <t>Столбец742</t>
  </si>
  <si>
    <t>Столбец743</t>
  </si>
  <si>
    <t>Столбец75</t>
  </si>
  <si>
    <t>Столбец76</t>
  </si>
  <si>
    <t>Столбец77</t>
  </si>
  <si>
    <t>Примечание</t>
  </si>
  <si>
    <t>потреб. м-ть</t>
  </si>
  <si>
    <t>сумма мощн.</t>
  </si>
  <si>
    <t>Кол-во нашей техники</t>
  </si>
  <si>
    <t>Вес нетто кг.</t>
  </si>
  <si>
    <t>Транспортный вес кг.</t>
  </si>
  <si>
    <t>Транспортный объём</t>
  </si>
  <si>
    <t>Если бы у нас не было техники</t>
  </si>
  <si>
    <t>Стоимость если бы не было нашей техники</t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</si>
  <si>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20,6х30m
</t>
    </r>
    <r>
      <rPr>
        <sz val="12"/>
        <color indexed="8"/>
        <rFont val="Bookman Old Style"/>
        <family val="1"/>
        <charset val="204"/>
      </rPr>
      <t>(макс. планшет 18х28м,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</si>
  <si>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20,6х25,9m
</t>
    </r>
    <r>
      <rPr>
        <sz val="12"/>
        <color indexed="8"/>
        <rFont val="Bookman Old Style"/>
        <family val="1"/>
        <charset val="204"/>
      </rPr>
      <t>(макс. планшет 18х23м,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</si>
  <si>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20,6х23,9m
</t>
    </r>
    <r>
      <rPr>
        <sz val="12"/>
        <color indexed="8"/>
        <rFont val="Bookman Old Style"/>
        <family val="1"/>
        <charset val="204"/>
      </rPr>
      <t>(макс. планшет 18х21м,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</si>
  <si>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20,6х21,8m
</t>
    </r>
    <r>
      <rPr>
        <sz val="12"/>
        <color indexed="8"/>
        <rFont val="Bookman Old Style"/>
        <family val="1"/>
        <charset val="204"/>
      </rPr>
      <t>(макс. планшет 18х19м,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</si>
  <si>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20,6х16,6m
</t>
    </r>
    <r>
      <rPr>
        <sz val="12"/>
        <color indexed="8"/>
        <rFont val="Bookman Old Style"/>
        <family val="1"/>
        <charset val="204"/>
      </rPr>
      <t>(макс. планшет 18х14м,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</si>
  <si>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20,6х14,5m
</t>
    </r>
    <r>
      <rPr>
        <sz val="12"/>
        <color indexed="8"/>
        <rFont val="Bookman Old Style"/>
        <family val="1"/>
        <charset val="204"/>
      </rPr>
      <t>(макс. планшет 18х12м,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</si>
  <si>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20,6х12,4m
</t>
    </r>
    <r>
      <rPr>
        <sz val="12"/>
        <color indexed="8"/>
        <rFont val="Bookman Old Style"/>
        <family val="1"/>
        <charset val="204"/>
      </rPr>
      <t>(макс. планшет 18х10м,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</si>
  <si>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20,6х10,3m
</t>
    </r>
    <r>
      <rPr>
        <sz val="12"/>
        <color indexed="8"/>
        <rFont val="Bookman Old Style"/>
        <family val="1"/>
        <charset val="204"/>
      </rPr>
      <t>(макс. планшет 18х8м,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</si>
  <si>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20,6х8,3m
</t>
    </r>
    <r>
      <rPr>
        <sz val="12"/>
        <color indexed="8"/>
        <rFont val="Bookman Old Style"/>
        <family val="1"/>
        <charset val="204"/>
      </rPr>
      <t>(макс. планшет 18х6м,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</si>
  <si>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20,6х6,2m
</t>
    </r>
    <r>
      <rPr>
        <sz val="12"/>
        <color indexed="8"/>
        <rFont val="Bookman Old Style"/>
        <family val="1"/>
        <charset val="204"/>
      </rPr>
      <t>(макс. планшет 18х4м,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</si>
  <si>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16,5х30m
</t>
    </r>
    <r>
      <rPr>
        <sz val="12"/>
        <color indexed="8"/>
        <rFont val="Bookman Old Style"/>
        <family val="1"/>
        <charset val="204"/>
      </rPr>
      <t>(макс. планшет 14х28м,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</si>
  <si>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16,5х25,9m
</t>
    </r>
    <r>
      <rPr>
        <sz val="12"/>
        <color indexed="8"/>
        <rFont val="Bookman Old Style"/>
        <family val="1"/>
        <charset val="204"/>
      </rPr>
      <t>(макс. планшет 14х23м,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</si>
  <si>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16,5х23,9m
</t>
    </r>
    <r>
      <rPr>
        <sz val="12"/>
        <color indexed="8"/>
        <rFont val="Bookman Old Style"/>
        <family val="1"/>
        <charset val="204"/>
      </rPr>
      <t>(макс. планшет 14х21м,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</si>
  <si>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16,5х21,8m
</t>
    </r>
    <r>
      <rPr>
        <sz val="12"/>
        <color indexed="8"/>
        <rFont val="Bookman Old Style"/>
        <family val="1"/>
        <charset val="204"/>
      </rPr>
      <t>(макс. планшет 14х19м, 6 опор)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</si>
  <si>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16,5х16,6m
</t>
    </r>
    <r>
      <rPr>
        <sz val="12"/>
        <color indexed="8"/>
        <rFont val="Bookman Old Style"/>
        <family val="1"/>
        <charset val="204"/>
      </rPr>
      <t>(макс. планшет 14х14м,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</si>
  <si>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16,5х14,5m
</t>
    </r>
    <r>
      <rPr>
        <sz val="12"/>
        <color indexed="8"/>
        <rFont val="Bookman Old Style"/>
        <family val="1"/>
        <charset val="204"/>
      </rPr>
      <t>(макс. планшет 14х12м,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</si>
  <si>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>A.T.C. ArcRoof 16,5х12,4m</t>
    </r>
    <r>
      <rPr>
        <sz val="12"/>
        <color indexed="8"/>
        <rFont val="Bookman Old Style"/>
        <family val="1"/>
        <charset val="204"/>
      </rPr>
      <t xml:space="preserve">
</t>
    </r>
    <r>
      <rPr>
        <sz val="12"/>
        <color indexed="8"/>
        <rFont val="Bookman Old Style"/>
        <family val="1"/>
        <charset val="204"/>
      </rPr>
      <t>(макс. планшет 14х10м,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</si>
  <si>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>A.T.C. ArcRoof 16,5х10,3m</t>
    </r>
    <r>
      <rPr>
        <sz val="12"/>
        <color indexed="8"/>
        <rFont val="Bookman Old Style"/>
        <family val="1"/>
        <charset val="204"/>
      </rPr>
      <t xml:space="preserve">
</t>
    </r>
    <r>
      <rPr>
        <sz val="12"/>
        <color indexed="8"/>
        <rFont val="Bookman Old Style"/>
        <family val="1"/>
        <charset val="204"/>
      </rPr>
      <t>(макс. планшет 14х8м,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</si>
  <si>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>A.T.C. ArcRoof 16,5х8,3m</t>
    </r>
    <r>
      <rPr>
        <sz val="12"/>
        <color indexed="8"/>
        <rFont val="Bookman Old Style"/>
        <family val="1"/>
        <charset val="204"/>
      </rPr>
      <t xml:space="preserve">
</t>
    </r>
    <r>
      <rPr>
        <sz val="12"/>
        <color indexed="8"/>
        <rFont val="Bookman Old Style"/>
        <family val="1"/>
        <charset val="204"/>
      </rPr>
      <t>(макс. планшет 14х6м, 4 опоры)</t>
    </r>
  </si>
  <si>
    <r>
      <rPr>
        <sz val="12"/>
        <color indexed="8"/>
        <rFont val="Bookman Old Style"/>
        <family val="1"/>
        <charset val="204"/>
      </rPr>
      <t xml:space="preserve">Арочный граунд </t>
    </r>
    <r>
      <rPr>
        <b/>
        <sz val="12"/>
        <color indexed="8"/>
        <rFont val="Bookman Old Style"/>
        <family val="1"/>
        <charset val="204"/>
      </rPr>
      <t xml:space="preserve">A.T.C. ArcRoof 16,5х6,2m
</t>
    </r>
    <r>
      <rPr>
        <sz val="12"/>
        <color indexed="8"/>
        <rFont val="Bookman Old Style"/>
        <family val="1"/>
        <charset val="204"/>
      </rPr>
      <t>(макс. планшет 14х4м, 4 опоры)</t>
    </r>
  </si>
  <si>
    <t>Прозрачный винил для Арочного граунда</t>
  </si>
  <si>
    <r>
      <rPr>
        <sz val="12"/>
        <color indexed="8"/>
        <rFont val="Bookman Old Style"/>
        <family val="1"/>
        <charset val="204"/>
      </rPr>
      <t xml:space="preserve">Туннельная крыша </t>
    </r>
    <r>
      <rPr>
        <b/>
        <sz val="12"/>
        <color indexed="8"/>
        <rFont val="Bookman Old Style"/>
        <family val="1"/>
        <charset val="204"/>
      </rPr>
      <t>A.T.C. Tunnel Roof 18х13m</t>
    </r>
  </si>
  <si>
    <r>
      <rPr>
        <sz val="12"/>
        <color indexed="8"/>
        <rFont val="Bookman Old Style"/>
        <family val="1"/>
        <charset val="204"/>
      </rPr>
      <t xml:space="preserve">Туннельная крыша </t>
    </r>
    <r>
      <rPr>
        <b/>
        <sz val="12"/>
        <color indexed="8"/>
        <rFont val="Bookman Old Style"/>
        <family val="1"/>
        <charset val="204"/>
      </rPr>
      <t>A.T.C. Tunnel Roof 18х9m</t>
    </r>
  </si>
  <si>
    <r>
      <rPr>
        <sz val="12"/>
        <color indexed="8"/>
        <rFont val="Bookman Old Style"/>
        <family val="1"/>
        <charset val="204"/>
      </rPr>
      <t xml:space="preserve">Туннельная крыша </t>
    </r>
    <r>
      <rPr>
        <b/>
        <sz val="12"/>
        <color indexed="8"/>
        <rFont val="Bookman Old Style"/>
        <family val="1"/>
        <charset val="204"/>
      </rPr>
      <t>A.T.C. Tunnel Roof 18х5m</t>
    </r>
  </si>
  <si>
    <t>Прозрачный винил для Туннельной крыши</t>
  </si>
  <si>
    <r>
      <rPr>
        <sz val="12"/>
        <color indexed="8"/>
        <rFont val="Bookman Old Style"/>
        <family val="1"/>
        <charset val="204"/>
      </rPr>
      <t xml:space="preserve">Граунд </t>
    </r>
    <r>
      <rPr>
        <b/>
        <sz val="12"/>
        <color indexed="8"/>
        <rFont val="Bookman Old Style"/>
        <family val="1"/>
        <charset val="204"/>
      </rPr>
      <t>A.T.C. Roof 12х10m</t>
    </r>
    <r>
      <rPr>
        <sz val="12"/>
        <color indexed="8"/>
        <rFont val="Bookman Old Style"/>
        <family val="1"/>
        <charset val="204"/>
      </rPr>
      <t xml:space="preserve"> (двухскатный, односкатный)</t>
    </r>
  </si>
  <si>
    <r>
      <rPr>
        <sz val="12"/>
        <color indexed="8"/>
        <rFont val="Arial"/>
        <family val="2"/>
        <charset val="204"/>
      </rPr>
      <t xml:space="preserve">Граунд </t>
    </r>
    <r>
      <rPr>
        <b/>
        <sz val="12"/>
        <color indexed="8"/>
        <rFont val="Arial"/>
        <family val="2"/>
        <charset val="204"/>
      </rPr>
      <t>A.T.C. Roof 10х8m</t>
    </r>
    <r>
      <rPr>
        <sz val="12"/>
        <color indexed="8"/>
        <rFont val="Arial"/>
        <family val="2"/>
        <charset val="204"/>
      </rPr>
      <t xml:space="preserve"> (двухскатный, односкатный)</t>
    </r>
  </si>
  <si>
    <t>Крыша сцены</t>
  </si>
  <si>
    <r>
      <rPr>
        <sz val="12"/>
        <color indexed="8"/>
        <rFont val="Bookman Old Style"/>
        <family val="1"/>
        <charset val="204"/>
      </rPr>
      <t xml:space="preserve">Граунд </t>
    </r>
    <r>
      <rPr>
        <b/>
        <sz val="12"/>
        <color indexed="8"/>
        <rFont val="Bookman Old Style"/>
        <family val="1"/>
        <charset val="204"/>
      </rPr>
      <t>A.T.C. Roof 8х6m</t>
    </r>
    <r>
      <rPr>
        <sz val="12"/>
        <color indexed="8"/>
        <rFont val="Bookman Old Style"/>
        <family val="1"/>
        <charset val="204"/>
      </rPr>
      <t xml:space="preserve"> (двухскатный, односкатный)</t>
    </r>
  </si>
  <si>
    <r>
      <rPr>
        <sz val="12"/>
        <color indexed="8"/>
        <rFont val="Bookman Old Style"/>
        <family val="1"/>
        <charset val="204"/>
      </rPr>
      <t xml:space="preserve">Граунд со сценой </t>
    </r>
    <r>
      <rPr>
        <b/>
        <sz val="12"/>
        <color indexed="8"/>
        <rFont val="Bookman Old Style"/>
        <family val="1"/>
        <charset val="204"/>
      </rPr>
      <t xml:space="preserve">A.T.C. Stage 8х6m with sound wings
</t>
    </r>
    <r>
      <rPr>
        <sz val="12"/>
        <color indexed="8"/>
        <rFont val="Bookman Old Style"/>
        <family val="1"/>
        <charset val="204"/>
      </rPr>
      <t>(неэлеваторный с порталами)</t>
    </r>
  </si>
  <si>
    <r>
      <rPr>
        <sz val="12"/>
        <color indexed="8"/>
        <rFont val="Bookman Old Style"/>
        <family val="1"/>
        <charset val="204"/>
      </rPr>
      <t xml:space="preserve">Граунд со сценой </t>
    </r>
    <r>
      <rPr>
        <b/>
        <sz val="12"/>
        <color indexed="8"/>
        <rFont val="Bookman Old Style"/>
        <family val="1"/>
        <charset val="204"/>
      </rPr>
      <t xml:space="preserve">A.T.C. Stage 8х6m
</t>
    </r>
    <r>
      <rPr>
        <sz val="12"/>
        <color indexed="8"/>
        <rFont val="Bookman Old Style"/>
        <family val="1"/>
        <charset val="204"/>
      </rPr>
      <t>(неэлеваторный)</t>
    </r>
  </si>
  <si>
    <r>
      <rPr>
        <sz val="12"/>
        <color indexed="8"/>
        <rFont val="Bookman Old Style"/>
        <family val="1"/>
        <charset val="204"/>
      </rPr>
      <t xml:space="preserve">Граунд </t>
    </r>
    <r>
      <rPr>
        <b/>
        <sz val="12"/>
        <color indexed="8"/>
        <rFont val="Bookman Old Style"/>
        <family val="1"/>
        <charset val="204"/>
      </rPr>
      <t xml:space="preserve">A.T.C. Roof 8х6m
</t>
    </r>
    <r>
      <rPr>
        <sz val="12"/>
        <color indexed="8"/>
        <rFont val="Bookman Old Style"/>
        <family val="1"/>
        <charset val="204"/>
      </rPr>
      <t>(неэлеваторный)</t>
    </r>
  </si>
  <si>
    <r>
      <rPr>
        <sz val="12"/>
        <color indexed="8"/>
        <rFont val="Bookman Old Style"/>
        <family val="1"/>
        <charset val="204"/>
      </rPr>
      <t xml:space="preserve">Граунд со сценой </t>
    </r>
    <r>
      <rPr>
        <b/>
        <sz val="12"/>
        <color indexed="8"/>
        <rFont val="Bookman Old Style"/>
        <family val="1"/>
        <charset val="204"/>
      </rPr>
      <t xml:space="preserve">A.T.C. Stage 6х4m with sound wings
</t>
    </r>
    <r>
      <rPr>
        <sz val="12"/>
        <color indexed="8"/>
        <rFont val="Bookman Old Style"/>
        <family val="1"/>
        <charset val="204"/>
      </rPr>
      <t>(неэлеваторный с порталами)</t>
    </r>
  </si>
  <si>
    <r>
      <rPr>
        <sz val="12"/>
        <color indexed="8"/>
        <rFont val="Arial"/>
        <family val="2"/>
        <charset val="204"/>
      </rPr>
      <t xml:space="preserve">Граунд со сценой </t>
    </r>
    <r>
      <rPr>
        <b/>
        <sz val="12"/>
        <color indexed="8"/>
        <rFont val="Arial"/>
        <family val="2"/>
        <charset val="204"/>
      </rPr>
      <t xml:space="preserve">A.T.C. Stage 6х4m
</t>
    </r>
    <r>
      <rPr>
        <sz val="12"/>
        <color indexed="8"/>
        <rFont val="Arial"/>
        <family val="2"/>
        <charset val="204"/>
      </rPr>
      <t>(или 5,7х4m, неэлеваторный)</t>
    </r>
  </si>
  <si>
    <t xml:space="preserve">Пультовая </t>
  </si>
  <si>
    <r>
      <rPr>
        <sz val="12"/>
        <color indexed="8"/>
        <rFont val="Bookman Old Style"/>
        <family val="1"/>
        <charset val="204"/>
      </rPr>
      <t xml:space="preserve">Граунд </t>
    </r>
    <r>
      <rPr>
        <b/>
        <sz val="12"/>
        <color indexed="8"/>
        <rFont val="Bookman Old Style"/>
        <family val="1"/>
        <charset val="204"/>
      </rPr>
      <t xml:space="preserve">A.T.C. Roof 6х4m
</t>
    </r>
    <r>
      <rPr>
        <sz val="12"/>
        <color indexed="8"/>
        <rFont val="Bookman Old Style"/>
        <family val="1"/>
        <charset val="204"/>
      </rPr>
      <t>(или 5,7х4m, неэлеваторный)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</si>
  <si>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Polygon 30m
</t>
    </r>
    <r>
      <rPr>
        <sz val="12"/>
        <color indexed="8"/>
        <rFont val="Bookman Old Style"/>
        <family val="1"/>
        <charset val="204"/>
      </rPr>
      <t>(площадь 707 кв.м., 8 опор)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</si>
  <si>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Polygon 21m
</t>
    </r>
    <r>
      <rPr>
        <sz val="12"/>
        <color indexed="8"/>
        <rFont val="Bookman Old Style"/>
        <family val="1"/>
        <charset val="204"/>
      </rPr>
      <t>(площадь 346 кв.м., 6 опор)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</si>
  <si>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Polygon 18m
</t>
    </r>
    <r>
      <rPr>
        <sz val="12"/>
        <color indexed="8"/>
        <rFont val="Bookman Old Style"/>
        <family val="1"/>
        <charset val="204"/>
      </rPr>
      <t>(площадь 254 кв.м., 4 опоры)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</si>
  <si>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Polygon 15m double floor
</t>
    </r>
    <r>
      <rPr>
        <sz val="12"/>
        <color indexed="8"/>
        <rFont val="Bookman Old Style"/>
        <family val="1"/>
        <charset val="204"/>
      </rPr>
      <t xml:space="preserve">(площадь 354 кв.м., 4 опоры, двухэтажный) 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</si>
  <si>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Polygon 15m
</t>
    </r>
    <r>
      <rPr>
        <sz val="12"/>
        <color indexed="8"/>
        <rFont val="Bookman Old Style"/>
        <family val="1"/>
        <charset val="204"/>
      </rPr>
      <t>(площадь 177 кв.м., 4 опоры)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</si>
  <si>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Tower 30m
</t>
    </r>
    <r>
      <rPr>
        <sz val="12"/>
        <color indexed="8"/>
        <rFont val="Bookman Old Style"/>
        <family val="1"/>
        <charset val="204"/>
      </rPr>
      <t>(площадь 707 кв.м., 1 центральная опора)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</si>
  <si>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Tower 21m
</t>
    </r>
    <r>
      <rPr>
        <sz val="12"/>
        <color indexed="8"/>
        <rFont val="Bookman Old Style"/>
        <family val="1"/>
        <charset val="204"/>
      </rPr>
      <t>(площадь 346 кв.м., 1 центральная опора)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</si>
  <si>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Tower 18m
</t>
    </r>
    <r>
      <rPr>
        <sz val="12"/>
        <color indexed="8"/>
        <rFont val="Bookman Old Style"/>
        <family val="1"/>
        <charset val="204"/>
      </rPr>
      <t>(площадь 254 кв.м., 1 центральная опора)</t>
    </r>
  </si>
  <si>
    <r>
      <rPr>
        <sz val="12"/>
        <color indexed="8"/>
        <rFont val="Bookman Old Style"/>
        <family val="1"/>
        <charset val="204"/>
      </rPr>
      <t xml:space="preserve">Тентовая конструкция </t>
    </r>
    <r>
      <rPr>
        <b/>
        <sz val="12"/>
        <color indexed="8"/>
        <rFont val="Bookman Old Style"/>
        <family val="1"/>
        <charset val="204"/>
      </rPr>
      <t xml:space="preserve">Magic Sky Tower 15m
</t>
    </r>
    <r>
      <rPr>
        <sz val="12"/>
        <color indexed="8"/>
        <rFont val="Bookman Old Style"/>
        <family val="1"/>
        <charset val="204"/>
      </rPr>
      <t>(площадь 177 кв.м., 1 центральная опора)</t>
    </r>
  </si>
  <si>
    <r>
      <rPr>
        <sz val="12"/>
        <color indexed="8"/>
        <rFont val="Bookman Old Style"/>
        <family val="1"/>
        <charset val="204"/>
      </rPr>
      <t xml:space="preserve">Арка </t>
    </r>
    <r>
      <rPr>
        <b/>
        <sz val="12"/>
        <color indexed="8"/>
        <rFont val="Bookman Old Style"/>
        <family val="1"/>
        <charset val="204"/>
      </rPr>
      <t>A.T.C. Arch 15,5x8m</t>
    </r>
    <r>
      <rPr>
        <sz val="12"/>
        <color indexed="8"/>
        <rFont val="Bookman Old Style"/>
        <family val="1"/>
        <charset val="204"/>
      </rPr>
      <t xml:space="preserve"> (под ключ)</t>
    </r>
  </si>
  <si>
    <r>
      <rPr>
        <sz val="12"/>
        <color indexed="8"/>
        <rFont val="Bookman Old Style"/>
        <family val="1"/>
        <charset val="204"/>
      </rPr>
      <t xml:space="preserve">Ферма </t>
    </r>
    <r>
      <rPr>
        <b/>
        <sz val="12"/>
        <color indexed="8"/>
        <rFont val="Bookman Old Style"/>
        <family val="1"/>
        <charset val="204"/>
      </rPr>
      <t>A.T.C. SB 62PT-4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</si>
  <si>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А.Т.С. SBE 62PT-4</t>
    </r>
  </si>
  <si>
    <r>
      <rPr>
        <sz val="12"/>
        <color indexed="8"/>
        <rFont val="Bookman Old Style"/>
        <family val="1"/>
        <charset val="204"/>
      </rPr>
      <t xml:space="preserve">Круг диаметром 32,5м </t>
    </r>
    <r>
      <rPr>
        <b/>
        <sz val="12"/>
        <color indexed="8"/>
        <rFont val="Bookman Old Style"/>
        <family val="1"/>
        <charset val="204"/>
      </rPr>
      <t>A.T.C. SBK 62PT-4-32500</t>
    </r>
  </si>
  <si>
    <r>
      <rPr>
        <sz val="12"/>
        <color indexed="8"/>
        <rFont val="Bookman Old Style"/>
        <family val="1"/>
        <charset val="204"/>
      </rPr>
      <t xml:space="preserve">Круг диаметром 31,0м </t>
    </r>
    <r>
      <rPr>
        <b/>
        <sz val="12"/>
        <color indexed="8"/>
        <rFont val="Bookman Old Style"/>
        <family val="1"/>
        <charset val="204"/>
      </rPr>
      <t>A.T.C. SBK 62PT-4-31000</t>
    </r>
  </si>
  <si>
    <r>
      <rPr>
        <sz val="12"/>
        <color indexed="8"/>
        <rFont val="Bookman Old Style"/>
        <family val="1"/>
        <charset val="204"/>
      </rPr>
      <t xml:space="preserve">Круг диаметром 29,3м </t>
    </r>
    <r>
      <rPr>
        <b/>
        <sz val="12"/>
        <color indexed="8"/>
        <rFont val="Bookman Old Style"/>
        <family val="1"/>
        <charset val="204"/>
      </rPr>
      <t>A.T.C. SBK 62PT-4-29300</t>
    </r>
  </si>
  <si>
    <r>
      <rPr>
        <sz val="12"/>
        <color indexed="8"/>
        <rFont val="Bookman Old Style"/>
        <family val="1"/>
        <charset val="204"/>
      </rPr>
      <t xml:space="preserve">Круг диаметром 26,3м </t>
    </r>
    <r>
      <rPr>
        <b/>
        <sz val="12"/>
        <color indexed="8"/>
        <rFont val="Bookman Old Style"/>
        <family val="1"/>
        <charset val="204"/>
      </rPr>
      <t>A.T.C. SBK 62PT-4-26300</t>
    </r>
  </si>
  <si>
    <r>
      <rPr>
        <sz val="12"/>
        <color indexed="8"/>
        <rFont val="Bookman Old Style"/>
        <family val="1"/>
        <charset val="204"/>
      </rPr>
      <t xml:space="preserve">Круг диаметром 23,3м </t>
    </r>
    <r>
      <rPr>
        <b/>
        <sz val="12"/>
        <color indexed="8"/>
        <rFont val="Bookman Old Style"/>
        <family val="1"/>
        <charset val="204"/>
      </rPr>
      <t>A.T.C. SBK 62PT-4-23300</t>
    </r>
  </si>
  <si>
    <r>
      <rPr>
        <sz val="12"/>
        <color indexed="8"/>
        <rFont val="Bookman Old Style"/>
        <family val="1"/>
        <charset val="204"/>
      </rPr>
      <t xml:space="preserve">Ферма </t>
    </r>
    <r>
      <rPr>
        <b/>
        <sz val="12"/>
        <color indexed="8"/>
        <rFont val="Bookman Old Style"/>
        <family val="1"/>
        <charset val="204"/>
      </rPr>
      <t>A.T.C. SB 40PT-4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</si>
  <si>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А.Т.С. SB 40PT-4</t>
    </r>
  </si>
  <si>
    <r>
      <rPr>
        <sz val="12"/>
        <color indexed="8"/>
        <rFont val="Bookman Old Style"/>
        <family val="1"/>
        <charset val="204"/>
      </rPr>
      <t xml:space="preserve">Круг диаметром 19,0м </t>
    </r>
    <r>
      <rPr>
        <b/>
        <sz val="12"/>
        <color indexed="8"/>
        <rFont val="Bookman Old Style"/>
        <family val="1"/>
        <charset val="204"/>
      </rPr>
      <t>A.T.C. SBK 40PT-4-19000</t>
    </r>
  </si>
  <si>
    <r>
      <rPr>
        <sz val="12"/>
        <color indexed="8"/>
        <rFont val="Bookman Old Style"/>
        <family val="1"/>
        <charset val="204"/>
      </rPr>
      <t xml:space="preserve">Круг диаметром 16,0м </t>
    </r>
    <r>
      <rPr>
        <b/>
        <sz val="12"/>
        <color indexed="8"/>
        <rFont val="Bookman Old Style"/>
        <family val="1"/>
        <charset val="204"/>
      </rPr>
      <t>A.T.C. SBK 40PT-4-16000</t>
    </r>
  </si>
  <si>
    <r>
      <rPr>
        <sz val="12"/>
        <color indexed="8"/>
        <rFont val="Bookman Old Style"/>
        <family val="1"/>
        <charset val="204"/>
      </rPr>
      <t xml:space="preserve">Круг диаметром 15,5м </t>
    </r>
    <r>
      <rPr>
        <b/>
        <sz val="12"/>
        <color indexed="8"/>
        <rFont val="Bookman Old Style"/>
        <family val="1"/>
        <charset val="204"/>
      </rPr>
      <t>A.T.C. SBK 40PT-4-15500</t>
    </r>
  </si>
  <si>
    <r>
      <rPr>
        <sz val="12"/>
        <color indexed="8"/>
        <rFont val="Bookman Old Style"/>
        <family val="1"/>
        <charset val="204"/>
      </rPr>
      <t xml:space="preserve">Ферма </t>
    </r>
    <r>
      <rPr>
        <b/>
        <sz val="12"/>
        <color indexed="8"/>
        <rFont val="Bookman Old Style"/>
        <family val="1"/>
        <charset val="204"/>
      </rPr>
      <t>Prolyte H40V Black</t>
    </r>
  </si>
  <si>
    <r>
      <rPr>
        <sz val="12"/>
        <color indexed="8"/>
        <rFont val="Arial"/>
        <family val="2"/>
        <charset val="204"/>
      </rPr>
      <t xml:space="preserve">Ферма </t>
    </r>
    <r>
      <rPr>
        <b/>
        <sz val="12"/>
        <color indexed="8"/>
        <rFont val="Arial"/>
        <family val="2"/>
        <charset val="204"/>
      </rPr>
      <t>A.T.C. SB 29-4</t>
    </r>
  </si>
  <si>
    <r>
      <rPr>
        <sz val="12"/>
        <color indexed="8"/>
        <rFont val="Bookman Old Style"/>
        <family val="1"/>
        <charset val="204"/>
      </rPr>
      <t xml:space="preserve">Ферма </t>
    </r>
    <r>
      <rPr>
        <b/>
        <sz val="12"/>
        <color indexed="8"/>
        <rFont val="Bookman Old Style"/>
        <family val="1"/>
        <charset val="204"/>
      </rPr>
      <t>A.T.C. SB 29-4</t>
    </r>
    <r>
      <rPr>
        <sz val="12"/>
        <color indexed="8"/>
        <rFont val="Bookman Old Style"/>
        <family val="1"/>
        <charset val="204"/>
      </rPr>
      <t xml:space="preserve"> &lt;1m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</si>
  <si>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90º, Т, 3D, 4D, петля 0-180º, 45º, 60º, 120º, 135º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</si>
  <si>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90º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</si>
  <si>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Т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</si>
  <si>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 xml:space="preserve">A.T.C. SBE 29-4 </t>
    </r>
    <r>
      <rPr>
        <sz val="12"/>
        <color indexed="8"/>
        <rFont val="Bookman Old Style"/>
        <family val="1"/>
        <charset val="204"/>
      </rPr>
      <t>3D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</si>
  <si>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4D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</si>
  <si>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петля 0-180º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</si>
  <si>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45º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</si>
  <si>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60º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</si>
  <si>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 xml:space="preserve">A.T.C. SBE 29-4 </t>
    </r>
    <r>
      <rPr>
        <sz val="12"/>
        <color indexed="8"/>
        <rFont val="Bookman Old Style"/>
        <family val="1"/>
        <charset val="204"/>
      </rPr>
      <t>120º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</si>
  <si>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135º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</si>
  <si>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Х</t>
    </r>
  </si>
  <si>
    <r>
      <rPr>
        <sz val="12"/>
        <color indexed="8"/>
        <rFont val="Arial"/>
        <family val="2"/>
        <charset val="204"/>
      </rPr>
      <t xml:space="preserve">Угол </t>
    </r>
    <r>
      <rPr>
        <b/>
        <sz val="12"/>
        <color indexed="8"/>
        <rFont val="Arial"/>
        <family val="2"/>
        <charset val="204"/>
      </rPr>
      <t>A.T.C. SBE 29-4</t>
    </r>
    <r>
      <rPr>
        <sz val="12"/>
        <color indexed="8"/>
        <rFont val="Arial"/>
        <family val="2"/>
        <charset val="204"/>
      </rPr>
      <t xml:space="preserve"> мультикуб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</si>
  <si>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29-4</t>
    </r>
    <r>
      <rPr>
        <sz val="12"/>
        <color indexed="8"/>
        <rFont val="Bookman Old Style"/>
        <family val="1"/>
        <charset val="204"/>
      </rPr>
      <t xml:space="preserve"> радиальный 90º</t>
    </r>
  </si>
  <si>
    <r>
      <rPr>
        <sz val="12"/>
        <color indexed="8"/>
        <rFont val="Bookman Old Style"/>
        <family val="1"/>
        <charset val="204"/>
      </rPr>
      <t xml:space="preserve">Концевик для фермы </t>
    </r>
    <r>
      <rPr>
        <b/>
        <sz val="12"/>
        <color indexed="8"/>
        <rFont val="Bookman Old Style"/>
        <family val="1"/>
        <charset val="204"/>
      </rPr>
      <t xml:space="preserve">А.Т.С. Z148 for SB 29-4 </t>
    </r>
    <r>
      <rPr>
        <sz val="12"/>
        <color indexed="8"/>
        <rFont val="Bookman Old Style"/>
        <family val="1"/>
        <charset val="204"/>
      </rPr>
      <t>(4 шт)</t>
    </r>
  </si>
  <si>
    <r>
      <rPr>
        <sz val="12"/>
        <color indexed="8"/>
        <rFont val="Arial"/>
        <family val="2"/>
        <charset val="204"/>
      </rPr>
      <t xml:space="preserve">Станина </t>
    </r>
    <r>
      <rPr>
        <b/>
        <sz val="12"/>
        <color indexed="8"/>
        <rFont val="Arial"/>
        <family val="2"/>
        <charset val="204"/>
      </rPr>
      <t xml:space="preserve">А.Т.С. SB 29-4 </t>
    </r>
    <r>
      <rPr>
        <sz val="12"/>
        <color indexed="8"/>
        <rFont val="Arial"/>
        <family val="2"/>
        <charset val="204"/>
      </rPr>
      <t>Х, Y</t>
    </r>
  </si>
  <si>
    <t>Дилей + выносной свет</t>
  </si>
  <si>
    <r>
      <rPr>
        <sz val="12"/>
        <color indexed="8"/>
        <rFont val="Bookman Old Style"/>
        <family val="1"/>
        <charset val="204"/>
      </rPr>
      <t xml:space="preserve">Круг диаметром 10м </t>
    </r>
    <r>
      <rPr>
        <b/>
        <sz val="12"/>
        <color indexed="8"/>
        <rFont val="Bookman Old Style"/>
        <family val="1"/>
        <charset val="204"/>
      </rPr>
      <t>A.T.C. SBK 29-4-10000</t>
    </r>
  </si>
  <si>
    <r>
      <rPr>
        <sz val="12"/>
        <color indexed="8"/>
        <rFont val="Bookman Old Style"/>
        <family val="1"/>
        <charset val="204"/>
      </rPr>
      <t xml:space="preserve">Круг диаметром 8м </t>
    </r>
    <r>
      <rPr>
        <b/>
        <sz val="12"/>
        <color indexed="8"/>
        <rFont val="Bookman Old Style"/>
        <family val="1"/>
        <charset val="204"/>
      </rPr>
      <t>A.T.C. SBK 29-4-8000</t>
    </r>
  </si>
  <si>
    <r>
      <rPr>
        <sz val="12"/>
        <color indexed="8"/>
        <rFont val="Bookman Old Style"/>
        <family val="1"/>
        <charset val="204"/>
      </rPr>
      <t xml:space="preserve">Круг диаметром 6м </t>
    </r>
    <r>
      <rPr>
        <b/>
        <sz val="12"/>
        <color indexed="8"/>
        <rFont val="Bookman Old Style"/>
        <family val="1"/>
        <charset val="204"/>
      </rPr>
      <t>A.T.C. SBK 29-4-6000</t>
    </r>
  </si>
  <si>
    <r>
      <rPr>
        <sz val="12"/>
        <color indexed="8"/>
        <rFont val="Bookman Old Style"/>
        <family val="1"/>
        <charset val="204"/>
      </rPr>
      <t xml:space="preserve">Ферма </t>
    </r>
    <r>
      <rPr>
        <b/>
        <sz val="12"/>
        <color indexed="8"/>
        <rFont val="Bookman Old Style"/>
        <family val="1"/>
        <charset val="204"/>
      </rPr>
      <t>A.T.C. SB 18-4</t>
    </r>
  </si>
  <si>
    <r>
      <rPr>
        <sz val="12"/>
        <color indexed="8"/>
        <rFont val="Bookman Old Style"/>
        <family val="1"/>
        <charset val="204"/>
      </rPr>
      <t xml:space="preserve">Угол </t>
    </r>
    <r>
      <rPr>
        <b/>
        <sz val="12"/>
        <color indexed="8"/>
        <rFont val="Bookman Old Style"/>
        <family val="1"/>
        <charset val="204"/>
      </rPr>
      <t>A.T.C. SBE 18-4</t>
    </r>
    <r>
      <rPr>
        <sz val="12"/>
        <color indexed="8"/>
        <rFont val="Bookman Old Style"/>
        <family val="1"/>
        <charset val="204"/>
      </rPr>
      <t xml:space="preserve"> 90º, Т, 3D, 4D</t>
    </r>
  </si>
  <si>
    <r>
      <rPr>
        <sz val="12"/>
        <color indexed="8"/>
        <rFont val="Arial"/>
        <family val="2"/>
        <charset val="204"/>
      </rPr>
      <t xml:space="preserve">Монолайт  </t>
    </r>
    <r>
      <rPr>
        <b/>
        <sz val="12"/>
        <color indexed="8"/>
        <rFont val="Arial"/>
        <family val="2"/>
        <charset val="204"/>
      </rPr>
      <t>A.T.C. SB 5-1</t>
    </r>
  </si>
  <si>
    <r>
      <rPr>
        <sz val="12"/>
        <color indexed="8"/>
        <rFont val="Bookman Old Style"/>
        <family val="1"/>
        <charset val="204"/>
      </rPr>
      <t xml:space="preserve">Профиль для крепдения ПВХ полотен </t>
    </r>
    <r>
      <rPr>
        <b/>
        <sz val="12"/>
        <color indexed="8"/>
        <rFont val="Bookman Old Style"/>
        <family val="1"/>
        <charset val="204"/>
      </rPr>
      <t>Keder</t>
    </r>
  </si>
  <si>
    <r>
      <rPr>
        <sz val="12"/>
        <color indexed="8"/>
        <rFont val="Arial"/>
        <family val="2"/>
        <charset val="204"/>
      </rPr>
      <t xml:space="preserve">Хомут поворотный/куплунг </t>
    </r>
    <r>
      <rPr>
        <b/>
        <sz val="12"/>
        <color indexed="8"/>
        <rFont val="Arial"/>
        <family val="2"/>
        <charset val="204"/>
      </rPr>
      <t>Layher</t>
    </r>
  </si>
  <si>
    <r>
      <rPr>
        <sz val="12"/>
        <color indexed="8"/>
        <rFont val="Bookman Old Style"/>
        <family val="1"/>
        <charset val="204"/>
      </rPr>
      <t xml:space="preserve">Опорная площадка малая </t>
    </r>
    <r>
      <rPr>
        <b/>
        <sz val="12"/>
        <color indexed="8"/>
        <rFont val="Bookman Old Style"/>
        <family val="1"/>
        <charset val="204"/>
      </rPr>
      <t xml:space="preserve">A.T.C. SB 29-4-BPL-320
</t>
    </r>
    <r>
      <rPr>
        <sz val="12"/>
        <color indexed="8"/>
        <rFont val="Bookman Old Style"/>
        <family val="1"/>
        <charset val="204"/>
      </rPr>
      <t>320х320мм для SB 29-4</t>
    </r>
  </si>
  <si>
    <r>
      <rPr>
        <sz val="12"/>
        <color indexed="8"/>
        <rFont val="Bookman Old Style"/>
        <family val="1"/>
        <charset val="204"/>
      </rPr>
      <t xml:space="preserve">Опорная площадка алюминиевая </t>
    </r>
    <r>
      <rPr>
        <b/>
        <sz val="12"/>
        <color indexed="8"/>
        <rFont val="Bookman Old Style"/>
        <family val="1"/>
        <charset val="204"/>
      </rPr>
      <t xml:space="preserve">A.T.C. SB 62PT-4-BPL-620
</t>
    </r>
    <r>
      <rPr>
        <sz val="12"/>
        <color indexed="8"/>
        <rFont val="Bookman Old Style"/>
        <family val="1"/>
        <charset val="204"/>
      </rPr>
      <t>618х618мм для SB 62PT-4/SB 40PT-4/SB 29-4</t>
    </r>
  </si>
  <si>
    <r>
      <rPr>
        <sz val="12"/>
        <color indexed="8"/>
        <rFont val="Arial"/>
        <family val="2"/>
        <charset val="204"/>
      </rPr>
      <t xml:space="preserve">Опорная площадка стальная </t>
    </r>
    <r>
      <rPr>
        <b/>
        <sz val="12"/>
        <color indexed="8"/>
        <rFont val="Arial"/>
        <family val="2"/>
        <charset val="204"/>
      </rPr>
      <t xml:space="preserve">A.T.C. SB 62PT-4-BPL-900
</t>
    </r>
    <r>
      <rPr>
        <sz val="12"/>
        <color indexed="8"/>
        <rFont val="Arial"/>
        <family val="2"/>
        <charset val="204"/>
      </rPr>
      <t>900х900мм для SB 62PT-4/SB 29-4/SB 5-1</t>
    </r>
  </si>
  <si>
    <r>
      <rPr>
        <sz val="12"/>
        <color indexed="8"/>
        <rFont val="Bookman Old Style"/>
        <family val="1"/>
        <charset val="204"/>
      </rPr>
      <t xml:space="preserve">Опорная площадка стальная </t>
    </r>
    <r>
      <rPr>
        <b/>
        <sz val="12"/>
        <color indexed="8"/>
        <rFont val="Bookman Old Style"/>
        <family val="1"/>
        <charset val="204"/>
      </rPr>
      <t xml:space="preserve">A.T.C. SB 62PT-4-BPL-D800
</t>
    </r>
    <r>
      <rPr>
        <sz val="12"/>
        <color indexed="8"/>
        <rFont val="Bookman Old Style"/>
        <family val="1"/>
        <charset val="204"/>
      </rPr>
      <t>диаметр 800мм для SB 40PT-4/SB 29-4/SB 18-4/SB 5-1</t>
    </r>
  </si>
  <si>
    <r>
      <rPr>
        <sz val="12"/>
        <color indexed="8"/>
        <rFont val="Bookman Old Style"/>
        <family val="1"/>
        <charset val="204"/>
      </rPr>
      <t xml:space="preserve">Плита опорная 2-2,5т для </t>
    </r>
    <r>
      <rPr>
        <b/>
        <sz val="12"/>
        <color indexed="8"/>
        <rFont val="Bookman Old Style"/>
        <family val="1"/>
        <charset val="204"/>
      </rPr>
      <t>A.T.C. SB 62-40-4-BB</t>
    </r>
  </si>
  <si>
    <r>
      <rPr>
        <sz val="12"/>
        <color indexed="8"/>
        <rFont val="Bookman Old Style"/>
        <family val="1"/>
        <charset val="204"/>
      </rPr>
      <t xml:space="preserve">Балласт </t>
    </r>
    <r>
      <rPr>
        <b/>
        <sz val="12"/>
        <color indexed="8"/>
        <rFont val="Bookman Old Style"/>
        <family val="1"/>
        <charset val="204"/>
      </rPr>
      <t>Еврокуб 1000л</t>
    </r>
  </si>
  <si>
    <r>
      <rPr>
        <sz val="12"/>
        <color indexed="8"/>
        <rFont val="Bookman Old Style"/>
        <family val="1"/>
        <charset val="204"/>
      </rPr>
      <t xml:space="preserve">Балласт </t>
    </r>
    <r>
      <rPr>
        <b/>
        <sz val="12"/>
        <color indexed="8"/>
        <rFont val="Bookman Old Style"/>
        <family val="1"/>
        <charset val="204"/>
      </rPr>
      <t>ФБС 750-1000 кг</t>
    </r>
  </si>
  <si>
    <r>
      <rPr>
        <sz val="12"/>
        <color indexed="8"/>
        <rFont val="Bookman Old Style"/>
        <family val="1"/>
        <charset val="204"/>
      </rPr>
      <t xml:space="preserve">Балласт </t>
    </r>
    <r>
      <rPr>
        <b/>
        <sz val="12"/>
        <color indexed="8"/>
        <rFont val="Bookman Old Style"/>
        <family val="1"/>
        <charset val="204"/>
      </rPr>
      <t>ФБС 350 кг</t>
    </r>
  </si>
  <si>
    <r>
      <rPr>
        <sz val="12"/>
        <color indexed="8"/>
        <rFont val="Bookman Old Style"/>
        <family val="1"/>
        <charset val="204"/>
      </rPr>
      <t xml:space="preserve">Балласт </t>
    </r>
    <r>
      <rPr>
        <b/>
        <sz val="12"/>
        <color indexed="8"/>
        <rFont val="Bookman Old Style"/>
        <family val="1"/>
        <charset val="204"/>
      </rPr>
      <t>ФБС 50-100 кг</t>
    </r>
  </si>
  <si>
    <r>
      <rPr>
        <sz val="12"/>
        <color indexed="8"/>
        <rFont val="Bookman Old Style"/>
        <family val="1"/>
        <charset val="204"/>
      </rPr>
      <t xml:space="preserve">Подъемник </t>
    </r>
    <r>
      <rPr>
        <b/>
        <sz val="12"/>
        <color indexed="8"/>
        <rFont val="Bookman Old Style"/>
        <family val="1"/>
        <charset val="204"/>
      </rPr>
      <t>Work LW-265R</t>
    </r>
    <r>
      <rPr>
        <sz val="12"/>
        <color indexed="8"/>
        <rFont val="Bookman Old Style"/>
        <family val="1"/>
        <charset val="204"/>
      </rPr>
      <t xml:space="preserve"> (h=6,5m, 220kg)</t>
    </r>
  </si>
  <si>
    <r>
      <rPr>
        <sz val="12"/>
        <color indexed="8"/>
        <rFont val="Bookman Old Style"/>
        <family val="1"/>
        <charset val="204"/>
      </rPr>
      <t xml:space="preserve">Штатив </t>
    </r>
    <r>
      <rPr>
        <b/>
        <sz val="12"/>
        <color indexed="8"/>
        <rFont val="Bookman Old Style"/>
        <family val="1"/>
        <charset val="204"/>
      </rPr>
      <t>Mobil Tech SpTek 4000</t>
    </r>
    <r>
      <rPr>
        <sz val="12"/>
        <color indexed="8"/>
        <rFont val="Bookman Old Style"/>
        <family val="1"/>
        <charset val="204"/>
      </rPr>
      <t xml:space="preserve"> (h=4m, 80kg)</t>
    </r>
  </si>
  <si>
    <t>Вышка-Тура, до 8м</t>
  </si>
  <si>
    <r>
      <rPr>
        <sz val="12"/>
        <color indexed="8"/>
        <rFont val="Arial"/>
        <family val="2"/>
        <charset val="204"/>
      </rPr>
      <t xml:space="preserve">Сценическая сетка </t>
    </r>
    <r>
      <rPr>
        <b/>
        <sz val="12"/>
        <color indexed="8"/>
        <rFont val="Arial"/>
        <family val="2"/>
        <charset val="204"/>
      </rPr>
      <t>Austronet 202</t>
    </r>
  </si>
  <si>
    <t>Чехол стретч белый для фермы A.T.C. SB 62-4 4м</t>
  </si>
  <si>
    <t>Чехол стретч белый для фермы A.T.C. SB 29-4 4м</t>
  </si>
  <si>
    <t>Чехол стретч чёрный для фермы A.T.C. SB 29-4 4м</t>
  </si>
  <si>
    <r>
      <rPr>
        <sz val="12"/>
        <color indexed="8"/>
        <rFont val="Arial"/>
        <family val="2"/>
        <charset val="204"/>
      </rPr>
      <t xml:space="preserve">Планшет </t>
    </r>
    <r>
      <rPr>
        <b/>
        <sz val="12"/>
        <color indexed="8"/>
        <rFont val="Arial"/>
        <family val="2"/>
        <charset val="204"/>
      </rPr>
      <t xml:space="preserve">Layher </t>
    </r>
    <r>
      <rPr>
        <sz val="12"/>
        <color indexed="8"/>
        <rFont val="Arial"/>
        <family val="2"/>
        <charset val="204"/>
      </rPr>
      <t>(h&lt;1,5м)</t>
    </r>
  </si>
  <si>
    <t>Планшет сцены</t>
  </si>
  <si>
    <r>
      <rPr>
        <sz val="12"/>
        <color indexed="8"/>
        <rFont val="Arial"/>
        <family val="2"/>
        <charset val="204"/>
      </rPr>
      <t xml:space="preserve">Стенка </t>
    </r>
    <r>
      <rPr>
        <b/>
        <sz val="12"/>
        <color indexed="8"/>
        <rFont val="Arial"/>
        <family val="2"/>
        <charset val="204"/>
      </rPr>
      <t>Layher</t>
    </r>
  </si>
  <si>
    <r>
      <rPr>
        <sz val="12"/>
        <color indexed="8"/>
        <rFont val="Arial"/>
        <family val="2"/>
        <charset val="204"/>
      </rPr>
      <t>м</t>
    </r>
    <r>
      <rPr>
        <vertAlign val="superscript"/>
        <sz val="12"/>
        <color indexed="8"/>
        <rFont val="Arial"/>
        <family val="2"/>
        <charset val="204"/>
      </rPr>
      <t>3</t>
    </r>
  </si>
  <si>
    <t>Боковые и задняя стенки сцены</t>
  </si>
  <si>
    <r>
      <rPr>
        <sz val="12"/>
        <color indexed="8"/>
        <rFont val="Bookman Old Style"/>
        <family val="1"/>
        <charset val="204"/>
      </rPr>
      <t xml:space="preserve">Стенка </t>
    </r>
    <r>
      <rPr>
        <b/>
        <sz val="12"/>
        <color indexed="8"/>
        <rFont val="Bookman Old Style"/>
        <family val="1"/>
        <charset val="204"/>
      </rPr>
      <t>Layher</t>
    </r>
  </si>
  <si>
    <r>
      <rPr>
        <sz val="12"/>
        <color indexed="8"/>
        <rFont val="Bookman Old Style"/>
        <family val="1"/>
        <charset val="204"/>
      </rPr>
      <t>м</t>
    </r>
    <r>
      <rPr>
        <vertAlign val="superscript"/>
        <sz val="12"/>
        <color indexed="8"/>
        <rFont val="Bookman Old Style"/>
        <family val="1"/>
        <charset val="204"/>
      </rPr>
      <t>3</t>
    </r>
  </si>
  <si>
    <r>
      <rPr>
        <sz val="12"/>
        <color indexed="8"/>
        <rFont val="Bookman Old Style"/>
        <family val="1"/>
        <charset val="204"/>
      </rPr>
      <t xml:space="preserve">Башня </t>
    </r>
    <r>
      <rPr>
        <b/>
        <sz val="12"/>
        <color indexed="8"/>
        <rFont val="Bookman Old Style"/>
        <family val="1"/>
        <charset val="204"/>
      </rPr>
      <t>Layher</t>
    </r>
  </si>
  <si>
    <r>
      <rPr>
        <sz val="12"/>
        <color indexed="8"/>
        <rFont val="Arial"/>
        <family val="2"/>
        <charset val="204"/>
      </rPr>
      <t xml:space="preserve">Лестница </t>
    </r>
    <r>
      <rPr>
        <b/>
        <sz val="12"/>
        <color indexed="8"/>
        <rFont val="Arial"/>
        <family val="2"/>
        <charset val="204"/>
      </rPr>
      <t>Layher</t>
    </r>
    <r>
      <rPr>
        <sz val="12"/>
        <color indexed="8"/>
        <rFont val="Arial"/>
        <family val="2"/>
        <charset val="204"/>
      </rPr>
      <t>, ширина 1м</t>
    </r>
  </si>
  <si>
    <t>Лестницы к сцене</t>
  </si>
  <si>
    <r>
      <rPr>
        <sz val="12"/>
        <color indexed="8"/>
        <rFont val="Arial"/>
        <family val="2"/>
        <charset val="204"/>
      </rPr>
      <t xml:space="preserve">Лестница </t>
    </r>
    <r>
      <rPr>
        <b/>
        <sz val="12"/>
        <color indexed="8"/>
        <rFont val="Arial"/>
        <family val="2"/>
        <charset val="204"/>
      </rPr>
      <t>Layher</t>
    </r>
    <r>
      <rPr>
        <sz val="12"/>
        <color indexed="8"/>
        <rFont val="Arial"/>
        <family val="2"/>
        <charset val="204"/>
      </rPr>
      <t>, ширина 2м</t>
    </r>
  </si>
  <si>
    <t>Лестницы подъема на крышу</t>
  </si>
  <si>
    <t>Швеллер</t>
  </si>
  <si>
    <r>
      <rPr>
        <sz val="12"/>
        <color indexed="8"/>
        <rFont val="Arial"/>
        <family val="2"/>
        <charset val="204"/>
      </rPr>
      <t xml:space="preserve">Балласт </t>
    </r>
    <r>
      <rPr>
        <b/>
        <sz val="12"/>
        <color indexed="8"/>
        <rFont val="Arial"/>
        <family val="2"/>
        <charset val="204"/>
      </rPr>
      <t>ФБС 750-1000 кг</t>
    </r>
  </si>
  <si>
    <t>Кабинет 2,07м</t>
  </si>
  <si>
    <r>
      <rPr>
        <sz val="12"/>
        <color indexed="8"/>
        <rFont val="Bookman Old Style"/>
        <family val="1"/>
        <charset val="204"/>
      </rPr>
      <t>Партер</t>
    </r>
    <r>
      <rPr>
        <b/>
        <sz val="12"/>
        <color indexed="8"/>
        <rFont val="Bookman Old Style"/>
        <family val="1"/>
        <charset val="204"/>
      </rPr>
      <t xml:space="preserve"> Layher</t>
    </r>
  </si>
  <si>
    <r>
      <rPr>
        <sz val="12"/>
        <color indexed="8"/>
        <rFont val="Bookman Old Style"/>
        <family val="1"/>
        <charset val="204"/>
      </rPr>
      <t>Трибуна</t>
    </r>
    <r>
      <rPr>
        <b/>
        <sz val="12"/>
        <color indexed="8"/>
        <rFont val="Bookman Old Style"/>
        <family val="1"/>
        <charset val="204"/>
      </rPr>
      <t xml:space="preserve"> Layher</t>
    </r>
  </si>
  <si>
    <r>
      <rPr>
        <sz val="12"/>
        <color indexed="8"/>
        <rFont val="Bookman Old Style"/>
        <family val="1"/>
        <charset val="204"/>
      </rPr>
      <t xml:space="preserve">Лебедка электрическая </t>
    </r>
    <r>
      <rPr>
        <b/>
        <sz val="12"/>
        <color indexed="8"/>
        <rFont val="Bookman Old Style"/>
        <family val="1"/>
        <charset val="204"/>
      </rPr>
      <t>ChainMaster 160 - 2000 kg</t>
    </r>
  </si>
  <si>
    <r>
      <rPr>
        <sz val="12"/>
        <color indexed="8"/>
        <rFont val="Bookman Old Style"/>
        <family val="1"/>
        <charset val="204"/>
      </rPr>
      <t xml:space="preserve">Лебедка электрическая </t>
    </r>
    <r>
      <rPr>
        <b/>
        <sz val="12"/>
        <color indexed="8"/>
        <rFont val="Bookman Old Style"/>
        <family val="1"/>
        <charset val="204"/>
      </rPr>
      <t>ChainMaster BGV-D8 1000 kg - 24m</t>
    </r>
  </si>
  <si>
    <r>
      <rPr>
        <sz val="12"/>
        <color indexed="8"/>
        <rFont val="Arial"/>
        <family val="2"/>
        <charset val="204"/>
      </rPr>
      <t xml:space="preserve">Лебедка электрическая </t>
    </r>
    <r>
      <rPr>
        <b/>
        <sz val="12"/>
        <color indexed="8"/>
        <rFont val="Arial"/>
        <family val="2"/>
        <charset val="204"/>
      </rPr>
      <t>ChainMaster BGV-D8 1000 kg - 18m</t>
    </r>
  </si>
  <si>
    <r>
      <rPr>
        <sz val="12"/>
        <color indexed="8"/>
        <rFont val="Bookman Old Style"/>
        <family val="1"/>
        <charset val="204"/>
      </rPr>
      <t xml:space="preserve">Лебедка электрическая </t>
    </r>
    <r>
      <rPr>
        <b/>
        <sz val="12"/>
        <color indexed="8"/>
        <rFont val="Bookman Old Style"/>
        <family val="1"/>
        <charset val="204"/>
      </rPr>
      <t>ChainMaster BGV-D8+ 500 kg - 24m</t>
    </r>
  </si>
  <si>
    <r>
      <rPr>
        <sz val="12"/>
        <color indexed="8"/>
        <rFont val="Bookman Old Style"/>
        <family val="1"/>
        <charset val="204"/>
      </rPr>
      <t xml:space="preserve">Лебедка электрическая </t>
    </r>
    <r>
      <rPr>
        <b/>
        <sz val="12"/>
        <color indexed="8"/>
        <rFont val="Bookman Old Style"/>
        <family val="1"/>
        <charset val="204"/>
      </rPr>
      <t>ChainMaster BGV-D8 320 kg - 24m</t>
    </r>
  </si>
  <si>
    <r>
      <rPr>
        <sz val="12"/>
        <color indexed="8"/>
        <rFont val="Bookman Old Style"/>
        <family val="1"/>
        <charset val="204"/>
      </rPr>
      <t xml:space="preserve">Лебедка электрическая </t>
    </r>
    <r>
      <rPr>
        <b/>
        <sz val="12"/>
        <color indexed="8"/>
        <rFont val="Bookman Old Style"/>
        <family val="1"/>
        <charset val="204"/>
      </rPr>
      <t>ChainMaster BGV-D8+ 160 kg - 24m</t>
    </r>
  </si>
  <si>
    <r>
      <rPr>
        <sz val="12"/>
        <color indexed="8"/>
        <rFont val="Bookman Old Style"/>
        <family val="1"/>
        <charset val="204"/>
      </rPr>
      <t xml:space="preserve">Таль механическая </t>
    </r>
    <r>
      <rPr>
        <b/>
        <sz val="12"/>
        <color indexed="8"/>
        <rFont val="Bookman Old Style"/>
        <family val="1"/>
        <charset val="204"/>
      </rPr>
      <t>SAFETEX HKZ-500-V2</t>
    </r>
    <r>
      <rPr>
        <sz val="12"/>
        <color indexed="8"/>
        <rFont val="Bookman Old Style"/>
        <family val="1"/>
        <charset val="204"/>
      </rPr>
      <t xml:space="preserve"> 500 kg, 18m</t>
    </r>
  </si>
  <si>
    <r>
      <rPr>
        <sz val="12"/>
        <color indexed="8"/>
        <rFont val="Arial"/>
        <family val="2"/>
        <charset val="204"/>
      </rPr>
      <t xml:space="preserve">Такелаж для 1 лебёдки </t>
    </r>
    <r>
      <rPr>
        <b/>
        <sz val="12"/>
        <color indexed="8"/>
        <rFont val="Arial"/>
        <family val="2"/>
        <charset val="204"/>
      </rPr>
      <t>SteelFlex</t>
    </r>
  </si>
  <si>
    <r>
      <rPr>
        <sz val="12"/>
        <color indexed="8"/>
        <rFont val="Arial"/>
        <family val="2"/>
        <charset val="204"/>
      </rPr>
      <t xml:space="preserve">Контроллер лебёдочный </t>
    </r>
    <r>
      <rPr>
        <b/>
        <sz val="12"/>
        <color indexed="8"/>
        <rFont val="Arial"/>
        <family val="2"/>
        <charset val="204"/>
      </rPr>
      <t xml:space="preserve">ChainMaster CM-8xx </t>
    </r>
    <r>
      <rPr>
        <sz val="12"/>
        <color indexed="8"/>
        <rFont val="Arial"/>
        <family val="2"/>
        <charset val="204"/>
      </rPr>
      <t>8 каналов</t>
    </r>
  </si>
  <si>
    <r>
      <rPr>
        <sz val="12"/>
        <color indexed="8"/>
        <rFont val="Bookman Old Style"/>
        <family val="1"/>
        <charset val="204"/>
      </rPr>
      <t xml:space="preserve">Клэмпа </t>
    </r>
    <r>
      <rPr>
        <b/>
        <sz val="12"/>
        <color indexed="8"/>
        <rFont val="Bookman Old Style"/>
        <family val="1"/>
        <charset val="204"/>
      </rPr>
      <t>SAFETEX STK-020-B</t>
    </r>
    <r>
      <rPr>
        <sz val="12"/>
        <color indexed="8"/>
        <rFont val="Bookman Old Style"/>
        <family val="1"/>
        <charset val="204"/>
      </rPr>
      <t xml:space="preserve"> (2000kg, 75-220mm)</t>
    </r>
  </si>
  <si>
    <t>Водонепроницаемый чехол для лебёдки</t>
  </si>
  <si>
    <r>
      <rPr>
        <sz val="12"/>
        <color indexed="8"/>
        <rFont val="Bookman Old Style"/>
        <family val="1"/>
        <charset val="204"/>
      </rPr>
      <t xml:space="preserve">Сценический подиум </t>
    </r>
    <r>
      <rPr>
        <b/>
        <sz val="12"/>
        <color indexed="8"/>
        <rFont val="Bookman Old Style"/>
        <family val="1"/>
        <charset val="204"/>
      </rPr>
      <t>Mebu Podium</t>
    </r>
  </si>
  <si>
    <r>
      <rPr>
        <sz val="12"/>
        <color indexed="8"/>
        <rFont val="Bookman Old Style"/>
        <family val="1"/>
        <charset val="204"/>
      </rPr>
      <t xml:space="preserve">Перила сценические </t>
    </r>
    <r>
      <rPr>
        <b/>
        <sz val="12"/>
        <color indexed="8"/>
        <rFont val="Bookman Old Style"/>
        <family val="1"/>
        <charset val="204"/>
      </rPr>
      <t>Mebu Railing</t>
    </r>
  </si>
  <si>
    <r>
      <rPr>
        <sz val="12"/>
        <color indexed="8"/>
        <rFont val="Bookman Old Style"/>
        <family val="1"/>
        <charset val="204"/>
      </rPr>
      <t xml:space="preserve">Ступень сценическая </t>
    </r>
    <r>
      <rPr>
        <b/>
        <sz val="12"/>
        <color indexed="8"/>
        <rFont val="Bookman Old Style"/>
        <family val="1"/>
        <charset val="204"/>
      </rPr>
      <t>Mebu Stairs</t>
    </r>
  </si>
  <si>
    <r>
      <rPr>
        <sz val="12"/>
        <color indexed="8"/>
        <rFont val="Bookman Old Style"/>
        <family val="1"/>
        <charset val="204"/>
      </rPr>
      <t xml:space="preserve">Катающийся подиум </t>
    </r>
    <r>
      <rPr>
        <b/>
        <sz val="12"/>
        <color indexed="8"/>
        <rFont val="Bookman Old Style"/>
        <family val="1"/>
        <charset val="204"/>
      </rPr>
      <t>Mebu Rolling Podium</t>
    </r>
  </si>
  <si>
    <t xml:space="preserve"> </t>
  </si>
  <si>
    <t>Настил брус/фанера</t>
  </si>
  <si>
    <r>
      <rPr>
        <sz val="12"/>
        <color indexed="8"/>
        <rFont val="Bookman Old Style"/>
        <family val="1"/>
        <charset val="204"/>
      </rPr>
      <t xml:space="preserve">Модульное напольное покрытие </t>
    </r>
    <r>
      <rPr>
        <b/>
        <sz val="12"/>
        <color indexed="8"/>
        <rFont val="Bookman Old Style"/>
        <family val="1"/>
        <charset val="204"/>
      </rPr>
      <t>Alaves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 xml:space="preserve">ProСlick </t>
    </r>
    <r>
      <rPr>
        <sz val="12"/>
        <color indexed="8"/>
        <rFont val="Bookman Old Style"/>
        <family val="1"/>
        <charset val="204"/>
      </rPr>
      <t>Серебро</t>
    </r>
  </si>
  <si>
    <r>
      <rPr>
        <sz val="12"/>
        <color indexed="8"/>
        <rFont val="Bookman Old Style"/>
        <family val="1"/>
        <charset val="204"/>
      </rPr>
      <t xml:space="preserve">Модульное напольное покрытие </t>
    </r>
    <r>
      <rPr>
        <b/>
        <sz val="12"/>
        <color indexed="8"/>
        <rFont val="Bookman Old Style"/>
        <family val="1"/>
        <charset val="204"/>
      </rPr>
      <t>Alaves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 xml:space="preserve">ProСlick </t>
    </r>
    <r>
      <rPr>
        <sz val="12"/>
        <color indexed="8"/>
        <rFont val="Bookman Old Style"/>
        <family val="1"/>
        <charset val="204"/>
      </rPr>
      <t>Паркет</t>
    </r>
  </si>
  <si>
    <r>
      <rPr>
        <sz val="12"/>
        <color indexed="8"/>
        <rFont val="Bookman Old Style"/>
        <family val="1"/>
        <charset val="204"/>
      </rPr>
      <t xml:space="preserve">Модульное напольное покрытие </t>
    </r>
    <r>
      <rPr>
        <b/>
        <sz val="12"/>
        <color indexed="8"/>
        <rFont val="Bookman Old Style"/>
        <family val="1"/>
        <charset val="204"/>
      </rPr>
      <t>Alaves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 xml:space="preserve">ProСlick </t>
    </r>
    <r>
      <rPr>
        <sz val="12"/>
        <color indexed="8"/>
        <rFont val="Bookman Old Style"/>
        <family val="1"/>
        <charset val="204"/>
      </rPr>
      <t>Чёрный</t>
    </r>
  </si>
  <si>
    <r>
      <rPr>
        <sz val="12"/>
        <color indexed="8"/>
        <rFont val="Bookman Old Style"/>
        <family val="1"/>
        <charset val="204"/>
      </rPr>
      <t xml:space="preserve">Модульное напольное покрытие </t>
    </r>
    <r>
      <rPr>
        <b/>
        <sz val="12"/>
        <color indexed="8"/>
        <rFont val="Bookman Old Style"/>
        <family val="1"/>
        <charset val="204"/>
      </rPr>
      <t>Alaves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 xml:space="preserve">ProСlick </t>
    </r>
    <r>
      <rPr>
        <sz val="12"/>
        <color indexed="8"/>
        <rFont val="Bookman Old Style"/>
        <family val="1"/>
        <charset val="204"/>
      </rPr>
      <t>Белый</t>
    </r>
  </si>
  <si>
    <r>
      <rPr>
        <sz val="12"/>
        <color indexed="8"/>
        <rFont val="Bookman Old Style"/>
        <family val="1"/>
        <charset val="204"/>
      </rPr>
      <t xml:space="preserve">Модульное напольное покрытие </t>
    </r>
    <r>
      <rPr>
        <b/>
        <sz val="12"/>
        <color indexed="8"/>
        <rFont val="Bookman Old Style"/>
        <family val="1"/>
        <charset val="204"/>
      </rPr>
      <t>Alaves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 xml:space="preserve">ProСlick </t>
    </r>
    <r>
      <rPr>
        <sz val="12"/>
        <color indexed="8"/>
        <rFont val="Bookman Old Style"/>
        <family val="1"/>
        <charset val="204"/>
      </rPr>
      <t>Палубная доска</t>
    </r>
  </si>
  <si>
    <r>
      <rPr>
        <sz val="12"/>
        <color indexed="8"/>
        <rFont val="Bookman Old Style"/>
        <family val="1"/>
        <charset val="204"/>
      </rPr>
      <t xml:space="preserve">Модульное напольное покрытие </t>
    </r>
    <r>
      <rPr>
        <b/>
        <sz val="12"/>
        <color indexed="8"/>
        <rFont val="Bookman Old Style"/>
        <family val="1"/>
        <charset val="204"/>
      </rPr>
      <t>Alaves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 xml:space="preserve">ProСlick                   </t>
    </r>
    <r>
      <rPr>
        <sz val="12"/>
        <color indexed="8"/>
        <rFont val="Bookman Old Style"/>
        <family val="1"/>
        <charset val="204"/>
      </rPr>
      <t>Серебро с рисунком</t>
    </r>
  </si>
  <si>
    <r>
      <rPr>
        <sz val="12"/>
        <color indexed="8"/>
        <rFont val="Bookman Old Style"/>
        <family val="1"/>
        <charset val="204"/>
      </rPr>
      <t xml:space="preserve">Чёрный кабинет Блэкаут </t>
    </r>
    <r>
      <rPr>
        <b/>
        <sz val="12"/>
        <color indexed="8"/>
        <rFont val="Bookman Old Style"/>
        <family val="1"/>
        <charset val="204"/>
      </rPr>
      <t>Molton 3х10(8)m</t>
    </r>
  </si>
  <si>
    <r>
      <rPr>
        <sz val="12"/>
        <color indexed="8"/>
        <rFont val="Bookman Old Style"/>
        <family val="1"/>
        <charset val="204"/>
      </rPr>
      <t xml:space="preserve">Синий кабинет Блюаут </t>
    </r>
    <r>
      <rPr>
        <b/>
        <sz val="12"/>
        <color indexed="8"/>
        <rFont val="Bookman Old Style"/>
        <family val="1"/>
        <charset val="204"/>
      </rPr>
      <t>Colombo FR AS 3х11m</t>
    </r>
  </si>
  <si>
    <r>
      <rPr>
        <sz val="12"/>
        <color indexed="8"/>
        <rFont val="Bookman Old Style"/>
        <family val="1"/>
        <charset val="204"/>
      </rPr>
      <t xml:space="preserve">Конструктив под натяжку баннер/ткань </t>
    </r>
    <r>
      <rPr>
        <b/>
        <sz val="12"/>
        <color indexed="8"/>
        <rFont val="Bookman Old Style"/>
        <family val="1"/>
        <charset val="204"/>
      </rPr>
      <t xml:space="preserve">Лайт Бокс 1,5х3м </t>
    </r>
  </si>
  <si>
    <t>Тканевый Брэндвол 2,5*2,5м на каркасе</t>
  </si>
  <si>
    <t>Флаг парус с подшипником</t>
  </si>
  <si>
    <t>Линейный массив</t>
  </si>
  <si>
    <r>
      <rPr>
        <sz val="12"/>
        <color indexed="8"/>
        <rFont val="Arial"/>
        <family val="2"/>
        <charset val="204"/>
      </rPr>
      <t xml:space="preserve">Линейный массив </t>
    </r>
    <r>
      <rPr>
        <b/>
        <sz val="12"/>
        <color indexed="8"/>
        <rFont val="Arial"/>
        <family val="2"/>
        <charset val="204"/>
      </rPr>
      <t>Meyer Sound MICA</t>
    </r>
  </si>
  <si>
    <t>PA</t>
  </si>
  <si>
    <r>
      <rPr>
        <sz val="12"/>
        <color indexed="8"/>
        <rFont val="Arial"/>
        <family val="2"/>
        <charset val="204"/>
      </rPr>
      <t xml:space="preserve">Линейный массив </t>
    </r>
    <r>
      <rPr>
        <b/>
        <sz val="12"/>
        <color indexed="8"/>
        <rFont val="Arial"/>
        <family val="2"/>
        <charset val="204"/>
      </rPr>
      <t>Meyer Sound Melodie</t>
    </r>
  </si>
  <si>
    <t>dealay</t>
  </si>
  <si>
    <r>
      <rPr>
        <sz val="12"/>
        <color indexed="8"/>
        <rFont val="Arial"/>
        <family val="2"/>
        <charset val="204"/>
      </rPr>
      <t xml:space="preserve">Активный сабвуфер </t>
    </r>
    <r>
      <rPr>
        <b/>
        <sz val="12"/>
        <color indexed="8"/>
        <rFont val="Arial"/>
        <family val="2"/>
        <charset val="204"/>
      </rPr>
      <t>Meyer Sound 700-HP</t>
    </r>
  </si>
  <si>
    <t>SUB</t>
  </si>
  <si>
    <r>
      <rPr>
        <sz val="12"/>
        <color indexed="8"/>
        <rFont val="Bookman Old Style"/>
        <family val="1"/>
        <charset val="204"/>
      </rPr>
      <t xml:space="preserve">Активный сабвуфер </t>
    </r>
    <r>
      <rPr>
        <b/>
        <sz val="12"/>
        <color indexed="8"/>
        <rFont val="Bookman Old Style"/>
        <family val="1"/>
        <charset val="204"/>
      </rPr>
      <t>Meyer Sound 600-HP</t>
    </r>
  </si>
  <si>
    <r>
      <rPr>
        <sz val="12"/>
        <color indexed="8"/>
        <rFont val="Arial"/>
        <family val="2"/>
        <charset val="204"/>
      </rPr>
      <t xml:space="preserve">Контроллер управления АС </t>
    </r>
    <r>
      <rPr>
        <b/>
        <sz val="12"/>
        <color indexed="8"/>
        <rFont val="Arial"/>
        <family val="2"/>
        <charset val="204"/>
      </rPr>
      <t>Meyer Sound Galilleo 616</t>
    </r>
  </si>
  <si>
    <r>
      <rPr>
        <sz val="12"/>
        <color indexed="8"/>
        <rFont val="Arial"/>
        <family val="2"/>
        <charset val="204"/>
      </rPr>
      <t xml:space="preserve">Рама для подвеса </t>
    </r>
    <r>
      <rPr>
        <b/>
        <sz val="12"/>
        <color indexed="8"/>
        <rFont val="Arial"/>
        <family val="2"/>
        <charset val="204"/>
      </rPr>
      <t>Meyer Sound</t>
    </r>
  </si>
  <si>
    <r>
      <rPr>
        <sz val="12"/>
        <color indexed="8"/>
        <rFont val="Bookman Old Style"/>
        <family val="1"/>
        <charset val="204"/>
      </rPr>
      <t xml:space="preserve">Активная акустическая система </t>
    </r>
    <r>
      <rPr>
        <b/>
        <sz val="12"/>
        <color indexed="8"/>
        <rFont val="Bookman Old Style"/>
        <family val="1"/>
        <charset val="204"/>
      </rPr>
      <t>Meyer Sound MJF-212A</t>
    </r>
  </si>
  <si>
    <r>
      <rPr>
        <sz val="12"/>
        <color indexed="8"/>
        <rFont val="Bookman Old Style"/>
        <family val="1"/>
        <charset val="204"/>
      </rPr>
      <t xml:space="preserve">Линейный массив </t>
    </r>
    <r>
      <rPr>
        <b/>
        <sz val="12"/>
        <color indexed="8"/>
        <rFont val="Bookman Old Style"/>
        <family val="1"/>
        <charset val="204"/>
      </rPr>
      <t>JBL VRX 932 LAP</t>
    </r>
  </si>
  <si>
    <r>
      <rPr>
        <sz val="12"/>
        <color indexed="8"/>
        <rFont val="Bookman Old Style"/>
        <family val="1"/>
        <charset val="204"/>
      </rPr>
      <t xml:space="preserve">Активный сабвуфер </t>
    </r>
    <r>
      <rPr>
        <b/>
        <sz val="12"/>
        <color indexed="8"/>
        <rFont val="Bookman Old Style"/>
        <family val="1"/>
        <charset val="204"/>
      </rPr>
      <t>JBL VRX 918 SP</t>
    </r>
  </si>
  <si>
    <r>
      <rPr>
        <sz val="12"/>
        <color indexed="8"/>
        <rFont val="Bookman Old Style"/>
        <family val="1"/>
        <charset val="204"/>
      </rPr>
      <t xml:space="preserve">Рама для подвеса </t>
    </r>
    <r>
      <rPr>
        <b/>
        <sz val="12"/>
        <color indexed="8"/>
        <rFont val="Bookman Old Style"/>
        <family val="1"/>
        <charset val="204"/>
      </rPr>
      <t>JBL VRX-AF</t>
    </r>
  </si>
  <si>
    <r>
      <rPr>
        <sz val="12"/>
        <color indexed="8"/>
        <rFont val="Bookman Old Style"/>
        <family val="1"/>
        <charset val="204"/>
      </rPr>
      <t xml:space="preserve">Акустическая система </t>
    </r>
    <r>
      <rPr>
        <b/>
        <sz val="12"/>
        <color indexed="8"/>
        <rFont val="Bookman Old Style"/>
        <family val="1"/>
        <charset val="204"/>
      </rPr>
      <t xml:space="preserve">Bose L1 model II </t>
    </r>
    <r>
      <rPr>
        <sz val="12"/>
        <color indexed="8"/>
        <rFont val="Bookman Old Style"/>
        <family val="1"/>
        <charset val="204"/>
      </rPr>
      <t>с басовым модулем</t>
    </r>
    <r>
      <rPr>
        <b/>
        <sz val="12"/>
        <color indexed="8"/>
        <rFont val="Bookman Old Style"/>
        <family val="1"/>
        <charset val="204"/>
      </rPr>
      <t xml:space="preserve"> B2</t>
    </r>
  </si>
  <si>
    <r>
      <rPr>
        <sz val="12"/>
        <color indexed="8"/>
        <rFont val="Bookman Old Style"/>
        <family val="1"/>
        <charset val="204"/>
      </rPr>
      <t xml:space="preserve">Цифровой микшер </t>
    </r>
    <r>
      <rPr>
        <b/>
        <sz val="12"/>
        <color indexed="8"/>
        <rFont val="Bookman Old Style"/>
        <family val="1"/>
        <charset val="204"/>
      </rPr>
      <t>BOSE T1 ToneMatch</t>
    </r>
  </si>
  <si>
    <r>
      <rPr>
        <sz val="12"/>
        <color indexed="8"/>
        <rFont val="Bookman Old Style"/>
        <family val="1"/>
        <charset val="204"/>
      </rPr>
      <t xml:space="preserve">Акустическая система 2-полосная </t>
    </r>
    <r>
      <rPr>
        <b/>
        <sz val="12"/>
        <color indexed="8"/>
        <rFont val="Bookman Old Style"/>
        <family val="1"/>
        <charset val="204"/>
      </rPr>
      <t>JBL SRX 722</t>
    </r>
  </si>
  <si>
    <r>
      <rPr>
        <sz val="12"/>
        <color indexed="8"/>
        <rFont val="Bookman Old Style"/>
        <family val="1"/>
        <charset val="204"/>
      </rPr>
      <t xml:space="preserve">Сабвуфер </t>
    </r>
    <r>
      <rPr>
        <b/>
        <sz val="12"/>
        <color indexed="8"/>
        <rFont val="Bookman Old Style"/>
        <family val="1"/>
        <charset val="204"/>
      </rPr>
      <t>JBL SRX 728 S</t>
    </r>
  </si>
  <si>
    <r>
      <rPr>
        <sz val="12"/>
        <color indexed="8"/>
        <rFont val="Arial"/>
        <family val="2"/>
        <charset val="204"/>
      </rPr>
      <t xml:space="preserve">Активная акустическая система </t>
    </r>
    <r>
      <rPr>
        <b/>
        <sz val="12"/>
        <color indexed="8"/>
        <rFont val="Arial"/>
        <family val="2"/>
        <charset val="204"/>
      </rPr>
      <t xml:space="preserve">Electro-Voice SxA-360 </t>
    </r>
  </si>
  <si>
    <r>
      <rPr>
        <sz val="12"/>
        <color indexed="8"/>
        <rFont val="Bookman Old Style"/>
        <family val="1"/>
        <charset val="204"/>
      </rPr>
      <t xml:space="preserve">Активная акустическая система </t>
    </r>
    <r>
      <rPr>
        <b/>
        <sz val="12"/>
        <color indexed="8"/>
        <rFont val="Bookman Old Style"/>
        <family val="1"/>
        <charset val="204"/>
      </rPr>
      <t>JBL EON612</t>
    </r>
  </si>
  <si>
    <r>
      <rPr>
        <sz val="12"/>
        <color indexed="8"/>
        <rFont val="Bookman Old Style"/>
        <family val="1"/>
        <charset val="204"/>
      </rPr>
      <t xml:space="preserve">Стойка для акустической системы </t>
    </r>
    <r>
      <rPr>
        <b/>
        <sz val="12"/>
        <color indexed="8"/>
        <rFont val="Bookman Old Style"/>
        <family val="1"/>
        <charset val="204"/>
      </rPr>
      <t>Konig&amp;Meyer</t>
    </r>
  </si>
  <si>
    <t>Чехол декоративный для штатива</t>
  </si>
  <si>
    <r>
      <rPr>
        <sz val="12"/>
        <color indexed="8"/>
        <rFont val="Bookman Old Style"/>
        <family val="1"/>
        <charset val="204"/>
      </rPr>
      <t xml:space="preserve">Цифровой микшер </t>
    </r>
    <r>
      <rPr>
        <b/>
        <sz val="12"/>
        <color indexed="8"/>
        <rFont val="Bookman Old Style"/>
        <family val="1"/>
        <charset val="204"/>
      </rPr>
      <t>Midas M32</t>
    </r>
  </si>
  <si>
    <r>
      <rPr>
        <sz val="12"/>
        <color indexed="8"/>
        <rFont val="Bookman Old Style"/>
        <family val="1"/>
        <charset val="204"/>
      </rPr>
      <t xml:space="preserve">Стейдж-бокс </t>
    </r>
    <r>
      <rPr>
        <b/>
        <sz val="12"/>
        <color indexed="8"/>
        <rFont val="Bookman Old Style"/>
        <family val="1"/>
        <charset val="204"/>
      </rPr>
      <t>Midas DL 32</t>
    </r>
  </si>
  <si>
    <r>
      <rPr>
        <sz val="12"/>
        <color indexed="8"/>
        <rFont val="Arial"/>
        <family val="2"/>
        <charset val="204"/>
      </rPr>
      <t xml:space="preserve">Цифровой микшер </t>
    </r>
    <r>
      <rPr>
        <b/>
        <sz val="12"/>
        <color indexed="8"/>
        <rFont val="Arial"/>
        <family val="2"/>
        <charset val="204"/>
      </rPr>
      <t>Yamaha QL5</t>
    </r>
  </si>
  <si>
    <r>
      <rPr>
        <sz val="12"/>
        <color indexed="8"/>
        <rFont val="Arial"/>
        <family val="2"/>
        <charset val="204"/>
      </rPr>
      <t xml:space="preserve">Цифровой микшер </t>
    </r>
    <r>
      <rPr>
        <b/>
        <sz val="12"/>
        <color indexed="8"/>
        <rFont val="Arial"/>
        <family val="2"/>
        <charset val="204"/>
      </rPr>
      <t>Yamaha CL5</t>
    </r>
  </si>
  <si>
    <r>
      <rPr>
        <sz val="12"/>
        <color indexed="8"/>
        <rFont val="Arial"/>
        <family val="2"/>
        <charset val="204"/>
      </rPr>
      <t xml:space="preserve">Стейдж бокс </t>
    </r>
    <r>
      <rPr>
        <b/>
        <sz val="12"/>
        <color indexed="8"/>
        <rFont val="Arial"/>
        <family val="2"/>
        <charset val="204"/>
      </rPr>
      <t>Yamaha RIO</t>
    </r>
  </si>
  <si>
    <r>
      <rPr>
        <sz val="12"/>
        <color indexed="8"/>
        <rFont val="Arial"/>
        <family val="2"/>
        <charset val="204"/>
      </rPr>
      <t xml:space="preserve">Планшет для управления микшерами </t>
    </r>
    <r>
      <rPr>
        <b/>
        <sz val="12"/>
        <color indexed="8"/>
        <rFont val="Arial"/>
        <family val="2"/>
        <charset val="204"/>
      </rPr>
      <t>Apple Ipad</t>
    </r>
  </si>
  <si>
    <r>
      <rPr>
        <sz val="12"/>
        <color indexed="8"/>
        <rFont val="Bookman Old Style"/>
        <family val="1"/>
        <charset val="204"/>
      </rPr>
      <t xml:space="preserve">Цифровой микшер </t>
    </r>
    <r>
      <rPr>
        <b/>
        <sz val="12"/>
        <color indexed="8"/>
        <rFont val="Bookman Old Style"/>
        <family val="1"/>
        <charset val="204"/>
      </rPr>
      <t>QSC TouchMix-8</t>
    </r>
  </si>
  <si>
    <r>
      <rPr>
        <sz val="12"/>
        <color indexed="8"/>
        <rFont val="Bookman Old Style"/>
        <family val="1"/>
        <charset val="204"/>
      </rPr>
      <t xml:space="preserve">Аналоговый микшер </t>
    </r>
    <r>
      <rPr>
        <b/>
        <sz val="12"/>
        <color indexed="8"/>
        <rFont val="Bookman Old Style"/>
        <family val="1"/>
        <charset val="204"/>
      </rPr>
      <t>Allen &amp; Heath GL 3800</t>
    </r>
  </si>
  <si>
    <r>
      <rPr>
        <sz val="12"/>
        <color indexed="8"/>
        <rFont val="Bookman Old Style"/>
        <family val="1"/>
        <charset val="204"/>
      </rPr>
      <t xml:space="preserve">Аналоговый микшер </t>
    </r>
    <r>
      <rPr>
        <b/>
        <sz val="12"/>
        <color indexed="8"/>
        <rFont val="Bookman Old Style"/>
        <family val="1"/>
        <charset val="204"/>
      </rPr>
      <t xml:space="preserve">Allen &amp; Heath GL 2200 </t>
    </r>
  </si>
  <si>
    <r>
      <rPr>
        <sz val="12"/>
        <color indexed="8"/>
        <rFont val="Bookman Old Style"/>
        <family val="1"/>
        <charset val="204"/>
      </rPr>
      <t xml:space="preserve">Аналоговый микшер </t>
    </r>
    <r>
      <rPr>
        <b/>
        <sz val="12"/>
        <color indexed="8"/>
        <rFont val="Bookman Old Style"/>
        <family val="1"/>
        <charset val="204"/>
      </rPr>
      <t>Dynasonic APB H1020</t>
    </r>
  </si>
  <si>
    <r>
      <rPr>
        <sz val="12"/>
        <color indexed="8"/>
        <rFont val="Bookman Old Style"/>
        <family val="1"/>
        <charset val="204"/>
      </rPr>
      <t xml:space="preserve">Аналоговый микшер </t>
    </r>
    <r>
      <rPr>
        <b/>
        <sz val="12"/>
        <color indexed="8"/>
        <rFont val="Bookman Old Style"/>
        <family val="1"/>
        <charset val="204"/>
      </rPr>
      <t>Soundcraft EPM8</t>
    </r>
  </si>
  <si>
    <r>
      <rPr>
        <sz val="12"/>
        <color indexed="8"/>
        <rFont val="Bookman Old Style"/>
        <family val="1"/>
        <charset val="204"/>
      </rPr>
      <t xml:space="preserve">Аналоговый микшер </t>
    </r>
    <r>
      <rPr>
        <b/>
        <sz val="12"/>
        <color indexed="8"/>
        <rFont val="Bookman Old Style"/>
        <family val="1"/>
        <charset val="204"/>
      </rPr>
      <t xml:space="preserve">Soundcraft Folio F1 </t>
    </r>
  </si>
  <si>
    <r>
      <rPr>
        <sz val="12"/>
        <color indexed="8"/>
        <rFont val="Bookman Old Style"/>
        <family val="1"/>
        <charset val="204"/>
      </rPr>
      <t xml:space="preserve">Контроллер </t>
    </r>
    <r>
      <rPr>
        <b/>
        <sz val="12"/>
        <color indexed="8"/>
        <rFont val="Bookman Old Style"/>
        <family val="1"/>
        <charset val="204"/>
      </rPr>
      <t>DBX DriveRack 260</t>
    </r>
  </si>
  <si>
    <r>
      <rPr>
        <sz val="12"/>
        <color indexed="8"/>
        <rFont val="Bookman Old Style"/>
        <family val="1"/>
        <charset val="204"/>
      </rPr>
      <t xml:space="preserve">Графический эквалайзер </t>
    </r>
    <r>
      <rPr>
        <b/>
        <sz val="12"/>
        <color indexed="8"/>
        <rFont val="Bookman Old Style"/>
        <family val="1"/>
        <charset val="204"/>
      </rPr>
      <t>Ashiy GQX 3102</t>
    </r>
  </si>
  <si>
    <r>
      <rPr>
        <sz val="12"/>
        <color indexed="8"/>
        <rFont val="Bookman Old Style"/>
        <family val="1"/>
        <charset val="204"/>
      </rPr>
      <t xml:space="preserve">Графический эквалайзер </t>
    </r>
    <r>
      <rPr>
        <b/>
        <sz val="12"/>
        <color indexed="8"/>
        <rFont val="Bookman Old Style"/>
        <family val="1"/>
        <charset val="204"/>
      </rPr>
      <t>DBX 1231</t>
    </r>
  </si>
  <si>
    <r>
      <rPr>
        <sz val="12"/>
        <color indexed="8"/>
        <rFont val="Bookman Old Style"/>
        <family val="1"/>
        <charset val="204"/>
      </rPr>
      <t>Двухканальный компрессор/лимитер/гейт</t>
    </r>
    <r>
      <rPr>
        <b/>
        <sz val="12"/>
        <color indexed="8"/>
        <rFont val="Bookman Old Style"/>
        <family val="1"/>
        <charset val="204"/>
      </rPr>
      <t xml:space="preserve"> DBX 166XL</t>
    </r>
  </si>
  <si>
    <r>
      <rPr>
        <sz val="12"/>
        <color indexed="8"/>
        <rFont val="Bookman Old Style"/>
        <family val="1"/>
        <charset val="204"/>
      </rPr>
      <t xml:space="preserve">Четырёхканальный компрессор/лимитер </t>
    </r>
    <r>
      <rPr>
        <b/>
        <sz val="12"/>
        <color indexed="8"/>
        <rFont val="Bookman Old Style"/>
        <family val="1"/>
        <charset val="204"/>
      </rPr>
      <t>DBX 1046</t>
    </r>
  </si>
  <si>
    <r>
      <rPr>
        <sz val="12"/>
        <color indexed="8"/>
        <rFont val="Bookman Old Style"/>
        <family val="1"/>
        <charset val="204"/>
      </rPr>
      <t xml:space="preserve">Компрессор/лимитер/гейт (XLR разъемы) </t>
    </r>
    <r>
      <rPr>
        <b/>
        <sz val="12"/>
        <color indexed="8"/>
        <rFont val="Bookman Old Style"/>
        <family val="1"/>
        <charset val="204"/>
      </rPr>
      <t>DBX 266XL</t>
    </r>
  </si>
  <si>
    <r>
      <rPr>
        <sz val="12"/>
        <color indexed="8"/>
        <rFont val="Bookman Old Style"/>
        <family val="1"/>
        <charset val="204"/>
      </rPr>
      <t xml:space="preserve">Экспандер/гейт </t>
    </r>
    <r>
      <rPr>
        <b/>
        <sz val="12"/>
        <color indexed="8"/>
        <rFont val="Bookman Old Style"/>
        <family val="1"/>
        <charset val="204"/>
      </rPr>
      <t>PreSonus GTX44</t>
    </r>
  </si>
  <si>
    <r>
      <rPr>
        <sz val="12"/>
        <color indexed="8"/>
        <rFont val="Bookman Old Style"/>
        <family val="1"/>
        <charset val="204"/>
      </rPr>
      <t xml:space="preserve">Процессор эффектов </t>
    </r>
    <r>
      <rPr>
        <b/>
        <sz val="12"/>
        <color indexed="8"/>
        <rFont val="Bookman Old Style"/>
        <family val="1"/>
        <charset val="204"/>
      </rPr>
      <t>TC ELECTRONIC M-ONE XL</t>
    </r>
  </si>
  <si>
    <r>
      <rPr>
        <sz val="12"/>
        <color indexed="8"/>
        <rFont val="Bookman Old Style"/>
        <family val="1"/>
        <charset val="204"/>
      </rPr>
      <t xml:space="preserve">Процессор задержки </t>
    </r>
    <r>
      <rPr>
        <b/>
        <sz val="12"/>
        <color indexed="8"/>
        <rFont val="Bookman Old Style"/>
        <family val="1"/>
        <charset val="204"/>
      </rPr>
      <t>TC Electronic D-Two</t>
    </r>
  </si>
  <si>
    <r>
      <rPr>
        <sz val="12"/>
        <color indexed="8"/>
        <rFont val="Bookman Old Style"/>
        <family val="1"/>
        <charset val="204"/>
      </rPr>
      <t xml:space="preserve">Процессор эффектов </t>
    </r>
    <r>
      <rPr>
        <b/>
        <sz val="12"/>
        <color indexed="8"/>
        <rFont val="Bookman Old Style"/>
        <family val="1"/>
        <charset val="204"/>
      </rPr>
      <t>Yamaha SPX 990</t>
    </r>
  </si>
  <si>
    <r>
      <rPr>
        <sz val="12"/>
        <color indexed="8"/>
        <rFont val="Bookman Old Style"/>
        <family val="1"/>
        <charset val="204"/>
      </rPr>
      <t xml:space="preserve">Процессор эффектов </t>
    </r>
    <r>
      <rPr>
        <b/>
        <sz val="12"/>
        <color indexed="8"/>
        <rFont val="Bookman Old Style"/>
        <family val="1"/>
        <charset val="204"/>
      </rPr>
      <t>Yamaha REV 500</t>
    </r>
  </si>
  <si>
    <t>Компьютер/Ноутбук</t>
  </si>
  <si>
    <r>
      <rPr>
        <sz val="12"/>
        <color indexed="8"/>
        <rFont val="Bookman Old Style"/>
        <family val="1"/>
        <charset val="204"/>
      </rPr>
      <t xml:space="preserve">CD проигрыватель </t>
    </r>
    <r>
      <rPr>
        <b/>
        <sz val="12"/>
        <color indexed="8"/>
        <rFont val="Bookman Old Style"/>
        <family val="1"/>
        <charset val="204"/>
      </rPr>
      <t>Numark CDN77 USB</t>
    </r>
  </si>
  <si>
    <r>
      <rPr>
        <sz val="12"/>
        <color indexed="8"/>
        <rFont val="Bookman Old Style"/>
        <family val="1"/>
        <charset val="204"/>
      </rPr>
      <t xml:space="preserve">Цифровой минидисковый рекордер </t>
    </r>
    <r>
      <rPr>
        <b/>
        <sz val="12"/>
        <color indexed="8"/>
        <rFont val="Bookman Old Style"/>
        <family val="1"/>
        <charset val="204"/>
      </rPr>
      <t>Tascam MD-350</t>
    </r>
  </si>
  <si>
    <r>
      <rPr>
        <sz val="12"/>
        <color indexed="8"/>
        <rFont val="Bookman Old Style"/>
        <family val="1"/>
        <charset val="204"/>
      </rPr>
      <t xml:space="preserve">Источник бесперебойного питания </t>
    </r>
    <r>
      <rPr>
        <b/>
        <sz val="12"/>
        <color indexed="8"/>
        <rFont val="Bookman Old Style"/>
        <family val="1"/>
        <charset val="204"/>
      </rPr>
      <t>IPPON SMART Winner 2000</t>
    </r>
  </si>
  <si>
    <r>
      <rPr>
        <sz val="12"/>
        <color indexed="8"/>
        <rFont val="Arial"/>
        <family val="2"/>
        <charset val="204"/>
      </rPr>
      <t xml:space="preserve">Радиомикрофон </t>
    </r>
    <r>
      <rPr>
        <b/>
        <sz val="12"/>
        <color indexed="8"/>
        <rFont val="Arial"/>
        <family val="2"/>
        <charset val="204"/>
      </rPr>
      <t>Sennheiser EW 300 G2</t>
    </r>
  </si>
  <si>
    <r>
      <rPr>
        <sz val="12"/>
        <color indexed="8"/>
        <rFont val="Arial"/>
        <family val="2"/>
        <charset val="204"/>
      </rPr>
      <t xml:space="preserve">Радиомикрофон </t>
    </r>
    <r>
      <rPr>
        <b/>
        <sz val="12"/>
        <color indexed="8"/>
        <rFont val="Arial"/>
        <family val="2"/>
        <charset val="204"/>
      </rPr>
      <t>Sennheiser EW 100-945 G3</t>
    </r>
  </si>
  <si>
    <r>
      <rPr>
        <sz val="12"/>
        <color indexed="8"/>
        <rFont val="Arial"/>
        <family val="2"/>
        <charset val="204"/>
      </rPr>
      <t xml:space="preserve">Радиомикрофон </t>
    </r>
    <r>
      <rPr>
        <b/>
        <sz val="12"/>
        <color indexed="8"/>
        <rFont val="Arial"/>
        <family val="2"/>
        <charset val="204"/>
      </rPr>
      <t>SHURE ULXD24E</t>
    </r>
  </si>
  <si>
    <r>
      <rPr>
        <sz val="12"/>
        <color indexed="8"/>
        <rFont val="Arial"/>
        <family val="2"/>
        <charset val="204"/>
      </rPr>
      <t xml:space="preserve">Радиогарнитура </t>
    </r>
    <r>
      <rPr>
        <b/>
        <sz val="12"/>
        <color indexed="8"/>
        <rFont val="Arial"/>
        <family val="2"/>
        <charset val="204"/>
      </rPr>
      <t>Sennheiser EW 100 G2</t>
    </r>
  </si>
  <si>
    <r>
      <rPr>
        <sz val="12"/>
        <color indexed="8"/>
        <rFont val="Bookman Old Style"/>
        <family val="1"/>
        <charset val="204"/>
      </rPr>
      <t xml:space="preserve">Беспроводной передатчик </t>
    </r>
    <r>
      <rPr>
        <b/>
        <sz val="12"/>
        <color indexed="8"/>
        <rFont val="Bookman Old Style"/>
        <family val="1"/>
        <charset val="204"/>
      </rPr>
      <t>Sennheiser EW 100 G2 Plug On</t>
    </r>
  </si>
  <si>
    <r>
      <rPr>
        <sz val="12"/>
        <color indexed="8"/>
        <rFont val="Arial"/>
        <family val="2"/>
        <charset val="204"/>
      </rPr>
      <t xml:space="preserve">Батарейки для радиомикрофона </t>
    </r>
    <r>
      <rPr>
        <b/>
        <sz val="12"/>
        <color indexed="8"/>
        <rFont val="Arial"/>
        <family val="2"/>
        <charset val="204"/>
      </rPr>
      <t>Duracell</t>
    </r>
  </si>
  <si>
    <r>
      <rPr>
        <sz val="12"/>
        <color indexed="8"/>
        <rFont val="Bookman Old Style"/>
        <family val="1"/>
        <charset val="204"/>
      </rPr>
      <t xml:space="preserve">Вокальный микрофон </t>
    </r>
    <r>
      <rPr>
        <b/>
        <sz val="12"/>
        <color indexed="8"/>
        <rFont val="Bookman Old Style"/>
        <family val="1"/>
        <charset val="204"/>
      </rPr>
      <t>SHURE SM 58</t>
    </r>
  </si>
  <si>
    <r>
      <rPr>
        <sz val="12"/>
        <color indexed="8"/>
        <rFont val="Bookman Old Style"/>
        <family val="1"/>
        <charset val="204"/>
      </rPr>
      <t xml:space="preserve">Вокальный микрофон </t>
    </r>
    <r>
      <rPr>
        <b/>
        <sz val="12"/>
        <color indexed="8"/>
        <rFont val="Bookman Old Style"/>
        <family val="1"/>
        <charset val="204"/>
      </rPr>
      <t>SHURE BETA 58A</t>
    </r>
  </si>
  <si>
    <r>
      <rPr>
        <sz val="12"/>
        <color indexed="8"/>
        <rFont val="Bookman Old Style"/>
        <family val="1"/>
        <charset val="204"/>
      </rPr>
      <t xml:space="preserve">Инструментальный микрофон </t>
    </r>
    <r>
      <rPr>
        <b/>
        <sz val="12"/>
        <color indexed="8"/>
        <rFont val="Bookman Old Style"/>
        <family val="1"/>
        <charset val="204"/>
      </rPr>
      <t>AKG C1000S</t>
    </r>
  </si>
  <si>
    <r>
      <rPr>
        <sz val="12"/>
        <color indexed="8"/>
        <rFont val="Bookman Old Style"/>
        <family val="1"/>
        <charset val="204"/>
      </rPr>
      <t xml:space="preserve">Инструментальный микрофон </t>
    </r>
    <r>
      <rPr>
        <b/>
        <sz val="12"/>
        <color indexed="8"/>
        <rFont val="Bookman Old Style"/>
        <family val="1"/>
        <charset val="204"/>
      </rPr>
      <t>SHURE SM 57</t>
    </r>
  </si>
  <si>
    <r>
      <rPr>
        <sz val="12"/>
        <color indexed="8"/>
        <rFont val="Bookman Old Style"/>
        <family val="1"/>
        <charset val="204"/>
      </rPr>
      <t xml:space="preserve">Инструментальный микрофон </t>
    </r>
    <r>
      <rPr>
        <b/>
        <sz val="12"/>
        <color indexed="8"/>
        <rFont val="Bookman Old Style"/>
        <family val="1"/>
        <charset val="204"/>
      </rPr>
      <t>SHURE BETA 57А</t>
    </r>
  </si>
  <si>
    <r>
      <rPr>
        <sz val="12"/>
        <color indexed="8"/>
        <rFont val="Bookman Old Style"/>
        <family val="1"/>
        <charset val="204"/>
      </rPr>
      <t xml:space="preserve">Инструментальный микрофон </t>
    </r>
    <r>
      <rPr>
        <b/>
        <sz val="12"/>
        <color indexed="8"/>
        <rFont val="Bookman Old Style"/>
        <family val="1"/>
        <charset val="204"/>
      </rPr>
      <t>SHURE BETA 91А</t>
    </r>
  </si>
  <si>
    <r>
      <rPr>
        <sz val="12"/>
        <color indexed="8"/>
        <rFont val="Bookman Old Style"/>
        <family val="1"/>
        <charset val="204"/>
      </rPr>
      <t xml:space="preserve">Инструментальный микрофон </t>
    </r>
    <r>
      <rPr>
        <b/>
        <sz val="12"/>
        <color indexed="8"/>
        <rFont val="Bookman Old Style"/>
        <family val="1"/>
        <charset val="204"/>
      </rPr>
      <t>Sennheiser E 614</t>
    </r>
  </si>
  <si>
    <t>Комплект микрофонов подзвучки барабанов</t>
  </si>
  <si>
    <r>
      <rPr>
        <sz val="12"/>
        <color indexed="8"/>
        <rFont val="Arial"/>
        <family val="2"/>
        <charset val="204"/>
      </rPr>
      <t xml:space="preserve">Микрофонные стойки </t>
    </r>
    <r>
      <rPr>
        <b/>
        <sz val="12"/>
        <color indexed="8"/>
        <rFont val="Arial"/>
        <family val="2"/>
        <charset val="204"/>
      </rPr>
      <t>Konig&amp;Meyer</t>
    </r>
  </si>
  <si>
    <r>
      <rPr>
        <sz val="12"/>
        <color indexed="8"/>
        <rFont val="Bookman Old Style"/>
        <family val="1"/>
        <charset val="204"/>
      </rPr>
      <t xml:space="preserve">DJ микшер </t>
    </r>
    <r>
      <rPr>
        <b/>
        <sz val="12"/>
        <color indexed="8"/>
        <rFont val="Bookman Old Style"/>
        <family val="1"/>
        <charset val="204"/>
      </rPr>
      <t>PIONEER DJM-2000 Nexus</t>
    </r>
  </si>
  <si>
    <r>
      <rPr>
        <sz val="12"/>
        <color indexed="8"/>
        <rFont val="Bookman Old Style"/>
        <family val="1"/>
        <charset val="204"/>
      </rPr>
      <t xml:space="preserve">DJ микшер </t>
    </r>
    <r>
      <rPr>
        <b/>
        <sz val="12"/>
        <color indexed="8"/>
        <rFont val="Bookman Old Style"/>
        <family val="1"/>
        <charset val="204"/>
      </rPr>
      <t>PIONEER DJM-600</t>
    </r>
  </si>
  <si>
    <r>
      <rPr>
        <sz val="12"/>
        <color indexed="8"/>
        <rFont val="Bookman Old Style"/>
        <family val="1"/>
        <charset val="204"/>
      </rPr>
      <t xml:space="preserve">CDJ проигрыватель </t>
    </r>
    <r>
      <rPr>
        <b/>
        <sz val="12"/>
        <color indexed="8"/>
        <rFont val="Bookman Old Style"/>
        <family val="1"/>
        <charset val="204"/>
      </rPr>
      <t>PIONEER CDJ-2000NXS2</t>
    </r>
  </si>
  <si>
    <r>
      <rPr>
        <sz val="12"/>
        <color indexed="8"/>
        <rFont val="Bookman Old Style"/>
        <family val="1"/>
        <charset val="204"/>
      </rPr>
      <t xml:space="preserve">CDJ проигрыватель </t>
    </r>
    <r>
      <rPr>
        <b/>
        <sz val="12"/>
        <color indexed="8"/>
        <rFont val="Bookman Old Style"/>
        <family val="1"/>
        <charset val="204"/>
      </rPr>
      <t>PIONEER CDJ-1000mk3</t>
    </r>
  </si>
  <si>
    <r>
      <rPr>
        <sz val="12"/>
        <color indexed="8"/>
        <rFont val="Bookman Old Style"/>
        <family val="1"/>
        <charset val="204"/>
      </rPr>
      <t xml:space="preserve">CDJ проигрыватель </t>
    </r>
    <r>
      <rPr>
        <b/>
        <sz val="12"/>
        <color indexed="8"/>
        <rFont val="Bookman Old Style"/>
        <family val="1"/>
        <charset val="204"/>
      </rPr>
      <t>PIONEER CDJ-400</t>
    </r>
  </si>
  <si>
    <r>
      <rPr>
        <sz val="12"/>
        <color indexed="8"/>
        <rFont val="Bookman Old Style"/>
        <family val="1"/>
        <charset val="204"/>
      </rPr>
      <t xml:space="preserve">Проигрыватель виниловых дисков </t>
    </r>
    <r>
      <rPr>
        <b/>
        <sz val="12"/>
        <color indexed="8"/>
        <rFont val="Bookman Old Style"/>
        <family val="1"/>
        <charset val="204"/>
      </rPr>
      <t>Technics SL-1210mk5</t>
    </r>
  </si>
  <si>
    <t>Комплект бэклайна для исполнителя</t>
  </si>
  <si>
    <t>Уточняется</t>
  </si>
  <si>
    <r>
      <rPr>
        <sz val="12"/>
        <color indexed="8"/>
        <rFont val="Bookman Old Style"/>
        <family val="1"/>
        <charset val="204"/>
      </rPr>
      <t xml:space="preserve">Ударная установка </t>
    </r>
    <r>
      <rPr>
        <b/>
        <sz val="12"/>
        <color indexed="8"/>
        <rFont val="Bookman Old Style"/>
        <family val="1"/>
        <charset val="204"/>
      </rPr>
      <t>Tama Starclassic</t>
    </r>
  </si>
  <si>
    <r>
      <rPr>
        <sz val="12"/>
        <color indexed="8"/>
        <rFont val="Arial"/>
        <family val="2"/>
        <charset val="204"/>
      </rPr>
      <t xml:space="preserve">Гитарный комбо </t>
    </r>
    <r>
      <rPr>
        <b/>
        <sz val="12"/>
        <color indexed="8"/>
        <rFont val="Arial"/>
        <family val="2"/>
        <charset val="204"/>
      </rPr>
      <t xml:space="preserve">FENDER TWIN REVERB </t>
    </r>
  </si>
  <si>
    <r>
      <rPr>
        <sz val="12"/>
        <color indexed="8"/>
        <rFont val="Arial"/>
        <family val="2"/>
        <charset val="204"/>
      </rPr>
      <t xml:space="preserve">Гитарный комбо </t>
    </r>
    <r>
      <rPr>
        <b/>
        <sz val="12"/>
        <color indexed="8"/>
        <rFont val="Arial"/>
        <family val="2"/>
        <charset val="204"/>
      </rPr>
      <t>FENDER TWIN AMP</t>
    </r>
  </si>
  <si>
    <r>
      <rPr>
        <sz val="12"/>
        <color indexed="8"/>
        <rFont val="Arial"/>
        <family val="2"/>
        <charset val="204"/>
      </rPr>
      <t xml:space="preserve">Гитарный комбо </t>
    </r>
    <r>
      <rPr>
        <b/>
        <sz val="12"/>
        <color indexed="8"/>
        <rFont val="Arial"/>
        <family val="2"/>
        <charset val="204"/>
      </rPr>
      <t xml:space="preserve">Ampeg Reverberocket </t>
    </r>
  </si>
  <si>
    <r>
      <rPr>
        <sz val="12"/>
        <color indexed="8"/>
        <rFont val="Bookman Old Style"/>
        <family val="1"/>
        <charset val="204"/>
      </rPr>
      <t xml:space="preserve">Басовый комбо </t>
    </r>
    <r>
      <rPr>
        <b/>
        <sz val="12"/>
        <color indexed="8"/>
        <rFont val="Bookman Old Style"/>
        <family val="1"/>
        <charset val="204"/>
      </rPr>
      <t>TRACE ELLIOT 1210</t>
    </r>
  </si>
  <si>
    <r>
      <rPr>
        <sz val="12"/>
        <color indexed="8"/>
        <rFont val="Bookman Old Style"/>
        <family val="1"/>
        <charset val="204"/>
      </rPr>
      <t xml:space="preserve">Басовый кабинет </t>
    </r>
    <r>
      <rPr>
        <b/>
        <sz val="12"/>
        <color indexed="8"/>
        <rFont val="Bookman Old Style"/>
        <family val="1"/>
        <charset val="204"/>
      </rPr>
      <t>Trace Elliot 1028H</t>
    </r>
  </si>
  <si>
    <r>
      <rPr>
        <sz val="12"/>
        <color indexed="8"/>
        <rFont val="Bookman Old Style"/>
        <family val="1"/>
        <charset val="204"/>
      </rPr>
      <t xml:space="preserve">Басовый комбо </t>
    </r>
    <r>
      <rPr>
        <b/>
        <sz val="12"/>
        <color indexed="8"/>
        <rFont val="Bookman Old Style"/>
        <family val="1"/>
        <charset val="204"/>
      </rPr>
      <t>Peavey TNT 115</t>
    </r>
  </si>
  <si>
    <r>
      <rPr>
        <sz val="12"/>
        <color indexed="8"/>
        <rFont val="Arial"/>
        <family val="2"/>
        <charset val="204"/>
      </rPr>
      <t xml:space="preserve">Басовый комбо </t>
    </r>
    <r>
      <rPr>
        <b/>
        <sz val="12"/>
        <color indexed="8"/>
        <rFont val="Arial"/>
        <family val="2"/>
        <charset val="204"/>
      </rPr>
      <t xml:space="preserve">AMPEG BA-112 </t>
    </r>
  </si>
  <si>
    <r>
      <rPr>
        <sz val="12"/>
        <color indexed="8"/>
        <rFont val="Arial"/>
        <family val="2"/>
        <charset val="204"/>
      </rPr>
      <t xml:space="preserve">Стойка под гитару </t>
    </r>
    <r>
      <rPr>
        <b/>
        <sz val="12"/>
        <color indexed="8"/>
        <rFont val="Arial"/>
        <family val="2"/>
        <charset val="204"/>
      </rPr>
      <t>Konig&amp;Meyer</t>
    </r>
  </si>
  <si>
    <r>
      <rPr>
        <sz val="12"/>
        <color indexed="8"/>
        <rFont val="Bookman Old Style"/>
        <family val="1"/>
        <charset val="204"/>
      </rPr>
      <t xml:space="preserve">Стойка под клавишный инструмент </t>
    </r>
    <r>
      <rPr>
        <b/>
        <sz val="12"/>
        <color indexed="8"/>
        <rFont val="Bookman Old Style"/>
        <family val="1"/>
        <charset val="204"/>
      </rPr>
      <t>Konig&amp;Meyer</t>
    </r>
  </si>
  <si>
    <r>
      <rPr>
        <sz val="12"/>
        <color indexed="8"/>
        <rFont val="Arial"/>
        <family val="2"/>
        <charset val="204"/>
      </rPr>
      <t xml:space="preserve">Стойка под клавишный инструмент 2х ярусная </t>
    </r>
    <r>
      <rPr>
        <b/>
        <sz val="12"/>
        <color indexed="8"/>
        <rFont val="Arial"/>
        <family val="2"/>
        <charset val="204"/>
      </rPr>
      <t>Konig&amp;Meyer</t>
    </r>
  </si>
  <si>
    <r>
      <rPr>
        <sz val="12"/>
        <color indexed="8"/>
        <rFont val="Arial"/>
        <family val="2"/>
        <charset val="204"/>
      </rPr>
      <t xml:space="preserve">Директ бокс </t>
    </r>
    <r>
      <rPr>
        <b/>
        <sz val="12"/>
        <color indexed="8"/>
        <rFont val="Arial"/>
        <family val="2"/>
        <charset val="204"/>
      </rPr>
      <t>BSS AR133 Active DI-box</t>
    </r>
  </si>
  <si>
    <r>
      <rPr>
        <sz val="12"/>
        <color indexed="8"/>
        <rFont val="Bookman Old Style"/>
        <family val="1"/>
        <charset val="204"/>
      </rPr>
      <t xml:space="preserve">Директ бокс </t>
    </r>
    <r>
      <rPr>
        <b/>
        <sz val="12"/>
        <color indexed="8"/>
        <rFont val="Bookman Old Style"/>
        <family val="1"/>
        <charset val="204"/>
      </rPr>
      <t>Palmer Passive DI-box</t>
    </r>
  </si>
  <si>
    <t>Большой комплект сигнальной комутации</t>
  </si>
  <si>
    <t>Бэклайн посчитан как на группу СПЛИН, артист проще уменьшает данную  цифру</t>
  </si>
  <si>
    <t>Малый комплект сигнальной комутации</t>
  </si>
  <si>
    <r>
      <rPr>
        <sz val="12"/>
        <color indexed="8"/>
        <rFont val="Arial"/>
        <family val="2"/>
        <charset val="204"/>
      </rPr>
      <t xml:space="preserve">Рация </t>
    </r>
    <r>
      <rPr>
        <b/>
        <sz val="12"/>
        <color indexed="8"/>
        <rFont val="Arial"/>
        <family val="2"/>
        <charset val="204"/>
      </rPr>
      <t>Vector VT-44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</si>
  <si>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Robin BMFL Spot</t>
    </r>
  </si>
  <si>
    <r>
      <rPr>
        <sz val="12"/>
        <color indexed="8"/>
        <rFont val="Arial"/>
        <family val="2"/>
        <charset val="204"/>
      </rPr>
      <t xml:space="preserve">Световая голова </t>
    </r>
    <r>
      <rPr>
        <b/>
        <sz val="12"/>
        <color indexed="8"/>
        <rFont val="Arial"/>
        <family val="2"/>
        <charset val="204"/>
      </rPr>
      <t>Robe Robin MMX Spot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</si>
  <si>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Robin MMX WashBeam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</si>
  <si>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ColorSpot 1200 AT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</si>
  <si>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ColorWash 1200E AT</t>
    </r>
  </si>
  <si>
    <r>
      <rPr>
        <sz val="12"/>
        <color indexed="8"/>
        <rFont val="Arial"/>
        <family val="2"/>
        <charset val="204"/>
      </rPr>
      <t xml:space="preserve">Световая голова </t>
    </r>
    <r>
      <rPr>
        <b/>
        <sz val="12"/>
        <color indexed="8"/>
        <rFont val="Arial"/>
        <family val="2"/>
        <charset val="204"/>
      </rPr>
      <t>Robe Robin Spiider</t>
    </r>
  </si>
  <si>
    <r>
      <rPr>
        <sz val="12"/>
        <color indexed="8"/>
        <rFont val="Arial"/>
        <family val="2"/>
        <charset val="204"/>
      </rPr>
      <t xml:space="preserve">Световая голова </t>
    </r>
    <r>
      <rPr>
        <b/>
        <sz val="12"/>
        <color indexed="8"/>
        <rFont val="Arial"/>
        <family val="2"/>
        <charset val="204"/>
      </rPr>
      <t>Robe Robin Pointe</t>
    </r>
  </si>
  <si>
    <r>
      <rPr>
        <sz val="12"/>
        <color indexed="8"/>
        <rFont val="Arial"/>
        <family val="2"/>
        <charset val="204"/>
      </rPr>
      <t xml:space="preserve">Световая голова </t>
    </r>
    <r>
      <rPr>
        <b/>
        <sz val="12"/>
        <color indexed="8"/>
        <rFont val="Arial"/>
        <family val="2"/>
        <charset val="204"/>
      </rPr>
      <t>Robe Robin 600+ LedWash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</si>
  <si>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Robin Viva</t>
    </r>
  </si>
  <si>
    <r>
      <rPr>
        <sz val="12"/>
        <color indexed="8"/>
        <rFont val="Arial"/>
        <family val="2"/>
        <charset val="204"/>
      </rPr>
      <t xml:space="preserve">Световая голова </t>
    </r>
    <r>
      <rPr>
        <b/>
        <sz val="12"/>
        <color indexed="8"/>
        <rFont val="Arial"/>
        <family val="2"/>
        <charset val="204"/>
      </rPr>
      <t>Robe Robin 100 LedBeam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</si>
  <si>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ColorSpot 575 AT</t>
    </r>
  </si>
  <si>
    <r>
      <rPr>
        <sz val="12"/>
        <color indexed="8"/>
        <rFont val="Bookman Old Style"/>
        <family val="1"/>
        <charset val="204"/>
      </rPr>
      <t xml:space="preserve">Световая голова </t>
    </r>
    <r>
      <rPr>
        <b/>
        <sz val="12"/>
        <color indexed="8"/>
        <rFont val="Bookman Old Style"/>
        <family val="1"/>
        <charset val="204"/>
      </rPr>
      <t>Robe ColorWash 575 AT</t>
    </r>
  </si>
  <si>
    <r>
      <rPr>
        <sz val="12"/>
        <color indexed="8"/>
        <rFont val="Arial"/>
        <family val="2"/>
        <charset val="204"/>
      </rPr>
      <t xml:space="preserve">Прибор заливочного света </t>
    </r>
    <r>
      <rPr>
        <b/>
        <sz val="12"/>
        <color indexed="8"/>
        <rFont val="Arial"/>
        <family val="2"/>
        <charset val="204"/>
      </rPr>
      <t>StudioDue CITYCOLOR 2500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</si>
  <si>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 xml:space="preserve">StudioDue CITYCOLOR LED </t>
    </r>
    <r>
      <rPr>
        <sz val="12"/>
        <color indexed="8"/>
        <rFont val="Bookman Old Style"/>
        <family val="1"/>
        <charset val="204"/>
      </rPr>
      <t>RGB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</si>
  <si>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 xml:space="preserve">StudioDue Turbo-COLOR LED </t>
    </r>
    <r>
      <rPr>
        <sz val="12"/>
        <color indexed="8"/>
        <rFont val="Bookman Old Style"/>
        <family val="1"/>
        <charset val="204"/>
      </rPr>
      <t>RGBW</t>
    </r>
  </si>
  <si>
    <r>
      <rPr>
        <sz val="12"/>
        <color indexed="8"/>
        <rFont val="Arial"/>
        <family val="2"/>
        <charset val="204"/>
      </rPr>
      <t xml:space="preserve">Прибор заливочного света </t>
    </r>
    <r>
      <rPr>
        <b/>
        <sz val="12"/>
        <color indexed="8"/>
        <rFont val="Arial"/>
        <family val="2"/>
        <charset val="204"/>
      </rPr>
      <t>Robe Robin CycFx8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</si>
  <si>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>Robe Robin CycBar 15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</si>
  <si>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 xml:space="preserve">StudioDue ARCHIBAR </t>
    </r>
    <r>
      <rPr>
        <sz val="12"/>
        <color indexed="8"/>
        <rFont val="Bookman Old Style"/>
        <family val="1"/>
        <charset val="204"/>
      </rPr>
      <t xml:space="preserve">IC RGBW
</t>
    </r>
    <r>
      <rPr>
        <sz val="12"/>
        <color indexed="8"/>
        <rFont val="Bookman Old Style"/>
        <family val="1"/>
        <charset val="204"/>
      </rPr>
      <t>(Single pixel control)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</si>
  <si>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 xml:space="preserve">StudioDue ARCHIBAR </t>
    </r>
    <r>
      <rPr>
        <sz val="12"/>
        <color indexed="8"/>
        <rFont val="Bookman Old Style"/>
        <family val="1"/>
        <charset val="204"/>
      </rPr>
      <t>IC RGBW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</si>
  <si>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>Involight LedBar395</t>
    </r>
    <r>
      <rPr>
        <sz val="12"/>
        <color indexed="8"/>
        <rFont val="Bookman Old Style"/>
        <family val="1"/>
        <charset val="204"/>
      </rPr>
      <t xml:space="preserve"> RGB IP65</t>
    </r>
  </si>
  <si>
    <r>
      <rPr>
        <sz val="12"/>
        <color indexed="8"/>
        <rFont val="Bookman Old Style"/>
        <family val="1"/>
        <charset val="204"/>
      </rPr>
      <t xml:space="preserve">Прожектор направленного света </t>
    </r>
    <r>
      <rPr>
        <b/>
        <sz val="12"/>
        <color indexed="8"/>
        <rFont val="Bookman Old Style"/>
        <family val="1"/>
        <charset val="204"/>
      </rPr>
      <t xml:space="preserve">EUROLITE LED PAR ML-56 </t>
    </r>
    <r>
      <rPr>
        <sz val="12"/>
        <color indexed="8"/>
        <rFont val="Bookman Old Style"/>
        <family val="1"/>
        <charset val="204"/>
      </rPr>
      <t>RGBA 36x3W black</t>
    </r>
  </si>
  <si>
    <r>
      <rPr>
        <sz val="12"/>
        <color indexed="8"/>
        <rFont val="Bookman Old Style"/>
        <family val="1"/>
        <charset val="204"/>
      </rPr>
      <t xml:space="preserve">Прожектор направленного света </t>
    </r>
    <r>
      <rPr>
        <b/>
        <sz val="12"/>
        <color indexed="8"/>
        <rFont val="Bookman Old Style"/>
        <family val="1"/>
        <charset val="204"/>
      </rPr>
      <t xml:space="preserve">EUROLITE LED PAR 64 </t>
    </r>
    <r>
      <rPr>
        <sz val="12"/>
        <color indexed="8"/>
        <rFont val="Bookman Old Style"/>
        <family val="1"/>
        <charset val="204"/>
      </rPr>
      <t>RGB 36x1W silver</t>
    </r>
  </si>
  <si>
    <r>
      <rPr>
        <sz val="12"/>
        <color indexed="8"/>
        <rFont val="Bookman Old Style"/>
        <family val="1"/>
        <charset val="204"/>
      </rPr>
      <t xml:space="preserve">Прожектор направленного света </t>
    </r>
    <r>
      <rPr>
        <b/>
        <sz val="12"/>
        <color indexed="8"/>
        <rFont val="Bookman Old Style"/>
        <family val="1"/>
        <charset val="204"/>
      </rPr>
      <t>Robe LedForce 18 RGBW eXterior</t>
    </r>
  </si>
  <si>
    <r>
      <rPr>
        <sz val="12"/>
        <color indexed="8"/>
        <rFont val="Bookman Old Style"/>
        <family val="1"/>
        <charset val="204"/>
      </rPr>
      <t xml:space="preserve">Прожектор направленного света </t>
    </r>
    <r>
      <rPr>
        <b/>
        <sz val="12"/>
        <color indexed="8"/>
        <rFont val="Bookman Old Style"/>
        <family val="1"/>
        <charset val="204"/>
      </rPr>
      <t>Robe LiteWare HO2</t>
    </r>
  </si>
  <si>
    <r>
      <rPr>
        <sz val="12"/>
        <color indexed="8"/>
        <rFont val="Arial"/>
        <family val="2"/>
        <charset val="204"/>
      </rPr>
      <t xml:space="preserve">Стробоскоп </t>
    </r>
    <r>
      <rPr>
        <b/>
        <sz val="12"/>
        <color indexed="8"/>
        <rFont val="Arial"/>
        <family val="2"/>
        <charset val="204"/>
      </rPr>
      <t>MARTIN Atomic 3000 DMX</t>
    </r>
  </si>
  <si>
    <r>
      <rPr>
        <sz val="12"/>
        <color indexed="8"/>
        <rFont val="Bookman Old Style"/>
        <family val="1"/>
        <charset val="204"/>
      </rPr>
      <t xml:space="preserve">Стробоскоп </t>
    </r>
    <r>
      <rPr>
        <b/>
        <sz val="12"/>
        <color indexed="8"/>
        <rFont val="Bookman Old Style"/>
        <family val="1"/>
        <charset val="204"/>
      </rPr>
      <t>SGM Flasher DMX 1.5</t>
    </r>
  </si>
  <si>
    <r>
      <rPr>
        <sz val="12"/>
        <color indexed="8"/>
        <rFont val="Arial"/>
        <family val="2"/>
        <charset val="204"/>
      </rPr>
      <t xml:space="preserve">Блиндер </t>
    </r>
    <r>
      <rPr>
        <b/>
        <sz val="12"/>
        <color indexed="8"/>
        <rFont val="Arial"/>
        <family val="2"/>
        <charset val="204"/>
      </rPr>
      <t>EUROLITE Audience Blinder</t>
    </r>
    <r>
      <rPr>
        <sz val="12"/>
        <color indexed="8"/>
        <rFont val="Arial"/>
        <family val="2"/>
        <charset val="204"/>
      </rPr>
      <t>, 8xPAR-36</t>
    </r>
  </si>
  <si>
    <r>
      <rPr>
        <sz val="12"/>
        <color indexed="8"/>
        <rFont val="Bookman Old Style"/>
        <family val="1"/>
        <charset val="204"/>
      </rPr>
      <t xml:space="preserve">Блиндер </t>
    </r>
    <r>
      <rPr>
        <b/>
        <sz val="12"/>
        <color indexed="8"/>
        <rFont val="Bookman Old Style"/>
        <family val="1"/>
        <charset val="204"/>
      </rPr>
      <t>EUROLITE Audience LEDBlinder</t>
    </r>
    <r>
      <rPr>
        <sz val="12"/>
        <color indexed="8"/>
        <rFont val="Bookman Old Style"/>
        <family val="1"/>
        <charset val="204"/>
      </rPr>
      <t>, 2x100W</t>
    </r>
  </si>
  <si>
    <r>
      <rPr>
        <sz val="12"/>
        <color indexed="8"/>
        <rFont val="Bookman Old Style"/>
        <family val="1"/>
        <charset val="204"/>
      </rPr>
      <t xml:space="preserve">Блиндер </t>
    </r>
    <r>
      <rPr>
        <b/>
        <sz val="12"/>
        <color indexed="8"/>
        <rFont val="Bookman Old Style"/>
        <family val="1"/>
        <charset val="204"/>
      </rPr>
      <t xml:space="preserve">Showtec Sunstrip </t>
    </r>
    <r>
      <rPr>
        <sz val="12"/>
        <color indexed="8"/>
        <rFont val="Bookman Old Style"/>
        <family val="1"/>
        <charset val="204"/>
      </rPr>
      <t>Active DMX</t>
    </r>
  </si>
  <si>
    <r>
      <rPr>
        <sz val="12"/>
        <color indexed="8"/>
        <rFont val="Bookman Old Style"/>
        <family val="1"/>
        <charset val="204"/>
      </rPr>
      <t xml:space="preserve">Прожектор ультрафиолетовый </t>
    </r>
    <r>
      <rPr>
        <b/>
        <sz val="12"/>
        <color indexed="8"/>
        <rFont val="Bookman Old Style"/>
        <family val="1"/>
        <charset val="204"/>
      </rPr>
      <t>Eurolite UV-400 W Spot</t>
    </r>
  </si>
  <si>
    <r>
      <rPr>
        <sz val="12"/>
        <color indexed="8"/>
        <rFont val="Bookman Old Style"/>
        <family val="1"/>
        <charset val="204"/>
      </rPr>
      <t xml:space="preserve">Светильник ультрафиолетовый </t>
    </r>
    <r>
      <rPr>
        <b/>
        <sz val="12"/>
        <color indexed="8"/>
        <rFont val="Bookman Old Style"/>
        <family val="1"/>
        <charset val="204"/>
      </rPr>
      <t>Eurolite Reflector casing for UV tube</t>
    </r>
  </si>
  <si>
    <r>
      <rPr>
        <sz val="12"/>
        <color indexed="8"/>
        <rFont val="Bookman Old Style"/>
        <family val="1"/>
        <charset val="204"/>
      </rPr>
      <t xml:space="preserve">Прожектор профильный </t>
    </r>
    <r>
      <rPr>
        <b/>
        <sz val="12"/>
        <color indexed="8"/>
        <rFont val="Bookman Old Style"/>
        <family val="1"/>
        <charset val="204"/>
      </rPr>
      <t>ETC Source4 CE wDimmer</t>
    </r>
  </si>
  <si>
    <r>
      <rPr>
        <sz val="12"/>
        <color indexed="8"/>
        <rFont val="Bookman Old Style"/>
        <family val="1"/>
        <charset val="204"/>
      </rPr>
      <t xml:space="preserve">Прожектор направленного света </t>
    </r>
    <r>
      <rPr>
        <b/>
        <sz val="12"/>
        <color indexed="8"/>
        <rFont val="Bookman Old Style"/>
        <family val="1"/>
        <charset val="204"/>
      </rPr>
      <t>EuroLite PAR 64</t>
    </r>
    <r>
      <rPr>
        <sz val="12"/>
        <color indexed="8"/>
        <rFont val="Bookman Old Style"/>
        <family val="1"/>
        <charset val="204"/>
      </rPr>
      <t xml:space="preserve"> 1 000 Вт</t>
    </r>
  </si>
  <si>
    <r>
      <rPr>
        <sz val="12"/>
        <color indexed="8"/>
        <rFont val="Bookman Old Style"/>
        <family val="1"/>
        <charset val="204"/>
      </rPr>
      <t xml:space="preserve">Прожектор направленного света </t>
    </r>
    <r>
      <rPr>
        <b/>
        <sz val="12"/>
        <color indexed="8"/>
        <rFont val="Bookman Old Style"/>
        <family val="1"/>
        <charset val="204"/>
      </rPr>
      <t>EuroLite PAR 56</t>
    </r>
    <r>
      <rPr>
        <sz val="12"/>
        <color indexed="8"/>
        <rFont val="Bookman Old Style"/>
        <family val="1"/>
        <charset val="204"/>
      </rPr>
      <t xml:space="preserve"> 300 Вт</t>
    </r>
  </si>
  <si>
    <r>
      <rPr>
        <sz val="12"/>
        <color indexed="8"/>
        <rFont val="Bookman Old Style"/>
        <family val="1"/>
        <charset val="204"/>
      </rPr>
      <t xml:space="preserve">Прибор направленного света </t>
    </r>
    <r>
      <rPr>
        <b/>
        <sz val="12"/>
        <color indexed="8"/>
        <rFont val="Bookman Old Style"/>
        <family val="1"/>
        <charset val="204"/>
      </rPr>
      <t>Curva 1200 Fresnel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</si>
  <si>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>ArtLighting AHR-1000</t>
    </r>
    <r>
      <rPr>
        <sz val="12"/>
        <color indexed="8"/>
        <rFont val="Bookman Old Style"/>
        <family val="1"/>
        <charset val="204"/>
      </rPr>
      <t xml:space="preserve"> 1 000 Вт</t>
    </r>
  </si>
  <si>
    <r>
      <rPr>
        <sz val="12"/>
        <color indexed="8"/>
        <rFont val="Bookman Old Style"/>
        <family val="1"/>
        <charset val="204"/>
      </rPr>
      <t xml:space="preserve">Прибор заливочного света </t>
    </r>
    <r>
      <rPr>
        <b/>
        <sz val="12"/>
        <color indexed="8"/>
        <rFont val="Bookman Old Style"/>
        <family val="1"/>
        <charset val="204"/>
      </rPr>
      <t>miniAHR</t>
    </r>
    <r>
      <rPr>
        <sz val="12"/>
        <color indexed="8"/>
        <rFont val="Bookman Old Style"/>
        <family val="1"/>
        <charset val="204"/>
      </rPr>
      <t xml:space="preserve"> 150 Вт</t>
    </r>
  </si>
  <si>
    <r>
      <rPr>
        <sz val="12"/>
        <color indexed="8"/>
        <rFont val="Bookman Old Style"/>
        <family val="1"/>
        <charset val="204"/>
      </rPr>
      <t xml:space="preserve">Светильник светодиодный </t>
    </r>
    <r>
      <rPr>
        <b/>
        <sz val="12"/>
        <color indexed="8"/>
        <rFont val="Bookman Old Style"/>
        <family val="1"/>
        <charset val="204"/>
      </rPr>
      <t>DSP 36 LED-03</t>
    </r>
    <r>
      <rPr>
        <sz val="12"/>
        <color indexed="8"/>
        <rFont val="Bookman Old Style"/>
        <family val="1"/>
        <charset val="204"/>
      </rPr>
      <t xml:space="preserve"> 36Вт</t>
    </r>
  </si>
  <si>
    <r>
      <rPr>
        <sz val="12"/>
        <color indexed="8"/>
        <rFont val="Bookman Old Style"/>
        <family val="1"/>
        <charset val="204"/>
      </rPr>
      <t xml:space="preserve">Диммер цифровой </t>
    </r>
    <r>
      <rPr>
        <b/>
        <sz val="12"/>
        <color indexed="8"/>
        <rFont val="Bookman Old Style"/>
        <family val="1"/>
        <charset val="204"/>
      </rPr>
      <t>ADL-12d-5 Mobile</t>
    </r>
    <r>
      <rPr>
        <sz val="12"/>
        <color indexed="8"/>
        <rFont val="Bookman Old Style"/>
        <family val="1"/>
        <charset val="204"/>
      </rPr>
      <t xml:space="preserve"> 12x5кВт</t>
    </r>
  </si>
  <si>
    <r>
      <rPr>
        <sz val="12"/>
        <color indexed="8"/>
        <rFont val="Bookman Old Style"/>
        <family val="1"/>
        <charset val="204"/>
      </rPr>
      <t xml:space="preserve">Диммер цифровой </t>
    </r>
    <r>
      <rPr>
        <b/>
        <sz val="12"/>
        <color indexed="8"/>
        <rFont val="Bookman Old Style"/>
        <family val="1"/>
        <charset val="204"/>
      </rPr>
      <t>ADL-12d-3 Mobile</t>
    </r>
    <r>
      <rPr>
        <sz val="12"/>
        <color indexed="8"/>
        <rFont val="Bookman Old Style"/>
        <family val="1"/>
        <charset val="204"/>
      </rPr>
      <t xml:space="preserve"> 12x3кВт</t>
    </r>
  </si>
  <si>
    <r>
      <rPr>
        <sz val="12"/>
        <color indexed="8"/>
        <rFont val="Bookman Old Style"/>
        <family val="1"/>
        <charset val="204"/>
      </rPr>
      <t xml:space="preserve">Дым машина </t>
    </r>
    <r>
      <rPr>
        <b/>
        <sz val="12"/>
        <color indexed="8"/>
        <rFont val="Bookman Old Style"/>
        <family val="1"/>
        <charset val="204"/>
      </rPr>
      <t>Robe Fog 1550 FT</t>
    </r>
  </si>
  <si>
    <r>
      <rPr>
        <sz val="12"/>
        <color indexed="8"/>
        <rFont val="Arial"/>
        <family val="2"/>
        <charset val="204"/>
      </rPr>
      <t xml:space="preserve">Генератор тумана </t>
    </r>
    <r>
      <rPr>
        <b/>
        <sz val="12"/>
        <color indexed="8"/>
        <rFont val="Arial"/>
        <family val="2"/>
        <charset val="204"/>
      </rPr>
      <t>Robe Haze 500 FT Pro</t>
    </r>
  </si>
  <si>
    <r>
      <rPr>
        <sz val="12"/>
        <color indexed="8"/>
        <rFont val="Bookman Old Style"/>
        <family val="1"/>
        <charset val="204"/>
      </rPr>
      <t xml:space="preserve">Генератор тумана </t>
    </r>
    <r>
      <rPr>
        <b/>
        <sz val="12"/>
        <color indexed="8"/>
        <rFont val="Bookman Old Style"/>
        <family val="1"/>
        <charset val="204"/>
      </rPr>
      <t>Robe Faze 1050 FT</t>
    </r>
  </si>
  <si>
    <r>
      <rPr>
        <sz val="12"/>
        <color indexed="8"/>
        <rFont val="Arial"/>
        <family val="2"/>
        <charset val="204"/>
      </rPr>
      <t xml:space="preserve">Вентилятор </t>
    </r>
    <r>
      <rPr>
        <b/>
        <sz val="12"/>
        <color indexed="8"/>
        <rFont val="Arial"/>
        <family val="2"/>
        <charset val="204"/>
      </rPr>
      <t>MARTIN JEM AF-1 MKII</t>
    </r>
  </si>
  <si>
    <r>
      <rPr>
        <sz val="12"/>
        <color indexed="8"/>
        <rFont val="Bookman Old Style"/>
        <family val="1"/>
        <charset val="204"/>
      </rPr>
      <t xml:space="preserve">Дым машина </t>
    </r>
    <r>
      <rPr>
        <b/>
        <sz val="12"/>
        <color indexed="8"/>
        <rFont val="Bookman Old Style"/>
        <family val="1"/>
        <charset val="204"/>
      </rPr>
      <t>Antari M-7 RGBA</t>
    </r>
  </si>
  <si>
    <r>
      <rPr>
        <sz val="12"/>
        <color indexed="8"/>
        <rFont val="Bookman Old Style"/>
        <family val="1"/>
        <charset val="204"/>
      </rPr>
      <t xml:space="preserve">Машина тяжёлого дыма </t>
    </r>
    <r>
      <rPr>
        <b/>
        <sz val="12"/>
        <color indexed="8"/>
        <rFont val="Bookman Old Style"/>
        <family val="1"/>
        <charset val="204"/>
      </rPr>
      <t>MARTIN</t>
    </r>
    <r>
      <rPr>
        <sz val="12"/>
        <color indexed="8"/>
        <rFont val="Bookman Old Style"/>
        <family val="1"/>
        <charset val="204"/>
      </rPr>
      <t xml:space="preserve"> </t>
    </r>
    <r>
      <rPr>
        <b/>
        <sz val="12"/>
        <color indexed="8"/>
        <rFont val="Bookman Old Style"/>
        <family val="1"/>
        <charset val="204"/>
      </rPr>
      <t>JEM Glaciator X-Stream</t>
    </r>
  </si>
  <si>
    <r>
      <rPr>
        <sz val="12"/>
        <color indexed="8"/>
        <rFont val="Bookman Old Style"/>
        <family val="1"/>
        <charset val="204"/>
      </rPr>
      <t xml:space="preserve">Машина тяжёлого дыма </t>
    </r>
    <r>
      <rPr>
        <b/>
        <sz val="12"/>
        <color indexed="8"/>
        <rFont val="Bookman Old Style"/>
        <family val="1"/>
        <charset val="204"/>
      </rPr>
      <t>Antari ICE 101</t>
    </r>
  </si>
  <si>
    <t>Жидкость для дым-, снег-, хейзер- машин</t>
  </si>
  <si>
    <t>литр</t>
  </si>
  <si>
    <t>Зеркальный дискошар 50см с моторизированным приводом</t>
  </si>
  <si>
    <r>
      <rPr>
        <sz val="12"/>
        <color indexed="8"/>
        <rFont val="Bookman Old Style"/>
        <family val="1"/>
        <charset val="204"/>
      </rPr>
      <t xml:space="preserve">Следящий прожектор </t>
    </r>
    <r>
      <rPr>
        <b/>
        <sz val="12"/>
        <color indexed="8"/>
        <rFont val="Bookman Old Style"/>
        <family val="1"/>
        <charset val="204"/>
      </rPr>
      <t>BMFL LightMaster side kit 2500</t>
    </r>
  </si>
  <si>
    <r>
      <rPr>
        <sz val="12"/>
        <color indexed="8"/>
        <rFont val="Bookman Old Style"/>
        <family val="1"/>
        <charset val="204"/>
      </rPr>
      <t xml:space="preserve">Следящий прожектор </t>
    </r>
    <r>
      <rPr>
        <b/>
        <sz val="12"/>
        <color indexed="8"/>
        <rFont val="Bookman Old Style"/>
        <family val="1"/>
        <charset val="204"/>
      </rPr>
      <t>PSL Lanser 1200</t>
    </r>
  </si>
  <si>
    <r>
      <rPr>
        <sz val="12"/>
        <color indexed="8"/>
        <rFont val="Bookman Old Style"/>
        <family val="1"/>
        <charset val="204"/>
      </rPr>
      <t xml:space="preserve">Ручка </t>
    </r>
    <r>
      <rPr>
        <b/>
        <sz val="12"/>
        <color indexed="8"/>
        <rFont val="Bookman Old Style"/>
        <family val="1"/>
        <charset val="204"/>
      </rPr>
      <t>Robe LightMaster side kit for BMFL</t>
    </r>
  </si>
  <si>
    <r>
      <rPr>
        <sz val="12"/>
        <color indexed="8"/>
        <rFont val="Arial"/>
        <family val="2"/>
        <charset val="204"/>
      </rPr>
      <t xml:space="preserve">Световая консоль </t>
    </r>
    <r>
      <rPr>
        <b/>
        <sz val="12"/>
        <color indexed="8"/>
        <rFont val="Arial"/>
        <family val="2"/>
        <charset val="204"/>
      </rPr>
      <t>High End Systems Road Hog 4</t>
    </r>
  </si>
  <si>
    <r>
      <rPr>
        <sz val="12"/>
        <color indexed="8"/>
        <rFont val="Bookman Old Style"/>
        <family val="1"/>
        <charset val="204"/>
      </rPr>
      <t xml:space="preserve">Световая консоль </t>
    </r>
    <r>
      <rPr>
        <b/>
        <sz val="12"/>
        <color indexed="8"/>
        <rFont val="Bookman Old Style"/>
        <family val="1"/>
        <charset val="204"/>
      </rPr>
      <t>SGM Pilot 2000</t>
    </r>
  </si>
  <si>
    <r>
      <rPr>
        <sz val="12"/>
        <color indexed="8"/>
        <rFont val="Bookman Old Style"/>
        <family val="1"/>
        <charset val="204"/>
      </rPr>
      <t xml:space="preserve">Световая консоль </t>
    </r>
    <r>
      <rPr>
        <b/>
        <sz val="12"/>
        <color indexed="8"/>
        <rFont val="Bookman Old Style"/>
        <family val="1"/>
        <charset val="204"/>
      </rPr>
      <t>SGM Pilot 3000</t>
    </r>
  </si>
  <si>
    <r>
      <rPr>
        <sz val="12"/>
        <color indexed="8"/>
        <rFont val="Bookman Old Style"/>
        <family val="1"/>
        <charset val="204"/>
      </rPr>
      <t xml:space="preserve">Световая консоль </t>
    </r>
    <r>
      <rPr>
        <b/>
        <sz val="12"/>
        <color indexed="8"/>
        <rFont val="Bookman Old Style"/>
        <family val="1"/>
        <charset val="204"/>
      </rPr>
      <t>FAL SceneSetter24-48</t>
    </r>
  </si>
  <si>
    <r>
      <rPr>
        <sz val="12"/>
        <color indexed="8"/>
        <rFont val="Bookman Old Style"/>
        <family val="1"/>
        <charset val="204"/>
      </rPr>
      <t xml:space="preserve">Всепогодный купол для головы </t>
    </r>
    <r>
      <rPr>
        <b/>
        <sz val="12"/>
        <color indexed="8"/>
        <rFont val="Bookman Old Style"/>
        <family val="1"/>
        <charset val="204"/>
      </rPr>
      <t>Outdoor Dome</t>
    </r>
  </si>
  <si>
    <r>
      <rPr>
        <sz val="12"/>
        <color indexed="8"/>
        <rFont val="Bookman Old Style"/>
        <family val="1"/>
        <charset val="204"/>
      </rPr>
      <t xml:space="preserve">Интерком </t>
    </r>
    <r>
      <rPr>
        <b/>
        <sz val="12"/>
        <color indexed="8"/>
        <rFont val="Bookman Old Style"/>
        <family val="1"/>
        <charset val="204"/>
      </rPr>
      <t>Clear-Com HME DX300ES</t>
    </r>
  </si>
  <si>
    <r>
      <rPr>
        <sz val="12"/>
        <color indexed="8"/>
        <rFont val="Arial"/>
        <family val="2"/>
        <charset val="204"/>
      </rPr>
      <t xml:space="preserve">Сплиттер </t>
    </r>
    <r>
      <rPr>
        <b/>
        <sz val="12"/>
        <color indexed="8"/>
        <rFont val="Arial"/>
        <family val="2"/>
        <charset val="204"/>
      </rPr>
      <t>Eurolite DMX Split 4</t>
    </r>
  </si>
  <si>
    <r>
      <rPr>
        <sz val="12"/>
        <color indexed="8"/>
        <rFont val="Bookman Old Style"/>
        <family val="1"/>
        <charset val="204"/>
      </rPr>
      <t>Радио DMX</t>
    </r>
    <r>
      <rPr>
        <b/>
        <sz val="12"/>
        <color indexed="8"/>
        <rFont val="Bookman Old Style"/>
        <family val="1"/>
        <charset val="204"/>
      </rPr>
      <t xml:space="preserve"> Swisson XSW</t>
    </r>
  </si>
  <si>
    <r>
      <rPr>
        <sz val="12"/>
        <color indexed="8"/>
        <rFont val="Bookman Old Style"/>
        <family val="1"/>
        <charset val="204"/>
      </rPr>
      <t>Светодиодный экран</t>
    </r>
    <r>
      <rPr>
        <b/>
        <sz val="12"/>
        <color indexed="8"/>
        <rFont val="Bookman Old Style"/>
        <family val="1"/>
        <charset val="204"/>
      </rPr>
      <t xml:space="preserve"> Absen D2V </t>
    </r>
    <r>
      <rPr>
        <sz val="12"/>
        <color indexed="8"/>
        <rFont val="Bookman Old Style"/>
        <family val="1"/>
        <charset val="204"/>
      </rPr>
      <t>(p2.9,</t>
    </r>
    <r>
      <rPr>
        <b/>
        <sz val="12"/>
        <color indexed="8"/>
        <rFont val="Bookman Old Style"/>
        <family val="1"/>
        <charset val="204"/>
      </rPr>
      <t xml:space="preserve"> </t>
    </r>
    <r>
      <rPr>
        <sz val="12"/>
        <color indexed="8"/>
        <rFont val="Bookman Old Style"/>
        <family val="1"/>
        <charset val="204"/>
      </rPr>
      <t>indoor, 3840Hz, 0,5х0,5м)</t>
    </r>
  </si>
  <si>
    <r>
      <rPr>
        <sz val="12"/>
        <color indexed="8"/>
        <rFont val="Bookman Old Style"/>
        <family val="1"/>
        <charset val="204"/>
      </rPr>
      <t xml:space="preserve">LED процессор </t>
    </r>
    <r>
      <rPr>
        <b/>
        <sz val="12"/>
        <color indexed="8"/>
        <rFont val="Bookman Old Style"/>
        <family val="1"/>
        <charset val="204"/>
      </rPr>
      <t xml:space="preserve">Magnimage 4K </t>
    </r>
  </si>
  <si>
    <r>
      <rPr>
        <sz val="12"/>
        <color indexed="8"/>
        <rFont val="Bookman Old Style"/>
        <family val="1"/>
        <charset val="204"/>
      </rPr>
      <t xml:space="preserve">LED процессор </t>
    </r>
    <r>
      <rPr>
        <b/>
        <sz val="12"/>
        <color indexed="8"/>
        <rFont val="Bookman Old Style"/>
        <family val="1"/>
        <charset val="204"/>
      </rPr>
      <t>Magnimage Full HD</t>
    </r>
  </si>
  <si>
    <r>
      <rPr>
        <sz val="12"/>
        <color indexed="8"/>
        <rFont val="Bookman Old Style"/>
        <family val="1"/>
        <charset val="204"/>
      </rPr>
      <t xml:space="preserve">LED контроллер для светодиодного экрана </t>
    </r>
    <r>
      <rPr>
        <b/>
        <sz val="12"/>
        <color indexed="8"/>
        <rFont val="Bookman Old Style"/>
        <family val="1"/>
        <charset val="204"/>
      </rPr>
      <t>NOVASTAR 660</t>
    </r>
  </si>
  <si>
    <r>
      <rPr>
        <sz val="12"/>
        <color indexed="8"/>
        <rFont val="Bookman Old Style"/>
        <family val="1"/>
        <charset val="204"/>
      </rPr>
      <t xml:space="preserve">LED контроллер для светодиодного экрана </t>
    </r>
    <r>
      <rPr>
        <b/>
        <sz val="12"/>
        <color indexed="8"/>
        <rFont val="Bookman Old Style"/>
        <family val="1"/>
        <charset val="204"/>
      </rPr>
      <t>NOVASTAR 300</t>
    </r>
  </si>
  <si>
    <r>
      <rPr>
        <sz val="12"/>
        <color indexed="8"/>
        <rFont val="Bookman Old Style"/>
        <family val="1"/>
        <charset val="204"/>
      </rPr>
      <t xml:space="preserve">LED контроллер для светодиодного экрана </t>
    </r>
    <r>
      <rPr>
        <b/>
        <sz val="12"/>
        <color indexed="8"/>
        <rFont val="Bookman Old Style"/>
        <family val="1"/>
        <charset val="204"/>
      </rPr>
      <t>NOVASTAR 4К</t>
    </r>
  </si>
  <si>
    <t xml:space="preserve">Напольный коструктив для светодиодного экрана </t>
  </si>
  <si>
    <r>
      <rPr>
        <sz val="12"/>
        <color indexed="8"/>
        <rFont val="Bookman Old Style"/>
        <family val="1"/>
        <charset val="204"/>
      </rPr>
      <t>Светодиодный экран</t>
    </r>
    <r>
      <rPr>
        <b/>
        <sz val="12"/>
        <color indexed="8"/>
        <rFont val="Bookman Old Style"/>
        <family val="1"/>
        <charset val="204"/>
      </rPr>
      <t xml:space="preserve"> Absen P3 </t>
    </r>
    <r>
      <rPr>
        <sz val="12"/>
        <color indexed="8"/>
        <rFont val="Bookman Old Style"/>
        <family val="1"/>
        <charset val="204"/>
      </rPr>
      <t>(p3.91,</t>
    </r>
    <r>
      <rPr>
        <b/>
        <sz val="12"/>
        <color indexed="8"/>
        <rFont val="Bookman Old Style"/>
        <family val="1"/>
        <charset val="204"/>
      </rPr>
      <t xml:space="preserve"> </t>
    </r>
    <r>
      <rPr>
        <sz val="12"/>
        <color indexed="8"/>
        <rFont val="Bookman Old Style"/>
        <family val="1"/>
        <charset val="204"/>
      </rPr>
      <t>indoor,1920Hz, 0,5х0,5м)</t>
    </r>
  </si>
  <si>
    <r>
      <rPr>
        <sz val="12"/>
        <color indexed="8"/>
        <rFont val="Bookman Old Style"/>
        <family val="1"/>
        <charset val="204"/>
      </rPr>
      <t>Светодиодный экран</t>
    </r>
    <r>
      <rPr>
        <b/>
        <sz val="12"/>
        <color indexed="8"/>
        <rFont val="Bookman Old Style"/>
        <family val="1"/>
        <charset val="204"/>
      </rPr>
      <t xml:space="preserve"> Absen P4 </t>
    </r>
    <r>
      <rPr>
        <sz val="12"/>
        <color indexed="8"/>
        <rFont val="Bookman Old Style"/>
        <family val="1"/>
        <charset val="204"/>
      </rPr>
      <t>(p4.81,</t>
    </r>
    <r>
      <rPr>
        <b/>
        <sz val="12"/>
        <color indexed="8"/>
        <rFont val="Bookman Old Style"/>
        <family val="1"/>
        <charset val="204"/>
      </rPr>
      <t xml:space="preserve"> </t>
    </r>
    <r>
      <rPr>
        <sz val="12"/>
        <color indexed="8"/>
        <rFont val="Bookman Old Style"/>
        <family val="1"/>
        <charset val="204"/>
      </rPr>
      <t>outdoor, 1920Hz, 0,5х0,5м)</t>
    </r>
  </si>
  <si>
    <r>
      <rPr>
        <sz val="12"/>
        <color indexed="8"/>
        <rFont val="Bookman Old Style"/>
        <family val="1"/>
        <charset val="204"/>
      </rPr>
      <t>Светодиодный экран</t>
    </r>
    <r>
      <rPr>
        <b/>
        <sz val="12"/>
        <color indexed="8"/>
        <rFont val="Bookman Old Style"/>
        <family val="1"/>
        <charset val="204"/>
      </rPr>
      <t xml:space="preserve"> Absen P10 </t>
    </r>
    <r>
      <rPr>
        <sz val="12"/>
        <color indexed="8"/>
        <rFont val="Bookman Old Style"/>
        <family val="1"/>
        <charset val="204"/>
      </rPr>
      <t>(p10,</t>
    </r>
    <r>
      <rPr>
        <b/>
        <sz val="12"/>
        <color indexed="8"/>
        <rFont val="Bookman Old Style"/>
        <family val="1"/>
        <charset val="204"/>
      </rPr>
      <t xml:space="preserve"> </t>
    </r>
    <r>
      <rPr>
        <sz val="12"/>
        <color indexed="8"/>
        <rFont val="Bookman Old Style"/>
        <family val="1"/>
        <charset val="204"/>
      </rPr>
      <t>outdoor, 1920Hz, 0,64х0,64м)</t>
    </r>
  </si>
  <si>
    <r>
      <rPr>
        <sz val="12"/>
        <color indexed="8"/>
        <rFont val="Bookman Old Style"/>
        <family val="1"/>
        <charset val="204"/>
      </rPr>
      <t>Светодиодная сетка</t>
    </r>
    <r>
      <rPr>
        <b/>
        <sz val="12"/>
        <color indexed="8"/>
        <rFont val="Bookman Old Style"/>
        <family val="1"/>
        <charset val="204"/>
      </rPr>
      <t xml:space="preserve"> Absen С30 </t>
    </r>
    <r>
      <rPr>
        <sz val="12"/>
        <color indexed="8"/>
        <rFont val="Bookman Old Style"/>
        <family val="1"/>
        <charset val="204"/>
      </rPr>
      <t>(p30,</t>
    </r>
    <r>
      <rPr>
        <b/>
        <sz val="12"/>
        <color indexed="8"/>
        <rFont val="Bookman Old Style"/>
        <family val="1"/>
        <charset val="204"/>
      </rPr>
      <t xml:space="preserve"> </t>
    </r>
    <r>
      <rPr>
        <sz val="12"/>
        <color indexed="8"/>
        <rFont val="Bookman Old Style"/>
        <family val="1"/>
        <charset val="204"/>
      </rPr>
      <t>outdoor, 1920Hz, 0,96х0,96м)</t>
    </r>
  </si>
  <si>
    <r>
      <rPr>
        <sz val="12"/>
        <color indexed="8"/>
        <rFont val="Bookman Old Style"/>
        <family val="1"/>
        <charset val="204"/>
      </rPr>
      <t>Видеостена из 25-ти панелей</t>
    </r>
    <r>
      <rPr>
        <b/>
        <sz val="12"/>
        <color indexed="8"/>
        <rFont val="Bookman Old Style"/>
        <family val="1"/>
        <charset val="204"/>
      </rPr>
      <t xml:space="preserve"> LG M4630 46" 5*5 модулей
</t>
    </r>
    <r>
      <rPr>
        <b/>
        <sz val="12"/>
        <color indexed="8"/>
        <rFont val="Bookman Old Style"/>
        <family val="1"/>
        <charset val="204"/>
      </rPr>
      <t>(</t>
    </r>
    <r>
      <rPr>
        <sz val="12"/>
        <color indexed="8"/>
        <rFont val="Bookman Old Style"/>
        <family val="1"/>
        <charset val="204"/>
      </rPr>
      <t>размер 5,15х2,9м, 1920х1080)</t>
    </r>
  </si>
  <si>
    <r>
      <rPr>
        <sz val="12"/>
        <color indexed="8"/>
        <rFont val="Bookman Old Style"/>
        <family val="1"/>
        <charset val="204"/>
      </rPr>
      <t xml:space="preserve">Видеостена из 16-ти панелей </t>
    </r>
    <r>
      <rPr>
        <b/>
        <sz val="12"/>
        <color indexed="8"/>
        <rFont val="Bookman Old Style"/>
        <family val="1"/>
        <charset val="204"/>
      </rPr>
      <t xml:space="preserve">LG M4630 46" 4*4 модуля
</t>
    </r>
    <r>
      <rPr>
        <sz val="12"/>
        <color indexed="8"/>
        <rFont val="Bookman Old Style"/>
        <family val="1"/>
        <charset val="204"/>
      </rPr>
      <t>(размер 4,12х2,32м, 1920х1080)</t>
    </r>
  </si>
  <si>
    <r>
      <rPr>
        <sz val="12"/>
        <color indexed="8"/>
        <rFont val="Bookman Old Style"/>
        <family val="1"/>
        <charset val="204"/>
      </rPr>
      <t xml:space="preserve">Видеостена из 9-ти панелей </t>
    </r>
    <r>
      <rPr>
        <b/>
        <sz val="12"/>
        <color indexed="8"/>
        <rFont val="Bookman Old Style"/>
        <family val="1"/>
        <charset val="204"/>
      </rPr>
      <t xml:space="preserve">LG M4630 46" 3*3 модуля
</t>
    </r>
    <r>
      <rPr>
        <sz val="12"/>
        <color indexed="8"/>
        <rFont val="Bookman Old Style"/>
        <family val="1"/>
        <charset val="204"/>
      </rPr>
      <t>(размер 3,09х1,74м, 1920х1080)</t>
    </r>
  </si>
  <si>
    <r>
      <rPr>
        <sz val="12"/>
        <color indexed="8"/>
        <rFont val="Bookman Old Style"/>
        <family val="1"/>
        <charset val="204"/>
      </rPr>
      <t xml:space="preserve">Видеостена из 4-х панелей </t>
    </r>
    <r>
      <rPr>
        <b/>
        <sz val="12"/>
        <color indexed="8"/>
        <rFont val="Bookman Old Style"/>
        <family val="1"/>
        <charset val="204"/>
      </rPr>
      <t xml:space="preserve">LG M4630 46" 2*2 модуля
</t>
    </r>
    <r>
      <rPr>
        <sz val="12"/>
        <color indexed="8"/>
        <rFont val="Bookman Old Style"/>
        <family val="1"/>
        <charset val="204"/>
      </rPr>
      <t>(размер 2,06х1,16м, 1920х1080)</t>
    </r>
  </si>
  <si>
    <r>
      <rPr>
        <sz val="12"/>
        <color indexed="8"/>
        <rFont val="Bookman Old Style"/>
        <family val="1"/>
        <charset val="204"/>
      </rPr>
      <t xml:space="preserve">Плазменная панель </t>
    </r>
    <r>
      <rPr>
        <b/>
        <sz val="12"/>
        <color indexed="8"/>
        <rFont val="Bookman Old Style"/>
        <family val="1"/>
        <charset val="204"/>
      </rPr>
      <t>Phillips</t>
    </r>
    <r>
      <rPr>
        <sz val="12"/>
        <color indexed="8"/>
        <rFont val="Bookman Old Style"/>
        <family val="1"/>
        <charset val="204"/>
      </rPr>
      <t xml:space="preserve"> (диагональ 60", 1920х1080)</t>
    </r>
  </si>
  <si>
    <r>
      <rPr>
        <sz val="12"/>
        <color indexed="8"/>
        <rFont val="Bookman Old Style"/>
        <family val="1"/>
        <charset val="204"/>
      </rPr>
      <t xml:space="preserve">Плазменная панель </t>
    </r>
    <r>
      <rPr>
        <b/>
        <sz val="12"/>
        <color indexed="8"/>
        <rFont val="Bookman Old Style"/>
        <family val="1"/>
        <charset val="204"/>
      </rPr>
      <t>Samsung</t>
    </r>
    <r>
      <rPr>
        <sz val="12"/>
        <color indexed="8"/>
        <rFont val="Bookman Old Style"/>
        <family val="1"/>
        <charset val="204"/>
      </rPr>
      <t xml:space="preserve"> (диагональ 49-50", 1920х1080)</t>
    </r>
  </si>
  <si>
    <r>
      <rPr>
        <sz val="12"/>
        <color indexed="8"/>
        <rFont val="Bookman Old Style"/>
        <family val="1"/>
        <charset val="204"/>
      </rPr>
      <t>Бесшовный модуль</t>
    </r>
    <r>
      <rPr>
        <b/>
        <sz val="12"/>
        <color indexed="8"/>
        <rFont val="Bookman Old Style"/>
        <family val="1"/>
        <charset val="204"/>
      </rPr>
      <t xml:space="preserve"> LG M4630 indor 46"</t>
    </r>
  </si>
  <si>
    <r>
      <rPr>
        <sz val="12"/>
        <color indexed="8"/>
        <rFont val="Bookman Old Style"/>
        <family val="1"/>
        <charset val="204"/>
      </rPr>
      <t xml:space="preserve">Напольная стойка для ТВ </t>
    </r>
    <r>
      <rPr>
        <b/>
        <sz val="12"/>
        <color indexed="8"/>
        <rFont val="Bookman Old Style"/>
        <family val="1"/>
        <charset val="204"/>
      </rPr>
      <t>SMS Flatscreen</t>
    </r>
  </si>
  <si>
    <r>
      <rPr>
        <sz val="12"/>
        <color indexed="8"/>
        <rFont val="Bookman Old Style"/>
        <family val="1"/>
        <charset val="204"/>
      </rPr>
      <t xml:space="preserve">Конференц-стойка для ТВ на колёсах </t>
    </r>
    <r>
      <rPr>
        <b/>
        <sz val="12"/>
        <color indexed="8"/>
        <rFont val="Bookman Old Style"/>
        <family val="1"/>
        <charset val="204"/>
      </rPr>
      <t>RackStone PMW49</t>
    </r>
  </si>
  <si>
    <t>Конференц-стойка для ТВ</t>
  </si>
  <si>
    <r>
      <rPr>
        <sz val="12"/>
        <color indexed="8"/>
        <rFont val="Bookman Old Style"/>
        <family val="1"/>
        <charset val="204"/>
      </rPr>
      <t xml:space="preserve">Мультимедиа проектор </t>
    </r>
    <r>
      <rPr>
        <b/>
        <sz val="12"/>
        <color indexed="8"/>
        <rFont val="Bookman Old Style"/>
        <family val="1"/>
        <charset val="204"/>
      </rPr>
      <t>Barco HDQ-2K40</t>
    </r>
    <r>
      <rPr>
        <sz val="12"/>
        <color indexed="8"/>
        <rFont val="Bookman Old Style"/>
        <family val="1"/>
        <charset val="204"/>
      </rPr>
      <t xml:space="preserve"> (3xDLP, 40 000 Lumen, 2048x1080, Xenon)</t>
    </r>
  </si>
  <si>
    <r>
      <rPr>
        <sz val="12"/>
        <color indexed="8"/>
        <rFont val="Bookman Old Style"/>
        <family val="1"/>
        <charset val="204"/>
      </rPr>
      <t xml:space="preserve">Объектив </t>
    </r>
    <r>
      <rPr>
        <b/>
        <sz val="12"/>
        <color indexed="8"/>
        <rFont val="Bookman Old Style"/>
        <family val="1"/>
        <charset val="204"/>
      </rPr>
      <t>Barco XLD</t>
    </r>
  </si>
  <si>
    <r>
      <rPr>
        <sz val="12"/>
        <color indexed="8"/>
        <rFont val="Bookman Old Style"/>
        <family val="1"/>
        <charset val="204"/>
      </rPr>
      <t xml:space="preserve">Мультимедиа проектор </t>
    </r>
    <r>
      <rPr>
        <b/>
        <sz val="12"/>
        <color indexed="8"/>
        <rFont val="Bookman Old Style"/>
        <family val="1"/>
        <charset val="204"/>
      </rPr>
      <t>Barco HDX-W20 Flex</t>
    </r>
    <r>
      <rPr>
        <sz val="12"/>
        <color indexed="8"/>
        <rFont val="Bookman Old Style"/>
        <family val="1"/>
        <charset val="204"/>
      </rPr>
      <t xml:space="preserve"> (3xDLP, 20 000 Lumen, 1920x1200, Xenon)</t>
    </r>
  </si>
  <si>
    <r>
      <rPr>
        <sz val="12"/>
        <color indexed="8"/>
        <rFont val="Bookman Old Style"/>
        <family val="1"/>
        <charset val="204"/>
      </rPr>
      <t xml:space="preserve">Объектив </t>
    </r>
    <r>
      <rPr>
        <b/>
        <sz val="12"/>
        <color indexed="8"/>
        <rFont val="Bookman Old Style"/>
        <family val="1"/>
        <charset val="204"/>
      </rPr>
      <t xml:space="preserve">Barco TLD+ </t>
    </r>
  </si>
  <si>
    <r>
      <rPr>
        <sz val="12"/>
        <color indexed="8"/>
        <rFont val="Bookman Old Style"/>
        <family val="1"/>
        <charset val="204"/>
      </rPr>
      <t xml:space="preserve">Мультимедиа проектор </t>
    </r>
    <r>
      <rPr>
        <b/>
        <sz val="12"/>
        <color indexed="8"/>
        <rFont val="Bookman Old Style"/>
        <family val="1"/>
        <charset val="204"/>
      </rPr>
      <t>Barco HDX-W18</t>
    </r>
    <r>
      <rPr>
        <sz val="12"/>
        <color indexed="8"/>
        <rFont val="Bookman Old Style"/>
        <family val="1"/>
        <charset val="204"/>
      </rPr>
      <t xml:space="preserve"> (3xDLP, 18 000 Lumen, 1920x1200, контрастность 2400:1)</t>
    </r>
  </si>
  <si>
    <r>
      <rPr>
        <sz val="12"/>
        <color indexed="8"/>
        <rFont val="Bookman Old Style"/>
        <family val="1"/>
        <charset val="204"/>
      </rPr>
      <t xml:space="preserve">Лазерный мультимедиа проектор </t>
    </r>
    <r>
      <rPr>
        <b/>
        <sz val="12"/>
        <color indexed="8"/>
        <rFont val="Bookman Old Style"/>
        <family val="1"/>
        <charset val="204"/>
      </rPr>
      <t>NEC P502HL</t>
    </r>
    <r>
      <rPr>
        <sz val="12"/>
        <color indexed="8"/>
        <rFont val="Bookman Old Style"/>
        <family val="1"/>
        <charset val="204"/>
      </rPr>
      <t xml:space="preserve"> (DLP, 5 000 Lumen, 1920x1080, Laser)</t>
    </r>
  </si>
  <si>
    <r>
      <rPr>
        <sz val="12"/>
        <color indexed="8"/>
        <rFont val="Bookman Old Style"/>
        <family val="1"/>
        <charset val="204"/>
      </rPr>
      <t xml:space="preserve">Мультимедиа проектор </t>
    </r>
    <r>
      <rPr>
        <b/>
        <sz val="12"/>
        <color indexed="8"/>
        <rFont val="Bookman Old Style"/>
        <family val="1"/>
        <charset val="204"/>
      </rPr>
      <t xml:space="preserve">Sanyo PLC-XF47                                 </t>
    </r>
    <r>
      <rPr>
        <sz val="12"/>
        <color indexed="8"/>
        <rFont val="Bookman Old Style"/>
        <family val="1"/>
        <charset val="204"/>
      </rPr>
      <t>(3xLCD, 15 000 ANSI lumen, 1024x768, контрастность 2000:1)</t>
    </r>
  </si>
  <si>
    <r>
      <rPr>
        <sz val="12"/>
        <color indexed="8"/>
        <rFont val="Bookman Old Style"/>
        <family val="1"/>
        <charset val="204"/>
      </rPr>
      <t xml:space="preserve">Объектив </t>
    </r>
    <r>
      <rPr>
        <b/>
        <sz val="12"/>
        <color indexed="8"/>
        <rFont val="Bookman Old Style"/>
        <family val="1"/>
        <charset val="204"/>
      </rPr>
      <t>Sanyo LNS</t>
    </r>
  </si>
  <si>
    <r>
      <rPr>
        <sz val="12"/>
        <color indexed="8"/>
        <rFont val="Bookman Old Style"/>
        <family val="1"/>
        <charset val="204"/>
      </rPr>
      <t>Мультимедиа проектор</t>
    </r>
    <r>
      <rPr>
        <b/>
        <sz val="12"/>
        <color indexed="8"/>
        <rFont val="Bookman Old Style"/>
        <family val="1"/>
        <charset val="204"/>
      </rPr>
      <t xml:space="preserve"> Barco SLM R8                                      </t>
    </r>
    <r>
      <rPr>
        <sz val="12"/>
        <color indexed="8"/>
        <rFont val="Bookman Old Style"/>
        <family val="1"/>
        <charset val="204"/>
      </rPr>
      <t xml:space="preserve"> (DLP, 8 000 ANSI lumen, 1280x1024, контрастность 1600:1)</t>
    </r>
  </si>
  <si>
    <r>
      <rPr>
        <sz val="12"/>
        <color indexed="8"/>
        <rFont val="Bookman Old Style"/>
        <family val="1"/>
        <charset val="204"/>
      </rPr>
      <t xml:space="preserve">Мультимедиа проектор </t>
    </r>
    <r>
      <rPr>
        <b/>
        <sz val="12"/>
        <color indexed="8"/>
        <rFont val="Bookman Old Style"/>
        <family val="1"/>
        <charset val="204"/>
      </rPr>
      <t>Sanyo PLC-XP56</t>
    </r>
    <r>
      <rPr>
        <sz val="12"/>
        <color indexed="8"/>
        <rFont val="Bookman Old Style"/>
        <family val="1"/>
        <charset val="204"/>
      </rPr>
      <t xml:space="preserve">                                   (3xLCD, 5 000 ANSI lumen, 1024x768, контрастность 1200:1)</t>
    </r>
  </si>
  <si>
    <r>
      <rPr>
        <sz val="12"/>
        <color indexed="8"/>
        <rFont val="Bookman Old Style"/>
        <family val="1"/>
        <charset val="204"/>
      </rPr>
      <t xml:space="preserve">Моторизированный проекционный экран </t>
    </r>
    <r>
      <rPr>
        <b/>
        <sz val="12"/>
        <color indexed="8"/>
        <rFont val="Bookman Old Style"/>
        <family val="1"/>
        <charset val="204"/>
      </rPr>
      <t>BrilliantStage</t>
    </r>
    <r>
      <rPr>
        <sz val="12"/>
        <color indexed="8"/>
        <rFont val="Bookman Old Style"/>
        <family val="1"/>
        <charset val="204"/>
      </rPr>
      <t xml:space="preserve"> 5 секций общий габарит 25 800 х 9 000 мм</t>
    </r>
  </si>
  <si>
    <t>Максимальное открытие секции по высоте 8 000мм. Секции по ширине 6 000мм - 1шт, 4 750мм - 2шт, 3 500мм - 2шт</t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</si>
  <si>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16х9м</t>
    </r>
    <r>
      <rPr>
        <sz val="12"/>
        <color indexed="8"/>
        <rFont val="Bookman Old Style"/>
        <family val="1"/>
        <charset val="204"/>
      </rPr>
      <t xml:space="preserve"> (полотно, соотношение сторон 16:9, обратная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</si>
  <si>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Проекционная сетка </t>
    </r>
    <r>
      <rPr>
        <b/>
        <sz val="12"/>
        <color indexed="8"/>
        <rFont val="Bookman Old Style"/>
        <family val="1"/>
        <charset val="204"/>
      </rPr>
      <t>Draper 16x9</t>
    </r>
    <r>
      <rPr>
        <sz val="12"/>
        <color indexed="8"/>
        <rFont val="Bookman Old Style"/>
        <family val="1"/>
        <charset val="204"/>
      </rPr>
      <t xml:space="preserve"> (соотношение сторон 16:9)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</si>
  <si>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12х7м</t>
    </r>
    <r>
      <rPr>
        <sz val="12"/>
        <color indexed="8"/>
        <rFont val="Bookman Old Style"/>
        <family val="1"/>
        <charset val="204"/>
      </rPr>
      <t xml:space="preserve"> (на ферме, соотношение сторон 16:9, прямая/обратная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</si>
  <si>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9х5м</t>
    </r>
    <r>
      <rPr>
        <sz val="12"/>
        <color indexed="8"/>
        <rFont val="Bookman Old Style"/>
        <family val="1"/>
        <charset val="204"/>
      </rPr>
      <t xml:space="preserve"> (на ферме, соотношение сторон 16:9, прямая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</si>
  <si>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7х4м</t>
    </r>
    <r>
      <rPr>
        <sz val="12"/>
        <color indexed="8"/>
        <rFont val="Bookman Old Style"/>
        <family val="1"/>
        <charset val="204"/>
      </rPr>
      <t xml:space="preserve"> (на ферме, соотношение сторон 16:9, прямая/обратная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</si>
  <si>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5x2,8м</t>
    </r>
    <r>
      <rPr>
        <sz val="12"/>
        <color indexed="8"/>
        <rFont val="Bookman Old Style"/>
        <family val="1"/>
        <charset val="204"/>
      </rPr>
      <t xml:space="preserve"> (на ферме, соотношение сторон 16:9, обратная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</si>
  <si>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8х6м</t>
    </r>
    <r>
      <rPr>
        <sz val="12"/>
        <color indexed="8"/>
        <rFont val="Bookman Old Style"/>
        <family val="1"/>
        <charset val="204"/>
      </rPr>
      <t xml:space="preserve"> (на ферме, соотношение сторон 4:3, обратная/прямая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</si>
  <si>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6х4м</t>
    </r>
    <r>
      <rPr>
        <sz val="12"/>
        <color indexed="8"/>
        <rFont val="Bookman Old Style"/>
        <family val="1"/>
        <charset val="204"/>
      </rPr>
      <t xml:space="preserve"> (на раме, соотношение сторон 4:3, обратная/прямая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</si>
  <si>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4х3м</t>
    </r>
    <r>
      <rPr>
        <sz val="12"/>
        <color indexed="8"/>
        <rFont val="Bookman Old Style"/>
        <family val="1"/>
        <charset val="204"/>
      </rPr>
      <t xml:space="preserve"> (на раме, соотношение сторон 4:3, обратная/прямая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</si>
  <si>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4x2,2м</t>
    </r>
    <r>
      <rPr>
        <sz val="12"/>
        <color indexed="8"/>
        <rFont val="Bookman Old Style"/>
        <family val="1"/>
        <charset val="204"/>
      </rPr>
      <t xml:space="preserve"> (на раме, соотношение сторон 16:9, обратная проекция)</t>
    </r>
  </si>
  <si>
    <r>
      <rPr>
        <sz val="12"/>
        <color indexed="8"/>
        <rFont val="Bookman Old Style"/>
        <family val="1"/>
        <charset val="204"/>
      </rPr>
      <t xml:space="preserve">Проекционный экран </t>
    </r>
    <r>
      <rPr>
        <b/>
        <sz val="12"/>
        <color indexed="8"/>
        <rFont val="Bookman Old Style"/>
        <family val="1"/>
        <charset val="204"/>
      </rPr>
      <t>Draper 3x2м</t>
    </r>
    <r>
      <rPr>
        <sz val="12"/>
        <color indexed="8"/>
        <rFont val="Bookman Old Style"/>
        <family val="1"/>
        <charset val="204"/>
      </rPr>
      <t xml:space="preserve"> (на раме, соотношение сторон 4:3, обратная/прямая проекция)</t>
    </r>
  </si>
  <si>
    <r>
      <rPr>
        <sz val="12"/>
        <color indexed="8"/>
        <rFont val="Bookman Old Style"/>
        <family val="1"/>
        <charset val="204"/>
      </rPr>
      <t xml:space="preserve">Панорамный экран </t>
    </r>
    <r>
      <rPr>
        <b/>
        <sz val="12"/>
        <color indexed="8"/>
        <rFont val="Bookman Old Style"/>
        <family val="1"/>
        <charset val="204"/>
      </rPr>
      <t>Draper 15х5м</t>
    </r>
    <r>
      <rPr>
        <sz val="12"/>
        <color indexed="8"/>
        <rFont val="Bookman Old Style"/>
        <family val="1"/>
        <charset val="204"/>
      </rPr>
      <t xml:space="preserve"> (полотно, соотношение сторон 3:1, обратная проекция)</t>
    </r>
  </si>
  <si>
    <r>
      <rPr>
        <sz val="12"/>
        <color indexed="8"/>
        <rFont val="Bookman Old Style"/>
        <family val="1"/>
        <charset val="204"/>
      </rPr>
      <t xml:space="preserve">Панорамный экран </t>
    </r>
    <r>
      <rPr>
        <b/>
        <sz val="12"/>
        <color indexed="8"/>
        <rFont val="Bookman Old Style"/>
        <family val="1"/>
        <charset val="204"/>
      </rPr>
      <t>Draper 9х3м</t>
    </r>
    <r>
      <rPr>
        <sz val="12"/>
        <color indexed="8"/>
        <rFont val="Bookman Old Style"/>
        <family val="1"/>
        <charset val="204"/>
      </rPr>
      <t xml:space="preserve"> (полотно, соотношение сторон 3:1, прямая проекция)</t>
    </r>
  </si>
  <si>
    <t xml:space="preserve">Оптическая передача цифрового видеосигнала до 150м. DVI-D </t>
  </si>
  <si>
    <t>Оптическая передача цифрового видеосигнала 300м. outdor</t>
  </si>
  <si>
    <r>
      <rPr>
        <sz val="12"/>
        <color indexed="8"/>
        <rFont val="Bookman Old Style"/>
        <family val="1"/>
        <charset val="204"/>
      </rPr>
      <t xml:space="preserve">Видеопультовая Digital HD на основе </t>
    </r>
    <r>
      <rPr>
        <b/>
        <sz val="12"/>
        <color indexed="8"/>
        <rFont val="Bookman Old Style"/>
        <family val="1"/>
        <charset val="204"/>
      </rPr>
      <t>Panasonic AG-HMX100</t>
    </r>
  </si>
  <si>
    <r>
      <rPr>
        <sz val="12"/>
        <color indexed="8"/>
        <rFont val="Bookman Old Style"/>
        <family val="1"/>
        <charset val="204"/>
      </rPr>
      <t>Видеопультовая Digital HD на основе</t>
    </r>
    <r>
      <rPr>
        <b/>
        <sz val="12"/>
        <color indexed="8"/>
        <rFont val="Bookman Old Style"/>
        <family val="1"/>
        <charset val="204"/>
      </rPr>
      <t xml:space="preserve"> BlackMagic Atem</t>
    </r>
  </si>
  <si>
    <r>
      <rPr>
        <sz val="12"/>
        <color indexed="8"/>
        <rFont val="Bookman Old Style"/>
        <family val="1"/>
        <charset val="204"/>
      </rPr>
      <t xml:space="preserve">Видеопультовая Digital HD на основе </t>
    </r>
    <r>
      <rPr>
        <b/>
        <sz val="12"/>
        <color indexed="8"/>
        <rFont val="Bookman Old Style"/>
        <family val="1"/>
        <charset val="204"/>
      </rPr>
      <t>Roland V-40HD</t>
    </r>
  </si>
  <si>
    <r>
      <rPr>
        <sz val="12"/>
        <color indexed="8"/>
        <rFont val="Bookman Old Style"/>
        <family val="1"/>
        <charset val="204"/>
      </rPr>
      <t xml:space="preserve">Видеопультовая на основе </t>
    </r>
    <r>
      <rPr>
        <b/>
        <sz val="12"/>
        <color indexed="8"/>
        <rFont val="Bookman Old Style"/>
        <family val="1"/>
        <charset val="204"/>
      </rPr>
      <t>Roland V-4EX</t>
    </r>
  </si>
  <si>
    <r>
      <rPr>
        <sz val="12"/>
        <color indexed="8"/>
        <rFont val="Bookman Old Style"/>
        <family val="1"/>
        <charset val="204"/>
      </rPr>
      <t xml:space="preserve">Медиасервер </t>
    </r>
    <r>
      <rPr>
        <b/>
        <sz val="12"/>
        <color indexed="8"/>
        <rFont val="Bookman Old Style"/>
        <family val="1"/>
        <charset val="204"/>
      </rPr>
      <t>Resolume Arena 5</t>
    </r>
  </si>
  <si>
    <r>
      <rPr>
        <sz val="12"/>
        <color indexed="8"/>
        <rFont val="Bookman Old Style"/>
        <family val="1"/>
        <charset val="204"/>
      </rPr>
      <t xml:space="preserve">Видеопультовая на основе </t>
    </r>
    <r>
      <rPr>
        <b/>
        <sz val="12"/>
        <color indexed="8"/>
        <rFont val="Bookman Old Style"/>
        <family val="1"/>
        <charset val="204"/>
      </rPr>
      <t>Panasonic AG-MX70</t>
    </r>
  </si>
  <si>
    <r>
      <rPr>
        <sz val="12"/>
        <color indexed="8"/>
        <rFont val="Bookman Old Style"/>
        <family val="1"/>
        <charset val="204"/>
      </rPr>
      <t xml:space="preserve">Видео коммутатор </t>
    </r>
    <r>
      <rPr>
        <b/>
        <sz val="12"/>
        <color indexed="8"/>
        <rFont val="Bookman Old Style"/>
        <family val="1"/>
        <charset val="204"/>
      </rPr>
      <t>KRAMER VP-728</t>
    </r>
  </si>
  <si>
    <r>
      <rPr>
        <sz val="12"/>
        <color indexed="8"/>
        <rFont val="Bookman Old Style"/>
        <family val="1"/>
        <charset val="204"/>
      </rPr>
      <t xml:space="preserve">Видеосервер панорамной проекции </t>
    </r>
    <r>
      <rPr>
        <b/>
        <sz val="12"/>
        <color indexed="8"/>
        <rFont val="Bookman Old Style"/>
        <family val="1"/>
        <charset val="204"/>
      </rPr>
      <t>Watchout v6 (HD out)</t>
    </r>
  </si>
  <si>
    <r>
      <rPr>
        <sz val="12"/>
        <color indexed="8"/>
        <rFont val="Bookman Old Style"/>
        <family val="1"/>
        <charset val="204"/>
      </rPr>
      <t xml:space="preserve">Управляюший компьютер </t>
    </r>
    <r>
      <rPr>
        <b/>
        <sz val="12"/>
        <color indexed="8"/>
        <rFont val="Bookman Old Style"/>
        <family val="1"/>
        <charset val="204"/>
      </rPr>
      <t>Watchout v6</t>
    </r>
  </si>
  <si>
    <t>Компьютер/Ноутбук/IPad</t>
  </si>
  <si>
    <r>
      <rPr>
        <sz val="12"/>
        <color indexed="8"/>
        <rFont val="Bookman Old Style"/>
        <family val="1"/>
        <charset val="204"/>
      </rPr>
      <t xml:space="preserve">Приёмник цифрового эфирного ТВ с антеной </t>
    </r>
    <r>
      <rPr>
        <b/>
        <sz val="12"/>
        <color indexed="8"/>
        <rFont val="Bookman Old Style"/>
        <family val="1"/>
        <charset val="204"/>
      </rPr>
      <t>DENN DDT100</t>
    </r>
  </si>
  <si>
    <r>
      <rPr>
        <sz val="12"/>
        <color indexed="8"/>
        <rFont val="Bookman Old Style"/>
        <family val="1"/>
        <charset val="204"/>
      </rPr>
      <t xml:space="preserve">Камера </t>
    </r>
    <r>
      <rPr>
        <b/>
        <sz val="12"/>
        <color indexed="8"/>
        <rFont val="Bookman Old Style"/>
        <family val="1"/>
        <charset val="204"/>
      </rPr>
      <t xml:space="preserve">Panasonic </t>
    </r>
    <r>
      <rPr>
        <sz val="12"/>
        <color indexed="8"/>
        <rFont val="Bookman Old Style"/>
        <family val="1"/>
        <charset val="204"/>
      </rPr>
      <t>(720P/1080P)</t>
    </r>
  </si>
  <si>
    <t>Коммутация для камер</t>
  </si>
  <si>
    <r>
      <rPr>
        <sz val="12"/>
        <color indexed="8"/>
        <rFont val="Bookman Old Style"/>
        <family val="1"/>
        <charset val="204"/>
      </rPr>
      <t xml:space="preserve">Пультовая </t>
    </r>
    <r>
      <rPr>
        <b/>
        <sz val="12"/>
        <color indexed="8"/>
        <rFont val="Bookman Old Style"/>
        <family val="1"/>
        <charset val="204"/>
      </rPr>
      <t>Datavideo SE-2800</t>
    </r>
    <r>
      <rPr>
        <sz val="12"/>
        <color indexed="8"/>
        <rFont val="Bookman Old Style"/>
        <family val="1"/>
        <charset val="204"/>
      </rPr>
      <t xml:space="preserve"> (tally)</t>
    </r>
  </si>
  <si>
    <t>Cвязь режиссер-оператор</t>
  </si>
  <si>
    <t>Сервер записи, управления видео</t>
  </si>
  <si>
    <t>Графическая станция, титры</t>
  </si>
  <si>
    <r>
      <rPr>
        <sz val="12"/>
        <color indexed="8"/>
        <rFont val="Bookman Old Style"/>
        <family val="1"/>
        <charset val="204"/>
      </rPr>
      <t xml:space="preserve">Конверторы </t>
    </r>
    <r>
      <rPr>
        <b/>
        <sz val="12"/>
        <color indexed="8"/>
        <rFont val="Bookman Old Style"/>
        <family val="1"/>
        <charset val="204"/>
      </rPr>
      <t>Blackmagic</t>
    </r>
  </si>
  <si>
    <r>
      <rPr>
        <sz val="12"/>
        <color indexed="8"/>
        <rFont val="Bookman Old Style"/>
        <family val="1"/>
        <charset val="204"/>
      </rPr>
      <t xml:space="preserve">Камера для бэкстейджа </t>
    </r>
    <r>
      <rPr>
        <b/>
        <sz val="12"/>
        <color indexed="8"/>
        <rFont val="Bookman Old Style"/>
        <family val="1"/>
        <charset val="204"/>
      </rPr>
      <t>Gmini MagicEye HDS4000</t>
    </r>
  </si>
  <si>
    <r>
      <rPr>
        <sz val="12"/>
        <color indexed="8"/>
        <rFont val="Bookman Old Style"/>
        <family val="1"/>
        <charset val="204"/>
      </rPr>
      <t xml:space="preserve">Презентёр </t>
    </r>
    <r>
      <rPr>
        <b/>
        <sz val="12"/>
        <color indexed="8"/>
        <rFont val="Bookman Old Style"/>
        <family val="1"/>
        <charset val="204"/>
      </rPr>
      <t>PerfectCue</t>
    </r>
  </si>
  <si>
    <r>
      <rPr>
        <sz val="12"/>
        <color indexed="8"/>
        <rFont val="Bookman Old Style"/>
        <family val="1"/>
        <charset val="204"/>
      </rPr>
      <t xml:space="preserve">Презентёр </t>
    </r>
    <r>
      <rPr>
        <b/>
        <sz val="12"/>
        <color indexed="8"/>
        <rFont val="Bookman Old Style"/>
        <family val="1"/>
        <charset val="204"/>
      </rPr>
      <t>Logitech Professional R700</t>
    </r>
  </si>
  <si>
    <r>
      <rPr>
        <sz val="12"/>
        <color indexed="8"/>
        <rFont val="Arial"/>
        <family val="2"/>
        <charset val="204"/>
      </rPr>
      <t xml:space="preserve">Кабель для подключения к ГРЩ </t>
    </r>
    <r>
      <rPr>
        <b/>
        <sz val="12"/>
        <color indexed="8"/>
        <rFont val="Arial"/>
        <family val="2"/>
        <charset val="204"/>
      </rPr>
      <t>PowerLock</t>
    </r>
  </si>
  <si>
    <r>
      <rPr>
        <sz val="12"/>
        <color indexed="8"/>
        <rFont val="Arial"/>
        <family val="2"/>
        <charset val="204"/>
      </rPr>
      <t xml:space="preserve">Кабельная линия </t>
    </r>
    <r>
      <rPr>
        <b/>
        <sz val="12"/>
        <color indexed="8"/>
        <rFont val="Arial"/>
        <family val="2"/>
        <charset val="204"/>
      </rPr>
      <t>PowerLock 20м</t>
    </r>
  </si>
  <si>
    <r>
      <rPr>
        <sz val="12"/>
        <color indexed="8"/>
        <rFont val="Arial"/>
        <family val="2"/>
        <charset val="204"/>
      </rPr>
      <t xml:space="preserve">Распределительное устройство </t>
    </r>
    <r>
      <rPr>
        <b/>
        <sz val="12"/>
        <color indexed="8"/>
        <rFont val="Arial"/>
        <family val="2"/>
        <charset val="204"/>
      </rPr>
      <t>PowerLock/3хCEE 125A(380В), 6xCEE 63A(380В)</t>
    </r>
  </si>
  <si>
    <r>
      <rPr>
        <sz val="12"/>
        <color indexed="8"/>
        <rFont val="Bookman Old Style"/>
        <family val="1"/>
        <charset val="204"/>
      </rPr>
      <t xml:space="preserve">Кабель для подключения к ГРЩ </t>
    </r>
    <r>
      <rPr>
        <b/>
        <sz val="12"/>
        <color indexed="8"/>
        <rFont val="Bookman Old Style"/>
        <family val="1"/>
        <charset val="204"/>
      </rPr>
      <t>СЕЕ 125А(380В)</t>
    </r>
  </si>
  <si>
    <r>
      <rPr>
        <sz val="12"/>
        <color indexed="8"/>
        <rFont val="Arial"/>
        <family val="2"/>
        <charset val="204"/>
      </rPr>
      <t xml:space="preserve">Кабельная линия </t>
    </r>
    <r>
      <rPr>
        <b/>
        <sz val="12"/>
        <color indexed="8"/>
        <rFont val="Arial"/>
        <family val="2"/>
        <charset val="204"/>
      </rPr>
      <t>СЕЕ 125А(380В) 20м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</si>
  <si>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125А(380В)/2xСЕЕ 63А(380В)</t>
    </r>
  </si>
  <si>
    <r>
      <rPr>
        <sz val="12"/>
        <color indexed="8"/>
        <rFont val="Arial"/>
        <family val="2"/>
        <charset val="204"/>
      </rPr>
      <t xml:space="preserve">Распределительное устройство </t>
    </r>
    <r>
      <rPr>
        <b/>
        <sz val="12"/>
        <color indexed="8"/>
        <rFont val="Arial"/>
        <family val="2"/>
        <charset val="204"/>
      </rPr>
      <t>СЕЕ 125А(380В)/2xCEE 63A(380В), 4xCEE 32A(380В),8xСЕЕ 16A(380В), 3xCEE 16A(220В), 3xSchuko</t>
    </r>
  </si>
  <si>
    <r>
      <rPr>
        <sz val="12"/>
        <color indexed="8"/>
        <rFont val="Bookman Old Style"/>
        <family val="1"/>
        <charset val="204"/>
      </rPr>
      <t xml:space="preserve">Кабель для подключения к ГРЩ </t>
    </r>
    <r>
      <rPr>
        <b/>
        <sz val="12"/>
        <color indexed="8"/>
        <rFont val="Bookman Old Style"/>
        <family val="1"/>
        <charset val="204"/>
      </rPr>
      <t>СЕЕ 63А(380В)</t>
    </r>
  </si>
  <si>
    <r>
      <rPr>
        <sz val="12"/>
        <color indexed="8"/>
        <rFont val="Arial"/>
        <family val="2"/>
        <charset val="204"/>
      </rPr>
      <t xml:space="preserve">Кабельная линия </t>
    </r>
    <r>
      <rPr>
        <b/>
        <sz val="12"/>
        <color indexed="8"/>
        <rFont val="Arial"/>
        <family val="2"/>
        <charset val="204"/>
      </rPr>
      <t>СЕЕ 63А(380В) 20м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</si>
  <si>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63А(380В)/2хСЕЕ 32А(380В)</t>
    </r>
  </si>
  <si>
    <r>
      <rPr>
        <sz val="12"/>
        <color indexed="8"/>
        <rFont val="Arial"/>
        <family val="2"/>
        <charset val="204"/>
      </rPr>
      <t xml:space="preserve">Распределительное устройство </t>
    </r>
    <r>
      <rPr>
        <b/>
        <sz val="12"/>
        <color indexed="8"/>
        <rFont val="Arial"/>
        <family val="2"/>
        <charset val="204"/>
      </rPr>
      <t>СЕЕ 63А(380В)/2хСЕЕ 32А(380В), 4хСЕЕ 16А(380В), 3хSchuko</t>
    </r>
  </si>
  <si>
    <r>
      <rPr>
        <sz val="12"/>
        <color indexed="8"/>
        <rFont val="Bookman Old Style"/>
        <family val="1"/>
        <charset val="204"/>
      </rPr>
      <t>Кабель для подключения к ГРЩ</t>
    </r>
    <r>
      <rPr>
        <b/>
        <sz val="12"/>
        <color indexed="8"/>
        <rFont val="Bookman Old Style"/>
        <family val="1"/>
        <charset val="204"/>
      </rPr>
      <t xml:space="preserve"> СЕЕ 32А(380В)</t>
    </r>
  </si>
  <si>
    <r>
      <rPr>
        <sz val="12"/>
        <color indexed="8"/>
        <rFont val="Bookman Old Style"/>
        <family val="1"/>
        <charset val="204"/>
      </rPr>
      <t xml:space="preserve">Кабельная линия </t>
    </r>
    <r>
      <rPr>
        <b/>
        <sz val="12"/>
        <color indexed="8"/>
        <rFont val="Bookman Old Style"/>
        <family val="1"/>
        <charset val="204"/>
      </rPr>
      <t>СЕЕ 32А(380В) 20м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</si>
  <si>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32А(380В)/2хСЕЕ 16А(380В)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</si>
  <si>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32А(380В)/2хСЕЕ 16А(380В),  3xCEE 16A(220В), 3xSchuko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</si>
  <si>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32А(380В)/СЕЕ 63А(380В)</t>
    </r>
  </si>
  <si>
    <r>
      <rPr>
        <sz val="12"/>
        <color indexed="8"/>
        <rFont val="Bookman Old Style"/>
        <family val="1"/>
        <charset val="204"/>
      </rPr>
      <t xml:space="preserve">Кабель для подключения к ГРЩ </t>
    </r>
    <r>
      <rPr>
        <b/>
        <sz val="12"/>
        <color indexed="8"/>
        <rFont val="Bookman Old Style"/>
        <family val="1"/>
        <charset val="204"/>
      </rPr>
      <t>СЕЕ 16А(380В)</t>
    </r>
  </si>
  <si>
    <r>
      <rPr>
        <sz val="12"/>
        <color indexed="8"/>
        <rFont val="Bookman Old Style"/>
        <family val="1"/>
        <charset val="204"/>
      </rPr>
      <t xml:space="preserve">Кабельная линия </t>
    </r>
    <r>
      <rPr>
        <b/>
        <sz val="12"/>
        <color indexed="8"/>
        <rFont val="Bookman Old Style"/>
        <family val="1"/>
        <charset val="204"/>
      </rPr>
      <t>СЕЕ 16А(380В) 20м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</si>
  <si>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16А(380В)/6xСЕЕ 16А(220В)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</si>
  <si>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16А(380В)/6xShuko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</si>
  <si>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16А(380В)/СЕЕ 32А(380В)</t>
    </r>
  </si>
  <si>
    <r>
      <rPr>
        <sz val="12"/>
        <color indexed="8"/>
        <rFont val="Bookman Old Style"/>
        <family val="1"/>
        <charset val="204"/>
      </rPr>
      <t xml:space="preserve">Кабельная линия </t>
    </r>
    <r>
      <rPr>
        <b/>
        <sz val="12"/>
        <color indexed="8"/>
        <rFont val="Bookman Old Style"/>
        <family val="1"/>
        <charset val="204"/>
      </rPr>
      <t>СЕЕ 16А(220В) 20м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</si>
  <si>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СЕЕ 16А(220В)/Shuko</t>
    </r>
  </si>
  <si>
    <r>
      <rPr>
        <sz val="12"/>
        <color indexed="8"/>
        <rFont val="Bookman Old Style"/>
        <family val="1"/>
        <charset val="204"/>
      </rPr>
      <t xml:space="preserve">Распределительное устройство </t>
    </r>
    <r>
      <rPr>
        <b/>
        <sz val="12"/>
        <color indexed="8"/>
        <rFont val="Bookman Old Style"/>
        <family val="1"/>
        <charset val="204"/>
      </rPr>
      <t>Shuko/СЕЕ 16А(220В)</t>
    </r>
  </si>
  <si>
    <r>
      <rPr>
        <sz val="12"/>
        <color indexed="8"/>
        <rFont val="Bookman Old Style"/>
        <family val="1"/>
        <charset val="204"/>
      </rPr>
      <t xml:space="preserve">Кабельная линия </t>
    </r>
    <r>
      <rPr>
        <b/>
        <sz val="12"/>
        <color indexed="8"/>
        <rFont val="Bookman Old Style"/>
        <family val="1"/>
        <charset val="204"/>
      </rPr>
      <t>Shuko 3-5м</t>
    </r>
  </si>
  <si>
    <r>
      <rPr>
        <sz val="12"/>
        <color indexed="8"/>
        <rFont val="Bookman Old Style"/>
        <family val="1"/>
        <charset val="204"/>
      </rPr>
      <t xml:space="preserve">Негорючая кабельная линия </t>
    </r>
    <r>
      <rPr>
        <b/>
        <sz val="12"/>
        <color indexed="8"/>
        <rFont val="Bookman Old Style"/>
        <family val="1"/>
        <charset val="204"/>
      </rPr>
      <t>CEE 16А(380B) 20м</t>
    </r>
  </si>
  <si>
    <r>
      <rPr>
        <sz val="12"/>
        <color indexed="8"/>
        <rFont val="Bookman Old Style"/>
        <family val="1"/>
        <charset val="204"/>
      </rPr>
      <t xml:space="preserve">Негорючая кабельная линия </t>
    </r>
    <r>
      <rPr>
        <b/>
        <sz val="12"/>
        <color indexed="8"/>
        <rFont val="Bookman Old Style"/>
        <family val="1"/>
        <charset val="204"/>
      </rPr>
      <t>Shuko 5м</t>
    </r>
  </si>
  <si>
    <r>
      <rPr>
        <sz val="12"/>
        <color indexed="8"/>
        <rFont val="Bookman Old Style"/>
        <family val="1"/>
        <charset val="204"/>
      </rPr>
      <t xml:space="preserve">ДГУ </t>
    </r>
    <r>
      <rPr>
        <b/>
        <sz val="12"/>
        <color indexed="8"/>
        <rFont val="Bookman Old Style"/>
        <family val="1"/>
        <charset val="204"/>
      </rPr>
      <t>GEKO 100 кВт 3ф</t>
    </r>
  </si>
  <si>
    <r>
      <rPr>
        <sz val="12"/>
        <color indexed="8"/>
        <rFont val="Bookman Old Style"/>
        <family val="1"/>
        <charset val="204"/>
      </rPr>
      <t xml:space="preserve">ДГУ </t>
    </r>
    <r>
      <rPr>
        <b/>
        <sz val="12"/>
        <color indexed="8"/>
        <rFont val="Bookman Old Style"/>
        <family val="1"/>
        <charset val="204"/>
      </rPr>
      <t>GEKO 100 кВт 3ф резерв</t>
    </r>
  </si>
  <si>
    <r>
      <rPr>
        <sz val="12"/>
        <color indexed="8"/>
        <rFont val="Bookman Old Style"/>
        <family val="1"/>
        <charset val="204"/>
      </rPr>
      <t xml:space="preserve">ДГУ </t>
    </r>
    <r>
      <rPr>
        <b/>
        <sz val="12"/>
        <color indexed="8"/>
        <rFont val="Bookman Old Style"/>
        <family val="1"/>
        <charset val="204"/>
      </rPr>
      <t>GEKO 50 кВт 3ф</t>
    </r>
  </si>
  <si>
    <r>
      <rPr>
        <sz val="12"/>
        <color indexed="8"/>
        <rFont val="Bookman Old Style"/>
        <family val="1"/>
        <charset val="204"/>
      </rPr>
      <t xml:space="preserve">ДГУ </t>
    </r>
    <r>
      <rPr>
        <b/>
        <sz val="12"/>
        <color indexed="8"/>
        <rFont val="Bookman Old Style"/>
        <family val="1"/>
        <charset val="204"/>
      </rPr>
      <t>GEKO 50 кВт 3ф резерв</t>
    </r>
  </si>
  <si>
    <r>
      <rPr>
        <sz val="12"/>
        <color indexed="8"/>
        <rFont val="Bookman Old Style"/>
        <family val="1"/>
        <charset val="204"/>
      </rPr>
      <t xml:space="preserve">ДГУ </t>
    </r>
    <r>
      <rPr>
        <b/>
        <sz val="12"/>
        <color indexed="8"/>
        <rFont val="Bookman Old Style"/>
        <family val="1"/>
        <charset val="204"/>
      </rPr>
      <t>GEKO 30 кВт 3ф</t>
    </r>
  </si>
  <si>
    <r>
      <rPr>
        <sz val="12"/>
        <color indexed="8"/>
        <rFont val="Bookman Old Style"/>
        <family val="1"/>
        <charset val="204"/>
      </rPr>
      <t xml:space="preserve">ДГУ </t>
    </r>
    <r>
      <rPr>
        <b/>
        <sz val="12"/>
        <color indexed="8"/>
        <rFont val="Bookman Old Style"/>
        <family val="1"/>
        <charset val="204"/>
      </rPr>
      <t>GEKO 30 кВт 3ф резерв</t>
    </r>
  </si>
  <si>
    <r>
      <rPr>
        <sz val="12"/>
        <color indexed="8"/>
        <rFont val="Bookman Old Style"/>
        <family val="1"/>
        <charset val="204"/>
      </rPr>
      <t xml:space="preserve">Стабилизатор 3х-фазный 32А </t>
    </r>
    <r>
      <rPr>
        <b/>
        <sz val="12"/>
        <color indexed="8"/>
        <rFont val="Bookman Old Style"/>
        <family val="1"/>
        <charset val="204"/>
      </rPr>
      <t>Энергия СНВТ-20000/3</t>
    </r>
  </si>
  <si>
    <r>
      <rPr>
        <sz val="12"/>
        <color indexed="8"/>
        <rFont val="Bookman Old Style"/>
        <family val="1"/>
        <charset val="204"/>
      </rPr>
      <t xml:space="preserve">Генератор </t>
    </r>
    <r>
      <rPr>
        <b/>
        <sz val="12"/>
        <color indexed="8"/>
        <rFont val="Bookman Old Style"/>
        <family val="1"/>
        <charset val="204"/>
      </rPr>
      <t>АБЛ-9,0(3Ф) 9 кВт 3ф</t>
    </r>
  </si>
  <si>
    <r>
      <rPr>
        <sz val="12"/>
        <color indexed="8"/>
        <rFont val="Bookman Old Style"/>
        <family val="1"/>
        <charset val="204"/>
      </rPr>
      <t xml:space="preserve">Генератор </t>
    </r>
    <r>
      <rPr>
        <b/>
        <sz val="12"/>
        <color indexed="8"/>
        <rFont val="Bookman Old Style"/>
        <family val="1"/>
        <charset val="204"/>
      </rPr>
      <t>Briggs &amp; Stratton Promax 7500 6 кВт 3ф</t>
    </r>
  </si>
  <si>
    <r>
      <rPr>
        <sz val="12"/>
        <color indexed="8"/>
        <rFont val="Bookman Old Style"/>
        <family val="1"/>
        <charset val="204"/>
      </rPr>
      <t>Генератор</t>
    </r>
    <r>
      <rPr>
        <b/>
        <sz val="12"/>
        <color indexed="8"/>
        <rFont val="Bookman Old Style"/>
        <family val="1"/>
        <charset val="204"/>
      </rPr>
      <t xml:space="preserve"> Hitachi E35 2,8 кВт 1ф</t>
    </r>
  </si>
  <si>
    <r>
      <rPr>
        <sz val="12"/>
        <color indexed="8"/>
        <rFont val="Bookman Old Style"/>
        <family val="1"/>
        <charset val="204"/>
      </rPr>
      <t xml:space="preserve">Генератор инверторный </t>
    </r>
    <r>
      <rPr>
        <b/>
        <sz val="12"/>
        <color indexed="8"/>
        <rFont val="Bookman Old Style"/>
        <family val="1"/>
        <charset val="204"/>
      </rPr>
      <t>DDE DPG2051Si 2 кВт 1ф</t>
    </r>
  </si>
  <si>
    <r>
      <rPr>
        <sz val="12"/>
        <color indexed="8"/>
        <rFont val="Bookman Old Style"/>
        <family val="1"/>
        <charset val="204"/>
      </rPr>
      <t xml:space="preserve">Мотопомпа  </t>
    </r>
    <r>
      <rPr>
        <b/>
        <sz val="12"/>
        <color indexed="8"/>
        <rFont val="Bookman Old Style"/>
        <family val="1"/>
        <charset val="204"/>
      </rPr>
      <t>DDE PTR80</t>
    </r>
  </si>
  <si>
    <t>Топливо</t>
  </si>
  <si>
    <r>
      <rPr>
        <sz val="12"/>
        <color indexed="8"/>
        <rFont val="Bookman Old Style"/>
        <family val="1"/>
        <charset val="204"/>
      </rPr>
      <t xml:space="preserve">ИК обогреватель </t>
    </r>
    <r>
      <rPr>
        <b/>
        <sz val="12"/>
        <color indexed="8"/>
        <rFont val="Bookman Old Style"/>
        <family val="1"/>
        <charset val="204"/>
      </rPr>
      <t>ЛУЧ-40</t>
    </r>
  </si>
  <si>
    <r>
      <rPr>
        <sz val="12"/>
        <color indexed="8"/>
        <rFont val="Bookman Old Style"/>
        <family val="1"/>
        <charset val="204"/>
      </rPr>
      <t xml:space="preserve">Тепловая пушка 9 кВт </t>
    </r>
    <r>
      <rPr>
        <b/>
        <sz val="12"/>
        <color indexed="8"/>
        <rFont val="Bookman Old Style"/>
        <family val="1"/>
        <charset val="204"/>
      </rPr>
      <t>Hintek PROF 09380</t>
    </r>
  </si>
  <si>
    <r>
      <rPr>
        <sz val="12"/>
        <color indexed="8"/>
        <rFont val="Bookman Old Style"/>
        <family val="1"/>
        <charset val="204"/>
      </rPr>
      <t xml:space="preserve">Тепловентилятор 9 кВт </t>
    </r>
    <r>
      <rPr>
        <b/>
        <sz val="12"/>
        <color indexed="8"/>
        <rFont val="Bookman Old Style"/>
        <family val="1"/>
        <charset val="204"/>
      </rPr>
      <t>Hintek T-09380</t>
    </r>
  </si>
  <si>
    <r>
      <rPr>
        <sz val="12"/>
        <color indexed="8"/>
        <rFont val="Bookman Old Style"/>
        <family val="1"/>
        <charset val="204"/>
      </rPr>
      <t xml:space="preserve">Тепловентилятор 3 кВт </t>
    </r>
    <r>
      <rPr>
        <b/>
        <sz val="12"/>
        <color indexed="8"/>
        <rFont val="Bookman Old Style"/>
        <family val="1"/>
        <charset val="204"/>
      </rPr>
      <t>HYUNDAI Homegun II</t>
    </r>
  </si>
  <si>
    <r>
      <rPr>
        <sz val="12"/>
        <color indexed="8"/>
        <rFont val="Arial"/>
        <family val="2"/>
        <charset val="204"/>
      </rPr>
      <t xml:space="preserve">Кабель-канал </t>
    </r>
    <r>
      <rPr>
        <b/>
        <sz val="12"/>
        <color indexed="8"/>
        <rFont val="Arial"/>
        <family val="2"/>
        <charset val="204"/>
      </rPr>
      <t>AdamHall Midi 5</t>
    </r>
  </si>
  <si>
    <r>
      <rPr>
        <sz val="12"/>
        <color indexed="8"/>
        <rFont val="Bookman Old Style"/>
        <family val="1"/>
        <charset val="204"/>
      </rPr>
      <t xml:space="preserve">Кабель-канал </t>
    </r>
    <r>
      <rPr>
        <b/>
        <sz val="12"/>
        <color indexed="8"/>
        <rFont val="Bookman Old Style"/>
        <family val="1"/>
        <charset val="204"/>
      </rPr>
      <t>AdamHall Compact</t>
    </r>
  </si>
  <si>
    <r>
      <rPr>
        <sz val="12"/>
        <color indexed="8"/>
        <rFont val="Bookman Old Style"/>
        <family val="1"/>
        <charset val="204"/>
      </rPr>
      <t xml:space="preserve">Кабель-канал </t>
    </r>
    <r>
      <rPr>
        <b/>
        <sz val="12"/>
        <color indexed="8"/>
        <rFont val="Bookman Old Style"/>
        <family val="1"/>
        <charset val="204"/>
      </rPr>
      <t>AdamHall Office</t>
    </r>
  </si>
  <si>
    <t>Большой комплект силовой комутации</t>
  </si>
  <si>
    <t>Малый комплект силовой комутации</t>
  </si>
  <si>
    <t>Огнетушитель</t>
  </si>
  <si>
    <t>Стул для бэкстейджа</t>
  </si>
  <si>
    <t>Стол для бэкстейджа</t>
  </si>
  <si>
    <r>
      <rPr>
        <sz val="12"/>
        <color indexed="8"/>
        <rFont val="Bookman Old Style"/>
        <family val="1"/>
        <charset val="204"/>
      </rPr>
      <t xml:space="preserve">Диван </t>
    </r>
    <r>
      <rPr>
        <b/>
        <sz val="12"/>
        <color indexed="8"/>
        <rFont val="Bookman Old Style"/>
        <family val="1"/>
        <charset val="204"/>
      </rPr>
      <t>Klipan</t>
    </r>
  </si>
  <si>
    <r>
      <rPr>
        <sz val="12"/>
        <color indexed="8"/>
        <rFont val="Bookman Old Style"/>
        <family val="1"/>
        <charset val="204"/>
      </rPr>
      <t xml:space="preserve">Бескоркасное кресло </t>
    </r>
    <r>
      <rPr>
        <b/>
        <sz val="12"/>
        <color indexed="8"/>
        <rFont val="Bookman Old Style"/>
        <family val="1"/>
        <charset val="204"/>
      </rPr>
      <t>Bean Bag</t>
    </r>
  </si>
  <si>
    <r>
      <rPr>
        <sz val="12"/>
        <color indexed="8"/>
        <rFont val="Bookman Old Style"/>
        <family val="1"/>
        <charset val="204"/>
      </rPr>
      <t xml:space="preserve">Столик журнальный белый </t>
    </r>
    <r>
      <rPr>
        <b/>
        <sz val="12"/>
        <color indexed="8"/>
        <rFont val="Bookman Old Style"/>
        <family val="1"/>
        <charset val="204"/>
      </rPr>
      <t>LAKK</t>
    </r>
  </si>
  <si>
    <t>Гардероб от 500 до 1000</t>
  </si>
  <si>
    <t>Гардероб от 100 до 500</t>
  </si>
  <si>
    <t>Вешало на колёсиках</t>
  </si>
  <si>
    <t>Ростовое зеркало</t>
  </si>
  <si>
    <t>Гримёрное зеркало</t>
  </si>
  <si>
    <t>Настольное зеркало</t>
  </si>
  <si>
    <t>Стол реечный 120х60 см</t>
  </si>
  <si>
    <t>Лавка реечная 120 см</t>
  </si>
  <si>
    <t>Куллер настольный</t>
  </si>
  <si>
    <t>Мольберт</t>
  </si>
  <si>
    <r>
      <rPr>
        <sz val="12"/>
        <color indexed="8"/>
        <rFont val="Bookman Old Style"/>
        <family val="1"/>
        <charset val="204"/>
      </rPr>
      <t xml:space="preserve">Шатёр </t>
    </r>
    <r>
      <rPr>
        <b/>
        <sz val="12"/>
        <color indexed="8"/>
        <rFont val="Bookman Old Style"/>
        <family val="1"/>
        <charset val="204"/>
      </rPr>
      <t>Expotent Profesional 8x4 m</t>
    </r>
  </si>
  <si>
    <r>
      <rPr>
        <sz val="12"/>
        <color indexed="8"/>
        <rFont val="Bookman Old Style"/>
        <family val="1"/>
        <charset val="204"/>
      </rPr>
      <t xml:space="preserve">Шатёр </t>
    </r>
    <r>
      <rPr>
        <b/>
        <sz val="12"/>
        <color indexed="8"/>
        <rFont val="Bookman Old Style"/>
        <family val="1"/>
        <charset val="204"/>
      </rPr>
      <t>Expotent Profesional 4x4 m</t>
    </r>
  </si>
  <si>
    <r>
      <rPr>
        <sz val="12"/>
        <color indexed="8"/>
        <rFont val="Bookman Old Style"/>
        <family val="1"/>
        <charset val="204"/>
      </rPr>
      <t xml:space="preserve">Фан-барьер </t>
    </r>
    <r>
      <rPr>
        <b/>
        <sz val="12"/>
        <color indexed="8"/>
        <rFont val="Bookman Old Style"/>
        <family val="1"/>
        <charset val="204"/>
      </rPr>
      <t>Heras 2,5х1,1м</t>
    </r>
  </si>
  <si>
    <r>
      <rPr>
        <sz val="12"/>
        <color indexed="8"/>
        <rFont val="Bookman Old Style"/>
        <family val="1"/>
        <charset val="204"/>
      </rPr>
      <t xml:space="preserve">Забор сетка </t>
    </r>
    <r>
      <rPr>
        <b/>
        <sz val="12"/>
        <color indexed="8"/>
        <rFont val="Bookman Old Style"/>
        <family val="1"/>
        <charset val="204"/>
      </rPr>
      <t>Heras 3,5х2м</t>
    </r>
  </si>
  <si>
    <r>
      <rPr>
        <sz val="12"/>
        <color indexed="8"/>
        <rFont val="Bookman Old Style"/>
        <family val="1"/>
        <charset val="204"/>
      </rPr>
      <t xml:space="preserve">Тяжёлый забор </t>
    </r>
    <r>
      <rPr>
        <b/>
        <sz val="12"/>
        <color indexed="8"/>
        <rFont val="Bookman Old Style"/>
        <family val="1"/>
        <charset val="204"/>
      </rPr>
      <t>MOJO 1*1,2м</t>
    </r>
  </si>
  <si>
    <t>Оформление</t>
  </si>
  <si>
    <t xml:space="preserve">       </t>
  </si>
  <si>
    <t>Выставочный ковролин</t>
  </si>
  <si>
    <t>Юбка сценическая</t>
  </si>
  <si>
    <t>УФ печать баннера Frontlit усиленный 440 гр/м², 720 dpi</t>
  </si>
  <si>
    <t>УФ печать баннера Frontlit литой 510 гр/м², 720 dpi</t>
  </si>
  <si>
    <t xml:space="preserve">Одежда сцены </t>
  </si>
  <si>
    <t>УФ печать баннерая сетка 270 гр/м², 720 dpi</t>
  </si>
  <si>
    <t>Интерьерная печать баннера Frontlit ламинированный 440 гр/м², 1000 dpi</t>
  </si>
  <si>
    <t>Баннер Frontlit усиленный 440 гр/м², 400 dpi на деревянной раме</t>
  </si>
  <si>
    <t xml:space="preserve">Юбка сцены </t>
  </si>
  <si>
    <t>Интерьерная печать на ткани Eco Display 225 гр/м², 720 dpi</t>
  </si>
  <si>
    <t>Интерьерная печать на флажной сетке 117 гр/м², 720 dpi</t>
  </si>
  <si>
    <t>Самоклеящаяся пленка Orajet с удаляемым клеевым слоем, 720 dpi</t>
  </si>
  <si>
    <t>Интерьерная УФ печать на пенокартоне 5 мм, 1200 dpi</t>
  </si>
  <si>
    <t>Интерьерная УФ печать на пенокартоне 10 мм, 1200 dpi</t>
  </si>
  <si>
    <t>Расходные материалы</t>
  </si>
  <si>
    <t>Противопожарная обработка</t>
  </si>
  <si>
    <t>Утилизация оформления</t>
  </si>
  <si>
    <t>Техники фермовых конструкций</t>
  </si>
  <si>
    <t>70-110</t>
  </si>
  <si>
    <t>Бригадир фермовых конструкций</t>
  </si>
  <si>
    <t>Техники лаерных конструкций</t>
  </si>
  <si>
    <t>Бригалир лаерных конструкций</t>
  </si>
  <si>
    <t>Риггер верхний</t>
  </si>
  <si>
    <t>Риггер нижний</t>
  </si>
  <si>
    <t>Техники сценического отдела</t>
  </si>
  <si>
    <t>Бригадир сценического отдела</t>
  </si>
  <si>
    <t>Оформители</t>
  </si>
  <si>
    <t>Техники звукового отдела</t>
  </si>
  <si>
    <t>Бригадир звукового отдела</t>
  </si>
  <si>
    <t>Дежурный техник звукового отдела</t>
  </si>
  <si>
    <t>Звукоинженер</t>
  </si>
  <si>
    <t>Техники светового отдела</t>
  </si>
  <si>
    <t>Бригадир светового отдела</t>
  </si>
  <si>
    <t>Дежурный техник светового отдела</t>
  </si>
  <si>
    <t>Художник по свету</t>
  </si>
  <si>
    <t>Техники видео отдела</t>
  </si>
  <si>
    <t>Бригадир видео отдела</t>
  </si>
  <si>
    <t>Сопровождение/настройка (Watchout)</t>
  </si>
  <si>
    <t>Дежурный техник видео отдела</t>
  </si>
  <si>
    <t>Видеорежиссер</t>
  </si>
  <si>
    <t>Оператор видеокамеры</t>
  </si>
  <si>
    <t>Техник видеокамер</t>
  </si>
  <si>
    <t>Режиссёр видеокамер</t>
  </si>
  <si>
    <t>Инженер видеокамер</t>
  </si>
  <si>
    <t>Электрик</t>
  </si>
  <si>
    <t>Бригадир Электриков</t>
  </si>
  <si>
    <t>Грузчики</t>
  </si>
  <si>
    <t>Технический менеджмент проекта</t>
  </si>
  <si>
    <t>уточняется, на серию мероприятий меньше</t>
  </si>
  <si>
    <t>Еврофура, до 20 т</t>
  </si>
  <si>
    <t>Фургон с гидробортом, до 8 т</t>
  </si>
  <si>
    <t>Фургон с гидробортом, до 3 т</t>
  </si>
  <si>
    <t>Микроавтобус, до 1,5 т</t>
  </si>
  <si>
    <t>Грузопассажирский микроавтобус 8+1 или до 1т</t>
  </si>
  <si>
    <t>Манипулятор</t>
  </si>
  <si>
    <t>Автокран 25т</t>
  </si>
  <si>
    <t>Автовышка 18м</t>
  </si>
  <si>
    <t>Пикканиска электрическая 14м</t>
  </si>
  <si>
    <t>Вилочный погрузчик с водителем, 8ч, г/п 5 т</t>
  </si>
  <si>
    <t>Эвакуатор для спецтехники</t>
  </si>
  <si>
    <t>Доставка персонала</t>
  </si>
  <si>
    <t>Билеты для персонала</t>
  </si>
  <si>
    <t>Проживание</t>
  </si>
  <si>
    <t>Суточные</t>
  </si>
  <si>
    <t>Данная смета является предварительной и может измениться после осмотра площадки</t>
  </si>
  <si>
    <t>Бронирование оборудования происходит путем внесения предоплаты</t>
  </si>
  <si>
    <t>В смету не включены стоимости по электроснабжению, охране, проектным работам и визуализациям, если иное не указано прямо в самой смете</t>
  </si>
  <si>
    <t>ВАРИАНТ МЕНЮ</t>
  </si>
  <si>
    <t>Фуршет</t>
  </si>
  <si>
    <t>к-во</t>
  </si>
  <si>
    <t>выход, гр.</t>
  </si>
  <si>
    <t>Пирожок сытный</t>
  </si>
  <si>
    <t>в ассортименте</t>
  </si>
  <si>
    <t>Пирожок сладкий</t>
  </si>
  <si>
    <t>Чай/ Кофе</t>
  </si>
  <si>
    <t>Полевая кухня</t>
  </si>
  <si>
    <t>плов</t>
  </si>
  <si>
    <t>Вода в пэт</t>
  </si>
  <si>
    <t>в ассортименте газ/негаз</t>
  </si>
  <si>
    <t>Мороженное «коровка из кореновки»</t>
  </si>
  <si>
    <t>пломбир, крем брюле, шок крошка, шоколадное- - ассортимент</t>
  </si>
  <si>
    <t>чел.</t>
  </si>
  <si>
    <t>Трансфер для гостей (С.Пб-арт-перформанс-С.Пб)</t>
  </si>
  <si>
    <t>Охрана (услуги на время мероприятия)</t>
  </si>
  <si>
    <t>цена с учетом трансфером (СПб-мероприятие-СПб)</t>
  </si>
  <si>
    <t>Шоу в световых костюмах (девушки)</t>
  </si>
  <si>
    <t>по необходимости в зависимости от погоды</t>
  </si>
  <si>
    <t>600 шт. (пошив) на сезон 24г. (180 000 руб.)</t>
  </si>
  <si>
    <t>Бинбэг (XXXL 135х110)</t>
  </si>
  <si>
    <t>Музыкальные группы</t>
  </si>
  <si>
    <t>вколючатся в смету (июль-август, в тёмное время)</t>
  </si>
  <si>
    <t>разные группы под концертные выступления выход на сцену (6 сетов по 45 мин.)</t>
  </si>
  <si>
    <t>Интернет Сайт мероприятия</t>
  </si>
  <si>
    <t>интернет сайт: 20 000 руб. и поддержка 5000 руб. в месяц (сайт и его обслуживание = 60 000 руб.)</t>
  </si>
  <si>
    <t>Рекламмные мероприятия</t>
  </si>
  <si>
    <t>буджет рекламмы под арт-перформансны сезон лето 24г. (на 13 феерий = 13 000 000)</t>
  </si>
  <si>
    <t>Client:</t>
  </si>
  <si>
    <t>Brand:</t>
  </si>
  <si>
    <t>Client Contact:</t>
  </si>
  <si>
    <t>Agency Contact:</t>
  </si>
  <si>
    <t xml:space="preserve">Project: </t>
  </si>
  <si>
    <t>Вечеринки</t>
  </si>
  <si>
    <t xml:space="preserve">Date: </t>
  </si>
  <si>
    <t>1.06 - 1.09.2024</t>
  </si>
  <si>
    <t>Advance estimate /Предварительная смета</t>
  </si>
  <si>
    <t>Personal /Персонал</t>
  </si>
  <si>
    <t>Item</t>
  </si>
  <si>
    <t>Days</t>
  </si>
  <si>
    <t>Quantity</t>
  </si>
  <si>
    <t>Hours</t>
  </si>
  <si>
    <t>Cost/hour/unit</t>
  </si>
  <si>
    <t>Total cost</t>
  </si>
  <si>
    <t>Бармен ( 20.00 - 6.00)</t>
  </si>
  <si>
    <t>Помощник Бармена ( 18.00 - 7.00)</t>
  </si>
  <si>
    <t>Грузчик день</t>
  </si>
  <si>
    <t>Грузчик утро</t>
  </si>
  <si>
    <t>Закупщик</t>
  </si>
  <si>
    <t xml:space="preserve">Администратор </t>
  </si>
  <si>
    <t>TOTAL</t>
  </si>
  <si>
    <t>Other / Другое</t>
  </si>
  <si>
    <t xml:space="preserve">Item  </t>
  </si>
  <si>
    <t>Аренда бара</t>
  </si>
  <si>
    <t>Аренда посуды</t>
  </si>
  <si>
    <t>Посуда одноразовая</t>
  </si>
  <si>
    <t>Закупка ингредиентов</t>
  </si>
  <si>
    <t xml:space="preserve">Лед </t>
  </si>
  <si>
    <t>Аренда термобоксов</t>
  </si>
  <si>
    <t>Транспорт</t>
  </si>
  <si>
    <t>Agency  Fee 10%</t>
  </si>
  <si>
    <t>Налог 8%</t>
  </si>
  <si>
    <t>GRAND TOTAL</t>
  </si>
  <si>
    <t>БАР и бармены</t>
  </si>
  <si>
    <t>Водка</t>
  </si>
  <si>
    <t>500 литров</t>
  </si>
  <si>
    <t>цена</t>
  </si>
  <si>
    <t>шампансое брют 0,75/бут.</t>
  </si>
  <si>
    <t>(100 канистр 5л.)/ 100 000 руб.</t>
  </si>
  <si>
    <t>Джин 0,5л.</t>
  </si>
  <si>
    <t>200 бут.</t>
  </si>
  <si>
    <t>600 руб./120 000 руб.</t>
  </si>
  <si>
    <t xml:space="preserve">100 бут. </t>
  </si>
  <si>
    <t>1700 руб./170 000 руб.</t>
  </si>
  <si>
    <t xml:space="preserve">Абсент "Fruko Schulz" 0,5/бут. </t>
  </si>
  <si>
    <t>Бренди «J.P. Chenet XO» 0,7/бут.</t>
  </si>
  <si>
    <t>150 бут.</t>
  </si>
  <si>
    <t>1400 руб./210 000 руб.</t>
  </si>
  <si>
    <t>в ассотименте</t>
  </si>
  <si>
    <t>итого</t>
  </si>
  <si>
    <t>400 руб./ 160 000 руб.</t>
  </si>
  <si>
    <t xml:space="preserve">400 бутылок </t>
  </si>
  <si>
    <t>Напитки алкогольные и беалкогольные</t>
  </si>
  <si>
    <t>в ассортименте (см. расшифровку "Алкогольная карта")</t>
  </si>
  <si>
    <t>(см. расшифровку "БАР") 5 баров (10 барменов, 5 помошников и все расходные материалы) ТОТАЛ</t>
  </si>
  <si>
    <t>дежурная машина скорой помощи</t>
  </si>
  <si>
    <t>Электрокар (кавз) - дежурный шаттл по территории Рифа и до Шанца на период проведения</t>
  </si>
  <si>
    <t>помошники по реализации проекта (кураторы, менеджеры)</t>
  </si>
  <si>
    <t xml:space="preserve">https://disk.yandex.ru/d/gZ2WXNirEVmkUQ </t>
  </si>
  <si>
    <t>Территория Арт-перформанса на форте "РИФ" с подсветками и инстограммой в ночное время</t>
  </si>
  <si>
    <t xml:space="preserve">https://disk.yandex.ru/d/NQjfPPZRnyGNFg  </t>
  </si>
  <si>
    <t xml:space="preserve">https://disk.yandex.ru/d/0tyQaPwaM6KIWA </t>
  </si>
  <si>
    <t xml:space="preserve">https://disk.yandex.ru/d/yO_3IazqkI08Qg </t>
  </si>
  <si>
    <t>Дефиле девушек в костюмах XVIII столетия</t>
  </si>
  <si>
    <t>Шоу "ГОУ-ГОУ"</t>
  </si>
  <si>
    <t>Шоу "Злые клоуны"</t>
  </si>
  <si>
    <t>Шоу "Венецианские люди"</t>
  </si>
  <si>
    <t xml:space="preserve">https://youtu.be/0Z9SISSx9NM </t>
  </si>
  <si>
    <t>ФОТОГРАФИИ и ПРОМО</t>
  </si>
  <si>
    <t>тема:</t>
  </si>
  <si>
    <t>ссылки для просмотра и скачивания фотографий:</t>
  </si>
  <si>
    <t>Шоу деффиле (девушки) в косюмах "стим-панк" и в костюмах XVIII столетия</t>
  </si>
  <si>
    <t>выходы на эскарп и проход по территории раз в 30 минут на протяжении всей феерии (под ключ: включяя костюмы и их аренду)</t>
  </si>
  <si>
    <t xml:space="preserve">https://disk.yandex.ru/i/QpThSWTz1KzivQ </t>
  </si>
  <si>
    <t>Средний САЛЮТ (фейерверк-шоу) под музыку DJ (будет бить с бастиона который выходит на пляжную часть) продолжительность 3,5 минуты с территоии форта РИФ</t>
  </si>
  <si>
    <t>средне-высотный салют, продолжительность 3,5 минуты</t>
  </si>
  <si>
    <t>Фейерверк-шоу (салют)</t>
  </si>
  <si>
    <t>Фруктовые корзины</t>
  </si>
  <si>
    <t>с 22.00 до 5.30</t>
  </si>
  <si>
    <t>Алкогольная карта на 1 мероприятие (500 гостей)</t>
  </si>
  <si>
    <t>Соки, лионады, тонки, вода газ/негаз</t>
  </si>
  <si>
    <t>240 000 руб.</t>
  </si>
  <si>
    <t>Виски SCOTCH 0,7/бут.</t>
  </si>
  <si>
    <t>1200 руб./180 000 руб.</t>
  </si>
  <si>
    <t>Дефиле девушек в стиле "СТИМ-ПАНК"</t>
  </si>
  <si>
    <t>Текилла 0,7/бут.</t>
  </si>
  <si>
    <t>75 бут.</t>
  </si>
  <si>
    <t>1500 руб./112 500 руб.</t>
  </si>
  <si>
    <t>1 292 500 руб.</t>
  </si>
  <si>
    <t xml:space="preserve">https://cloud.mail.ru/public/7iAv/cXHVmpx2x  </t>
  </si>
  <si>
    <t xml:space="preserve">https://disk.yandex.ru/d/De5UWrAy8eQ57Q  </t>
  </si>
  <si>
    <t>бухгалтерия</t>
  </si>
  <si>
    <t>бухгалтерские услуги</t>
  </si>
  <si>
    <t>8 танцовщиц: 4 танцовщицы по 3 раунда (чередующихся каждый музыкальный сет 45 мин.) + общий стриптиз танец под завершение.</t>
  </si>
  <si>
    <t xml:space="preserve">https://disk.yandex.ru/d/5HDx9b-hUi5TfQ </t>
  </si>
  <si>
    <t>Шоу "Гоу-гоу" (девушки) + стиптиз-танец</t>
  </si>
  <si>
    <t xml:space="preserve">Арт-Шоу "Злые клоуны" и "Венецианские люди" </t>
  </si>
  <si>
    <t>ИТОГО без НДС</t>
  </si>
  <si>
    <t xml:space="preserve">Цена 1-го билета </t>
  </si>
  <si>
    <t>кол-во гостей (билетов)</t>
  </si>
  <si>
    <t>500 гостей</t>
  </si>
  <si>
    <t>20 000 000 руб.</t>
  </si>
  <si>
    <t>12 000 000 руб.</t>
  </si>
  <si>
    <t>600 000 руб.</t>
  </si>
  <si>
    <t>Прибыль с 1-го мероприятия</t>
  </si>
  <si>
    <t>ТОТАЛ Общяя сумма прибыли с проекта (13 мероприятий) лето 24г.</t>
  </si>
  <si>
    <t>прибыль "ИНВЕСТОРА" (50%)</t>
  </si>
  <si>
    <t>Прибыль "Инвестора" (50%)</t>
  </si>
  <si>
    <t>Эксурсия-перформанс (аудио-экскурс о Кискреке)</t>
  </si>
  <si>
    <t>Себестоимость 1-го мероприятия (арт-перформанса) с округлением до</t>
  </si>
  <si>
    <t>40 000 руб.</t>
  </si>
  <si>
    <t>Прибыль"ИП Боровеснкий Д.С." (инициатор и реализация проекта) (50%)</t>
  </si>
  <si>
    <t>агентский % "Кассир.ру" (с продажи билетов) = 3%</t>
  </si>
  <si>
    <t>Необходимый инвентарь (закупка): бинбэги, пледы, дождевики</t>
  </si>
  <si>
    <t>Итого:</t>
  </si>
  <si>
    <t xml:space="preserve">Реклама (под 13 мароприятий на сезон лето 24г.) </t>
  </si>
  <si>
    <t>ТОТАЛ за вычетом налогов по УСН и продажи билетов (1-го мероприятия)</t>
  </si>
  <si>
    <t xml:space="preserve">Аванс-ие задействованных шоу муз.групп, персонала, сторонние услуги  </t>
  </si>
  <si>
    <t>Налог (УСН) по ИП (БН УСН) = 10%</t>
  </si>
  <si>
    <t>НЕОБХОДИМЫЙ БЮДЖЕТ от Инвестора (с учётом БН УСН +10%)</t>
  </si>
  <si>
    <t xml:space="preserve">14 300 000 руб. </t>
  </si>
  <si>
    <t xml:space="preserve">Авнсирование 4-ёх проектов (територия, сцена, оборудование, услуги)  </t>
  </si>
  <si>
    <t>Затраты и прибыль 1 мероприятия (БН УСН +10%)</t>
  </si>
  <si>
    <t>Совокупная сумма от реализвции билетов (с 1-го мероприятия)</t>
  </si>
  <si>
    <t>17 460 000 руб.</t>
  </si>
  <si>
    <t>1 940 000 руб.</t>
  </si>
  <si>
    <t>5 460 000 руб.</t>
  </si>
  <si>
    <t>2 7308 000 руб.</t>
  </si>
  <si>
    <t>2 730 000 руб.</t>
  </si>
  <si>
    <t>Прибыль с проекта арт-перформанс сезон ЛЕТО 2024г. (за вычетом БН УСН 10%)</t>
  </si>
  <si>
    <t xml:space="preserve">70 980 000 руб. </t>
  </si>
  <si>
    <t xml:space="preserve">35 490 000 руб. </t>
  </si>
  <si>
    <t>4 000 000 руб.</t>
  </si>
  <si>
    <t xml:space="preserve">1 645 000 руб. </t>
  </si>
  <si>
    <t xml:space="preserve">25 313 000 руб. </t>
  </si>
  <si>
    <t>45 258 000 руб.</t>
  </si>
  <si>
    <t>ссылки для просмотра и скачивания промо:</t>
  </si>
  <si>
    <t>музыкальные группы:</t>
  </si>
  <si>
    <t>Музыкальные группы под арт-перформансы (сезон лето 24г.)</t>
  </si>
  <si>
    <t xml:space="preserve">https://www.youtube.com/channel/UCG3IbwlgS-GkEsWKFxye8QA </t>
  </si>
  <si>
    <t xml:space="preserve">https://vk.com/video211601799_456242003 </t>
  </si>
  <si>
    <t xml:space="preserve">https://www.youtube.com/watch?v=lRzhJdHDVmg </t>
  </si>
  <si>
    <t xml:space="preserve">https://www.youtube.com/watch?v=EFDfmGmGWNs </t>
  </si>
  <si>
    <t xml:space="preserve">https://www.youtube.com/watch?v=Rs41dQifN8k </t>
  </si>
  <si>
    <t xml:space="preserve">https://www.youtube.com/watch?v=Y2fVvL6wS54 </t>
  </si>
  <si>
    <t xml:space="preserve">https://www.youtube.com/watch?v=aZvDhFcT8yA </t>
  </si>
  <si>
    <t xml:space="preserve">https://vk.com/video-83057046_456239271 </t>
  </si>
  <si>
    <t xml:space="preserve">https://www.youtube.com/watch?v=DsM8P5XhLt0 </t>
  </si>
  <si>
    <t xml:space="preserve">https://www.youtube.com/watch?v=Xpg-PbYVCGo </t>
  </si>
  <si>
    <t xml:space="preserve">https://www.youtube.com/watch?v=TGMcW6_M198 </t>
  </si>
  <si>
    <t xml:space="preserve">https://vk.com/video-231812_172020392 </t>
  </si>
  <si>
    <t xml:space="preserve">https://disk.yandex.ru/d/KHp0_T7jooWmGQ </t>
  </si>
  <si>
    <t xml:space="preserve">https://vk.com/video-67032046_456239183 </t>
  </si>
  <si>
    <t>Канапе ассорти- 7 шт</t>
  </si>
  <si>
    <t xml:space="preserve">https://www.youtube.com/watch?v=mTw7ikwfTf4 </t>
  </si>
  <si>
    <t xml:space="preserve">https://www.youtube.com/watch?v=dFUijgi-b88 </t>
  </si>
  <si>
    <t xml:space="preserve">https://disk.yandex.ru/d/VPvZ5jsJ3424Yw </t>
  </si>
  <si>
    <t xml:space="preserve">https://www.youtube.com/watch?v=pX2NgZr-Eaw </t>
  </si>
  <si>
    <t xml:space="preserve">https://www.youtube.com/watch?v=IGOLQauE_TM </t>
  </si>
  <si>
    <t xml:space="preserve">https://www.youtube.com/watch?v=SamxJy57KJM </t>
  </si>
  <si>
    <t xml:space="preserve">https://www.youtube.com/watch?v=tVrhivR8rbk </t>
  </si>
  <si>
    <t xml:space="preserve">https://www.youtube.com/watch?v=F87PHgn1f3A </t>
  </si>
  <si>
    <t xml:space="preserve">https://www.youtube.com/watch?v=BgOlGwQEXPk&amp;list=PLKL9JnklpHQuvSlO8bMOGqoQ4aXQ9A6Z6&amp;index=2 </t>
  </si>
  <si>
    <t xml:space="preserve">https://vk.com/gunsnrosestribute?ysclid=lm69dfko9b823637457&amp;z=video-64491036_456239109%2Fvideos-64491036%2Fpl_-64491036_-2 </t>
  </si>
  <si>
    <t xml:space="preserve">https://vk.com/video-208448593_456239046 </t>
  </si>
  <si>
    <t xml:space="preserve">https://www.youtube.com/watch?v=83lQhosliEE </t>
  </si>
  <si>
    <t xml:space="preserve">https://www.youtube.com/watch?v=RESH8987rNg </t>
  </si>
  <si>
    <t xml:space="preserve">https://www.youtube.com/watch?v=1_HWxbKKnjk </t>
  </si>
  <si>
    <t xml:space="preserve">https://www.youtube.com/watch?v=pql02qmSeiM </t>
  </si>
  <si>
    <t xml:space="preserve">https://www.youtube.com/watch?v=rLtb1reaMqg 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</si>
  <si>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</si>
  <si>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</si>
  <si>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</si>
  <si>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</si>
  <si>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</si>
  <si>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</si>
  <si>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</si>
  <si>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</si>
  <si>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</si>
  <si>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</si>
  <si>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</si>
  <si>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</si>
  <si>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</si>
  <si>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</si>
  <si>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</si>
  <si>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</si>
  <si>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</si>
  <si>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</si>
  <si>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</si>
  <si>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</si>
  <si>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</si>
  <si>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</si>
  <si>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</si>
  <si>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</si>
  <si>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</si>
  <si>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</si>
  <si>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</si>
  <si>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</si>
  <si>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</si>
  <si>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</si>
  <si>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The "Punkration" (Ростов на Дону)</t>
  </si>
  <si>
    <t>The "Dr. Endo &amp; Dreamteam" (Москва)</t>
  </si>
  <si>
    <t>The "Mannish Boy" Юрий Каверкин (Москва</t>
  </si>
  <si>
    <t>The "Nothing Personal" и Юрий Каверкин (Москва)</t>
  </si>
  <si>
    <t>The "Crawling King Snake", Юрий Каверкин, Гия Дзагнидзе (Москва)</t>
  </si>
  <si>
    <t>The Stressor (Тула)</t>
  </si>
  <si>
    <t>The Rammproject (трибьют Rammstein)</t>
  </si>
  <si>
    <t>трибьют "THAT ZEPPELIN" (СПб)</t>
  </si>
  <si>
    <t>Юлия Коган (СПб)</t>
  </si>
  <si>
    <t>трибьют "LIGHT MY DOORS" (СПб)</t>
  </si>
  <si>
    <t>трибьют "Jeans n'roses" (Москва)</t>
  </si>
  <si>
    <t>Ансамбль Народного Блюза «Бабкины опыты» (СПб)</t>
  </si>
  <si>
    <t>30</t>
  </si>
  <si>
    <t>31</t>
  </si>
  <si>
    <t>The "Holy Blacksmith" (СПб)</t>
  </si>
  <si>
    <t>The "Jack Daniel$ Band" (СПб)</t>
  </si>
  <si>
    <t>The "Tardigrade Inferno"  (Москва)</t>
  </si>
  <si>
    <t>The "Devil’s Bones" (СПб)</t>
  </si>
  <si>
    <t>The "RoadSpikes" (СПб)</t>
  </si>
  <si>
    <t>The "San Pete Specialists" (СПб)</t>
  </si>
  <si>
    <t>The "Tweed Retreat" (Москва)</t>
  </si>
  <si>
    <t>"ОГО-П-ОГО" (Липецк)</t>
  </si>
  <si>
    <t>"Frэglы" (СПб)</t>
  </si>
  <si>
    <t>"САДЪ" (Брест)</t>
  </si>
  <si>
    <t>"Плавучий Чемодан" (СПб)</t>
  </si>
  <si>
    <t>"Гребля" (Архангельск)</t>
  </si>
  <si>
    <t>"Портовый оркестр" (СПб)</t>
  </si>
  <si>
    <t>The "Ska jazz review" (СПб)</t>
  </si>
  <si>
    <t>The "Plumbum Dreamz" (Москва) (Лед Зеппелин)</t>
  </si>
  <si>
    <t>The "Biopsyhoz" (Москва)</t>
  </si>
  <si>
    <t>"КРАКЕНБУШ" (Москва)</t>
  </si>
  <si>
    <t>The "Companets &amp; Co" (Москва)</t>
  </si>
  <si>
    <t>"URIAH ХИТ" (трибьют "Uriah Heep") (Ростов на Дону)</t>
  </si>
  <si>
    <t>кураторы (помошники по проекту)</t>
  </si>
  <si>
    <t>600 шт.на сезон 24г. (1 194 000 руб.) расставляются по всей территрии</t>
  </si>
  <si>
    <t>32</t>
  </si>
  <si>
    <t xml:space="preserve">https://www.youtube.com/watch?v=S0U4i7pN094 </t>
  </si>
  <si>
    <t>The "Nagart" (Москва)</t>
  </si>
  <si>
    <t>33</t>
  </si>
  <si>
    <t>34</t>
  </si>
  <si>
    <t xml:space="preserve">https://disk.yandex.ru/d/Y9OAEYv1V-8CpA </t>
  </si>
  <si>
    <t xml:space="preserve">https://www.youtube.com/watch?v=iPRx4pPHDZ0 </t>
  </si>
  <si>
    <t>клоун (мим, фокусник и т.д.) интерактивность на сцене и с гостями</t>
  </si>
  <si>
    <t xml:space="preserve">Арт-Шоу "Клоун-мим" </t>
  </si>
  <si>
    <t>4 злых клоуна и 4 венецианских человека, интеративность с гостями на протяжении всего вечера.</t>
  </si>
  <si>
    <t>(см. расшифровку меню форт РИФ) доп. 80 персон - это артисты.</t>
  </si>
  <si>
    <t>миниавтобусы на 19 чел. (аренда с водителем 1300/час + 1 час подачи)</t>
  </si>
  <si>
    <t xml:space="preserve">https://vk.com/video-31731517_456239843 </t>
  </si>
  <si>
    <t>The "Nobode.one" и Сергей Табачников (С.Пб.)</t>
  </si>
  <si>
    <t>The "Hardballs" (Москва)</t>
  </si>
  <si>
    <t>35</t>
  </si>
  <si>
    <t>"THE SCORPIONS FOREVER TRIBUTE SHOW" (Екатеринбург)</t>
  </si>
  <si>
    <t xml:space="preserve">https://vk.com/video369442786_456239189 </t>
  </si>
  <si>
    <t>Концепция музыкального арт-перформанса "Белые ночи Ксикрика (ночная арт-феерия) сезон лето 24г.</t>
  </si>
  <si>
    <t xml:space="preserve">аудио экскурс-перформанс в для гостей в миниавтобусе (длительность 1 час). Полная цена 135 000 руб. (90 000 - Лидия Соловьева, 10 000 - студия звукозаписи, 35 000 руб. (25 флешек) </t>
  </si>
  <si>
    <t>(см. расшифровку) крытая сцена на пляжной зоне (при погодных условиях: дождь, ветер); Сена на крыше казармы (120м.х12м.) погодные условия: (норм.) - 2 809 589,36 руб.; (+4 пилона на планшете = 120 000 руб)</t>
  </si>
  <si>
    <t>Техническое обеспечение, сцена свет звук райдер</t>
  </si>
  <si>
    <t>Огненно-пиратехническое шоу (исполняется на пляжной зоне форта)</t>
  </si>
  <si>
    <t>Средний САЛЮТ (фейерверк-шоу) под музыку DJ (будет бить с бастиона который выходит на пляжную часть) продолжительность 3,5 минуты с территории форта</t>
  </si>
  <si>
    <t>Форт (территория)</t>
  </si>
  <si>
    <t>Промо видео инсталляции которая будет воспроизводиться по стенам купольного зала в катакомбах.</t>
  </si>
  <si>
    <t>https://disk.yandex.ru/i/M0SB8295K3G5kA</t>
  </si>
  <si>
    <t>Предоставление территории в вечерне-ночное время (не в период работы объекта 12-22.00), включая тех помещения и гримерные помещения для участников в казарме (13 шт.)</t>
  </si>
</sst>
</file>

<file path=xl/styles.xml><?xml version="1.0" encoding="utf-8"?>
<styleSheet xmlns="http://schemas.openxmlformats.org/spreadsheetml/2006/main">
  <numFmts count="9">
    <numFmt numFmtId="164" formatCode="#,##0&quot; ₽&quot;"/>
    <numFmt numFmtId="165" formatCode="&quot; &quot;* #,##0.00&quot; ₽ &quot;;&quot;-&quot;* #,##0.00&quot; ₽ &quot;;&quot; &quot;* &quot;-&quot;??&quot; ₽ &quot;"/>
    <numFmt numFmtId="166" formatCode="#,##0&quot;р.&quot;;&quot;-&quot;#,##0&quot;р.&quot;"/>
    <numFmt numFmtId="167" formatCode="0.0"/>
    <numFmt numFmtId="168" formatCode="#,##0.00&quot; ₽&quot;"/>
    <numFmt numFmtId="169" formatCode="#,##0.0#"/>
    <numFmt numFmtId="170" formatCode="0.0&quot;кг&quot;"/>
    <numFmt numFmtId="171" formatCode="0.000&quot;м3&quot;"/>
    <numFmt numFmtId="172" formatCode="#,##0.00&quot;р.&quot;"/>
  </numFmts>
  <fonts count="35">
    <font>
      <sz val="10"/>
      <color indexed="8"/>
      <name val="Arial Cyr"/>
    </font>
    <font>
      <b/>
      <sz val="12"/>
      <color indexed="8"/>
      <name val="Arial Cyr"/>
    </font>
    <font>
      <sz val="12"/>
      <color indexed="8"/>
      <name val="Arial Cyr"/>
    </font>
    <font>
      <sz val="12"/>
      <color indexed="8"/>
      <name val="Arial"/>
      <family val="2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color indexed="8"/>
      <name val="Arial"/>
      <family val="2"/>
      <charset val="204"/>
    </font>
    <font>
      <vertAlign val="superscript"/>
      <sz val="12"/>
      <color indexed="8"/>
      <name val="Arial"/>
      <family val="2"/>
      <charset val="204"/>
    </font>
    <font>
      <vertAlign val="superscript"/>
      <sz val="12"/>
      <color indexed="8"/>
      <name val="Bookman Old Style"/>
      <family val="1"/>
      <charset val="204"/>
    </font>
    <font>
      <sz val="15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8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 Cyr"/>
      <charset val="204"/>
    </font>
    <font>
      <b/>
      <sz val="10"/>
      <color indexed="9"/>
      <name val="Arial"/>
      <family val="2"/>
      <charset val="204"/>
    </font>
    <font>
      <u/>
      <sz val="10"/>
      <color theme="10"/>
      <name val="Arial Cyr"/>
    </font>
    <font>
      <b/>
      <sz val="12"/>
      <color indexed="8"/>
      <name val="Arial Cyr"/>
      <charset val="204"/>
    </font>
    <font>
      <b/>
      <u/>
      <sz val="14"/>
      <color theme="10"/>
      <name val="Arial Cyr"/>
      <charset val="204"/>
    </font>
    <font>
      <b/>
      <sz val="14"/>
      <color indexed="8"/>
      <name val="Arial Cyr"/>
    </font>
    <font>
      <sz val="15"/>
      <color indexed="8"/>
      <name val="Calibri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5"/>
      <color rgb="FFFF0000"/>
      <name val="Calibri"/>
      <family val="2"/>
      <charset val="204"/>
    </font>
    <font>
      <b/>
      <sz val="10"/>
      <color indexed="8"/>
      <name val="Arial Cyr"/>
    </font>
    <font>
      <b/>
      <sz val="10"/>
      <color rgb="FFFF0000"/>
      <name val="Arial Cyr"/>
      <charset val="204"/>
    </font>
    <font>
      <b/>
      <sz val="10"/>
      <name val="Arial Cyr"/>
    </font>
    <font>
      <b/>
      <sz val="10"/>
      <color theme="4" tint="-0.249977111117893"/>
      <name val="Arial Cyr"/>
    </font>
    <font>
      <b/>
      <sz val="10"/>
      <color theme="4" tint="-0.499984740745262"/>
      <name val="Arial Cyr"/>
      <charset val="204"/>
    </font>
    <font>
      <b/>
      <sz val="14"/>
      <color rgb="FFFF0000"/>
      <name val="Calibri"/>
      <family val="2"/>
      <charset val="204"/>
    </font>
    <font>
      <b/>
      <sz val="14"/>
      <color indexed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5"/>
      </left>
      <right/>
      <top style="thin">
        <color indexed="15"/>
      </top>
      <bottom style="thin">
        <color indexed="16"/>
      </bottom>
      <diagonal/>
    </border>
    <border>
      <left/>
      <right/>
      <top style="thin">
        <color indexed="15"/>
      </top>
      <bottom style="thin">
        <color indexed="16"/>
      </bottom>
      <diagonal/>
    </border>
    <border>
      <left/>
      <right style="thin">
        <color indexed="15"/>
      </right>
      <top style="thin">
        <color indexed="15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/>
      <bottom/>
      <diagonal/>
    </border>
    <border>
      <left style="thin">
        <color indexed="16"/>
      </left>
      <right style="thin">
        <color indexed="19"/>
      </right>
      <top style="thin">
        <color indexed="16"/>
      </top>
      <bottom style="thin">
        <color indexed="19"/>
      </bottom>
      <diagonal/>
    </border>
    <border>
      <left style="thin">
        <color indexed="19"/>
      </left>
      <right style="thin">
        <color indexed="16"/>
      </right>
      <top style="thin">
        <color indexed="16"/>
      </top>
      <bottom style="thin">
        <color indexed="19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9"/>
      </bottom>
      <diagonal/>
    </border>
    <border>
      <left style="thin">
        <color indexed="16"/>
      </left>
      <right style="thin">
        <color indexed="19"/>
      </right>
      <top style="thin">
        <color indexed="19"/>
      </top>
      <bottom style="thin">
        <color indexed="16"/>
      </bottom>
      <diagonal/>
    </border>
    <border>
      <left style="thin">
        <color indexed="19"/>
      </left>
      <right style="thin">
        <color indexed="16"/>
      </right>
      <top style="thin">
        <color indexed="19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9"/>
      </top>
      <bottom style="thin">
        <color indexed="16"/>
      </bottom>
      <diagonal/>
    </border>
    <border>
      <left style="thin">
        <color indexed="16"/>
      </left>
      <right style="thin">
        <color indexed="19"/>
      </right>
      <top style="thin">
        <color indexed="16"/>
      </top>
      <bottom style="thin">
        <color indexed="16"/>
      </bottom>
      <diagonal/>
    </border>
    <border>
      <left style="thin">
        <color indexed="19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5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/>
      <top/>
      <bottom/>
      <diagonal/>
    </border>
    <border>
      <left/>
      <right/>
      <top/>
      <bottom/>
      <diagonal/>
    </border>
    <border>
      <left style="thin">
        <color indexed="15"/>
      </left>
      <right/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9"/>
      </left>
      <right/>
      <top style="thin">
        <color indexed="16"/>
      </top>
      <bottom style="thin">
        <color indexed="19"/>
      </bottom>
      <diagonal/>
    </border>
    <border>
      <left/>
      <right style="thin">
        <color indexed="16"/>
      </right>
      <top style="thin">
        <color indexed="16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 style="thin">
        <color indexed="16"/>
      </right>
      <top style="thin">
        <color indexed="19"/>
      </top>
      <bottom style="thin">
        <color indexed="19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5"/>
      </right>
      <top style="thin">
        <color indexed="15"/>
      </top>
      <bottom style="thin">
        <color indexed="16"/>
      </bottom>
      <diagonal/>
    </border>
  </borders>
  <cellStyleXfs count="2">
    <xf numFmtId="0" fontId="0" fillId="0" borderId="0" applyNumberFormat="0" applyFill="0" applyBorder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Font="1" applyBorder="1" applyAlignment="1"/>
    <xf numFmtId="4" fontId="1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4" fontId="0" fillId="0" borderId="1" xfId="0" applyNumberFormat="1" applyFont="1" applyBorder="1" applyAlignment="1"/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1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/>
    <xf numFmtId="1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/>
    <xf numFmtId="165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3" fontId="1" fillId="0" borderId="1" xfId="0" applyNumberFormat="1" applyFont="1" applyBorder="1" applyAlignment="1"/>
    <xf numFmtId="166" fontId="0" fillId="0" borderId="1" xfId="0" applyNumberFormat="1" applyFont="1" applyBorder="1" applyAlignment="1"/>
    <xf numFmtId="166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167" fontId="0" fillId="2" borderId="1" xfId="0" applyNumberFormat="1" applyFont="1" applyFill="1" applyBorder="1" applyAlignment="1"/>
    <xf numFmtId="167" fontId="0" fillId="0" borderId="1" xfId="0" applyNumberFormat="1" applyFont="1" applyBorder="1" applyAlignment="1"/>
    <xf numFmtId="2" fontId="0" fillId="2" borderId="1" xfId="0" applyNumberFormat="1" applyFont="1" applyFill="1" applyBorder="1" applyAlignment="1"/>
    <xf numFmtId="168" fontId="0" fillId="0" borderId="1" xfId="0" applyNumberFormat="1" applyFont="1" applyBorder="1" applyAlignment="1"/>
    <xf numFmtId="168" fontId="0" fillId="2" borderId="1" xfId="0" applyNumberFormat="1" applyFont="1" applyFill="1" applyBorder="1" applyAlignment="1"/>
    <xf numFmtId="3" fontId="2" fillId="0" borderId="1" xfId="0" applyNumberFormat="1" applyFont="1" applyBorder="1" applyAlignment="1"/>
    <xf numFmtId="9" fontId="2" fillId="2" borderId="1" xfId="0" applyNumberFormat="1" applyFont="1" applyFill="1" applyBorder="1" applyAlignment="1"/>
    <xf numFmtId="169" fontId="1" fillId="2" borderId="1" xfId="0" applyNumberFormat="1" applyFont="1" applyFill="1" applyBorder="1" applyAlignment="1"/>
    <xf numFmtId="169" fontId="1" fillId="0" borderId="1" xfId="0" applyNumberFormat="1" applyFont="1" applyBorder="1" applyAlignment="1"/>
    <xf numFmtId="170" fontId="0" fillId="0" borderId="1" xfId="0" applyNumberFormat="1" applyFont="1" applyBorder="1" applyAlignment="1"/>
    <xf numFmtId="171" fontId="0" fillId="0" borderId="1" xfId="0" applyNumberFormat="1" applyFont="1" applyBorder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49" fontId="1" fillId="4" borderId="5" xfId="0" applyNumberFormat="1" applyFont="1" applyFill="1" applyBorder="1" applyAlignment="1"/>
    <xf numFmtId="0" fontId="0" fillId="3" borderId="6" xfId="0" applyFont="1" applyFill="1" applyBorder="1" applyAlignment="1"/>
    <xf numFmtId="49" fontId="1" fillId="5" borderId="7" xfId="0" applyNumberFormat="1" applyFont="1" applyFill="1" applyBorder="1" applyAlignment="1"/>
    <xf numFmtId="0" fontId="2" fillId="3" borderId="8" xfId="0" applyNumberFormat="1" applyFont="1" applyFill="1" applyBorder="1" applyAlignment="1"/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wrapText="1"/>
    </xf>
    <xf numFmtId="49" fontId="1" fillId="5" borderId="10" xfId="0" applyNumberFormat="1" applyFont="1" applyFill="1" applyBorder="1" applyAlignment="1"/>
    <xf numFmtId="0" fontId="2" fillId="3" borderId="11" xfId="0" applyNumberFormat="1" applyFont="1" applyFill="1" applyBorder="1" applyAlignment="1"/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wrapText="1"/>
    </xf>
    <xf numFmtId="49" fontId="1" fillId="5" borderId="13" xfId="0" applyNumberFormat="1" applyFont="1" applyFill="1" applyBorder="1" applyAlignment="1"/>
    <xf numFmtId="0" fontId="2" fillId="3" borderId="14" xfId="0" applyNumberFormat="1" applyFont="1" applyFill="1" applyBorder="1" applyAlignment="1"/>
    <xf numFmtId="0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49" fontId="1" fillId="5" borderId="13" xfId="0" applyNumberFormat="1" applyFont="1" applyFill="1" applyBorder="1" applyAlignment="1">
      <alignment wrapText="1"/>
    </xf>
    <xf numFmtId="0" fontId="0" fillId="3" borderId="15" xfId="0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0" fontId="0" fillId="3" borderId="18" xfId="0" applyFont="1" applyFill="1" applyBorder="1" applyAlignment="1"/>
    <xf numFmtId="0" fontId="0" fillId="3" borderId="19" xfId="0" applyFont="1" applyFill="1" applyBorder="1" applyAlignment="1"/>
    <xf numFmtId="0" fontId="0" fillId="3" borderId="20" xfId="0" applyFont="1" applyFill="1" applyBorder="1" applyAlignment="1"/>
    <xf numFmtId="0" fontId="0" fillId="3" borderId="21" xfId="0" applyFont="1" applyFill="1" applyBorder="1" applyAlignment="1"/>
    <xf numFmtId="0" fontId="0" fillId="3" borderId="22" xfId="0" applyFont="1" applyFill="1" applyBorder="1" applyAlignment="1"/>
    <xf numFmtId="0" fontId="0" fillId="0" borderId="0" xfId="0" applyNumberFormat="1" applyFont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0" fontId="0" fillId="6" borderId="19" xfId="0" applyFill="1" applyBorder="1"/>
    <xf numFmtId="0" fontId="0" fillId="0" borderId="19" xfId="0" applyBorder="1"/>
    <xf numFmtId="0" fontId="10" fillId="6" borderId="19" xfId="0" applyNumberFormat="1" applyFont="1" applyFill="1" applyBorder="1" applyAlignment="1">
      <alignment horizontal="right"/>
    </xf>
    <xf numFmtId="0" fontId="11" fillId="0" borderId="19" xfId="0" applyFont="1" applyBorder="1"/>
    <xf numFmtId="0" fontId="12" fillId="6" borderId="19" xfId="0" applyNumberFormat="1" applyFont="1" applyFill="1" applyBorder="1" applyAlignment="1">
      <alignment horizontal="left"/>
    </xf>
    <xf numFmtId="0" fontId="12" fillId="0" borderId="19" xfId="0" applyFont="1" applyBorder="1" applyAlignment="1"/>
    <xf numFmtId="0" fontId="13" fillId="6" borderId="19" xfId="0" applyFont="1" applyFill="1" applyBorder="1" applyAlignment="1">
      <alignment horizontal="left" wrapText="1"/>
    </xf>
    <xf numFmtId="0" fontId="13" fillId="6" borderId="19" xfId="0" applyNumberFormat="1" applyFont="1" applyFill="1" applyBorder="1" applyAlignment="1">
      <alignment horizontal="right" wrapText="1"/>
    </xf>
    <xf numFmtId="172" fontId="13" fillId="6" borderId="19" xfId="0" applyNumberFormat="1" applyFont="1" applyFill="1" applyBorder="1" applyAlignment="1">
      <alignment horizontal="right" wrapText="1"/>
    </xf>
    <xf numFmtId="0" fontId="14" fillId="6" borderId="19" xfId="0" applyNumberFormat="1" applyFont="1" applyFill="1" applyBorder="1" applyAlignment="1">
      <alignment horizontal="right" wrapText="1"/>
    </xf>
    <xf numFmtId="0" fontId="10" fillId="6" borderId="19" xfId="0" applyNumberFormat="1" applyFont="1" applyFill="1" applyBorder="1" applyAlignment="1">
      <alignment horizontal="right" vertical="top"/>
    </xf>
    <xf numFmtId="0" fontId="0" fillId="6" borderId="19" xfId="0" applyNumberFormat="1" applyFill="1" applyBorder="1" applyAlignment="1">
      <alignment horizontal="left" vertical="center" wrapText="1"/>
    </xf>
    <xf numFmtId="0" fontId="15" fillId="6" borderId="19" xfId="0" applyFont="1" applyFill="1" applyBorder="1" applyAlignment="1">
      <alignment horizontal="left" vertical="center" wrapText="1"/>
    </xf>
    <xf numFmtId="0" fontId="17" fillId="7" borderId="25" xfId="0" applyFont="1" applyFill="1" applyBorder="1" applyAlignment="1">
      <alignment vertical="center" wrapText="1"/>
    </xf>
    <xf numFmtId="0" fontId="12" fillId="9" borderId="26" xfId="0" applyFont="1" applyFill="1" applyBorder="1" applyAlignment="1">
      <alignment horizontal="left" wrapText="1"/>
    </xf>
    <xf numFmtId="0" fontId="13" fillId="9" borderId="19" xfId="0" applyNumberFormat="1" applyFont="1" applyFill="1" applyBorder="1" applyAlignment="1">
      <alignment horizontal="center" wrapText="1"/>
    </xf>
    <xf numFmtId="172" fontId="13" fillId="9" borderId="19" xfId="0" applyNumberFormat="1" applyFont="1" applyFill="1" applyBorder="1" applyAlignment="1">
      <alignment horizontal="center" wrapText="1"/>
    </xf>
    <xf numFmtId="172" fontId="12" fillId="9" borderId="27" xfId="0" applyNumberFormat="1" applyFont="1" applyFill="1" applyBorder="1" applyAlignment="1">
      <alignment horizontal="center" wrapText="1"/>
    </xf>
    <xf numFmtId="0" fontId="12" fillId="6" borderId="19" xfId="0" applyFont="1" applyFill="1" applyBorder="1"/>
    <xf numFmtId="0" fontId="13" fillId="0" borderId="28" xfId="0" applyFont="1" applyFill="1" applyBorder="1" applyAlignment="1">
      <alignment wrapText="1"/>
    </xf>
    <xf numFmtId="0" fontId="13" fillId="0" borderId="28" xfId="0" applyNumberFormat="1" applyFont="1" applyFill="1" applyBorder="1" applyAlignment="1">
      <alignment horizontal="center" wrapText="1"/>
    </xf>
    <xf numFmtId="172" fontId="13" fillId="0" borderId="28" xfId="0" applyNumberFormat="1" applyFont="1" applyFill="1" applyBorder="1" applyAlignment="1">
      <alignment horizontal="center" wrapText="1"/>
    </xf>
    <xf numFmtId="172" fontId="12" fillId="0" borderId="28" xfId="0" applyNumberFormat="1" applyFont="1" applyFill="1" applyBorder="1" applyAlignment="1">
      <alignment horizontal="center" wrapText="1"/>
    </xf>
    <xf numFmtId="0" fontId="12" fillId="0" borderId="19" xfId="0" applyFont="1" applyBorder="1"/>
    <xf numFmtId="172" fontId="12" fillId="9" borderId="26" xfId="0" applyNumberFormat="1" applyFont="1" applyFill="1" applyBorder="1" applyAlignment="1">
      <alignment wrapText="1"/>
    </xf>
    <xf numFmtId="0" fontId="12" fillId="9" borderId="19" xfId="0" applyNumberFormat="1" applyFont="1" applyFill="1" applyBorder="1" applyAlignment="1">
      <alignment horizontal="right" wrapText="1"/>
    </xf>
    <xf numFmtId="172" fontId="12" fillId="9" borderId="19" xfId="0" applyNumberFormat="1" applyFont="1" applyFill="1" applyBorder="1" applyAlignment="1">
      <alignment horizontal="right" wrapText="1"/>
    </xf>
    <xf numFmtId="172" fontId="12" fillId="9" borderId="27" xfId="0" applyNumberFormat="1" applyFont="1" applyFill="1" applyBorder="1" applyAlignment="1">
      <alignment horizontal="right" wrapText="1"/>
    </xf>
    <xf numFmtId="0" fontId="13" fillId="6" borderId="28" xfId="0" applyFont="1" applyFill="1" applyBorder="1" applyAlignment="1">
      <alignment wrapText="1"/>
    </xf>
    <xf numFmtId="172" fontId="13" fillId="0" borderId="28" xfId="0" applyNumberFormat="1" applyFont="1" applyFill="1" applyBorder="1" applyAlignment="1">
      <alignment horizontal="left" vertical="center" wrapText="1"/>
    </xf>
    <xf numFmtId="172" fontId="12" fillId="0" borderId="28" xfId="0" applyNumberFormat="1" applyFont="1" applyFill="1" applyBorder="1" applyAlignment="1">
      <alignment horizontal="right" wrapText="1"/>
    </xf>
    <xf numFmtId="172" fontId="18" fillId="7" borderId="31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/>
    <xf numFmtId="49" fontId="1" fillId="4" borderId="33" xfId="0" applyNumberFormat="1" applyFont="1" applyFill="1" applyBorder="1" applyAlignment="1"/>
    <xf numFmtId="49" fontId="1" fillId="5" borderId="32" xfId="0" applyNumberFormat="1" applyFont="1" applyFill="1" applyBorder="1" applyAlignment="1"/>
    <xf numFmtId="49" fontId="21" fillId="10" borderId="32" xfId="0" applyNumberFormat="1" applyFont="1" applyFill="1" applyBorder="1" applyAlignment="1">
      <alignment wrapText="1"/>
    </xf>
    <xf numFmtId="49" fontId="22" fillId="3" borderId="32" xfId="1" applyNumberFormat="1" applyFont="1" applyFill="1" applyBorder="1" applyAlignment="1" applyProtection="1">
      <alignment wrapText="1"/>
    </xf>
    <xf numFmtId="0" fontId="22" fillId="3" borderId="32" xfId="1" applyFont="1" applyFill="1" applyBorder="1" applyAlignment="1" applyProtection="1">
      <alignment wrapText="1"/>
    </xf>
    <xf numFmtId="0" fontId="23" fillId="3" borderId="19" xfId="0" applyFont="1" applyFill="1" applyBorder="1" applyAlignment="1"/>
    <xf numFmtId="0" fontId="23" fillId="3" borderId="21" xfId="0" applyFont="1" applyFill="1" applyBorder="1" applyAlignment="1"/>
    <xf numFmtId="0" fontId="23" fillId="0" borderId="0" xfId="0" applyNumberFormat="1" applyFont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0" fontId="0" fillId="0" borderId="19" xfId="0" applyNumberFormat="1" applyFont="1" applyBorder="1" applyAlignment="1"/>
    <xf numFmtId="49" fontId="25" fillId="10" borderId="1" xfId="0" applyNumberFormat="1" applyFont="1" applyFill="1" applyBorder="1" applyAlignment="1">
      <alignment wrapText="1"/>
    </xf>
    <xf numFmtId="0" fontId="26" fillId="3" borderId="11" xfId="0" applyNumberFormat="1" applyFont="1" applyFill="1" applyBorder="1" applyAlignment="1"/>
    <xf numFmtId="0" fontId="26" fillId="3" borderId="12" xfId="0" applyNumberFormat="1" applyFont="1" applyFill="1" applyBorder="1" applyAlignment="1">
      <alignment horizontal="center"/>
    </xf>
    <xf numFmtId="49" fontId="26" fillId="3" borderId="12" xfId="0" applyNumberFormat="1" applyFont="1" applyFill="1" applyBorder="1" applyAlignment="1">
      <alignment wrapText="1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28" fillId="5" borderId="7" xfId="0" applyNumberFormat="1" applyFont="1" applyFill="1" applyBorder="1" applyAlignment="1"/>
    <xf numFmtId="49" fontId="29" fillId="5" borderId="7" xfId="0" applyNumberFormat="1" applyFont="1" applyFill="1" applyBorder="1" applyAlignment="1"/>
    <xf numFmtId="49" fontId="30" fillId="5" borderId="7" xfId="0" applyNumberFormat="1" applyFont="1" applyFill="1" applyBorder="1" applyAlignment="1"/>
    <xf numFmtId="49" fontId="31" fillId="5" borderId="7" xfId="0" applyNumberFormat="1" applyFont="1" applyFill="1" applyBorder="1" applyAlignment="1"/>
    <xf numFmtId="0" fontId="0" fillId="3" borderId="36" xfId="0" applyNumberFormat="1" applyFont="1" applyFill="1" applyBorder="1" applyAlignment="1">
      <alignment horizontal="left"/>
    </xf>
    <xf numFmtId="0" fontId="0" fillId="3" borderId="37" xfId="0" applyNumberFormat="1" applyFont="1" applyFill="1" applyBorder="1" applyAlignment="1">
      <alignment horizontal="left"/>
    </xf>
    <xf numFmtId="49" fontId="32" fillId="5" borderId="7" xfId="0" applyNumberFormat="1" applyFont="1" applyFill="1" applyBorder="1" applyAlignment="1"/>
    <xf numFmtId="49" fontId="29" fillId="5" borderId="7" xfId="0" applyNumberFormat="1" applyFont="1" applyFill="1" applyBorder="1" applyAlignment="1">
      <alignment horizontal="right"/>
    </xf>
    <xf numFmtId="49" fontId="30" fillId="10" borderId="1" xfId="0" applyNumberFormat="1" applyFont="1" applyFill="1" applyBorder="1" applyAlignment="1">
      <alignment wrapText="1"/>
    </xf>
    <xf numFmtId="49" fontId="21" fillId="4" borderId="33" xfId="0" applyNumberFormat="1" applyFont="1" applyFill="1" applyBorder="1" applyAlignment="1"/>
    <xf numFmtId="49" fontId="20" fillId="3" borderId="32" xfId="1" applyNumberFormat="1" applyFill="1" applyBorder="1" applyAlignment="1" applyProtection="1">
      <alignment wrapText="1"/>
    </xf>
    <xf numFmtId="49" fontId="34" fillId="4" borderId="33" xfId="0" applyNumberFormat="1" applyFont="1" applyFill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/>
    <xf numFmtId="0" fontId="0" fillId="0" borderId="1" xfId="0" applyFont="1" applyBorder="1" applyAlignment="1"/>
    <xf numFmtId="49" fontId="1" fillId="0" borderId="1" xfId="0" applyNumberFormat="1" applyFont="1" applyBorder="1" applyAlignment="1"/>
    <xf numFmtId="49" fontId="27" fillId="3" borderId="2" xfId="0" applyNumberFormat="1" applyFont="1" applyFill="1" applyBorder="1" applyAlignment="1">
      <alignment horizontal="center" vertical="center"/>
    </xf>
    <xf numFmtId="49" fontId="27" fillId="3" borderId="3" xfId="0" applyNumberFormat="1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left"/>
    </xf>
    <xf numFmtId="3" fontId="0" fillId="3" borderId="35" xfId="0" applyNumberFormat="1" applyFill="1" applyBorder="1" applyAlignment="1">
      <alignment horizontal="left"/>
    </xf>
    <xf numFmtId="3" fontId="0" fillId="3" borderId="36" xfId="0" applyNumberFormat="1" applyFill="1" applyBorder="1" applyAlignment="1">
      <alignment horizontal="left"/>
    </xf>
    <xf numFmtId="3" fontId="0" fillId="3" borderId="37" xfId="0" applyNumberFormat="1" applyFont="1" applyFill="1" applyBorder="1" applyAlignment="1">
      <alignment horizontal="left"/>
    </xf>
    <xf numFmtId="0" fontId="0" fillId="3" borderId="36" xfId="0" applyNumberFormat="1" applyFill="1" applyBorder="1" applyAlignment="1">
      <alignment horizontal="left"/>
    </xf>
    <xf numFmtId="0" fontId="0" fillId="3" borderId="37" xfId="0" applyNumberFormat="1" applyFont="1" applyFill="1" applyBorder="1" applyAlignment="1">
      <alignment horizontal="left"/>
    </xf>
    <xf numFmtId="0" fontId="29" fillId="3" borderId="36" xfId="0" applyNumberFormat="1" applyFont="1" applyFill="1" applyBorder="1" applyAlignment="1">
      <alignment horizontal="left"/>
    </xf>
    <xf numFmtId="0" fontId="29" fillId="3" borderId="37" xfId="0" applyNumberFormat="1" applyFont="1" applyFill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9" xfId="0" applyNumberFormat="1" applyBorder="1" applyAlignment="1">
      <alignment horizontal="left"/>
    </xf>
    <xf numFmtId="3" fontId="32" fillId="3" borderId="34" xfId="0" applyNumberFormat="1" applyFont="1" applyFill="1" applyBorder="1" applyAlignment="1">
      <alignment horizontal="left"/>
    </xf>
    <xf numFmtId="3" fontId="32" fillId="3" borderId="35" xfId="0" applyNumberFormat="1" applyFont="1" applyFill="1" applyBorder="1" applyAlignment="1">
      <alignment horizontal="left"/>
    </xf>
    <xf numFmtId="49" fontId="33" fillId="5" borderId="40" xfId="0" applyNumberFormat="1" applyFont="1" applyFill="1" applyBorder="1" applyAlignment="1">
      <alignment horizontal="center"/>
    </xf>
    <xf numFmtId="49" fontId="33" fillId="5" borderId="41" xfId="0" applyNumberFormat="1" applyFont="1" applyFill="1" applyBorder="1" applyAlignment="1">
      <alignment horizontal="center"/>
    </xf>
    <xf numFmtId="49" fontId="33" fillId="5" borderId="37" xfId="0" applyNumberFormat="1" applyFont="1" applyFill="1" applyBorder="1" applyAlignment="1">
      <alignment horizontal="center"/>
    </xf>
    <xf numFmtId="0" fontId="31" fillId="3" borderId="36" xfId="0" applyNumberFormat="1" applyFont="1" applyFill="1" applyBorder="1" applyAlignment="1">
      <alignment horizontal="left"/>
    </xf>
    <xf numFmtId="0" fontId="31" fillId="3" borderId="37" xfId="0" applyNumberFormat="1" applyFont="1" applyFill="1" applyBorder="1" applyAlignment="1">
      <alignment horizontal="left"/>
    </xf>
    <xf numFmtId="3" fontId="30" fillId="3" borderId="34" xfId="0" applyNumberFormat="1" applyFont="1" applyFill="1" applyBorder="1" applyAlignment="1">
      <alignment horizontal="left"/>
    </xf>
    <xf numFmtId="3" fontId="30" fillId="3" borderId="35" xfId="0" applyNumberFormat="1" applyFont="1" applyFill="1" applyBorder="1" applyAlignment="1">
      <alignment horizontal="left"/>
    </xf>
    <xf numFmtId="3" fontId="29" fillId="3" borderId="34" xfId="0" applyNumberFormat="1" applyFont="1" applyFill="1" applyBorder="1" applyAlignment="1">
      <alignment horizontal="left"/>
    </xf>
    <xf numFmtId="3" fontId="29" fillId="3" borderId="35" xfId="0" applyNumberFormat="1" applyFont="1" applyFill="1" applyBorder="1" applyAlignment="1">
      <alignment horizontal="left"/>
    </xf>
    <xf numFmtId="0" fontId="32" fillId="3" borderId="36" xfId="0" applyNumberFormat="1" applyFont="1" applyFill="1" applyBorder="1" applyAlignment="1">
      <alignment horizontal="left"/>
    </xf>
    <xf numFmtId="0" fontId="32" fillId="3" borderId="37" xfId="0" applyNumberFormat="1" applyFont="1" applyFill="1" applyBorder="1" applyAlignment="1">
      <alignment horizontal="left"/>
    </xf>
    <xf numFmtId="49" fontId="27" fillId="5" borderId="40" xfId="0" applyNumberFormat="1" applyFont="1" applyFill="1" applyBorder="1" applyAlignment="1">
      <alignment horizontal="center"/>
    </xf>
    <xf numFmtId="49" fontId="27" fillId="5" borderId="41" xfId="0" applyNumberFormat="1" applyFont="1" applyFill="1" applyBorder="1" applyAlignment="1">
      <alignment horizontal="center"/>
    </xf>
    <xf numFmtId="49" fontId="27" fillId="5" borderId="3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9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left" vertical="center" wrapText="1"/>
    </xf>
    <xf numFmtId="0" fontId="16" fillId="7" borderId="24" xfId="0" applyFont="1" applyFill="1" applyBorder="1" applyAlignment="1">
      <alignment horizontal="left" vertical="center" wrapText="1"/>
    </xf>
    <xf numFmtId="0" fontId="16" fillId="7" borderId="25" xfId="0" applyFont="1" applyFill="1" applyBorder="1" applyAlignment="1">
      <alignment horizontal="left" vertical="center" wrapText="1"/>
    </xf>
    <xf numFmtId="0" fontId="0" fillId="6" borderId="19" xfId="0" applyFill="1" applyBorder="1" applyAlignment="1"/>
    <xf numFmtId="0" fontId="0" fillId="0" borderId="19" xfId="0" applyBorder="1" applyAlignment="1"/>
    <xf numFmtId="0" fontId="0" fillId="6" borderId="19" xfId="0" applyNumberFormat="1" applyFill="1" applyBorder="1" applyAlignment="1">
      <alignment horizontal="left" wrapText="1"/>
    </xf>
    <xf numFmtId="0" fontId="12" fillId="6" borderId="19" xfId="0" applyNumberFormat="1" applyFont="1" applyFill="1" applyBorder="1" applyAlignment="1">
      <alignment horizontal="left"/>
    </xf>
    <xf numFmtId="0" fontId="12" fillId="6" borderId="19" xfId="0" applyFont="1" applyFill="1" applyBorder="1" applyAlignment="1"/>
    <xf numFmtId="0" fontId="10" fillId="6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14" fontId="0" fillId="6" borderId="19" xfId="0" applyNumberFormat="1" applyFill="1" applyBorder="1" applyAlignment="1">
      <alignment horizontal="left"/>
    </xf>
    <xf numFmtId="172" fontId="13" fillId="0" borderId="23" xfId="0" applyNumberFormat="1" applyFont="1" applyFill="1" applyBorder="1" applyAlignment="1">
      <alignment wrapText="1"/>
    </xf>
    <xf numFmtId="0" fontId="13" fillId="0" borderId="24" xfId="0" applyFont="1" applyBorder="1" applyAlignment="1">
      <alignment wrapText="1"/>
    </xf>
    <xf numFmtId="172" fontId="18" fillId="7" borderId="29" xfId="0" applyNumberFormat="1" applyFont="1" applyFill="1" applyBorder="1" applyAlignment="1">
      <alignment horizontal="left" wrapText="1"/>
    </xf>
    <xf numFmtId="172" fontId="19" fillId="7" borderId="30" xfId="0" applyNumberFormat="1" applyFont="1" applyFill="1" applyBorder="1" applyAlignment="1">
      <alignment horizontal="left" wrapText="1"/>
    </xf>
    <xf numFmtId="0" fontId="16" fillId="8" borderId="26" xfId="0" applyFont="1" applyFill="1" applyBorder="1" applyAlignment="1">
      <alignment horizontal="left" wrapText="1"/>
    </xf>
    <xf numFmtId="0" fontId="16" fillId="8" borderId="19" xfId="0" applyFont="1" applyFill="1" applyBorder="1" applyAlignment="1">
      <alignment horizontal="left" wrapText="1"/>
    </xf>
    <xf numFmtId="0" fontId="16" fillId="8" borderId="27" xfId="0" applyFont="1" applyFill="1" applyBorder="1" applyAlignment="1">
      <alignment horizontal="left" wrapText="1"/>
    </xf>
    <xf numFmtId="0" fontId="12" fillId="9" borderId="26" xfId="0" applyFont="1" applyFill="1" applyBorder="1" applyAlignment="1">
      <alignment horizontal="left" wrapText="1"/>
    </xf>
    <xf numFmtId="0" fontId="13" fillId="9" borderId="19" xfId="0" applyFont="1" applyFill="1" applyBorder="1" applyAlignment="1">
      <alignment horizontal="left" wrapText="1"/>
    </xf>
    <xf numFmtId="172" fontId="12" fillId="0" borderId="23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49" fontId="24" fillId="3" borderId="2" xfId="0" applyNumberFormat="1" applyFont="1" applyFill="1" applyBorder="1" applyAlignment="1">
      <alignment horizontal="center" vertical="center"/>
    </xf>
    <xf numFmtId="49" fontId="27" fillId="3" borderId="4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44581B"/>
      <rgbColor rgb="FF385623"/>
      <rgbColor rgb="FF0000FF"/>
      <rgbColor rgb="FFF4F4F4"/>
      <rgbColor rgb="FFFFFFFF"/>
      <rgbColor rgb="FFAAAAAA"/>
      <rgbColor rgb="FFA5A5A5"/>
      <rgbColor rgb="FFBDC0BF"/>
      <rgbColor rgb="FFDBDBDB"/>
      <rgbColor rgb="FF3F3F3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1252523</xdr:rowOff>
    </xdr:from>
    <xdr:to>
      <xdr:col>5</xdr:col>
      <xdr:colOff>4881255</xdr:colOff>
      <xdr:row>0</xdr:row>
      <xdr:rowOff>1580814</xdr:rowOff>
    </xdr:to>
    <xdr:sp macro="" textlink="">
      <xdr:nvSpPr>
        <xdr:cNvPr id="2" name="Предварительная смета проведения закрытого мероприятия в вечерне- ночное время на форте РИФ."/>
        <xdr:cNvSpPr txBox="1"/>
      </xdr:nvSpPr>
      <xdr:spPr>
        <a:xfrm>
          <a:off x="0" y="1252523"/>
          <a:ext cx="12646035" cy="32829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6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Предварительная смета</a:t>
          </a:r>
          <a:r>
            <a:rPr lang="ru-RU" sz="1600" b="1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(себестоимость) музыкального арт-перформанса "Белые ночи Ксикрика" (сезон лето 2024г.) </a:t>
          </a:r>
          <a:endParaRPr sz="1600" b="1" i="0" u="none" strike="noStrike" cap="none" spc="0" baseline="0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0</xdr:col>
      <xdr:colOff>1186067</xdr:colOff>
      <xdr:row>0</xdr:row>
      <xdr:rowOff>419773</xdr:rowOff>
    </xdr:from>
    <xdr:to>
      <xdr:col>5</xdr:col>
      <xdr:colOff>14470</xdr:colOff>
      <xdr:row>0</xdr:row>
      <xdr:rowOff>1144455</xdr:rowOff>
    </xdr:to>
    <xdr:sp macro="" textlink="">
      <xdr:nvSpPr>
        <xdr:cNvPr id="4" name="ОБЩЕСТВО С ОГРАНИЧЕННОЙ ОТВЕТСТВЕННОСТЬЮ «НАФ»…"/>
        <xdr:cNvSpPr txBox="1"/>
      </xdr:nvSpPr>
      <xdr:spPr>
        <a:xfrm>
          <a:off x="1186067" y="419773"/>
          <a:ext cx="6593183" cy="72468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indent="0" algn="ctr" defTabSz="449580" latinLnBrk="0">
            <a:lnSpc>
              <a:spcPct val="115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defRPr sz="1000" b="0" i="0" u="none" strike="noStrike" cap="none" spc="13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defRPr>
          </a:pPr>
          <a:r>
            <a:rPr lang="ru-RU" sz="1000" b="0" i="0" u="none" strike="noStrike" cap="none" spc="13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rPr>
            <a:t>Индивидуальный Предприниматель Боровеснкий Д.С.</a:t>
          </a:r>
          <a:endParaRPr sz="1000" b="0" i="0" u="none" strike="noStrike" cap="none" spc="130" baseline="0">
            <a:solidFill>
              <a:srgbClr val="44581B"/>
            </a:solidFill>
            <a:uFill>
              <a:solidFill>
                <a:srgbClr val="44581B"/>
              </a:solidFill>
            </a:uFill>
            <a:latin typeface="Georgia"/>
            <a:ea typeface="Georgia"/>
            <a:cs typeface="Georgia"/>
            <a:sym typeface="Georgia"/>
          </a:endParaRPr>
        </a:p>
        <a:p>
          <a:pPr marL="0" marR="0" indent="0" algn="ctr" defTabSz="449580" latinLnBrk="0">
            <a:lnSpc>
              <a:spcPct val="115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defRPr sz="1000" b="0" i="1" u="none" strike="noStrike" cap="none" spc="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defRPr>
          </a:pPr>
          <a:r>
            <a:rPr lang="ru-RU" sz="1000" b="0" i="1" u="none" strike="noStrike" cap="none" spc="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rPr>
            <a:t>г. </a:t>
          </a:r>
          <a:r>
            <a:rPr sz="1000" b="0" i="1" u="none" strike="noStrike" cap="none" spc="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rPr>
            <a:t>Санкт-Петербург</a:t>
          </a:r>
          <a:endParaRPr sz="800" b="0" i="1" u="none" strike="noStrike" cap="none" spc="0" baseline="0">
            <a:solidFill>
              <a:srgbClr val="44581B"/>
            </a:solidFill>
            <a:uFill>
              <a:solidFill>
                <a:srgbClr val="44581B"/>
              </a:solidFill>
            </a:uFill>
            <a:latin typeface="Georgia"/>
            <a:ea typeface="Georgia"/>
            <a:cs typeface="Georgia"/>
            <a:sym typeface="Georgia"/>
          </a:endParaRPr>
        </a:p>
        <a:p>
          <a:pPr marL="0" marR="0" indent="0" algn="ctr" defTabSz="449580" eaLnBrk="1" fontAlgn="auto" latinLnBrk="0" hangingPunct="1">
            <a:lnSpc>
              <a:spcPct val="110000"/>
            </a:lnSpc>
            <a:spcBef>
              <a:spcPts val="100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defRPr>
          </a:pPr>
          <a:r>
            <a:rPr lang="ru-RU" sz="800" b="0" i="0" u="none" strike="noStrike" cap="none" spc="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rPr>
            <a:t>тел.. 8-921-977-21-03</a:t>
          </a:r>
          <a:r>
            <a:rPr sz="800" b="0" i="0" u="none" strike="noStrike" cap="none" spc="0" baseline="0">
              <a:solidFill>
                <a:srgbClr val="44581B"/>
              </a:solidFill>
              <a:uFill>
                <a:solidFill>
                  <a:srgbClr val="44581B"/>
                </a:solidFill>
              </a:uFill>
              <a:latin typeface="Georgia"/>
              <a:ea typeface="Georgia"/>
              <a:cs typeface="Georgia"/>
              <a:sym typeface="Georgia"/>
            </a:rPr>
            <a:t>,</a:t>
          </a:r>
          <a:r>
            <a:rPr sz="800" b="0" i="0" u="none" strike="noStrike" cap="none" spc="0" baseline="0">
              <a:solidFill>
                <a:srgbClr val="385623"/>
              </a:solidFill>
              <a:uFill>
                <a:solidFill>
                  <a:srgbClr val="385623"/>
                </a:solidFill>
              </a:uFill>
              <a:latin typeface="Georgia"/>
              <a:ea typeface="Georgia"/>
              <a:cs typeface="Georgia"/>
              <a:sym typeface="Georgia"/>
            </a:rPr>
            <a:t> </a:t>
          </a:r>
          <a:r>
            <a:rPr lang="en-US" sz="800" b="0" i="0" u="none" strike="noStrike" cap="none" spc="0" baseline="0">
              <a:solidFill>
                <a:srgbClr val="385623"/>
              </a:solidFill>
              <a:uFill>
                <a:solidFill>
                  <a:srgbClr val="385623"/>
                </a:solidFill>
              </a:uFill>
              <a:latin typeface="Georgia"/>
              <a:ea typeface="Georgia"/>
              <a:cs typeface="Georgia"/>
              <a:sym typeface="Georgia"/>
            </a:rPr>
            <a:t>e-mail</a:t>
          </a:r>
          <a:r>
            <a:rPr lang="ru-RU" sz="800" b="0" i="0" u="none" strike="noStrike" cap="none" spc="0" baseline="0">
              <a:solidFill>
                <a:srgbClr val="385623"/>
              </a:solidFill>
              <a:uFill>
                <a:solidFill>
                  <a:srgbClr val="385623"/>
                </a:solidFill>
              </a:uFill>
              <a:latin typeface="Georgia"/>
              <a:ea typeface="Georgia"/>
              <a:cs typeface="Georgia"/>
              <a:sym typeface="Georgia"/>
            </a:rPr>
            <a:t>: </a:t>
          </a:r>
          <a:r>
            <a:rPr lang="en-US" sz="800" b="1" i="0" u="sng" strike="noStrike" cap="none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  <a:sym typeface="Georgia"/>
            </a:rPr>
            <a:t>helsichenet@gmail.com</a:t>
          </a:r>
          <a:r>
            <a:rPr lang="ru-RU" sz="800" b="1" i="0" u="sng" strike="noStrike" cap="none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  <a:sym typeface="Georgia"/>
            </a:rPr>
            <a:t> </a:t>
          </a:r>
          <a:r>
            <a:rPr lang="ru-RU" sz="800" b="0" i="0" u="sng" strike="noStrike" cap="none" spc="0" baseline="0">
              <a:solidFill>
                <a:schemeClr val="accent1">
                  <a:lumMod val="75000"/>
                </a:schemeClr>
              </a:solidFill>
              <a:uFill>
                <a:solidFill>
                  <a:srgbClr val="0000FF"/>
                </a:solidFill>
              </a:uFill>
              <a:latin typeface="Georgia"/>
              <a:ea typeface="+mn-ea"/>
              <a:cs typeface="+mn-cs"/>
              <a:sym typeface="Georgia"/>
            </a:rPr>
            <a:t> </a:t>
          </a:r>
          <a:endParaRPr lang="en-US" sz="800" b="1" i="0" u="sng" strike="noStrike" cap="none" baseline="0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  <a:sym typeface="Georgi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9260" y="83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09260" y="838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7iAv/cXHVmpx2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disk.yandex.ru/d/0tyQaPwaM6KIWA" TargetMode="External"/><Relationship Id="rId7" Type="http://schemas.openxmlformats.org/officeDocument/2006/relationships/hyperlink" Target="https://disk.yandex.ru/i/QpThSWTz1KzivQ" TargetMode="External"/><Relationship Id="rId12" Type="http://schemas.openxmlformats.org/officeDocument/2006/relationships/hyperlink" Target="https://disk.yandex.ru/i/M0SB8295K3G5kA" TargetMode="External"/><Relationship Id="rId2" Type="http://schemas.openxmlformats.org/officeDocument/2006/relationships/hyperlink" Target="https://disk.yandex.ru/d/NQjfPPZRnyGNFg" TargetMode="External"/><Relationship Id="rId1" Type="http://schemas.openxmlformats.org/officeDocument/2006/relationships/hyperlink" Target="https://disk.yandex.ru/d/gZ2WXNirEVmkUQ" TargetMode="External"/><Relationship Id="rId6" Type="http://schemas.openxmlformats.org/officeDocument/2006/relationships/hyperlink" Target="https://youtu.be/0Z9SISSx9NM" TargetMode="External"/><Relationship Id="rId11" Type="http://schemas.openxmlformats.org/officeDocument/2006/relationships/hyperlink" Target="https://disk.yandex.ru/d/Y9OAEYv1V-8CpA" TargetMode="External"/><Relationship Id="rId5" Type="http://schemas.openxmlformats.org/officeDocument/2006/relationships/hyperlink" Target="https://disk.yandex.ru/d/5HDx9b-hUi5TfQ" TargetMode="External"/><Relationship Id="rId10" Type="http://schemas.openxmlformats.org/officeDocument/2006/relationships/hyperlink" Target="https://disk.yandex.ru/d/VPvZ5jsJ3424Yw" TargetMode="External"/><Relationship Id="rId4" Type="http://schemas.openxmlformats.org/officeDocument/2006/relationships/hyperlink" Target="https://disk.yandex.ru/d/yO_3IazqkI08Qg" TargetMode="External"/><Relationship Id="rId9" Type="http://schemas.openxmlformats.org/officeDocument/2006/relationships/hyperlink" Target="https://disk.yandex.ru/d/De5UWrAy8eQ57Q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video-83057046_456239271" TargetMode="External"/><Relationship Id="rId13" Type="http://schemas.openxmlformats.org/officeDocument/2006/relationships/hyperlink" Target="https://disk.yandex.ru/d/KHp0_T7jooWmGQ" TargetMode="External"/><Relationship Id="rId18" Type="http://schemas.openxmlformats.org/officeDocument/2006/relationships/hyperlink" Target="https://www.youtube.com/watch?v=IGOLQauE_TM" TargetMode="External"/><Relationship Id="rId26" Type="http://schemas.openxmlformats.org/officeDocument/2006/relationships/hyperlink" Target="https://www.youtube.com/watch?v=RESH8987rNg" TargetMode="External"/><Relationship Id="rId3" Type="http://schemas.openxmlformats.org/officeDocument/2006/relationships/hyperlink" Target="https://www.youtube.com/watch?v=lRzhJdHDVmg" TargetMode="External"/><Relationship Id="rId21" Type="http://schemas.openxmlformats.org/officeDocument/2006/relationships/hyperlink" Target="https://www.youtube.com/watch?v=F87PHgn1f3A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s://www.youtube.com/watch?v=aZvDhFcT8yA" TargetMode="External"/><Relationship Id="rId12" Type="http://schemas.openxmlformats.org/officeDocument/2006/relationships/hyperlink" Target="https://vk.com/video-231812_172020392" TargetMode="External"/><Relationship Id="rId17" Type="http://schemas.openxmlformats.org/officeDocument/2006/relationships/hyperlink" Target="https://www.youtube.com/watch?v=pX2NgZr-Eaw" TargetMode="External"/><Relationship Id="rId25" Type="http://schemas.openxmlformats.org/officeDocument/2006/relationships/hyperlink" Target="https://www.youtube.com/watch?v=83lQhosliEE" TargetMode="External"/><Relationship Id="rId33" Type="http://schemas.openxmlformats.org/officeDocument/2006/relationships/hyperlink" Target="https://vk.com/video369442786_456239189" TargetMode="External"/><Relationship Id="rId2" Type="http://schemas.openxmlformats.org/officeDocument/2006/relationships/hyperlink" Target="https://vk.com/video211601799_456242003" TargetMode="External"/><Relationship Id="rId16" Type="http://schemas.openxmlformats.org/officeDocument/2006/relationships/hyperlink" Target="https://www.youtube.com/watch?v=dFUijgi-b88" TargetMode="External"/><Relationship Id="rId20" Type="http://schemas.openxmlformats.org/officeDocument/2006/relationships/hyperlink" Target="https://www.youtube.com/watch?v=tVrhivR8rbk" TargetMode="External"/><Relationship Id="rId29" Type="http://schemas.openxmlformats.org/officeDocument/2006/relationships/hyperlink" Target="https://www.youtube.com/watch?v=rLtb1reaMqg" TargetMode="External"/><Relationship Id="rId1" Type="http://schemas.openxmlformats.org/officeDocument/2006/relationships/hyperlink" Target="https://www.youtube.com/channel/UCG3IbwlgS-GkEsWKFxye8QA" TargetMode="External"/><Relationship Id="rId6" Type="http://schemas.openxmlformats.org/officeDocument/2006/relationships/hyperlink" Target="https://www.youtube.com/watch?v=Y2fVvL6wS54" TargetMode="External"/><Relationship Id="rId11" Type="http://schemas.openxmlformats.org/officeDocument/2006/relationships/hyperlink" Target="https://www.youtube.com/watch?v=TGMcW6_M198" TargetMode="External"/><Relationship Id="rId24" Type="http://schemas.openxmlformats.org/officeDocument/2006/relationships/hyperlink" Target="https://vk.com/video-208448593_456239046" TargetMode="External"/><Relationship Id="rId32" Type="http://schemas.openxmlformats.org/officeDocument/2006/relationships/hyperlink" Target="https://vk.com/video-31731517_456239843" TargetMode="External"/><Relationship Id="rId5" Type="http://schemas.openxmlformats.org/officeDocument/2006/relationships/hyperlink" Target="https://www.youtube.com/watch?v=Rs41dQifN8k" TargetMode="External"/><Relationship Id="rId15" Type="http://schemas.openxmlformats.org/officeDocument/2006/relationships/hyperlink" Target="https://www.youtube.com/watch?v=mTw7ikwfTf4" TargetMode="External"/><Relationship Id="rId23" Type="http://schemas.openxmlformats.org/officeDocument/2006/relationships/hyperlink" Target="https://vk.com/gunsnrosestribute?ysclid=lm69dfko9b823637457&amp;z=video-64491036_456239109%2Fvideos-64491036%2Fpl_-64491036_-2" TargetMode="External"/><Relationship Id="rId28" Type="http://schemas.openxmlformats.org/officeDocument/2006/relationships/hyperlink" Target="https://www.youtube.com/watch?v=pql02qmSeiM" TargetMode="External"/><Relationship Id="rId10" Type="http://schemas.openxmlformats.org/officeDocument/2006/relationships/hyperlink" Target="https://www.youtube.com/watch?v=Xpg-PbYVCGo" TargetMode="External"/><Relationship Id="rId19" Type="http://schemas.openxmlformats.org/officeDocument/2006/relationships/hyperlink" Target="https://www.youtube.com/watch?v=SamxJy57KJM" TargetMode="External"/><Relationship Id="rId31" Type="http://schemas.openxmlformats.org/officeDocument/2006/relationships/hyperlink" Target="https://www.youtube.com/watch?v=iPRx4pPHDZ0" TargetMode="External"/><Relationship Id="rId4" Type="http://schemas.openxmlformats.org/officeDocument/2006/relationships/hyperlink" Target="https://www.youtube.com/watch?v=EFDfmGmGWNs" TargetMode="External"/><Relationship Id="rId9" Type="http://schemas.openxmlformats.org/officeDocument/2006/relationships/hyperlink" Target="https://www.youtube.com/watch?v=DsM8P5XhLt0" TargetMode="External"/><Relationship Id="rId14" Type="http://schemas.openxmlformats.org/officeDocument/2006/relationships/hyperlink" Target="https://vk.com/video-67032046_456239183" TargetMode="External"/><Relationship Id="rId22" Type="http://schemas.openxmlformats.org/officeDocument/2006/relationships/hyperlink" Target="https://www.youtube.com/watch?v=BgOlGwQEXPk&amp;list=PLKL9JnklpHQuvSlO8bMOGqoQ4aXQ9A6Z6&amp;index=2" TargetMode="External"/><Relationship Id="rId27" Type="http://schemas.openxmlformats.org/officeDocument/2006/relationships/hyperlink" Target="https://www.youtube.com/watch?v=1_HWxbKKnjk" TargetMode="External"/><Relationship Id="rId30" Type="http://schemas.openxmlformats.org/officeDocument/2006/relationships/hyperlink" Target="https://www.youtube.com/watch?v=S0U4i7pN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workbookViewId="0">
      <selection activeCell="A33" sqref="A33"/>
    </sheetView>
  </sheetViews>
  <sheetFormatPr defaultColWidth="9" defaultRowHeight="12" customHeight="1"/>
  <cols>
    <col min="1" max="1" width="70.33203125" style="1" customWidth="1"/>
    <col min="2" max="2" width="11.5546875" style="1" customWidth="1"/>
    <col min="3" max="3" width="13.77734375" style="1" customWidth="1"/>
    <col min="4" max="4" width="14.88671875" style="1" customWidth="1"/>
    <col min="5" max="5" width="17.21875" style="1" customWidth="1"/>
    <col min="6" max="6" width="78" style="1" customWidth="1"/>
    <col min="7" max="7" width="9" style="1" customWidth="1"/>
    <col min="8" max="16384" width="9" style="1"/>
  </cols>
  <sheetData>
    <row r="1" spans="1:6" ht="141" customHeight="1"/>
    <row r="2" spans="1:6" ht="15.9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63.45" customHeight="1">
      <c r="A3" s="4" t="s">
        <v>859</v>
      </c>
      <c r="B3" s="5">
        <v>1</v>
      </c>
      <c r="C3" s="3" t="s">
        <v>6</v>
      </c>
      <c r="D3" s="6">
        <v>300000</v>
      </c>
      <c r="E3" s="6">
        <f>B3*D3</f>
        <v>300000</v>
      </c>
      <c r="F3" s="4" t="s">
        <v>675</v>
      </c>
    </row>
    <row r="4" spans="1:6" ht="24.3" customHeight="1">
      <c r="A4" s="4"/>
      <c r="B4" s="7"/>
      <c r="C4" s="3"/>
      <c r="D4" s="6"/>
      <c r="E4" s="8">
        <f>E3</f>
        <v>300000</v>
      </c>
      <c r="F4" s="4"/>
    </row>
    <row r="5" spans="1:6" ht="15.9" customHeight="1">
      <c r="A5" s="138" t="s">
        <v>7</v>
      </c>
      <c r="B5" s="139"/>
      <c r="C5" s="139"/>
      <c r="D5" s="139"/>
      <c r="E5" s="139"/>
      <c r="F5" s="139"/>
    </row>
    <row r="6" spans="1:6" ht="15.9" customHeight="1">
      <c r="A6" s="3" t="s">
        <v>8</v>
      </c>
      <c r="B6" s="5">
        <v>580</v>
      </c>
      <c r="C6" s="3" t="s">
        <v>9</v>
      </c>
      <c r="D6" s="6">
        <v>1600</v>
      </c>
      <c r="E6" s="6">
        <f t="shared" ref="E6:E11" si="0">B6*D6</f>
        <v>928000</v>
      </c>
      <c r="F6" s="136" t="s">
        <v>842</v>
      </c>
    </row>
    <row r="7" spans="1:6" ht="15.9" customHeight="1">
      <c r="A7" s="3" t="s">
        <v>10</v>
      </c>
      <c r="B7" s="5">
        <v>20</v>
      </c>
      <c r="C7" s="3" t="s">
        <v>9</v>
      </c>
      <c r="D7" s="5">
        <v>4400</v>
      </c>
      <c r="E7" s="6">
        <f t="shared" si="0"/>
        <v>88000</v>
      </c>
      <c r="F7" s="3"/>
    </row>
    <row r="8" spans="1:6" ht="33" customHeight="1">
      <c r="A8" s="70" t="s">
        <v>630</v>
      </c>
      <c r="B8" s="7">
        <v>15</v>
      </c>
      <c r="C8" s="70" t="s">
        <v>9</v>
      </c>
      <c r="D8" s="7">
        <v>32670</v>
      </c>
      <c r="E8" s="6">
        <f t="shared" si="0"/>
        <v>490050</v>
      </c>
      <c r="F8" s="4" t="s">
        <v>651</v>
      </c>
    </row>
    <row r="9" spans="1:6" ht="15.9" customHeight="1">
      <c r="A9" s="3" t="s">
        <v>12</v>
      </c>
      <c r="B9" s="5">
        <v>1</v>
      </c>
      <c r="C9" s="3" t="s">
        <v>9</v>
      </c>
      <c r="D9" s="5">
        <v>6600</v>
      </c>
      <c r="E9" s="6">
        <f t="shared" si="0"/>
        <v>6600</v>
      </c>
      <c r="F9" s="3"/>
    </row>
    <row r="10" spans="1:6" ht="15.9" customHeight="1">
      <c r="A10" s="3" t="s">
        <v>13</v>
      </c>
      <c r="B10" s="10">
        <v>2</v>
      </c>
      <c r="C10" s="3" t="s">
        <v>11</v>
      </c>
      <c r="D10" s="5">
        <v>5000</v>
      </c>
      <c r="E10" s="6">
        <f t="shared" si="0"/>
        <v>10000</v>
      </c>
      <c r="F10" s="3"/>
    </row>
    <row r="11" spans="1:6" s="68" customFormat="1" ht="15.9" customHeight="1">
      <c r="A11" s="114" t="s">
        <v>649</v>
      </c>
      <c r="B11" s="5">
        <v>1</v>
      </c>
      <c r="C11" s="70" t="s">
        <v>11</v>
      </c>
      <c r="D11" s="6">
        <v>1292500</v>
      </c>
      <c r="E11" s="6">
        <f t="shared" si="0"/>
        <v>1292500</v>
      </c>
      <c r="F11" s="70" t="s">
        <v>650</v>
      </c>
    </row>
    <row r="12" spans="1:6" ht="15.9" customHeight="1">
      <c r="A12" s="3" t="s">
        <v>14</v>
      </c>
      <c r="B12" s="7"/>
      <c r="C12" s="7"/>
      <c r="D12" s="6"/>
      <c r="E12" s="8">
        <f>SUM(E6:E11)</f>
        <v>2815150</v>
      </c>
      <c r="F12" s="7"/>
    </row>
    <row r="13" spans="1:6" ht="15.9" customHeight="1">
      <c r="A13" s="7"/>
      <c r="B13" s="7"/>
      <c r="C13" s="7"/>
      <c r="D13" s="6"/>
      <c r="E13" s="8"/>
      <c r="F13" s="7"/>
    </row>
    <row r="14" spans="1:6" ht="15.9" customHeight="1">
      <c r="A14" s="140" t="s">
        <v>15</v>
      </c>
      <c r="B14" s="139"/>
      <c r="C14" s="139"/>
      <c r="D14" s="139"/>
      <c r="E14" s="139"/>
      <c r="F14" s="139"/>
    </row>
    <row r="15" spans="1:6" ht="44.4" customHeight="1">
      <c r="A15" s="137" t="s">
        <v>853</v>
      </c>
      <c r="B15" s="5">
        <v>1</v>
      </c>
      <c r="C15" s="3" t="s">
        <v>16</v>
      </c>
      <c r="D15" s="5">
        <v>3737000</v>
      </c>
      <c r="E15" s="6">
        <f>B15*D15</f>
        <v>3737000</v>
      </c>
      <c r="F15" s="4" t="s">
        <v>852</v>
      </c>
    </row>
    <row r="16" spans="1:6" ht="15.9" customHeight="1">
      <c r="A16" s="7"/>
      <c r="B16" s="7"/>
      <c r="C16" s="7"/>
      <c r="D16" s="6"/>
      <c r="E16" s="8">
        <f>E15</f>
        <v>3737000</v>
      </c>
      <c r="F16" s="7"/>
    </row>
    <row r="17" spans="1:6" ht="15.9" customHeight="1">
      <c r="A17" s="140" t="s">
        <v>17</v>
      </c>
      <c r="B17" s="139"/>
      <c r="C17" s="139"/>
      <c r="D17" s="139"/>
      <c r="E17" s="139"/>
      <c r="F17" s="139"/>
    </row>
    <row r="18" spans="1:6" ht="15.9" customHeight="1">
      <c r="A18" s="3" t="s">
        <v>18</v>
      </c>
      <c r="B18" s="5">
        <v>2</v>
      </c>
      <c r="C18" s="69" t="s">
        <v>580</v>
      </c>
      <c r="D18" s="6">
        <v>50000</v>
      </c>
      <c r="E18" s="6">
        <v>100000</v>
      </c>
      <c r="F18" s="6" t="s">
        <v>583</v>
      </c>
    </row>
    <row r="19" spans="1:6" s="68" customFormat="1" ht="15.9" customHeight="1">
      <c r="A19" s="69" t="s">
        <v>19</v>
      </c>
      <c r="B19" s="5">
        <v>1</v>
      </c>
      <c r="C19" s="69" t="s">
        <v>6</v>
      </c>
      <c r="D19" s="6">
        <v>11000</v>
      </c>
      <c r="E19" s="6">
        <f>B19*D19</f>
        <v>11000</v>
      </c>
      <c r="F19" s="6"/>
    </row>
    <row r="20" spans="1:6" ht="15.9" customHeight="1">
      <c r="A20" s="69" t="s">
        <v>582</v>
      </c>
      <c r="B20" s="5">
        <v>15</v>
      </c>
      <c r="C20" s="3" t="s">
        <v>6</v>
      </c>
      <c r="D20" s="6">
        <v>7370</v>
      </c>
      <c r="E20" s="6">
        <f t="shared" ref="E20:E35" si="1">B20*D20</f>
        <v>110550</v>
      </c>
      <c r="F20" s="6" t="s">
        <v>583</v>
      </c>
    </row>
    <row r="21" spans="1:6" ht="30" customHeight="1">
      <c r="A21" s="3" t="s">
        <v>20</v>
      </c>
      <c r="B21" s="5">
        <v>1</v>
      </c>
      <c r="C21" s="3" t="s">
        <v>6</v>
      </c>
      <c r="D21" s="6">
        <v>100000</v>
      </c>
      <c r="E21" s="6">
        <f t="shared" si="1"/>
        <v>100000</v>
      </c>
      <c r="F21" s="4" t="s">
        <v>21</v>
      </c>
    </row>
    <row r="22" spans="1:6" ht="30" customHeight="1">
      <c r="A22" s="113" t="s">
        <v>673</v>
      </c>
      <c r="B22" s="5">
        <v>1</v>
      </c>
      <c r="C22" s="3" t="s">
        <v>6</v>
      </c>
      <c r="D22" s="6">
        <v>300000</v>
      </c>
      <c r="E22" s="6">
        <f t="shared" si="1"/>
        <v>300000</v>
      </c>
      <c r="F22" s="4" t="s">
        <v>672</v>
      </c>
    </row>
    <row r="23" spans="1:6" s="68" customFormat="1" ht="30" customHeight="1">
      <c r="A23" s="69" t="s">
        <v>584</v>
      </c>
      <c r="B23" s="5">
        <v>1</v>
      </c>
      <c r="C23" s="69" t="s">
        <v>6</v>
      </c>
      <c r="D23" s="6">
        <v>80000</v>
      </c>
      <c r="E23" s="6">
        <f t="shared" si="1"/>
        <v>80000</v>
      </c>
      <c r="F23" s="4" t="s">
        <v>589</v>
      </c>
    </row>
    <row r="24" spans="1:6" s="68" customFormat="1" ht="30" customHeight="1">
      <c r="A24" s="69" t="s">
        <v>588</v>
      </c>
      <c r="B24" s="5">
        <v>4</v>
      </c>
      <c r="C24" s="69" t="s">
        <v>6</v>
      </c>
      <c r="D24" s="6">
        <v>250000</v>
      </c>
      <c r="E24" s="6">
        <f>B24*D24</f>
        <v>1000000</v>
      </c>
      <c r="F24" s="4" t="s">
        <v>590</v>
      </c>
    </row>
    <row r="25" spans="1:6" s="68" customFormat="1" ht="30" customHeight="1">
      <c r="A25" s="4" t="s">
        <v>668</v>
      </c>
      <c r="B25" s="5">
        <v>13</v>
      </c>
      <c r="C25" s="104" t="s">
        <v>580</v>
      </c>
      <c r="D25" s="6">
        <v>14620</v>
      </c>
      <c r="E25" s="6">
        <f>B25*D25</f>
        <v>190060</v>
      </c>
      <c r="F25" s="4" t="s">
        <v>669</v>
      </c>
    </row>
    <row r="26" spans="1:6" s="68" customFormat="1" ht="30" customHeight="1">
      <c r="A26" s="135" t="s">
        <v>692</v>
      </c>
      <c r="B26" s="5">
        <v>8</v>
      </c>
      <c r="C26" s="70" t="s">
        <v>580</v>
      </c>
      <c r="D26" s="6">
        <v>5500</v>
      </c>
      <c r="E26" s="6">
        <f>B26*D26</f>
        <v>44000</v>
      </c>
      <c r="F26" s="4" t="s">
        <v>690</v>
      </c>
    </row>
    <row r="27" spans="1:6" s="68" customFormat="1" ht="30" customHeight="1">
      <c r="A27" s="135" t="s">
        <v>693</v>
      </c>
      <c r="B27" s="5">
        <v>8</v>
      </c>
      <c r="C27" s="135" t="s">
        <v>580</v>
      </c>
      <c r="D27" s="6">
        <v>25000</v>
      </c>
      <c r="E27" s="6">
        <f>B27*D27</f>
        <v>200000</v>
      </c>
      <c r="F27" s="4" t="s">
        <v>841</v>
      </c>
    </row>
    <row r="28" spans="1:6" ht="30" customHeight="1">
      <c r="A28" s="136" t="s">
        <v>840</v>
      </c>
      <c r="B28" s="5">
        <v>1</v>
      </c>
      <c r="C28" s="70" t="s">
        <v>580</v>
      </c>
      <c r="D28" s="6">
        <v>30000</v>
      </c>
      <c r="E28" s="6">
        <f>B28*D28</f>
        <v>30000</v>
      </c>
      <c r="F28" s="4" t="s">
        <v>839</v>
      </c>
    </row>
    <row r="29" spans="1:6" ht="15.9" customHeight="1">
      <c r="A29" s="3" t="s">
        <v>23</v>
      </c>
      <c r="B29" s="5">
        <v>5</v>
      </c>
      <c r="C29" s="3" t="s">
        <v>24</v>
      </c>
      <c r="D29" s="6">
        <v>4400</v>
      </c>
      <c r="E29" s="6">
        <f t="shared" si="1"/>
        <v>22000</v>
      </c>
      <c r="F29" s="6"/>
    </row>
    <row r="30" spans="1:6" ht="15.9" customHeight="1">
      <c r="A30" s="3" t="s">
        <v>25</v>
      </c>
      <c r="B30" s="5">
        <v>1</v>
      </c>
      <c r="C30" s="3" t="s">
        <v>6</v>
      </c>
      <c r="D30" s="6">
        <v>30000</v>
      </c>
      <c r="E30" s="6">
        <f t="shared" si="1"/>
        <v>30000</v>
      </c>
      <c r="F30" s="3"/>
    </row>
    <row r="31" spans="1:6" s="68" customFormat="1" ht="15.9" customHeight="1">
      <c r="A31" s="120" t="s">
        <v>27</v>
      </c>
      <c r="B31" s="5">
        <v>8</v>
      </c>
      <c r="C31" s="120" t="s">
        <v>22</v>
      </c>
      <c r="D31" s="6">
        <v>4400</v>
      </c>
      <c r="E31" s="6">
        <f>B31*D31</f>
        <v>35200</v>
      </c>
      <c r="F31" s="7"/>
    </row>
    <row r="32" spans="1:6" ht="48" customHeight="1">
      <c r="A32" s="122" t="s">
        <v>705</v>
      </c>
      <c r="B32" s="5">
        <v>1</v>
      </c>
      <c r="C32" s="120" t="s">
        <v>6</v>
      </c>
      <c r="D32" s="6">
        <v>10385</v>
      </c>
      <c r="E32" s="6">
        <f t="shared" si="1"/>
        <v>10385</v>
      </c>
      <c r="F32" s="4" t="s">
        <v>851</v>
      </c>
    </row>
    <row r="33" spans="1:6" ht="30" customHeight="1">
      <c r="A33" s="4" t="s">
        <v>28</v>
      </c>
      <c r="B33" s="5">
        <v>4</v>
      </c>
      <c r="C33" s="3" t="s">
        <v>6</v>
      </c>
      <c r="D33" s="6">
        <v>5000</v>
      </c>
      <c r="E33" s="6">
        <f t="shared" si="1"/>
        <v>20000</v>
      </c>
      <c r="F33" s="3"/>
    </row>
    <row r="34" spans="1:6" s="68" customFormat="1" ht="15.9" customHeight="1">
      <c r="A34" s="69" t="s">
        <v>29</v>
      </c>
      <c r="B34" s="5">
        <v>4</v>
      </c>
      <c r="C34" s="69" t="s">
        <v>6</v>
      </c>
      <c r="D34" s="6">
        <v>5000</v>
      </c>
      <c r="E34" s="6">
        <f>B34*D34</f>
        <v>20000</v>
      </c>
      <c r="F34" s="6"/>
    </row>
    <row r="35" spans="1:6" ht="15.9" customHeight="1">
      <c r="A35" s="69" t="s">
        <v>581</v>
      </c>
      <c r="B35" s="5">
        <v>34</v>
      </c>
      <c r="C35" s="3" t="s">
        <v>6</v>
      </c>
      <c r="D35" s="6">
        <v>13000</v>
      </c>
      <c r="E35" s="6">
        <f t="shared" si="1"/>
        <v>442000</v>
      </c>
      <c r="F35" s="6" t="s">
        <v>843</v>
      </c>
    </row>
    <row r="36" spans="1:6" ht="30" customHeight="1">
      <c r="A36" s="4"/>
      <c r="B36" s="7"/>
      <c r="C36" s="3"/>
      <c r="D36" s="6"/>
      <c r="E36" s="8">
        <f>SUM(E18:E35)</f>
        <v>2745195</v>
      </c>
      <c r="F36" s="3"/>
    </row>
    <row r="37" spans="1:6" ht="30" customHeight="1">
      <c r="A37" s="4"/>
      <c r="B37" s="7"/>
      <c r="C37" s="3"/>
      <c r="D37" s="6"/>
      <c r="E37" s="6"/>
      <c r="F37" s="3"/>
    </row>
    <row r="38" spans="1:6" ht="24.45" customHeight="1">
      <c r="A38" s="2" t="s">
        <v>30</v>
      </c>
      <c r="B38" s="7"/>
      <c r="C38" s="3"/>
      <c r="D38" s="6"/>
      <c r="E38" s="6"/>
      <c r="F38" s="3"/>
    </row>
    <row r="39" spans="1:6" ht="16.2" customHeight="1">
      <c r="A39" s="3" t="s">
        <v>31</v>
      </c>
      <c r="B39" s="5">
        <v>1</v>
      </c>
      <c r="C39" s="3" t="s">
        <v>6</v>
      </c>
      <c r="D39" s="6">
        <v>30000</v>
      </c>
      <c r="E39" s="6">
        <f t="shared" ref="E39:E49" si="2">B39*D39</f>
        <v>30000</v>
      </c>
      <c r="F39" s="6" t="s">
        <v>652</v>
      </c>
    </row>
    <row r="40" spans="1:6" ht="27.6" customHeight="1">
      <c r="A40" s="3" t="s">
        <v>32</v>
      </c>
      <c r="B40" s="5">
        <v>1</v>
      </c>
      <c r="C40" s="3" t="s">
        <v>6</v>
      </c>
      <c r="D40" s="6">
        <v>80000</v>
      </c>
      <c r="E40" s="6">
        <f t="shared" si="2"/>
        <v>80000</v>
      </c>
      <c r="F40" s="4" t="s">
        <v>33</v>
      </c>
    </row>
    <row r="41" spans="1:6" ht="28.35" customHeight="1">
      <c r="A41" s="4" t="s">
        <v>653</v>
      </c>
      <c r="B41" s="5">
        <v>1</v>
      </c>
      <c r="C41" s="3" t="s">
        <v>6</v>
      </c>
      <c r="D41" s="6">
        <v>15000</v>
      </c>
      <c r="E41" s="6">
        <f t="shared" si="2"/>
        <v>15000</v>
      </c>
      <c r="F41" s="3"/>
    </row>
    <row r="42" spans="1:6" ht="28.35" customHeight="1">
      <c r="A42" s="3" t="s">
        <v>34</v>
      </c>
      <c r="B42" s="7">
        <v>600</v>
      </c>
      <c r="C42" s="3" t="s">
        <v>35</v>
      </c>
      <c r="D42" s="6">
        <v>100</v>
      </c>
      <c r="E42" s="6">
        <f t="shared" si="2"/>
        <v>60000</v>
      </c>
      <c r="F42" s="69" t="s">
        <v>585</v>
      </c>
    </row>
    <row r="43" spans="1:6" s="68" customFormat="1" ht="30" customHeight="1">
      <c r="A43" s="69" t="s">
        <v>36</v>
      </c>
      <c r="B43" s="7">
        <v>1</v>
      </c>
      <c r="C43" s="69" t="s">
        <v>6</v>
      </c>
      <c r="D43" s="6">
        <v>13850</v>
      </c>
      <c r="E43" s="6">
        <f>B43*D43</f>
        <v>13850</v>
      </c>
      <c r="F43" s="69" t="s">
        <v>586</v>
      </c>
    </row>
    <row r="44" spans="1:6" ht="30" customHeight="1">
      <c r="A44" s="69" t="s">
        <v>587</v>
      </c>
      <c r="B44" s="7">
        <v>1</v>
      </c>
      <c r="C44" s="69" t="s">
        <v>6</v>
      </c>
      <c r="D44" s="6">
        <v>91850</v>
      </c>
      <c r="E44" s="6">
        <f t="shared" si="2"/>
        <v>91850</v>
      </c>
      <c r="F44" s="135" t="s">
        <v>831</v>
      </c>
    </row>
    <row r="45" spans="1:6" s="68" customFormat="1" ht="30" customHeight="1">
      <c r="A45" s="69" t="s">
        <v>37</v>
      </c>
      <c r="B45" s="5">
        <v>4</v>
      </c>
      <c r="C45" s="69" t="s">
        <v>35</v>
      </c>
      <c r="D45" s="6">
        <v>3750</v>
      </c>
      <c r="E45" s="6">
        <f>B45*D45</f>
        <v>15000</v>
      </c>
      <c r="F45" s="69"/>
    </row>
    <row r="46" spans="1:6" s="68" customFormat="1" ht="30" customHeight="1">
      <c r="A46" s="71" t="s">
        <v>591</v>
      </c>
      <c r="B46" s="5">
        <v>1</v>
      </c>
      <c r="C46" s="71" t="s">
        <v>6</v>
      </c>
      <c r="D46" s="6">
        <v>4650</v>
      </c>
      <c r="E46" s="6">
        <f>B46*D46</f>
        <v>4650</v>
      </c>
      <c r="F46" s="4" t="s">
        <v>592</v>
      </c>
    </row>
    <row r="47" spans="1:6" s="68" customFormat="1" ht="30" customHeight="1">
      <c r="A47" s="135" t="s">
        <v>830</v>
      </c>
      <c r="B47" s="5">
        <v>4</v>
      </c>
      <c r="C47" s="121" t="s">
        <v>22</v>
      </c>
      <c r="D47" s="6">
        <v>20000</v>
      </c>
      <c r="E47" s="6">
        <f>B47*D47</f>
        <v>80000</v>
      </c>
      <c r="F47" s="4" t="s">
        <v>654</v>
      </c>
    </row>
    <row r="48" spans="1:6" s="68" customFormat="1" ht="30" customHeight="1">
      <c r="A48" s="121" t="s">
        <v>688</v>
      </c>
      <c r="B48" s="5">
        <v>1</v>
      </c>
      <c r="C48" s="121" t="s">
        <v>6</v>
      </c>
      <c r="D48" s="6">
        <v>3850</v>
      </c>
      <c r="E48" s="6">
        <f>B48*D48</f>
        <v>3850</v>
      </c>
      <c r="F48" s="4" t="s">
        <v>689</v>
      </c>
    </row>
    <row r="49" spans="1:6" ht="30" customHeight="1">
      <c r="A49" s="69" t="s">
        <v>593</v>
      </c>
      <c r="B49" s="5">
        <v>1</v>
      </c>
      <c r="C49" s="69" t="s">
        <v>6</v>
      </c>
      <c r="D49" s="6">
        <v>1000000</v>
      </c>
      <c r="E49" s="6">
        <f t="shared" si="2"/>
        <v>1000000</v>
      </c>
      <c r="F49" s="4" t="s">
        <v>594</v>
      </c>
    </row>
    <row r="50" spans="1:6" ht="30" customHeight="1">
      <c r="A50" s="3"/>
      <c r="B50" s="7"/>
      <c r="C50" s="3"/>
      <c r="D50" s="6"/>
      <c r="E50" s="8">
        <f>SUM(E39:E49)</f>
        <v>1394200</v>
      </c>
      <c r="F50" s="3"/>
    </row>
    <row r="51" spans="1:6" ht="15.9" customHeight="1">
      <c r="A51" s="7"/>
      <c r="B51" s="7"/>
      <c r="C51" s="7"/>
      <c r="D51" s="6"/>
      <c r="E51" s="6"/>
      <c r="F51" s="6"/>
    </row>
    <row r="52" spans="1:6" ht="15.9" customHeight="1">
      <c r="A52" s="138" t="s">
        <v>14</v>
      </c>
      <c r="B52" s="139"/>
      <c r="C52" s="139"/>
      <c r="D52" s="139"/>
      <c r="E52" s="8">
        <f>E50+E36+E16+E12</f>
        <v>10691545</v>
      </c>
      <c r="F52" s="6"/>
    </row>
    <row r="53" spans="1:6" ht="15.9" customHeight="1">
      <c r="A53" s="138" t="s">
        <v>38</v>
      </c>
      <c r="B53" s="139"/>
      <c r="C53" s="139"/>
      <c r="D53" s="139"/>
      <c r="E53" s="8">
        <f>E52*0.1</f>
        <v>1069154.5</v>
      </c>
      <c r="F53" s="6"/>
    </row>
    <row r="54" spans="1:6" ht="15.9" customHeight="1">
      <c r="A54" s="138" t="s">
        <v>694</v>
      </c>
      <c r="B54" s="139"/>
      <c r="C54" s="139"/>
      <c r="D54" s="139"/>
      <c r="E54" s="8">
        <f>SUM(E52:E53)</f>
        <v>11760699.5</v>
      </c>
      <c r="F54" s="6"/>
    </row>
    <row r="61" spans="1:6" s="68" customFormat="1" ht="54.15" customHeight="1">
      <c r="A61" s="141" t="s">
        <v>719</v>
      </c>
      <c r="B61" s="142"/>
      <c r="C61" s="142"/>
      <c r="D61" s="43"/>
    </row>
    <row r="62" spans="1:6" s="68" customFormat="1" ht="16.5" customHeight="1">
      <c r="A62" s="44"/>
      <c r="B62" s="151"/>
      <c r="C62" s="152"/>
      <c r="D62" s="45"/>
    </row>
    <row r="63" spans="1:6" s="68" customFormat="1" ht="30.3" customHeight="1">
      <c r="A63" s="123" t="s">
        <v>706</v>
      </c>
      <c r="B63" s="143" t="s">
        <v>699</v>
      </c>
      <c r="C63" s="144"/>
      <c r="D63" s="45"/>
    </row>
    <row r="64" spans="1:6" s="68" customFormat="1" ht="23.4" customHeight="1">
      <c r="A64" s="123" t="s">
        <v>696</v>
      </c>
      <c r="B64" s="145" t="s">
        <v>697</v>
      </c>
      <c r="C64" s="146"/>
      <c r="D64" s="45"/>
    </row>
    <row r="65" spans="1:4" s="68" customFormat="1" ht="23.4" customHeight="1">
      <c r="A65" s="123" t="s">
        <v>695</v>
      </c>
      <c r="B65" s="145" t="s">
        <v>707</v>
      </c>
      <c r="C65" s="146"/>
      <c r="D65" s="45"/>
    </row>
    <row r="66" spans="1:4" s="68" customFormat="1" ht="16.95" customHeight="1">
      <c r="A66" s="123" t="s">
        <v>720</v>
      </c>
      <c r="B66" s="147" t="s">
        <v>698</v>
      </c>
      <c r="C66" s="148"/>
      <c r="D66" s="45"/>
    </row>
    <row r="67" spans="1:4" s="68" customFormat="1" ht="16.350000000000001" customHeight="1">
      <c r="A67" s="123" t="s">
        <v>709</v>
      </c>
      <c r="B67" s="147" t="s">
        <v>700</v>
      </c>
      <c r="C67" s="148"/>
      <c r="D67" s="45"/>
    </row>
    <row r="68" spans="1:4" s="68" customFormat="1" ht="16.95" customHeight="1">
      <c r="A68" s="123" t="s">
        <v>715</v>
      </c>
      <c r="B68" s="147" t="s">
        <v>722</v>
      </c>
      <c r="C68" s="148"/>
      <c r="D68" s="45"/>
    </row>
    <row r="69" spans="1:4" s="68" customFormat="1" ht="16.95" customHeight="1">
      <c r="A69" s="126" t="s">
        <v>713</v>
      </c>
      <c r="B69" s="158" t="s">
        <v>721</v>
      </c>
      <c r="C69" s="159"/>
      <c r="D69" s="45"/>
    </row>
    <row r="70" spans="1:4" s="68" customFormat="1" ht="16.95" customHeight="1">
      <c r="A70" s="126" t="s">
        <v>701</v>
      </c>
      <c r="B70" s="158" t="s">
        <v>723</v>
      </c>
      <c r="C70" s="159"/>
      <c r="D70" s="45"/>
    </row>
    <row r="71" spans="1:4" s="68" customFormat="1" ht="16.350000000000001" customHeight="1">
      <c r="A71" s="124" t="s">
        <v>703</v>
      </c>
      <c r="B71" s="149" t="s">
        <v>724</v>
      </c>
      <c r="C71" s="150"/>
      <c r="D71" s="45"/>
    </row>
    <row r="72" spans="1:4" s="68" customFormat="1" ht="30.3" customHeight="1">
      <c r="A72" s="124" t="s">
        <v>708</v>
      </c>
      <c r="B72" s="149" t="s">
        <v>725</v>
      </c>
      <c r="C72" s="150"/>
      <c r="D72" s="45"/>
    </row>
    <row r="73" spans="1:4" s="68" customFormat="1" ht="30.3" customHeight="1">
      <c r="A73" s="123"/>
      <c r="B73" s="127"/>
      <c r="C73" s="128"/>
      <c r="D73" s="45"/>
    </row>
    <row r="74" spans="1:4" s="68" customFormat="1" ht="30.3" customHeight="1">
      <c r="A74" s="155" t="s">
        <v>726</v>
      </c>
      <c r="B74" s="156"/>
      <c r="C74" s="157"/>
      <c r="D74" s="45"/>
    </row>
    <row r="75" spans="1:4" s="68" customFormat="1" ht="30.3" customHeight="1">
      <c r="A75" s="129" t="s">
        <v>702</v>
      </c>
      <c r="B75" s="164" t="s">
        <v>727</v>
      </c>
      <c r="C75" s="165"/>
      <c r="D75" s="45"/>
    </row>
    <row r="76" spans="1:4" s="68" customFormat="1" ht="30.3" customHeight="1">
      <c r="A76" s="129" t="s">
        <v>704</v>
      </c>
      <c r="B76" s="153" t="s">
        <v>728</v>
      </c>
      <c r="C76" s="154"/>
      <c r="D76" s="45"/>
    </row>
    <row r="77" spans="1:4" s="68" customFormat="1" ht="23.4" customHeight="1">
      <c r="A77" s="129" t="s">
        <v>708</v>
      </c>
      <c r="B77" s="153" t="s">
        <v>728</v>
      </c>
      <c r="C77" s="154"/>
      <c r="D77" s="45"/>
    </row>
    <row r="78" spans="1:4" s="68" customFormat="1" ht="23.4" customHeight="1">
      <c r="A78" s="123"/>
      <c r="B78" s="143"/>
      <c r="C78" s="144"/>
      <c r="D78" s="45"/>
    </row>
    <row r="79" spans="1:4" s="68" customFormat="1" ht="30.3" customHeight="1">
      <c r="A79" s="166" t="s">
        <v>716</v>
      </c>
      <c r="B79" s="167"/>
      <c r="C79" s="168"/>
      <c r="D79" s="45"/>
    </row>
    <row r="80" spans="1:4" s="68" customFormat="1" ht="16.350000000000001" customHeight="1">
      <c r="A80" s="125" t="s">
        <v>712</v>
      </c>
      <c r="B80" s="160" t="s">
        <v>717</v>
      </c>
      <c r="C80" s="161"/>
      <c r="D80" s="45"/>
    </row>
    <row r="81" spans="1:4" s="68" customFormat="1" ht="16.95" customHeight="1">
      <c r="A81" s="125" t="s">
        <v>718</v>
      </c>
      <c r="B81" s="160" t="s">
        <v>731</v>
      </c>
      <c r="C81" s="161"/>
      <c r="D81" s="45"/>
    </row>
    <row r="82" spans="1:4" s="68" customFormat="1" ht="16.95" customHeight="1">
      <c r="A82" s="125" t="s">
        <v>714</v>
      </c>
      <c r="B82" s="160" t="s">
        <v>729</v>
      </c>
      <c r="C82" s="161"/>
      <c r="D82" s="45"/>
    </row>
    <row r="83" spans="1:4" s="68" customFormat="1" ht="16.350000000000001" customHeight="1">
      <c r="A83" s="131" t="s">
        <v>710</v>
      </c>
      <c r="B83" s="160" t="s">
        <v>730</v>
      </c>
      <c r="C83" s="161"/>
      <c r="D83" s="45"/>
    </row>
    <row r="84" spans="1:4" s="68" customFormat="1" ht="16.95" customHeight="1">
      <c r="A84" s="123"/>
      <c r="B84" s="143"/>
      <c r="C84" s="144"/>
      <c r="D84" s="45"/>
    </row>
    <row r="85" spans="1:4" s="68" customFormat="1" ht="16.350000000000001" customHeight="1">
      <c r="A85" s="130" t="s">
        <v>711</v>
      </c>
      <c r="B85" s="162" t="s">
        <v>732</v>
      </c>
      <c r="C85" s="163"/>
      <c r="D85" s="45"/>
    </row>
    <row r="86" spans="1:4" s="68" customFormat="1" ht="16.95" customHeight="1">
      <c r="A86" s="123"/>
      <c r="B86" s="143"/>
      <c r="C86" s="144"/>
      <c r="D86" s="45"/>
    </row>
    <row r="87" spans="1:4" s="68" customFormat="1" ht="12" customHeight="1">
      <c r="A87" s="60"/>
      <c r="B87" s="61"/>
      <c r="C87" s="61"/>
      <c r="D87" s="62"/>
    </row>
    <row r="88" spans="1:4" s="68" customFormat="1" ht="12" customHeight="1">
      <c r="A88" s="63"/>
      <c r="B88" s="64"/>
      <c r="C88" s="64"/>
      <c r="D88" s="62"/>
    </row>
    <row r="89" spans="1:4" s="68" customFormat="1" ht="12" customHeight="1">
      <c r="A89" s="63"/>
      <c r="B89" s="64"/>
      <c r="C89" s="64"/>
      <c r="D89" s="62"/>
    </row>
    <row r="90" spans="1:4" s="68" customFormat="1" ht="12" customHeight="1">
      <c r="A90" s="63"/>
      <c r="B90" s="64"/>
      <c r="C90" s="64"/>
      <c r="D90" s="62"/>
    </row>
    <row r="91" spans="1:4" s="68" customFormat="1" ht="12" customHeight="1">
      <c r="A91" s="65"/>
      <c r="B91" s="66"/>
      <c r="C91" s="66"/>
      <c r="D91" s="67"/>
    </row>
  </sheetData>
  <mergeCells count="31">
    <mergeCell ref="B82:C82"/>
    <mergeCell ref="B85:C85"/>
    <mergeCell ref="B86:C86"/>
    <mergeCell ref="B75:C75"/>
    <mergeCell ref="B80:C80"/>
    <mergeCell ref="B81:C81"/>
    <mergeCell ref="A79:C79"/>
    <mergeCell ref="B83:C83"/>
    <mergeCell ref="B84:C84"/>
    <mergeCell ref="B72:C72"/>
    <mergeCell ref="B62:C62"/>
    <mergeCell ref="B76:C76"/>
    <mergeCell ref="B77:C77"/>
    <mergeCell ref="B78:C78"/>
    <mergeCell ref="A74:C74"/>
    <mergeCell ref="B67:C67"/>
    <mergeCell ref="B68:C68"/>
    <mergeCell ref="B69:C69"/>
    <mergeCell ref="B70:C70"/>
    <mergeCell ref="B71:C71"/>
    <mergeCell ref="A61:C61"/>
    <mergeCell ref="B63:C63"/>
    <mergeCell ref="B64:C64"/>
    <mergeCell ref="B65:C65"/>
    <mergeCell ref="B66:C66"/>
    <mergeCell ref="A52:D52"/>
    <mergeCell ref="A54:D54"/>
    <mergeCell ref="A14:F14"/>
    <mergeCell ref="A5:F5"/>
    <mergeCell ref="A17:F17"/>
    <mergeCell ref="A53:D53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9"/>
  <sheetViews>
    <sheetView showGridLines="0" workbookViewId="0">
      <selection activeCell="E554" sqref="E554"/>
    </sheetView>
  </sheetViews>
  <sheetFormatPr defaultColWidth="10.5546875" defaultRowHeight="12" customHeight="1"/>
  <cols>
    <col min="1" max="1" width="38.77734375" style="11" customWidth="1"/>
    <col min="2" max="2" width="83.5546875" style="11" customWidth="1"/>
    <col min="3" max="3" width="16.44140625" style="11" customWidth="1"/>
    <col min="4" max="4" width="11" style="11" customWidth="1"/>
    <col min="5" max="5" width="13" style="11" customWidth="1"/>
    <col min="6" max="6" width="12.21875" style="11" customWidth="1"/>
    <col min="7" max="7" width="23" style="11" customWidth="1"/>
    <col min="8" max="15" width="10.5546875" style="11" hidden="1" customWidth="1"/>
    <col min="16" max="16" width="53.44140625" style="11" customWidth="1"/>
    <col min="17" max="17" width="10.5546875" style="11" customWidth="1"/>
    <col min="18" max="16384" width="10.5546875" style="11"/>
  </cols>
  <sheetData>
    <row r="1" spans="1:16" ht="51" customHeight="1">
      <c r="A1" s="3" t="s">
        <v>39</v>
      </c>
      <c r="B1" s="3" t="s">
        <v>40</v>
      </c>
      <c r="C1" s="3" t="s">
        <v>41</v>
      </c>
      <c r="D1" s="3" t="s">
        <v>1</v>
      </c>
      <c r="E1" s="3" t="s">
        <v>42</v>
      </c>
      <c r="F1" s="3" t="s">
        <v>43</v>
      </c>
      <c r="G1" s="3" t="s">
        <v>44</v>
      </c>
      <c r="H1" s="12" t="s">
        <v>45</v>
      </c>
      <c r="I1" s="12" t="s">
        <v>46</v>
      </c>
      <c r="J1" s="12" t="s">
        <v>47</v>
      </c>
      <c r="K1" s="12" t="s">
        <v>48</v>
      </c>
      <c r="L1" s="12" t="s">
        <v>49</v>
      </c>
      <c r="M1" s="12" t="s">
        <v>50</v>
      </c>
      <c r="N1" s="12" t="s">
        <v>51</v>
      </c>
      <c r="O1" s="12" t="s">
        <v>52</v>
      </c>
      <c r="P1" s="3" t="s">
        <v>53</v>
      </c>
    </row>
    <row r="2" spans="1:16" ht="49.05" customHeight="1">
      <c r="A2" s="13"/>
      <c r="B2" s="14" t="str">
        <f>IF($B$3=1,"Статья расходов","Specifications")</f>
        <v>Статья расходов</v>
      </c>
      <c r="C2" s="14" t="str">
        <f>IF($B$3=1,"Цена/день, ₽","Price per day, rub")</f>
        <v>Цена/день, ₽</v>
      </c>
      <c r="D2" s="14" t="str">
        <f>IF($B$3=1,"Кол-во","Qnt.")</f>
        <v>Кол-во</v>
      </c>
      <c r="E2" s="14" t="str">
        <f>IF($B$3=1,"Ед. Изм.","Unit")</f>
        <v>Ед. Изм.</v>
      </c>
      <c r="F2" s="14" t="str">
        <f>IF($B$3=1,"Коэффициент","Coefficient")</f>
        <v>Коэффициент</v>
      </c>
      <c r="G2" s="14" t="str">
        <f>IF($B$3=1,"Сумма, ₽","Sum, rub")</f>
        <v>Сумма, ₽</v>
      </c>
      <c r="H2" s="15" t="s">
        <v>54</v>
      </c>
      <c r="I2" s="15" t="s">
        <v>55</v>
      </c>
      <c r="J2" s="15" t="s">
        <v>56</v>
      </c>
      <c r="K2" s="15" t="s">
        <v>57</v>
      </c>
      <c r="L2" s="15" t="s">
        <v>58</v>
      </c>
      <c r="M2" s="15" t="s">
        <v>59</v>
      </c>
      <c r="N2" s="15" t="s">
        <v>60</v>
      </c>
      <c r="O2" s="15" t="s">
        <v>61</v>
      </c>
      <c r="P2" s="14" t="str">
        <f>IF($B$3=1,"Примечание","Remarks")</f>
        <v>Примечание</v>
      </c>
    </row>
    <row r="3" spans="1:16" ht="16.05" customHeight="1">
      <c r="A3" s="3" t="str">
        <f>IF($B$3=1,"Аренда оборудования","Rental staff")</f>
        <v>Аренда оборудования</v>
      </c>
      <c r="B3" s="5">
        <v>1</v>
      </c>
      <c r="C3" s="5">
        <v>100</v>
      </c>
      <c r="D3" s="7"/>
      <c r="E3" s="7"/>
      <c r="F3" s="5">
        <v>1</v>
      </c>
      <c r="G3" s="7"/>
      <c r="H3" s="9"/>
      <c r="I3" s="9"/>
      <c r="J3" s="9"/>
      <c r="K3" s="9"/>
      <c r="L3" s="9"/>
      <c r="M3" s="9"/>
      <c r="N3" s="9"/>
      <c r="O3" s="16"/>
      <c r="P3" s="7"/>
    </row>
    <row r="4" spans="1:16" ht="16.95" customHeight="1">
      <c r="A4" s="14" t="str">
        <f>IF($B$3=1,"Фермовые конструкции","Roofs &amp; Trusses")</f>
        <v>Фермовые конструкции</v>
      </c>
      <c r="B4" s="13"/>
      <c r="C4" s="13"/>
      <c r="D4" s="13"/>
      <c r="E4" s="13"/>
      <c r="F4" s="13"/>
      <c r="G4" s="13"/>
      <c r="H4" s="17"/>
      <c r="I4" s="17"/>
      <c r="J4" s="17"/>
      <c r="K4" s="17"/>
      <c r="L4" s="17"/>
      <c r="M4" s="17"/>
      <c r="N4" s="17"/>
      <c r="O4" s="18"/>
      <c r="P4" s="13"/>
    </row>
    <row r="5" spans="1:16" ht="34.049999999999997" hidden="1" customHeight="1">
      <c r="A5" s="19"/>
      <c r="B5" s="20" t="s">
        <v>62</v>
      </c>
      <c r="C5" s="16" t="e">
        <f>IF($C$3=100,#REF!,#REF!)</f>
        <v>#REF!</v>
      </c>
      <c r="D5" s="10">
        <v>0</v>
      </c>
      <c r="E5" s="12" t="str">
        <f t="shared" ref="E5:E24" si="0">IF($B$3=1,"компл.","set")</f>
        <v>компл.</v>
      </c>
      <c r="F5" s="10">
        <f t="shared" ref="F5:F36" si="1">1+($F$3-1)/2</f>
        <v>1</v>
      </c>
      <c r="G5" s="16" t="e">
        <f t="shared" ref="G5:G36" si="2">C5*D5*F5</f>
        <v>#REF!</v>
      </c>
      <c r="H5" s="10">
        <v>0</v>
      </c>
      <c r="I5" s="10">
        <f t="shared" ref="I5:I36" si="3">H5*D5</f>
        <v>0</v>
      </c>
      <c r="J5" s="10">
        <v>1</v>
      </c>
      <c r="K5" s="9"/>
      <c r="L5" s="9"/>
      <c r="M5" s="9"/>
      <c r="N5" s="10">
        <f t="shared" ref="N5:N36" si="4">IF(D5:D5=0,0,IF(J5:J5=0,0,IF(D5:D5&lt;J5:J5,D5:D5,J5:J5)))</f>
        <v>0</v>
      </c>
      <c r="O5" s="16" t="e">
        <f>N5:N5*F5:F5*#REF!</f>
        <v>#REF!</v>
      </c>
      <c r="P5" s="21"/>
    </row>
    <row r="6" spans="1:16" ht="34.049999999999997" hidden="1" customHeight="1">
      <c r="A6" s="22"/>
      <c r="B6" s="23" t="s">
        <v>63</v>
      </c>
      <c r="C6" s="18" t="e">
        <f>IF($C$3=100,#REF!,#REF!)</f>
        <v>#REF!</v>
      </c>
      <c r="D6" s="24">
        <v>0</v>
      </c>
      <c r="E6" s="15" t="str">
        <f t="shared" si="0"/>
        <v>компл.</v>
      </c>
      <c r="F6" s="24">
        <f t="shared" si="1"/>
        <v>1</v>
      </c>
      <c r="G6" s="18" t="e">
        <f t="shared" si="2"/>
        <v>#REF!</v>
      </c>
      <c r="H6" s="24">
        <v>0</v>
      </c>
      <c r="I6" s="24">
        <f t="shared" si="3"/>
        <v>0</v>
      </c>
      <c r="J6" s="24">
        <v>1</v>
      </c>
      <c r="K6" s="17"/>
      <c r="L6" s="17"/>
      <c r="M6" s="17"/>
      <c r="N6" s="24">
        <f t="shared" si="4"/>
        <v>0</v>
      </c>
      <c r="O6" s="18" t="e">
        <f>N6:N6*F6:F6*#REF!</f>
        <v>#REF!</v>
      </c>
      <c r="P6" s="25"/>
    </row>
    <row r="7" spans="1:16" ht="34.049999999999997" hidden="1" customHeight="1">
      <c r="A7" s="19"/>
      <c r="B7" s="20" t="s">
        <v>64</v>
      </c>
      <c r="C7" s="16" t="e">
        <f>IF($C$3=100,#REF!,#REF!)</f>
        <v>#REF!</v>
      </c>
      <c r="D7" s="10">
        <v>0</v>
      </c>
      <c r="E7" s="12" t="str">
        <f t="shared" si="0"/>
        <v>компл.</v>
      </c>
      <c r="F7" s="10">
        <f t="shared" si="1"/>
        <v>1</v>
      </c>
      <c r="G7" s="16" t="e">
        <f t="shared" si="2"/>
        <v>#REF!</v>
      </c>
      <c r="H7" s="10">
        <v>0</v>
      </c>
      <c r="I7" s="10">
        <f t="shared" si="3"/>
        <v>0</v>
      </c>
      <c r="J7" s="10">
        <v>1</v>
      </c>
      <c r="K7" s="9"/>
      <c r="L7" s="9"/>
      <c r="M7" s="9"/>
      <c r="N7" s="10">
        <f t="shared" si="4"/>
        <v>0</v>
      </c>
      <c r="O7" s="16" t="e">
        <f>N7:N7*F7:F7*#REF!</f>
        <v>#REF!</v>
      </c>
      <c r="P7" s="21"/>
    </row>
    <row r="8" spans="1:16" ht="34.049999999999997" hidden="1" customHeight="1">
      <c r="A8" s="22"/>
      <c r="B8" s="23" t="s">
        <v>65</v>
      </c>
      <c r="C8" s="18" t="e">
        <f>IF($C$3=100,#REF!,#REF!)</f>
        <v>#REF!</v>
      </c>
      <c r="D8" s="24">
        <v>0</v>
      </c>
      <c r="E8" s="15" t="str">
        <f t="shared" si="0"/>
        <v>компл.</v>
      </c>
      <c r="F8" s="24">
        <f t="shared" si="1"/>
        <v>1</v>
      </c>
      <c r="G8" s="18" t="e">
        <f t="shared" si="2"/>
        <v>#REF!</v>
      </c>
      <c r="H8" s="24">
        <v>0</v>
      </c>
      <c r="I8" s="24">
        <f t="shared" si="3"/>
        <v>0</v>
      </c>
      <c r="J8" s="24">
        <v>1</v>
      </c>
      <c r="K8" s="17"/>
      <c r="L8" s="17"/>
      <c r="M8" s="17"/>
      <c r="N8" s="24">
        <f t="shared" si="4"/>
        <v>0</v>
      </c>
      <c r="O8" s="18" t="e">
        <f>N8:N8*F8:F8*#REF!</f>
        <v>#REF!</v>
      </c>
      <c r="P8" s="25"/>
    </row>
    <row r="9" spans="1:16" ht="34.049999999999997" hidden="1" customHeight="1">
      <c r="A9" s="19"/>
      <c r="B9" s="20" t="s">
        <v>66</v>
      </c>
      <c r="C9" s="16" t="e">
        <f>IF($C$3=100,#REF!,#REF!)</f>
        <v>#REF!</v>
      </c>
      <c r="D9" s="10">
        <v>0</v>
      </c>
      <c r="E9" s="12" t="str">
        <f t="shared" si="0"/>
        <v>компл.</v>
      </c>
      <c r="F9" s="10">
        <f t="shared" si="1"/>
        <v>1</v>
      </c>
      <c r="G9" s="16" t="e">
        <f t="shared" si="2"/>
        <v>#REF!</v>
      </c>
      <c r="H9" s="10">
        <v>0</v>
      </c>
      <c r="I9" s="10">
        <f t="shared" si="3"/>
        <v>0</v>
      </c>
      <c r="J9" s="10">
        <v>2</v>
      </c>
      <c r="K9" s="9"/>
      <c r="L9" s="9"/>
      <c r="M9" s="9"/>
      <c r="N9" s="10">
        <f t="shared" si="4"/>
        <v>0</v>
      </c>
      <c r="O9" s="16" t="e">
        <f>N9:N9*F9:F9*#REF!</f>
        <v>#REF!</v>
      </c>
      <c r="P9" s="21"/>
    </row>
    <row r="10" spans="1:16" ht="34.049999999999997" hidden="1" customHeight="1">
      <c r="A10" s="22"/>
      <c r="B10" s="23" t="s">
        <v>67</v>
      </c>
      <c r="C10" s="18" t="e">
        <f>IF($C$3=100,#REF!,#REF!)</f>
        <v>#REF!</v>
      </c>
      <c r="D10" s="24">
        <v>0</v>
      </c>
      <c r="E10" s="15" t="str">
        <f t="shared" si="0"/>
        <v>компл.</v>
      </c>
      <c r="F10" s="24">
        <f t="shared" si="1"/>
        <v>1</v>
      </c>
      <c r="G10" s="18" t="e">
        <f t="shared" si="2"/>
        <v>#REF!</v>
      </c>
      <c r="H10" s="24">
        <v>0</v>
      </c>
      <c r="I10" s="24">
        <f t="shared" si="3"/>
        <v>0</v>
      </c>
      <c r="J10" s="24">
        <v>2</v>
      </c>
      <c r="K10" s="17"/>
      <c r="L10" s="17"/>
      <c r="M10" s="17"/>
      <c r="N10" s="24">
        <f t="shared" si="4"/>
        <v>0</v>
      </c>
      <c r="O10" s="18" t="e">
        <f>N10:N10*F10:F10*#REF!</f>
        <v>#REF!</v>
      </c>
      <c r="P10" s="25"/>
    </row>
    <row r="11" spans="1:16" ht="34.049999999999997" hidden="1" customHeight="1">
      <c r="A11" s="19"/>
      <c r="B11" s="20" t="s">
        <v>68</v>
      </c>
      <c r="C11" s="16" t="e">
        <f>IF($C$3=100,#REF!,#REF!)</f>
        <v>#REF!</v>
      </c>
      <c r="D11" s="10">
        <v>0</v>
      </c>
      <c r="E11" s="12" t="str">
        <f t="shared" si="0"/>
        <v>компл.</v>
      </c>
      <c r="F11" s="10">
        <f t="shared" si="1"/>
        <v>1</v>
      </c>
      <c r="G11" s="16" t="e">
        <f t="shared" si="2"/>
        <v>#REF!</v>
      </c>
      <c r="H11" s="10">
        <v>0</v>
      </c>
      <c r="I11" s="10">
        <f t="shared" si="3"/>
        <v>0</v>
      </c>
      <c r="J11" s="10">
        <v>2</v>
      </c>
      <c r="K11" s="9"/>
      <c r="L11" s="9"/>
      <c r="M11" s="9"/>
      <c r="N11" s="10">
        <f t="shared" si="4"/>
        <v>0</v>
      </c>
      <c r="O11" s="16" t="e">
        <f>N11:N11*F11:F11*#REF!</f>
        <v>#REF!</v>
      </c>
      <c r="P11" s="21"/>
    </row>
    <row r="12" spans="1:16" ht="34.049999999999997" hidden="1" customHeight="1">
      <c r="A12" s="22"/>
      <c r="B12" s="23" t="s">
        <v>69</v>
      </c>
      <c r="C12" s="18" t="e">
        <f>IF($C$3=100,#REF!,#REF!)</f>
        <v>#REF!</v>
      </c>
      <c r="D12" s="24">
        <v>0</v>
      </c>
      <c r="E12" s="15" t="str">
        <f t="shared" si="0"/>
        <v>компл.</v>
      </c>
      <c r="F12" s="24">
        <f t="shared" si="1"/>
        <v>1</v>
      </c>
      <c r="G12" s="18" t="e">
        <f t="shared" si="2"/>
        <v>#REF!</v>
      </c>
      <c r="H12" s="24">
        <v>0</v>
      </c>
      <c r="I12" s="24">
        <f t="shared" si="3"/>
        <v>0</v>
      </c>
      <c r="J12" s="24">
        <v>2</v>
      </c>
      <c r="K12" s="17"/>
      <c r="L12" s="17"/>
      <c r="M12" s="17"/>
      <c r="N12" s="24">
        <f t="shared" si="4"/>
        <v>0</v>
      </c>
      <c r="O12" s="18" t="e">
        <f>N12:N12*F12:F12*#REF!</f>
        <v>#REF!</v>
      </c>
      <c r="P12" s="25"/>
    </row>
    <row r="13" spans="1:16" ht="34.049999999999997" hidden="1" customHeight="1">
      <c r="A13" s="19"/>
      <c r="B13" s="20" t="s">
        <v>70</v>
      </c>
      <c r="C13" s="16" t="e">
        <f>IF($C$3=100,#REF!,#REF!)</f>
        <v>#REF!</v>
      </c>
      <c r="D13" s="10">
        <v>0</v>
      </c>
      <c r="E13" s="12" t="str">
        <f t="shared" si="0"/>
        <v>компл.</v>
      </c>
      <c r="F13" s="10">
        <f t="shared" si="1"/>
        <v>1</v>
      </c>
      <c r="G13" s="16" t="e">
        <f t="shared" si="2"/>
        <v>#REF!</v>
      </c>
      <c r="H13" s="10">
        <v>0</v>
      </c>
      <c r="I13" s="10">
        <f t="shared" si="3"/>
        <v>0</v>
      </c>
      <c r="J13" s="10">
        <v>2</v>
      </c>
      <c r="K13" s="9"/>
      <c r="L13" s="9"/>
      <c r="M13" s="9"/>
      <c r="N13" s="10">
        <f t="shared" si="4"/>
        <v>0</v>
      </c>
      <c r="O13" s="16" t="e">
        <f>N13:N13*F13:F13*#REF!</f>
        <v>#REF!</v>
      </c>
      <c r="P13" s="21"/>
    </row>
    <row r="14" spans="1:16" ht="34.049999999999997" hidden="1" customHeight="1">
      <c r="A14" s="22"/>
      <c r="B14" s="23" t="s">
        <v>71</v>
      </c>
      <c r="C14" s="18" t="e">
        <f>IF($C$3=100,#REF!,#REF!)</f>
        <v>#REF!</v>
      </c>
      <c r="D14" s="24">
        <v>0</v>
      </c>
      <c r="E14" s="15" t="str">
        <f t="shared" si="0"/>
        <v>компл.</v>
      </c>
      <c r="F14" s="24">
        <f t="shared" si="1"/>
        <v>1</v>
      </c>
      <c r="G14" s="18" t="e">
        <f t="shared" si="2"/>
        <v>#REF!</v>
      </c>
      <c r="H14" s="24">
        <v>0</v>
      </c>
      <c r="I14" s="24">
        <f t="shared" si="3"/>
        <v>0</v>
      </c>
      <c r="J14" s="24">
        <v>2</v>
      </c>
      <c r="K14" s="17"/>
      <c r="L14" s="17"/>
      <c r="M14" s="17"/>
      <c r="N14" s="24">
        <f t="shared" si="4"/>
        <v>0</v>
      </c>
      <c r="O14" s="18" t="e">
        <f>N14:N14*F14:F14*#REF!</f>
        <v>#REF!</v>
      </c>
      <c r="P14" s="25"/>
    </row>
    <row r="15" spans="1:16" ht="34.049999999999997" hidden="1" customHeight="1">
      <c r="A15" s="19"/>
      <c r="B15" s="20" t="s">
        <v>72</v>
      </c>
      <c r="C15" s="16" t="e">
        <f>IF($C$3=100,#REF!,#REF!)</f>
        <v>#REF!</v>
      </c>
      <c r="D15" s="10">
        <v>0</v>
      </c>
      <c r="E15" s="12" t="str">
        <f t="shared" si="0"/>
        <v>компл.</v>
      </c>
      <c r="F15" s="10">
        <f t="shared" si="1"/>
        <v>1</v>
      </c>
      <c r="G15" s="16" t="e">
        <f t="shared" si="2"/>
        <v>#REF!</v>
      </c>
      <c r="H15" s="10">
        <v>0</v>
      </c>
      <c r="I15" s="10">
        <f t="shared" si="3"/>
        <v>0</v>
      </c>
      <c r="J15" s="10">
        <v>1</v>
      </c>
      <c r="K15" s="9"/>
      <c r="L15" s="9"/>
      <c r="M15" s="9"/>
      <c r="N15" s="10">
        <f t="shared" si="4"/>
        <v>0</v>
      </c>
      <c r="O15" s="16" t="e">
        <f>N15:N15*F15:F15*#REF!</f>
        <v>#REF!</v>
      </c>
      <c r="P15" s="21"/>
    </row>
    <row r="16" spans="1:16" ht="34.049999999999997" hidden="1" customHeight="1">
      <c r="A16" s="22"/>
      <c r="B16" s="23" t="s">
        <v>73</v>
      </c>
      <c r="C16" s="18" t="e">
        <f>IF($C$3=100,#REF!,#REF!)</f>
        <v>#REF!</v>
      </c>
      <c r="D16" s="24">
        <v>0</v>
      </c>
      <c r="E16" s="15" t="str">
        <f t="shared" si="0"/>
        <v>компл.</v>
      </c>
      <c r="F16" s="24">
        <f t="shared" si="1"/>
        <v>1</v>
      </c>
      <c r="G16" s="18" t="e">
        <f t="shared" si="2"/>
        <v>#REF!</v>
      </c>
      <c r="H16" s="24">
        <v>0</v>
      </c>
      <c r="I16" s="24">
        <f t="shared" si="3"/>
        <v>0</v>
      </c>
      <c r="J16" s="24">
        <v>1</v>
      </c>
      <c r="K16" s="17"/>
      <c r="L16" s="17"/>
      <c r="M16" s="17"/>
      <c r="N16" s="24">
        <f t="shared" si="4"/>
        <v>0</v>
      </c>
      <c r="O16" s="18" t="e">
        <f>N16:N16*F16:F16*#REF!</f>
        <v>#REF!</v>
      </c>
      <c r="P16" s="25"/>
    </row>
    <row r="17" spans="1:16" ht="34.049999999999997" hidden="1" customHeight="1">
      <c r="A17" s="19"/>
      <c r="B17" s="20" t="s">
        <v>74</v>
      </c>
      <c r="C17" s="16" t="e">
        <f>IF($C$3=100,#REF!,#REF!)</f>
        <v>#REF!</v>
      </c>
      <c r="D17" s="10">
        <v>0</v>
      </c>
      <c r="E17" s="12" t="str">
        <f t="shared" si="0"/>
        <v>компл.</v>
      </c>
      <c r="F17" s="10">
        <f t="shared" si="1"/>
        <v>1</v>
      </c>
      <c r="G17" s="16" t="e">
        <f t="shared" si="2"/>
        <v>#REF!</v>
      </c>
      <c r="H17" s="10">
        <v>0</v>
      </c>
      <c r="I17" s="10">
        <f t="shared" si="3"/>
        <v>0</v>
      </c>
      <c r="J17" s="10">
        <v>1</v>
      </c>
      <c r="K17" s="9"/>
      <c r="L17" s="9"/>
      <c r="M17" s="9"/>
      <c r="N17" s="10">
        <f t="shared" si="4"/>
        <v>0</v>
      </c>
      <c r="O17" s="16" t="e">
        <f>N17:N17*F17:F17*#REF!</f>
        <v>#REF!</v>
      </c>
      <c r="P17" s="21"/>
    </row>
    <row r="18" spans="1:16" ht="34.049999999999997" hidden="1" customHeight="1">
      <c r="A18" s="22"/>
      <c r="B18" s="23" t="s">
        <v>75</v>
      </c>
      <c r="C18" s="18" t="e">
        <f>IF($C$3=100,#REF!,#REF!)</f>
        <v>#REF!</v>
      </c>
      <c r="D18" s="24">
        <v>0</v>
      </c>
      <c r="E18" s="15" t="str">
        <f t="shared" si="0"/>
        <v>компл.</v>
      </c>
      <c r="F18" s="24">
        <f t="shared" si="1"/>
        <v>1</v>
      </c>
      <c r="G18" s="18" t="e">
        <f t="shared" si="2"/>
        <v>#REF!</v>
      </c>
      <c r="H18" s="24">
        <v>0</v>
      </c>
      <c r="I18" s="24">
        <f t="shared" si="3"/>
        <v>0</v>
      </c>
      <c r="J18" s="24">
        <v>1</v>
      </c>
      <c r="K18" s="17"/>
      <c r="L18" s="17"/>
      <c r="M18" s="17"/>
      <c r="N18" s="24">
        <f t="shared" si="4"/>
        <v>0</v>
      </c>
      <c r="O18" s="18" t="e">
        <f>N18:N18*F18:F18*#REF!</f>
        <v>#REF!</v>
      </c>
      <c r="P18" s="25"/>
    </row>
    <row r="19" spans="1:16" ht="34.049999999999997" hidden="1" customHeight="1">
      <c r="A19" s="19"/>
      <c r="B19" s="20" t="s">
        <v>76</v>
      </c>
      <c r="C19" s="16" t="e">
        <f>IF($C$3=100,#REF!,#REF!)</f>
        <v>#REF!</v>
      </c>
      <c r="D19" s="10">
        <v>0</v>
      </c>
      <c r="E19" s="12" t="str">
        <f t="shared" si="0"/>
        <v>компл.</v>
      </c>
      <c r="F19" s="10">
        <f t="shared" si="1"/>
        <v>1</v>
      </c>
      <c r="G19" s="16" t="e">
        <f t="shared" si="2"/>
        <v>#REF!</v>
      </c>
      <c r="H19" s="10">
        <v>0</v>
      </c>
      <c r="I19" s="10">
        <f t="shared" si="3"/>
        <v>0</v>
      </c>
      <c r="J19" s="10">
        <v>2</v>
      </c>
      <c r="K19" s="9"/>
      <c r="L19" s="9"/>
      <c r="M19" s="9"/>
      <c r="N19" s="10">
        <f t="shared" si="4"/>
        <v>0</v>
      </c>
      <c r="O19" s="16" t="e">
        <f>N19:N19*F19:F19*#REF!</f>
        <v>#REF!</v>
      </c>
      <c r="P19" s="21"/>
    </row>
    <row r="20" spans="1:16" ht="34.049999999999997" hidden="1" customHeight="1">
      <c r="A20" s="22"/>
      <c r="B20" s="23" t="s">
        <v>77</v>
      </c>
      <c r="C20" s="18" t="e">
        <f>IF($C$3=100,#REF!,#REF!)</f>
        <v>#REF!</v>
      </c>
      <c r="D20" s="24">
        <v>0</v>
      </c>
      <c r="E20" s="15" t="str">
        <f t="shared" si="0"/>
        <v>компл.</v>
      </c>
      <c r="F20" s="24">
        <f t="shared" si="1"/>
        <v>1</v>
      </c>
      <c r="G20" s="18" t="e">
        <f t="shared" si="2"/>
        <v>#REF!</v>
      </c>
      <c r="H20" s="24">
        <v>0</v>
      </c>
      <c r="I20" s="24">
        <f t="shared" si="3"/>
        <v>0</v>
      </c>
      <c r="J20" s="24">
        <v>2</v>
      </c>
      <c r="K20" s="17"/>
      <c r="L20" s="17"/>
      <c r="M20" s="17"/>
      <c r="N20" s="24">
        <f t="shared" si="4"/>
        <v>0</v>
      </c>
      <c r="O20" s="18" t="e">
        <f>N20:N20*F20:F20*#REF!</f>
        <v>#REF!</v>
      </c>
      <c r="P20" s="25"/>
    </row>
    <row r="21" spans="1:16" ht="34.049999999999997" hidden="1" customHeight="1">
      <c r="A21" s="19"/>
      <c r="B21" s="20" t="s">
        <v>78</v>
      </c>
      <c r="C21" s="16" t="e">
        <f>IF($C$3=100,#REF!,#REF!)</f>
        <v>#REF!</v>
      </c>
      <c r="D21" s="10">
        <v>0</v>
      </c>
      <c r="E21" s="12" t="str">
        <f t="shared" si="0"/>
        <v>компл.</v>
      </c>
      <c r="F21" s="10">
        <f t="shared" si="1"/>
        <v>1</v>
      </c>
      <c r="G21" s="16" t="e">
        <f t="shared" si="2"/>
        <v>#REF!</v>
      </c>
      <c r="H21" s="10">
        <v>0</v>
      </c>
      <c r="I21" s="10">
        <f t="shared" si="3"/>
        <v>0</v>
      </c>
      <c r="J21" s="10">
        <v>2</v>
      </c>
      <c r="K21" s="9"/>
      <c r="L21" s="9"/>
      <c r="M21" s="9"/>
      <c r="N21" s="10">
        <f t="shared" si="4"/>
        <v>0</v>
      </c>
      <c r="O21" s="16" t="e">
        <f>N21:N21*F21:F21*#REF!</f>
        <v>#REF!</v>
      </c>
      <c r="P21" s="21"/>
    </row>
    <row r="22" spans="1:16" ht="34.049999999999997" hidden="1" customHeight="1">
      <c r="A22" s="22"/>
      <c r="B22" s="23" t="s">
        <v>79</v>
      </c>
      <c r="C22" s="18" t="e">
        <f>IF($C$3=100,#REF!,#REF!)</f>
        <v>#REF!</v>
      </c>
      <c r="D22" s="24">
        <v>0</v>
      </c>
      <c r="E22" s="15" t="str">
        <f t="shared" si="0"/>
        <v>компл.</v>
      </c>
      <c r="F22" s="24">
        <f t="shared" si="1"/>
        <v>1</v>
      </c>
      <c r="G22" s="18" t="e">
        <f t="shared" si="2"/>
        <v>#REF!</v>
      </c>
      <c r="H22" s="24">
        <v>0</v>
      </c>
      <c r="I22" s="24">
        <f t="shared" si="3"/>
        <v>0</v>
      </c>
      <c r="J22" s="24">
        <v>2</v>
      </c>
      <c r="K22" s="17"/>
      <c r="L22" s="17"/>
      <c r="M22" s="17"/>
      <c r="N22" s="24">
        <f t="shared" si="4"/>
        <v>0</v>
      </c>
      <c r="O22" s="18" t="e">
        <f>N22:N22*F22:F22*#REF!</f>
        <v>#REF!</v>
      </c>
      <c r="P22" s="25"/>
    </row>
    <row r="23" spans="1:16" ht="34.049999999999997" hidden="1" customHeight="1">
      <c r="A23" s="19"/>
      <c r="B23" s="20" t="s">
        <v>80</v>
      </c>
      <c r="C23" s="16" t="e">
        <f>IF($C$3=100,#REF!,#REF!)</f>
        <v>#REF!</v>
      </c>
      <c r="D23" s="10">
        <v>0</v>
      </c>
      <c r="E23" s="12" t="str">
        <f t="shared" si="0"/>
        <v>компл.</v>
      </c>
      <c r="F23" s="10">
        <f t="shared" si="1"/>
        <v>1</v>
      </c>
      <c r="G23" s="16" t="e">
        <f t="shared" si="2"/>
        <v>#REF!</v>
      </c>
      <c r="H23" s="10">
        <v>0</v>
      </c>
      <c r="I23" s="10">
        <f t="shared" si="3"/>
        <v>0</v>
      </c>
      <c r="J23" s="10">
        <v>2</v>
      </c>
      <c r="K23" s="9"/>
      <c r="L23" s="9"/>
      <c r="M23" s="9"/>
      <c r="N23" s="10">
        <f t="shared" si="4"/>
        <v>0</v>
      </c>
      <c r="O23" s="16" t="e">
        <f>N23:N23*F23:F23*#REF!</f>
        <v>#REF!</v>
      </c>
      <c r="P23" s="21"/>
    </row>
    <row r="24" spans="1:16" ht="34.049999999999997" hidden="1" customHeight="1">
      <c r="A24" s="22"/>
      <c r="B24" s="23" t="s">
        <v>81</v>
      </c>
      <c r="C24" s="18" t="e">
        <f>IF($C$3=100,#REF!,#REF!)</f>
        <v>#REF!</v>
      </c>
      <c r="D24" s="24">
        <v>0</v>
      </c>
      <c r="E24" s="15" t="str">
        <f t="shared" si="0"/>
        <v>компл.</v>
      </c>
      <c r="F24" s="24">
        <f t="shared" si="1"/>
        <v>1</v>
      </c>
      <c r="G24" s="18" t="e">
        <f t="shared" si="2"/>
        <v>#REF!</v>
      </c>
      <c r="H24" s="24">
        <v>0</v>
      </c>
      <c r="I24" s="24">
        <f t="shared" si="3"/>
        <v>0</v>
      </c>
      <c r="J24" s="24">
        <v>2</v>
      </c>
      <c r="K24" s="17"/>
      <c r="L24" s="17"/>
      <c r="M24" s="17"/>
      <c r="N24" s="24">
        <f t="shared" si="4"/>
        <v>0</v>
      </c>
      <c r="O24" s="18" t="e">
        <f>N24:N24*F24:F24*#REF!</f>
        <v>#REF!</v>
      </c>
      <c r="P24" s="25"/>
    </row>
    <row r="25" spans="1:16" ht="16.95" hidden="1" customHeight="1">
      <c r="A25" s="19"/>
      <c r="B25" s="12" t="s">
        <v>82</v>
      </c>
      <c r="C25" s="16" t="e">
        <f>IF($C$3=100,#REF!,#REF!)</f>
        <v>#REF!</v>
      </c>
      <c r="D25" s="10">
        <f>16.5*6.2*D24+16.5*8.3*D23+16.5*10.3*D22+16.5*12.4*D21+16.5*14.5*D20+16.5*16.6*D19+16.5*21.8*D18+16.5*23.9*D17+16.5*25.9*D16+16.5*30*D15+20.6*6.2*D14+20.6*8.3*D13+20.6*10.3*D12+20.6*12.4*D11+20.6*14.5*D10+20.6*16.6*D9+20.6*21.8*D8+20.6*23.9*D7+20.6*25.9*D6+20.6*30*D5</f>
        <v>0</v>
      </c>
      <c r="E25" s="12" t="str">
        <f>IF($B$3=1,"м²","sq. m.")</f>
        <v>м²</v>
      </c>
      <c r="F25" s="10">
        <f t="shared" si="1"/>
        <v>1</v>
      </c>
      <c r="G25" s="16" t="e">
        <f t="shared" si="2"/>
        <v>#REF!</v>
      </c>
      <c r="H25" s="10">
        <v>0</v>
      </c>
      <c r="I25" s="10">
        <f t="shared" si="3"/>
        <v>0</v>
      </c>
      <c r="J25" s="10">
        <v>5000</v>
      </c>
      <c r="K25" s="9"/>
      <c r="L25" s="9"/>
      <c r="M25" s="9"/>
      <c r="N25" s="10">
        <f t="shared" si="4"/>
        <v>0</v>
      </c>
      <c r="O25" s="16" t="e">
        <f>N25:N25*F25:F25*#REF!</f>
        <v>#REF!</v>
      </c>
      <c r="P25" s="21"/>
    </row>
    <row r="26" spans="1:16" ht="16.95" hidden="1" customHeight="1">
      <c r="A26" s="22"/>
      <c r="B26" s="15" t="s">
        <v>83</v>
      </c>
      <c r="C26" s="18" t="e">
        <f>IF($C$3=100,#REF!,#REF!)</f>
        <v>#REF!</v>
      </c>
      <c r="D26" s="24">
        <v>0</v>
      </c>
      <c r="E26" s="15" t="str">
        <f>IF($B$3=1,"компл.","set")</f>
        <v>компл.</v>
      </c>
      <c r="F26" s="24">
        <f t="shared" si="1"/>
        <v>1</v>
      </c>
      <c r="G26" s="18" t="e">
        <f t="shared" si="2"/>
        <v>#REF!</v>
      </c>
      <c r="H26" s="24">
        <v>0</v>
      </c>
      <c r="I26" s="24">
        <f t="shared" si="3"/>
        <v>0</v>
      </c>
      <c r="J26" s="24">
        <v>1</v>
      </c>
      <c r="K26" s="17"/>
      <c r="L26" s="17"/>
      <c r="M26" s="17"/>
      <c r="N26" s="24">
        <f t="shared" si="4"/>
        <v>0</v>
      </c>
      <c r="O26" s="18" t="e">
        <f>N26:N26*F26:F26*#REF!</f>
        <v>#REF!</v>
      </c>
      <c r="P26" s="25"/>
    </row>
    <row r="27" spans="1:16" ht="16.95" hidden="1" customHeight="1">
      <c r="A27" s="19"/>
      <c r="B27" s="12" t="s">
        <v>84</v>
      </c>
      <c r="C27" s="16" t="e">
        <f>IF($C$3=100,#REF!,#REF!)</f>
        <v>#REF!</v>
      </c>
      <c r="D27" s="10">
        <v>0</v>
      </c>
      <c r="E27" s="12" t="str">
        <f>IF($B$3=1,"компл.","set")</f>
        <v>компл.</v>
      </c>
      <c r="F27" s="10">
        <f t="shared" si="1"/>
        <v>1</v>
      </c>
      <c r="G27" s="16" t="e">
        <f t="shared" si="2"/>
        <v>#REF!</v>
      </c>
      <c r="H27" s="10">
        <v>0</v>
      </c>
      <c r="I27" s="10">
        <f t="shared" si="3"/>
        <v>0</v>
      </c>
      <c r="J27" s="10">
        <v>1</v>
      </c>
      <c r="K27" s="9"/>
      <c r="L27" s="9"/>
      <c r="M27" s="9"/>
      <c r="N27" s="10">
        <f t="shared" si="4"/>
        <v>0</v>
      </c>
      <c r="O27" s="16" t="e">
        <f>N27:N27*F27:F27*#REF!</f>
        <v>#REF!</v>
      </c>
      <c r="P27" s="21"/>
    </row>
    <row r="28" spans="1:16" ht="16.95" hidden="1" customHeight="1">
      <c r="A28" s="22"/>
      <c r="B28" s="15" t="s">
        <v>85</v>
      </c>
      <c r="C28" s="18" t="e">
        <f>IF($C$3=100,#REF!,#REF!)</f>
        <v>#REF!</v>
      </c>
      <c r="D28" s="24">
        <v>0</v>
      </c>
      <c r="E28" s="15" t="str">
        <f>IF($B$3=1,"компл.","set")</f>
        <v>компл.</v>
      </c>
      <c r="F28" s="24">
        <f t="shared" si="1"/>
        <v>1</v>
      </c>
      <c r="G28" s="18" t="e">
        <f t="shared" si="2"/>
        <v>#REF!</v>
      </c>
      <c r="H28" s="24">
        <v>0</v>
      </c>
      <c r="I28" s="24">
        <f t="shared" si="3"/>
        <v>0</v>
      </c>
      <c r="J28" s="24">
        <v>1</v>
      </c>
      <c r="K28" s="17"/>
      <c r="L28" s="17"/>
      <c r="M28" s="17"/>
      <c r="N28" s="24">
        <f t="shared" si="4"/>
        <v>0</v>
      </c>
      <c r="O28" s="18" t="e">
        <f>N28:N28*F28:F28*#REF!</f>
        <v>#REF!</v>
      </c>
      <c r="P28" s="25"/>
    </row>
    <row r="29" spans="1:16" ht="16.95" hidden="1" customHeight="1">
      <c r="A29" s="19"/>
      <c r="B29" s="12" t="s">
        <v>86</v>
      </c>
      <c r="C29" s="16" t="e">
        <f>IF($C$3=100,#REF!,#REF!)</f>
        <v>#REF!</v>
      </c>
      <c r="D29" s="10">
        <f>(123+110)*D28+(257+110)*D27+(380+110)*D26</f>
        <v>0</v>
      </c>
      <c r="E29" s="12" t="str">
        <f>IF($B$3=1,"м²","sq. m.")</f>
        <v>м²</v>
      </c>
      <c r="F29" s="10">
        <f t="shared" si="1"/>
        <v>1</v>
      </c>
      <c r="G29" s="16" t="e">
        <f t="shared" si="2"/>
        <v>#REF!</v>
      </c>
      <c r="H29" s="10">
        <v>0</v>
      </c>
      <c r="I29" s="10">
        <f t="shared" si="3"/>
        <v>0</v>
      </c>
      <c r="J29" s="10">
        <v>600</v>
      </c>
      <c r="K29" s="9"/>
      <c r="L29" s="9"/>
      <c r="M29" s="9"/>
      <c r="N29" s="10">
        <f t="shared" si="4"/>
        <v>0</v>
      </c>
      <c r="O29" s="16" t="e">
        <f>N29:N29*F29:F29*#REF!</f>
        <v>#REF!</v>
      </c>
      <c r="P29" s="21"/>
    </row>
    <row r="30" spans="1:16" ht="16.95" hidden="1" customHeight="1">
      <c r="A30" s="22"/>
      <c r="B30" s="15" t="s">
        <v>87</v>
      </c>
      <c r="C30" s="18" t="e">
        <f>IF($C$3=100,#REF!,#REF!)</f>
        <v>#REF!</v>
      </c>
      <c r="D30" s="24">
        <v>0</v>
      </c>
      <c r="E30" s="15" t="str">
        <f t="shared" ref="E30:E48" si="5">IF($B$3=1,"компл.","set")</f>
        <v>компл.</v>
      </c>
      <c r="F30" s="24">
        <f t="shared" si="1"/>
        <v>1</v>
      </c>
      <c r="G30" s="18" t="e">
        <f t="shared" si="2"/>
        <v>#REF!</v>
      </c>
      <c r="H30" s="24">
        <v>0</v>
      </c>
      <c r="I30" s="24">
        <f t="shared" si="3"/>
        <v>0</v>
      </c>
      <c r="J30" s="24">
        <v>1</v>
      </c>
      <c r="K30" s="17"/>
      <c r="L30" s="17"/>
      <c r="M30" s="17"/>
      <c r="N30" s="24">
        <f t="shared" si="4"/>
        <v>0</v>
      </c>
      <c r="O30" s="18" t="e">
        <f>N30:N30*F30:F30*#REF!</f>
        <v>#REF!</v>
      </c>
      <c r="P30" s="25"/>
    </row>
    <row r="31" spans="1:16" ht="16.95" customHeight="1">
      <c r="A31" s="7"/>
      <c r="B31" s="3" t="s">
        <v>88</v>
      </c>
      <c r="C31" s="5">
        <v>50000</v>
      </c>
      <c r="D31" s="5">
        <v>1</v>
      </c>
      <c r="E31" s="3" t="str">
        <f t="shared" si="5"/>
        <v>компл.</v>
      </c>
      <c r="F31" s="5">
        <f t="shared" si="1"/>
        <v>1</v>
      </c>
      <c r="G31" s="5">
        <f t="shared" si="2"/>
        <v>50000</v>
      </c>
      <c r="H31" s="10">
        <v>0</v>
      </c>
      <c r="I31" s="10">
        <f t="shared" si="3"/>
        <v>0</v>
      </c>
      <c r="J31" s="10">
        <v>1</v>
      </c>
      <c r="K31" s="9"/>
      <c r="L31" s="9"/>
      <c r="M31" s="9"/>
      <c r="N31" s="10">
        <f t="shared" si="4"/>
        <v>1</v>
      </c>
      <c r="O31" s="16" t="e">
        <f>N31:N31*F31:F31*#REF!</f>
        <v>#REF!</v>
      </c>
      <c r="P31" s="3" t="s">
        <v>89</v>
      </c>
    </row>
    <row r="32" spans="1:16" ht="16.95" hidden="1" customHeight="1">
      <c r="A32" s="22"/>
      <c r="B32" s="15" t="s">
        <v>90</v>
      </c>
      <c r="C32" s="18" t="e">
        <f>IF($C$3=100,#REF!,#REF!)</f>
        <v>#REF!</v>
      </c>
      <c r="D32" s="24">
        <v>0</v>
      </c>
      <c r="E32" s="15" t="str">
        <f t="shared" si="5"/>
        <v>компл.</v>
      </c>
      <c r="F32" s="24">
        <f t="shared" si="1"/>
        <v>1</v>
      </c>
      <c r="G32" s="18" t="e">
        <f t="shared" si="2"/>
        <v>#REF!</v>
      </c>
      <c r="H32" s="24">
        <v>0</v>
      </c>
      <c r="I32" s="24">
        <f t="shared" si="3"/>
        <v>0</v>
      </c>
      <c r="J32" s="24">
        <v>1</v>
      </c>
      <c r="K32" s="17"/>
      <c r="L32" s="17"/>
      <c r="M32" s="17"/>
      <c r="N32" s="24">
        <f t="shared" si="4"/>
        <v>0</v>
      </c>
      <c r="O32" s="18" t="e">
        <f>N32:N32*F32:F32*#REF!</f>
        <v>#REF!</v>
      </c>
      <c r="P32" s="25"/>
    </row>
    <row r="33" spans="1:16" ht="34.049999999999997" hidden="1" customHeight="1">
      <c r="A33" s="19"/>
      <c r="B33" s="20" t="s">
        <v>91</v>
      </c>
      <c r="C33" s="16" t="e">
        <f>IF($C$3=100,#REF!,#REF!)</f>
        <v>#REF!</v>
      </c>
      <c r="D33" s="10">
        <v>0</v>
      </c>
      <c r="E33" s="12" t="str">
        <f t="shared" si="5"/>
        <v>компл.</v>
      </c>
      <c r="F33" s="10">
        <f t="shared" si="1"/>
        <v>1</v>
      </c>
      <c r="G33" s="16" t="e">
        <f t="shared" si="2"/>
        <v>#REF!</v>
      </c>
      <c r="H33" s="10">
        <v>0</v>
      </c>
      <c r="I33" s="10">
        <f t="shared" si="3"/>
        <v>0</v>
      </c>
      <c r="J33" s="10">
        <v>2</v>
      </c>
      <c r="K33" s="9"/>
      <c r="L33" s="9"/>
      <c r="M33" s="9"/>
      <c r="N33" s="10">
        <f t="shared" si="4"/>
        <v>0</v>
      </c>
      <c r="O33" s="16" t="e">
        <f>N33:N33*F33:F33*#REF!</f>
        <v>#REF!</v>
      </c>
      <c r="P33" s="21"/>
    </row>
    <row r="34" spans="1:16" ht="34.049999999999997" hidden="1" customHeight="1">
      <c r="A34" s="22"/>
      <c r="B34" s="23" t="s">
        <v>92</v>
      </c>
      <c r="C34" s="18" t="e">
        <f>IF($C$3=100,#REF!,#REF!)</f>
        <v>#REF!</v>
      </c>
      <c r="D34" s="24">
        <v>0</v>
      </c>
      <c r="E34" s="15" t="str">
        <f t="shared" si="5"/>
        <v>компл.</v>
      </c>
      <c r="F34" s="24">
        <f t="shared" si="1"/>
        <v>1</v>
      </c>
      <c r="G34" s="18" t="e">
        <f t="shared" si="2"/>
        <v>#REF!</v>
      </c>
      <c r="H34" s="24">
        <v>0</v>
      </c>
      <c r="I34" s="24">
        <f t="shared" si="3"/>
        <v>0</v>
      </c>
      <c r="J34" s="24">
        <v>2</v>
      </c>
      <c r="K34" s="17"/>
      <c r="L34" s="17"/>
      <c r="M34" s="17"/>
      <c r="N34" s="24">
        <f t="shared" si="4"/>
        <v>0</v>
      </c>
      <c r="O34" s="18" t="e">
        <f>N34:N34*F34:F34*#REF!</f>
        <v>#REF!</v>
      </c>
      <c r="P34" s="25"/>
    </row>
    <row r="35" spans="1:16" ht="34.049999999999997" hidden="1" customHeight="1">
      <c r="A35" s="19"/>
      <c r="B35" s="20" t="s">
        <v>93</v>
      </c>
      <c r="C35" s="16" t="e">
        <f>IF($C$3=100,#REF!,#REF!)</f>
        <v>#REF!</v>
      </c>
      <c r="D35" s="10">
        <v>0</v>
      </c>
      <c r="E35" s="12" t="str">
        <f t="shared" si="5"/>
        <v>компл.</v>
      </c>
      <c r="F35" s="10">
        <f t="shared" si="1"/>
        <v>1</v>
      </c>
      <c r="G35" s="16" t="e">
        <f t="shared" si="2"/>
        <v>#REF!</v>
      </c>
      <c r="H35" s="10">
        <v>0</v>
      </c>
      <c r="I35" s="10">
        <f t="shared" si="3"/>
        <v>0</v>
      </c>
      <c r="J35" s="10">
        <v>2</v>
      </c>
      <c r="K35" s="9"/>
      <c r="L35" s="9"/>
      <c r="M35" s="9"/>
      <c r="N35" s="10">
        <f t="shared" si="4"/>
        <v>0</v>
      </c>
      <c r="O35" s="16" t="e">
        <f>N35:N35*F35:F35*#REF!</f>
        <v>#REF!</v>
      </c>
      <c r="P35" s="21"/>
    </row>
    <row r="36" spans="1:16" ht="34.049999999999997" hidden="1" customHeight="1">
      <c r="A36" s="22"/>
      <c r="B36" s="23" t="s">
        <v>94</v>
      </c>
      <c r="C36" s="18" t="e">
        <f>IF($C$3=100,#REF!,#REF!)</f>
        <v>#REF!</v>
      </c>
      <c r="D36" s="24">
        <v>0</v>
      </c>
      <c r="E36" s="15" t="str">
        <f t="shared" si="5"/>
        <v>компл.</v>
      </c>
      <c r="F36" s="24">
        <f t="shared" si="1"/>
        <v>1</v>
      </c>
      <c r="G36" s="18" t="e">
        <f t="shared" si="2"/>
        <v>#REF!</v>
      </c>
      <c r="H36" s="24">
        <v>0</v>
      </c>
      <c r="I36" s="24">
        <f t="shared" si="3"/>
        <v>0</v>
      </c>
      <c r="J36" s="24">
        <v>2</v>
      </c>
      <c r="K36" s="17"/>
      <c r="L36" s="17"/>
      <c r="M36" s="17"/>
      <c r="N36" s="24">
        <f t="shared" si="4"/>
        <v>0</v>
      </c>
      <c r="O36" s="18" t="e">
        <f>N36:N36*F36:F36*#REF!</f>
        <v>#REF!</v>
      </c>
      <c r="P36" s="25"/>
    </row>
    <row r="37" spans="1:16" ht="34.049999999999997" customHeight="1">
      <c r="A37" s="7"/>
      <c r="B37" s="4" t="s">
        <v>95</v>
      </c>
      <c r="C37" s="5">
        <v>27500</v>
      </c>
      <c r="D37" s="5">
        <v>1</v>
      </c>
      <c r="E37" s="3" t="str">
        <f t="shared" si="5"/>
        <v>компл.</v>
      </c>
      <c r="F37" s="5">
        <f t="shared" ref="F37:F68" si="6">1+($F$3-1)/2</f>
        <v>1</v>
      </c>
      <c r="G37" s="5">
        <f t="shared" ref="G37:G68" si="7">C37*D37*F37</f>
        <v>27500</v>
      </c>
      <c r="H37" s="10">
        <v>0</v>
      </c>
      <c r="I37" s="10">
        <f t="shared" ref="I37:I68" si="8">H37*D37</f>
        <v>0</v>
      </c>
      <c r="J37" s="10">
        <v>2</v>
      </c>
      <c r="K37" s="9"/>
      <c r="L37" s="9"/>
      <c r="M37" s="9"/>
      <c r="N37" s="10">
        <f t="shared" ref="N37:N68" si="9">IF(D37:D37=0,0,IF(J37:J37=0,0,IF(D37:D37&lt;J37:J37,D37:D37,J37:J37)))</f>
        <v>1</v>
      </c>
      <c r="O37" s="16" t="e">
        <f>N37:N37*F37:F37*#REF!</f>
        <v>#REF!</v>
      </c>
      <c r="P37" s="3" t="s">
        <v>96</v>
      </c>
    </row>
    <row r="38" spans="1:16" ht="34.049999999999997" hidden="1" customHeight="1">
      <c r="A38" s="17"/>
      <c r="B38" s="23" t="s">
        <v>97</v>
      </c>
      <c r="C38" s="18" t="e">
        <f>IF($C$3=100,#REF!,#REF!)</f>
        <v>#REF!</v>
      </c>
      <c r="D38" s="24">
        <v>0</v>
      </c>
      <c r="E38" s="15" t="str">
        <f t="shared" si="5"/>
        <v>компл.</v>
      </c>
      <c r="F38" s="24">
        <f t="shared" si="6"/>
        <v>1</v>
      </c>
      <c r="G38" s="18" t="e">
        <f t="shared" si="7"/>
        <v>#REF!</v>
      </c>
      <c r="H38" s="24">
        <v>0</v>
      </c>
      <c r="I38" s="24">
        <f t="shared" si="8"/>
        <v>0</v>
      </c>
      <c r="J38" s="24">
        <v>2</v>
      </c>
      <c r="K38" s="17"/>
      <c r="L38" s="17"/>
      <c r="M38" s="17"/>
      <c r="N38" s="24">
        <f t="shared" si="9"/>
        <v>0</v>
      </c>
      <c r="O38" s="18" t="e">
        <f>N38:N38*F38:F38*#REF!</f>
        <v>#REF!</v>
      </c>
      <c r="P38" s="25"/>
    </row>
    <row r="39" spans="1:16" ht="34.049999999999997" hidden="1" customHeight="1">
      <c r="A39" s="9"/>
      <c r="B39" s="20" t="s">
        <v>98</v>
      </c>
      <c r="C39" s="16" t="e">
        <f>IF($C$3=100,#REF!,#REF!)</f>
        <v>#REF!</v>
      </c>
      <c r="D39" s="10">
        <v>0</v>
      </c>
      <c r="E39" s="12" t="str">
        <f t="shared" si="5"/>
        <v>компл.</v>
      </c>
      <c r="F39" s="10">
        <f t="shared" si="6"/>
        <v>1</v>
      </c>
      <c r="G39" s="16" t="e">
        <f t="shared" si="7"/>
        <v>#REF!</v>
      </c>
      <c r="H39" s="10">
        <v>0</v>
      </c>
      <c r="I39" s="10">
        <f t="shared" si="8"/>
        <v>0</v>
      </c>
      <c r="J39" s="10">
        <v>1</v>
      </c>
      <c r="K39" s="9"/>
      <c r="L39" s="9"/>
      <c r="M39" s="9"/>
      <c r="N39" s="10">
        <f t="shared" si="9"/>
        <v>0</v>
      </c>
      <c r="O39" s="16" t="e">
        <f>N39:N39*F39:F39*#REF!</f>
        <v>#REF!</v>
      </c>
      <c r="P39" s="21"/>
    </row>
    <row r="40" spans="1:16" ht="34.049999999999997" hidden="1" customHeight="1">
      <c r="A40" s="22"/>
      <c r="B40" s="23" t="s">
        <v>99</v>
      </c>
      <c r="C40" s="18" t="e">
        <f>IF($C$3=100,#REF!,#REF!)</f>
        <v>#REF!</v>
      </c>
      <c r="D40" s="24">
        <v>0</v>
      </c>
      <c r="E40" s="15" t="str">
        <f t="shared" si="5"/>
        <v>компл.</v>
      </c>
      <c r="F40" s="24">
        <f t="shared" si="6"/>
        <v>1</v>
      </c>
      <c r="G40" s="18" t="e">
        <f t="shared" si="7"/>
        <v>#REF!</v>
      </c>
      <c r="H40" s="24">
        <v>0</v>
      </c>
      <c r="I40" s="24">
        <f t="shared" si="8"/>
        <v>0</v>
      </c>
      <c r="J40" s="24">
        <v>1</v>
      </c>
      <c r="K40" s="17"/>
      <c r="L40" s="17"/>
      <c r="M40" s="17"/>
      <c r="N40" s="24">
        <f t="shared" si="9"/>
        <v>0</v>
      </c>
      <c r="O40" s="18" t="e">
        <f>N40:N40*F40:F40*#REF!</f>
        <v>#REF!</v>
      </c>
      <c r="P40" s="25"/>
    </row>
    <row r="41" spans="1:16" ht="34.049999999999997" hidden="1" customHeight="1">
      <c r="A41" s="9"/>
      <c r="B41" s="20" t="s">
        <v>100</v>
      </c>
      <c r="C41" s="16" t="e">
        <f>IF($C$3=100,#REF!,#REF!)</f>
        <v>#REF!</v>
      </c>
      <c r="D41" s="10">
        <v>0</v>
      </c>
      <c r="E41" s="12" t="str">
        <f t="shared" si="5"/>
        <v>компл.</v>
      </c>
      <c r="F41" s="10">
        <f t="shared" si="6"/>
        <v>1</v>
      </c>
      <c r="G41" s="16" t="e">
        <f t="shared" si="7"/>
        <v>#REF!</v>
      </c>
      <c r="H41" s="10">
        <v>0</v>
      </c>
      <c r="I41" s="10">
        <f t="shared" si="8"/>
        <v>0</v>
      </c>
      <c r="J41" s="10">
        <v>1</v>
      </c>
      <c r="K41" s="9"/>
      <c r="L41" s="9"/>
      <c r="M41" s="9"/>
      <c r="N41" s="10">
        <f t="shared" si="9"/>
        <v>0</v>
      </c>
      <c r="O41" s="16" t="e">
        <f>N41:N41*F41:F41*#REF!</f>
        <v>#REF!</v>
      </c>
      <c r="P41" s="21"/>
    </row>
    <row r="42" spans="1:16" ht="34.049999999999997" hidden="1" customHeight="1">
      <c r="A42" s="17"/>
      <c r="B42" s="23" t="s">
        <v>101</v>
      </c>
      <c r="C42" s="18" t="e">
        <f>IF($C$3=100,#REF!,#REF!)</f>
        <v>#REF!</v>
      </c>
      <c r="D42" s="24">
        <v>0</v>
      </c>
      <c r="E42" s="15" t="str">
        <f t="shared" si="5"/>
        <v>компл.</v>
      </c>
      <c r="F42" s="24">
        <f t="shared" si="6"/>
        <v>1</v>
      </c>
      <c r="G42" s="18" t="e">
        <f t="shared" si="7"/>
        <v>#REF!</v>
      </c>
      <c r="H42" s="24">
        <v>0</v>
      </c>
      <c r="I42" s="24">
        <f t="shared" si="8"/>
        <v>0</v>
      </c>
      <c r="J42" s="24">
        <v>1</v>
      </c>
      <c r="K42" s="17"/>
      <c r="L42" s="17"/>
      <c r="M42" s="17"/>
      <c r="N42" s="24">
        <f t="shared" si="9"/>
        <v>0</v>
      </c>
      <c r="O42" s="18" t="e">
        <f>N42:N42*F42:F42*#REF!</f>
        <v>#REF!</v>
      </c>
      <c r="P42" s="25"/>
    </row>
    <row r="43" spans="1:16" ht="34.049999999999997" hidden="1" customHeight="1">
      <c r="A43" s="19"/>
      <c r="B43" s="20" t="s">
        <v>102</v>
      </c>
      <c r="C43" s="16" t="e">
        <f>IF($C$3=100,#REF!,#REF!)</f>
        <v>#REF!</v>
      </c>
      <c r="D43" s="10">
        <v>0</v>
      </c>
      <c r="E43" s="12" t="str">
        <f t="shared" si="5"/>
        <v>компл.</v>
      </c>
      <c r="F43" s="10">
        <f t="shared" si="6"/>
        <v>1</v>
      </c>
      <c r="G43" s="16" t="e">
        <f t="shared" si="7"/>
        <v>#REF!</v>
      </c>
      <c r="H43" s="10">
        <v>0</v>
      </c>
      <c r="I43" s="10">
        <f t="shared" si="8"/>
        <v>0</v>
      </c>
      <c r="J43" s="10">
        <v>1</v>
      </c>
      <c r="K43" s="9"/>
      <c r="L43" s="9"/>
      <c r="M43" s="9"/>
      <c r="N43" s="10">
        <f t="shared" si="9"/>
        <v>0</v>
      </c>
      <c r="O43" s="16" t="e">
        <f>N43:N43*F43:F43*#REF!</f>
        <v>#REF!</v>
      </c>
      <c r="P43" s="21"/>
    </row>
    <row r="44" spans="1:16" ht="34.049999999999997" hidden="1" customHeight="1">
      <c r="A44" s="17"/>
      <c r="B44" s="23" t="s">
        <v>103</v>
      </c>
      <c r="C44" s="18" t="e">
        <f>IF($C$3=100,#REF!,#REF!)</f>
        <v>#REF!</v>
      </c>
      <c r="D44" s="24">
        <v>0</v>
      </c>
      <c r="E44" s="15" t="str">
        <f t="shared" si="5"/>
        <v>компл.</v>
      </c>
      <c r="F44" s="24">
        <f t="shared" si="6"/>
        <v>1</v>
      </c>
      <c r="G44" s="18" t="e">
        <f t="shared" si="7"/>
        <v>#REF!</v>
      </c>
      <c r="H44" s="24">
        <v>0</v>
      </c>
      <c r="I44" s="24">
        <f t="shared" si="8"/>
        <v>0</v>
      </c>
      <c r="J44" s="24">
        <v>1</v>
      </c>
      <c r="K44" s="17"/>
      <c r="L44" s="17"/>
      <c r="M44" s="17"/>
      <c r="N44" s="24">
        <f t="shared" si="9"/>
        <v>0</v>
      </c>
      <c r="O44" s="18" t="e">
        <f>N44:N44*F44:F44*#REF!</f>
        <v>#REF!</v>
      </c>
      <c r="P44" s="25"/>
    </row>
    <row r="45" spans="1:16" ht="34.049999999999997" hidden="1" customHeight="1">
      <c r="A45" s="9"/>
      <c r="B45" s="20" t="s">
        <v>104</v>
      </c>
      <c r="C45" s="16" t="e">
        <f>IF($C$3=100,#REF!,#REF!)</f>
        <v>#REF!</v>
      </c>
      <c r="D45" s="10">
        <v>0</v>
      </c>
      <c r="E45" s="12" t="str">
        <f t="shared" si="5"/>
        <v>компл.</v>
      </c>
      <c r="F45" s="10">
        <f t="shared" si="6"/>
        <v>1</v>
      </c>
      <c r="G45" s="16" t="e">
        <f t="shared" si="7"/>
        <v>#REF!</v>
      </c>
      <c r="H45" s="10">
        <v>0</v>
      </c>
      <c r="I45" s="10">
        <f t="shared" si="8"/>
        <v>0</v>
      </c>
      <c r="J45" s="10">
        <v>1</v>
      </c>
      <c r="K45" s="9"/>
      <c r="L45" s="9"/>
      <c r="M45" s="9"/>
      <c r="N45" s="10">
        <f t="shared" si="9"/>
        <v>0</v>
      </c>
      <c r="O45" s="16" t="e">
        <f>N45:N45*F45:F45*#REF!</f>
        <v>#REF!</v>
      </c>
      <c r="P45" s="21"/>
    </row>
    <row r="46" spans="1:16" ht="34.049999999999997" hidden="1" customHeight="1">
      <c r="A46" s="17"/>
      <c r="B46" s="23" t="s">
        <v>105</v>
      </c>
      <c r="C46" s="18" t="e">
        <f>IF($C$3=100,#REF!,#REF!)</f>
        <v>#REF!</v>
      </c>
      <c r="D46" s="24">
        <v>0</v>
      </c>
      <c r="E46" s="15" t="str">
        <f t="shared" si="5"/>
        <v>компл.</v>
      </c>
      <c r="F46" s="24">
        <f t="shared" si="6"/>
        <v>1</v>
      </c>
      <c r="G46" s="18" t="e">
        <f t="shared" si="7"/>
        <v>#REF!</v>
      </c>
      <c r="H46" s="24">
        <v>0</v>
      </c>
      <c r="I46" s="24">
        <f t="shared" si="8"/>
        <v>0</v>
      </c>
      <c r="J46" s="24">
        <v>1</v>
      </c>
      <c r="K46" s="17"/>
      <c r="L46" s="17"/>
      <c r="M46" s="17"/>
      <c r="N46" s="24">
        <f t="shared" si="9"/>
        <v>0</v>
      </c>
      <c r="O46" s="18" t="e">
        <f>N46:N46*F46:F46*#REF!</f>
        <v>#REF!</v>
      </c>
      <c r="P46" s="25"/>
    </row>
    <row r="47" spans="1:16" ht="34.049999999999997" hidden="1" customHeight="1">
      <c r="A47" s="19"/>
      <c r="B47" s="20" t="s">
        <v>106</v>
      </c>
      <c r="C47" s="16" t="e">
        <f>IF($C$3=100,#REF!,#REF!)</f>
        <v>#REF!</v>
      </c>
      <c r="D47" s="10">
        <v>0</v>
      </c>
      <c r="E47" s="12" t="str">
        <f t="shared" si="5"/>
        <v>компл.</v>
      </c>
      <c r="F47" s="10">
        <f t="shared" si="6"/>
        <v>1</v>
      </c>
      <c r="G47" s="16" t="e">
        <f t="shared" si="7"/>
        <v>#REF!</v>
      </c>
      <c r="H47" s="10">
        <v>0</v>
      </c>
      <c r="I47" s="10">
        <f t="shared" si="8"/>
        <v>0</v>
      </c>
      <c r="J47" s="10">
        <v>1</v>
      </c>
      <c r="K47" s="9"/>
      <c r="L47" s="9"/>
      <c r="M47" s="9"/>
      <c r="N47" s="10">
        <f t="shared" si="9"/>
        <v>0</v>
      </c>
      <c r="O47" s="16" t="e">
        <f>N47:N47*F47:F47*#REF!</f>
        <v>#REF!</v>
      </c>
      <c r="P47" s="21"/>
    </row>
    <row r="48" spans="1:16" ht="16.95" hidden="1" customHeight="1">
      <c r="A48" s="22"/>
      <c r="B48" s="15" t="s">
        <v>107</v>
      </c>
      <c r="C48" s="18" t="e">
        <f>IF($C$3=100,#REF!,#REF!)</f>
        <v>#REF!</v>
      </c>
      <c r="D48" s="24">
        <v>0</v>
      </c>
      <c r="E48" s="15" t="str">
        <f t="shared" si="5"/>
        <v>компл.</v>
      </c>
      <c r="F48" s="24">
        <f t="shared" si="6"/>
        <v>1</v>
      </c>
      <c r="G48" s="18" t="e">
        <f t="shared" si="7"/>
        <v>#REF!</v>
      </c>
      <c r="H48" s="24">
        <v>0</v>
      </c>
      <c r="I48" s="24">
        <f t="shared" si="8"/>
        <v>0</v>
      </c>
      <c r="J48" s="24">
        <v>4</v>
      </c>
      <c r="K48" s="17"/>
      <c r="L48" s="17"/>
      <c r="M48" s="17"/>
      <c r="N48" s="24">
        <f t="shared" si="9"/>
        <v>0</v>
      </c>
      <c r="O48" s="18" t="e">
        <f>N48:N48*F48:F48*#REF!</f>
        <v>#REF!</v>
      </c>
      <c r="P48" s="25"/>
    </row>
    <row r="49" spans="1:16" ht="16.95" hidden="1" customHeight="1">
      <c r="A49" s="9"/>
      <c r="B49" s="12" t="s">
        <v>108</v>
      </c>
      <c r="C49" s="16" t="e">
        <f>IF($C$3=100,#REF!,#REF!)</f>
        <v>#REF!</v>
      </c>
      <c r="D49" s="10">
        <v>0</v>
      </c>
      <c r="E49" s="12" t="str">
        <f>IF($B$3=1,"п.м.","l.m.")</f>
        <v>п.м.</v>
      </c>
      <c r="F49" s="10">
        <f t="shared" si="6"/>
        <v>1</v>
      </c>
      <c r="G49" s="16" t="e">
        <f t="shared" si="7"/>
        <v>#REF!</v>
      </c>
      <c r="H49" s="10">
        <v>0</v>
      </c>
      <c r="I49" s="10">
        <f t="shared" si="8"/>
        <v>0</v>
      </c>
      <c r="J49" s="10">
        <v>342</v>
      </c>
      <c r="K49" s="10">
        <v>20</v>
      </c>
      <c r="L49" s="10">
        <f>D49:D49*20</f>
        <v>0</v>
      </c>
      <c r="M49" s="10">
        <f>D49:D49*0.384</f>
        <v>0</v>
      </c>
      <c r="N49" s="10">
        <f t="shared" si="9"/>
        <v>0</v>
      </c>
      <c r="O49" s="16" t="e">
        <f>N49:N49*F49:F49*#REF!</f>
        <v>#REF!</v>
      </c>
      <c r="P49" s="21"/>
    </row>
    <row r="50" spans="1:16" ht="16.95" hidden="1" customHeight="1">
      <c r="A50" s="22"/>
      <c r="B50" s="15" t="s">
        <v>109</v>
      </c>
      <c r="C50" s="18" t="e">
        <f>IF($C$3=100,#REF!,#REF!)</f>
        <v>#REF!</v>
      </c>
      <c r="D50" s="24">
        <v>0</v>
      </c>
      <c r="E50" s="15" t="str">
        <f>IF($B$3=1,"шт.","pcs")</f>
        <v>шт.</v>
      </c>
      <c r="F50" s="24">
        <f t="shared" si="6"/>
        <v>1</v>
      </c>
      <c r="G50" s="18" t="e">
        <f t="shared" si="7"/>
        <v>#REF!</v>
      </c>
      <c r="H50" s="24">
        <v>0</v>
      </c>
      <c r="I50" s="24">
        <f t="shared" si="8"/>
        <v>0</v>
      </c>
      <c r="J50" s="24">
        <v>54</v>
      </c>
      <c r="K50" s="24">
        <v>20</v>
      </c>
      <c r="L50" s="24">
        <f>D50:D50*20</f>
        <v>0</v>
      </c>
      <c r="M50" s="24">
        <f>D50:D50*0.41</f>
        <v>0</v>
      </c>
      <c r="N50" s="24">
        <f t="shared" si="9"/>
        <v>0</v>
      </c>
      <c r="O50" s="18" t="e">
        <f>N50:N50*F50:F50*#REF!</f>
        <v>#REF!</v>
      </c>
      <c r="P50" s="25"/>
    </row>
    <row r="51" spans="1:16" ht="16.95" hidden="1" customHeight="1">
      <c r="A51" s="9"/>
      <c r="B51" s="12" t="s">
        <v>110</v>
      </c>
      <c r="C51" s="16" t="e">
        <f>IF($C$3=100,#REF!,#REF!)</f>
        <v>#REF!</v>
      </c>
      <c r="D51" s="10">
        <v>0</v>
      </c>
      <c r="E51" s="12" t="str">
        <f>IF($B$3=1,"компл.","set")</f>
        <v>компл.</v>
      </c>
      <c r="F51" s="10">
        <f t="shared" si="6"/>
        <v>1</v>
      </c>
      <c r="G51" s="16" t="e">
        <f t="shared" si="7"/>
        <v>#REF!</v>
      </c>
      <c r="H51" s="10">
        <v>0</v>
      </c>
      <c r="I51" s="10">
        <f t="shared" si="8"/>
        <v>0</v>
      </c>
      <c r="J51" s="10">
        <v>1</v>
      </c>
      <c r="K51" s="10">
        <v>1660</v>
      </c>
      <c r="L51" s="10">
        <f>D51:D51*1660</f>
        <v>0</v>
      </c>
      <c r="M51" s="10">
        <f>D51:D51*68</f>
        <v>0</v>
      </c>
      <c r="N51" s="10">
        <f t="shared" si="9"/>
        <v>0</v>
      </c>
      <c r="O51" s="16" t="e">
        <f>N51:N51*F51:F51*#REF!</f>
        <v>#REF!</v>
      </c>
      <c r="P51" s="21"/>
    </row>
    <row r="52" spans="1:16" ht="16.95" hidden="1" customHeight="1">
      <c r="A52" s="22"/>
      <c r="B52" s="15" t="s">
        <v>111</v>
      </c>
      <c r="C52" s="18" t="e">
        <f>IF($C$3=100,#REF!,#REF!)</f>
        <v>#REF!</v>
      </c>
      <c r="D52" s="24">
        <v>0</v>
      </c>
      <c r="E52" s="15" t="str">
        <f>IF($B$3=1,"компл.","set")</f>
        <v>компл.</v>
      </c>
      <c r="F52" s="24">
        <f t="shared" si="6"/>
        <v>1</v>
      </c>
      <c r="G52" s="18" t="e">
        <f t="shared" si="7"/>
        <v>#REF!</v>
      </c>
      <c r="H52" s="24">
        <v>0</v>
      </c>
      <c r="I52" s="24">
        <f t="shared" si="8"/>
        <v>0</v>
      </c>
      <c r="J52" s="24">
        <v>1</v>
      </c>
      <c r="K52" s="24">
        <v>1577</v>
      </c>
      <c r="L52" s="24">
        <f>D52:D52*1577</f>
        <v>0</v>
      </c>
      <c r="M52" s="17"/>
      <c r="N52" s="24">
        <f t="shared" si="9"/>
        <v>0</v>
      </c>
      <c r="O52" s="18" t="e">
        <f>N52:N52*F52:F52*#REF!</f>
        <v>#REF!</v>
      </c>
      <c r="P52" s="25"/>
    </row>
    <row r="53" spans="1:16" ht="16.95" hidden="1" customHeight="1">
      <c r="A53" s="19"/>
      <c r="B53" s="12" t="s">
        <v>112</v>
      </c>
      <c r="C53" s="16" t="e">
        <f>IF($C$3=100,#REF!,#REF!)</f>
        <v>#REF!</v>
      </c>
      <c r="D53" s="10">
        <v>0</v>
      </c>
      <c r="E53" s="12" t="str">
        <f>IF($B$3=1,"компл.","set")</f>
        <v>компл.</v>
      </c>
      <c r="F53" s="10">
        <f t="shared" si="6"/>
        <v>1</v>
      </c>
      <c r="G53" s="16" t="e">
        <f t="shared" si="7"/>
        <v>#REF!</v>
      </c>
      <c r="H53" s="10">
        <v>0</v>
      </c>
      <c r="I53" s="10">
        <f t="shared" si="8"/>
        <v>0</v>
      </c>
      <c r="J53" s="10">
        <v>1</v>
      </c>
      <c r="K53" s="10">
        <v>1491</v>
      </c>
      <c r="L53" s="10">
        <f>D53:D53*1491</f>
        <v>0</v>
      </c>
      <c r="M53" s="9"/>
      <c r="N53" s="10">
        <f t="shared" si="9"/>
        <v>0</v>
      </c>
      <c r="O53" s="16" t="e">
        <f>N53:N53*F53:F53*#REF!</f>
        <v>#REF!</v>
      </c>
      <c r="P53" s="21"/>
    </row>
    <row r="54" spans="1:16" ht="16.95" hidden="1" customHeight="1">
      <c r="A54" s="17"/>
      <c r="B54" s="15" t="s">
        <v>113</v>
      </c>
      <c r="C54" s="18" t="e">
        <f>IF($C$3=100,#REF!,#REF!)</f>
        <v>#REF!</v>
      </c>
      <c r="D54" s="24">
        <v>0</v>
      </c>
      <c r="E54" s="15" t="str">
        <f>IF($B$3=1,"компл.","set")</f>
        <v>компл.</v>
      </c>
      <c r="F54" s="24">
        <f t="shared" si="6"/>
        <v>1</v>
      </c>
      <c r="G54" s="18" t="e">
        <f t="shared" si="7"/>
        <v>#REF!</v>
      </c>
      <c r="H54" s="24">
        <v>0</v>
      </c>
      <c r="I54" s="24">
        <f t="shared" si="8"/>
        <v>0</v>
      </c>
      <c r="J54" s="24">
        <v>1</v>
      </c>
      <c r="K54" s="24">
        <v>1338</v>
      </c>
      <c r="L54" s="24">
        <f>D54:D54*1338</f>
        <v>0</v>
      </c>
      <c r="M54" s="17"/>
      <c r="N54" s="24">
        <f t="shared" si="9"/>
        <v>0</v>
      </c>
      <c r="O54" s="18" t="e">
        <f>N54:N54*F54:F54*#REF!</f>
        <v>#REF!</v>
      </c>
      <c r="P54" s="25"/>
    </row>
    <row r="55" spans="1:16" ht="16.95" hidden="1" customHeight="1">
      <c r="A55" s="9"/>
      <c r="B55" s="12" t="s">
        <v>114</v>
      </c>
      <c r="C55" s="16" t="e">
        <f>IF($C$3=100,#REF!,#REF!)</f>
        <v>#REF!</v>
      </c>
      <c r="D55" s="10">
        <v>0</v>
      </c>
      <c r="E55" s="12" t="str">
        <f>IF($B$3=1,"компл.","set")</f>
        <v>компл.</v>
      </c>
      <c r="F55" s="10">
        <f t="shared" si="6"/>
        <v>1</v>
      </c>
      <c r="G55" s="16" t="e">
        <f t="shared" si="7"/>
        <v>#REF!</v>
      </c>
      <c r="H55" s="10">
        <v>0</v>
      </c>
      <c r="I55" s="10">
        <f t="shared" si="8"/>
        <v>0</v>
      </c>
      <c r="J55" s="10">
        <v>1</v>
      </c>
      <c r="K55" s="10">
        <v>1185</v>
      </c>
      <c r="L55" s="10">
        <f>D55:D55*1185</f>
        <v>0</v>
      </c>
      <c r="M55" s="9"/>
      <c r="N55" s="10">
        <f t="shared" si="9"/>
        <v>0</v>
      </c>
      <c r="O55" s="16" t="e">
        <f>N55:N55*F55:F55*#REF!</f>
        <v>#REF!</v>
      </c>
      <c r="P55" s="21"/>
    </row>
    <row r="56" spans="1:16" ht="16.95" hidden="1" customHeight="1">
      <c r="A56" s="17"/>
      <c r="B56" s="15" t="s">
        <v>115</v>
      </c>
      <c r="C56" s="18" t="e">
        <f>IF($C$3=100,#REF!,#REF!)</f>
        <v>#REF!</v>
      </c>
      <c r="D56" s="24">
        <v>0</v>
      </c>
      <c r="E56" s="15" t="str">
        <f>IF($B$3=1,"п.м.","l.m.")</f>
        <v>п.м.</v>
      </c>
      <c r="F56" s="24">
        <f t="shared" si="6"/>
        <v>1</v>
      </c>
      <c r="G56" s="18" t="e">
        <f t="shared" si="7"/>
        <v>#REF!</v>
      </c>
      <c r="H56" s="24">
        <v>0</v>
      </c>
      <c r="I56" s="24">
        <f t="shared" si="8"/>
        <v>0</v>
      </c>
      <c r="J56" s="24">
        <v>257</v>
      </c>
      <c r="K56" s="24">
        <v>14.2</v>
      </c>
      <c r="L56" s="24">
        <f>D56:D56*14.2</f>
        <v>0</v>
      </c>
      <c r="M56" s="24">
        <f>D56:D56*0.158</f>
        <v>0</v>
      </c>
      <c r="N56" s="24">
        <f t="shared" si="9"/>
        <v>0</v>
      </c>
      <c r="O56" s="18" t="e">
        <f>N56:N56*F56:F56*#REF!</f>
        <v>#REF!</v>
      </c>
      <c r="P56" s="25"/>
    </row>
    <row r="57" spans="1:16" ht="16.95" hidden="1" customHeight="1">
      <c r="A57" s="9"/>
      <c r="B57" s="12" t="s">
        <v>116</v>
      </c>
      <c r="C57" s="16" t="e">
        <f>IF($C$3=100,#REF!,#REF!)</f>
        <v>#REF!</v>
      </c>
      <c r="D57" s="10">
        <v>0</v>
      </c>
      <c r="E57" s="12" t="str">
        <f>IF($B$3=1,"шт.","pcs")</f>
        <v>шт.</v>
      </c>
      <c r="F57" s="10">
        <f t="shared" si="6"/>
        <v>1</v>
      </c>
      <c r="G57" s="16" t="e">
        <f t="shared" si="7"/>
        <v>#REF!</v>
      </c>
      <c r="H57" s="10">
        <v>0</v>
      </c>
      <c r="I57" s="10">
        <f t="shared" si="8"/>
        <v>0</v>
      </c>
      <c r="J57" s="10">
        <v>31</v>
      </c>
      <c r="K57" s="10">
        <v>32</v>
      </c>
      <c r="L57" s="10">
        <f>D57:D57*32</f>
        <v>0</v>
      </c>
      <c r="M57" s="10">
        <f>D57:D57*0.14</f>
        <v>0</v>
      </c>
      <c r="N57" s="10">
        <f t="shared" si="9"/>
        <v>0</v>
      </c>
      <c r="O57" s="16" t="e">
        <f>N57:N57*F57:F57*#REF!</f>
        <v>#REF!</v>
      </c>
      <c r="P57" s="21"/>
    </row>
    <row r="58" spans="1:16" ht="16.95" hidden="1" customHeight="1">
      <c r="A58" s="22"/>
      <c r="B58" s="15" t="s">
        <v>117</v>
      </c>
      <c r="C58" s="18" t="e">
        <f>IF($C$3=100,#REF!,#REF!)</f>
        <v>#REF!</v>
      </c>
      <c r="D58" s="24">
        <v>0</v>
      </c>
      <c r="E58" s="15" t="str">
        <f>IF($B$3=1,"компл.","set")</f>
        <v>компл.</v>
      </c>
      <c r="F58" s="24">
        <f t="shared" si="6"/>
        <v>1</v>
      </c>
      <c r="G58" s="18" t="e">
        <f t="shared" si="7"/>
        <v>#REF!</v>
      </c>
      <c r="H58" s="24">
        <v>0</v>
      </c>
      <c r="I58" s="24">
        <f t="shared" si="8"/>
        <v>0</v>
      </c>
      <c r="J58" s="24">
        <v>1</v>
      </c>
      <c r="K58" s="24">
        <v>764</v>
      </c>
      <c r="L58" s="24">
        <f>D58:D58*764</f>
        <v>0</v>
      </c>
      <c r="M58" s="17"/>
      <c r="N58" s="24">
        <f t="shared" si="9"/>
        <v>0</v>
      </c>
      <c r="O58" s="18" t="e">
        <f>N58:N58*F58:F58*#REF!</f>
        <v>#REF!</v>
      </c>
      <c r="P58" s="25"/>
    </row>
    <row r="59" spans="1:16" ht="16.95" hidden="1" customHeight="1">
      <c r="A59" s="19"/>
      <c r="B59" s="12" t="s">
        <v>118</v>
      </c>
      <c r="C59" s="16" t="e">
        <f>IF($C$3=100,#REF!,#REF!)</f>
        <v>#REF!</v>
      </c>
      <c r="D59" s="10">
        <v>0</v>
      </c>
      <c r="E59" s="12" t="str">
        <f>IF($B$3=1,"компл.","set")</f>
        <v>компл.</v>
      </c>
      <c r="F59" s="10">
        <f t="shared" si="6"/>
        <v>1</v>
      </c>
      <c r="G59" s="16" t="e">
        <f t="shared" si="7"/>
        <v>#REF!</v>
      </c>
      <c r="H59" s="10">
        <v>0</v>
      </c>
      <c r="I59" s="10">
        <f t="shared" si="8"/>
        <v>0</v>
      </c>
      <c r="J59" s="10">
        <v>1</v>
      </c>
      <c r="K59" s="10">
        <v>643</v>
      </c>
      <c r="L59" s="10">
        <f>D59:D59*643</f>
        <v>0</v>
      </c>
      <c r="M59" s="9"/>
      <c r="N59" s="10">
        <f t="shared" si="9"/>
        <v>0</v>
      </c>
      <c r="O59" s="16" t="e">
        <f>N59:N59*F59:F59*#REF!</f>
        <v>#REF!</v>
      </c>
      <c r="P59" s="21"/>
    </row>
    <row r="60" spans="1:16" ht="16.95" hidden="1" customHeight="1">
      <c r="A60" s="22"/>
      <c r="B60" s="15" t="s">
        <v>119</v>
      </c>
      <c r="C60" s="18" t="e">
        <f>IF($C$3=100,#REF!,#REF!)</f>
        <v>#REF!</v>
      </c>
      <c r="D60" s="24">
        <v>0</v>
      </c>
      <c r="E60" s="15" t="str">
        <f>IF($B$3=1,"компл.","set")</f>
        <v>компл.</v>
      </c>
      <c r="F60" s="24">
        <f t="shared" si="6"/>
        <v>1</v>
      </c>
      <c r="G60" s="18" t="e">
        <f t="shared" si="7"/>
        <v>#REF!</v>
      </c>
      <c r="H60" s="24">
        <v>0</v>
      </c>
      <c r="I60" s="24">
        <f t="shared" si="8"/>
        <v>0</v>
      </c>
      <c r="J60" s="24">
        <v>4</v>
      </c>
      <c r="K60" s="24">
        <v>623</v>
      </c>
      <c r="L60" s="24">
        <f>D60:D60*623</f>
        <v>0</v>
      </c>
      <c r="M60" s="17"/>
      <c r="N60" s="24">
        <f t="shared" si="9"/>
        <v>0</v>
      </c>
      <c r="O60" s="18" t="e">
        <f>N60:N60*F60:F60*#REF!</f>
        <v>#REF!</v>
      </c>
      <c r="P60" s="25"/>
    </row>
    <row r="61" spans="1:16" ht="16.95" hidden="1" customHeight="1">
      <c r="A61" s="19"/>
      <c r="B61" s="12" t="s">
        <v>120</v>
      </c>
      <c r="C61" s="16" t="e">
        <f>IF($C$3=100,#REF!,#REF!)</f>
        <v>#REF!</v>
      </c>
      <c r="D61" s="10">
        <v>0</v>
      </c>
      <c r="E61" s="12" t="str">
        <f>IF($B$3=1,"п.м.","l.m.")</f>
        <v>п.м.</v>
      </c>
      <c r="F61" s="10">
        <f t="shared" si="6"/>
        <v>1</v>
      </c>
      <c r="G61" s="16" t="e">
        <f t="shared" si="7"/>
        <v>#REF!</v>
      </c>
      <c r="H61" s="10">
        <v>0</v>
      </c>
      <c r="I61" s="10">
        <f t="shared" si="8"/>
        <v>0</v>
      </c>
      <c r="J61" s="10">
        <f>2*24</f>
        <v>48</v>
      </c>
      <c r="K61" s="9"/>
      <c r="L61" s="9"/>
      <c r="M61" s="10">
        <f>D61:D61*0.15</f>
        <v>0</v>
      </c>
      <c r="N61" s="10">
        <f t="shared" si="9"/>
        <v>0</v>
      </c>
      <c r="O61" s="16" t="e">
        <f>N61:N61*F61:F61*#REF!</f>
        <v>#REF!</v>
      </c>
      <c r="P61" s="21"/>
    </row>
    <row r="62" spans="1:16" ht="16.95" customHeight="1">
      <c r="A62" s="13"/>
      <c r="B62" s="14" t="s">
        <v>121</v>
      </c>
      <c r="C62" s="26">
        <v>300</v>
      </c>
      <c r="D62" s="26">
        <v>44</v>
      </c>
      <c r="E62" s="14" t="str">
        <f>IF($B$3=1,"п.м.","l.m.")</f>
        <v>п.м.</v>
      </c>
      <c r="F62" s="26">
        <f t="shared" si="6"/>
        <v>1</v>
      </c>
      <c r="G62" s="26">
        <f t="shared" si="7"/>
        <v>13200</v>
      </c>
      <c r="H62" s="24">
        <v>0</v>
      </c>
      <c r="I62" s="24">
        <f t="shared" si="8"/>
        <v>0</v>
      </c>
      <c r="J62" s="24">
        <v>1456</v>
      </c>
      <c r="K62" s="24">
        <v>7</v>
      </c>
      <c r="L62" s="24">
        <f>D62:D62*7</f>
        <v>308</v>
      </c>
      <c r="M62" s="24">
        <f>D62:D62*0.09</f>
        <v>3.96</v>
      </c>
      <c r="N62" s="24">
        <f t="shared" si="9"/>
        <v>44</v>
      </c>
      <c r="O62" s="18" t="e">
        <f>N62:N62*F62:F62*#REF!</f>
        <v>#REF!</v>
      </c>
      <c r="P62" s="13"/>
    </row>
    <row r="63" spans="1:16" ht="16.95" hidden="1" customHeight="1">
      <c r="A63" s="19"/>
      <c r="B63" s="12" t="s">
        <v>122</v>
      </c>
      <c r="C63" s="16" t="e">
        <f>IF($C$3=100,#REF!,#REF!)</f>
        <v>#REF!</v>
      </c>
      <c r="D63" s="10">
        <v>0</v>
      </c>
      <c r="E63" s="12" t="str">
        <f t="shared" ref="E63:E78" si="10">IF($B$3=1,"шт.","pcs")</f>
        <v>шт.</v>
      </c>
      <c r="F63" s="10">
        <f t="shared" si="6"/>
        <v>1</v>
      </c>
      <c r="G63" s="16" t="e">
        <f t="shared" si="7"/>
        <v>#REF!</v>
      </c>
      <c r="H63" s="10">
        <v>0</v>
      </c>
      <c r="I63" s="10">
        <f t="shared" si="8"/>
        <v>0</v>
      </c>
      <c r="J63" s="10">
        <v>120</v>
      </c>
      <c r="K63" s="10">
        <v>5</v>
      </c>
      <c r="L63" s="10">
        <f>D63:D63*5</f>
        <v>0</v>
      </c>
      <c r="M63" s="10">
        <f>D63:D63*0.05</f>
        <v>0</v>
      </c>
      <c r="N63" s="10">
        <f t="shared" si="9"/>
        <v>0</v>
      </c>
      <c r="O63" s="16" t="e">
        <f>N63:N63*F63:F63*#REF!</f>
        <v>#REF!</v>
      </c>
      <c r="P63" s="21"/>
    </row>
    <row r="64" spans="1:16" ht="34.049999999999997" hidden="1" customHeight="1">
      <c r="A64" s="22"/>
      <c r="B64" s="15" t="s">
        <v>123</v>
      </c>
      <c r="C64" s="18" t="e">
        <f>IF($C$3=100,#REF!,#REF!)</f>
        <v>#REF!</v>
      </c>
      <c r="D64" s="24">
        <v>0</v>
      </c>
      <c r="E64" s="15" t="str">
        <f t="shared" si="10"/>
        <v>шт.</v>
      </c>
      <c r="F64" s="24">
        <f t="shared" si="6"/>
        <v>1</v>
      </c>
      <c r="G64" s="18" t="e">
        <f t="shared" si="7"/>
        <v>#REF!</v>
      </c>
      <c r="H64" s="24">
        <v>0</v>
      </c>
      <c r="I64" s="24">
        <f t="shared" si="8"/>
        <v>0</v>
      </c>
      <c r="J64" s="24">
        <f>SUM(J65:J73)</f>
        <v>195</v>
      </c>
      <c r="K64" s="24">
        <v>8</v>
      </c>
      <c r="L64" s="24">
        <f t="shared" ref="L64:L72" si="11">D64:D64*8</f>
        <v>0</v>
      </c>
      <c r="M64" s="24">
        <f t="shared" ref="M64:M72" si="12">D64:D64*0.105</f>
        <v>0</v>
      </c>
      <c r="N64" s="24">
        <f t="shared" si="9"/>
        <v>0</v>
      </c>
      <c r="O64" s="18" t="e">
        <f>N64:N64*F64:F64*#REF!</f>
        <v>#REF!</v>
      </c>
      <c r="P64" s="25"/>
    </row>
    <row r="65" spans="1:16" ht="16.95" hidden="1" customHeight="1">
      <c r="A65" s="19"/>
      <c r="B65" s="12" t="s">
        <v>124</v>
      </c>
      <c r="C65" s="16" t="e">
        <f>IF($C$3=100,#REF!,#REF!)</f>
        <v>#REF!</v>
      </c>
      <c r="D65" s="10">
        <v>0</v>
      </c>
      <c r="E65" s="12" t="str">
        <f t="shared" si="10"/>
        <v>шт.</v>
      </c>
      <c r="F65" s="10">
        <f t="shared" si="6"/>
        <v>1</v>
      </c>
      <c r="G65" s="16" t="e">
        <f t="shared" si="7"/>
        <v>#REF!</v>
      </c>
      <c r="H65" s="10">
        <v>0</v>
      </c>
      <c r="I65" s="10">
        <f t="shared" si="8"/>
        <v>0</v>
      </c>
      <c r="J65" s="10">
        <v>57</v>
      </c>
      <c r="K65" s="10">
        <v>8</v>
      </c>
      <c r="L65" s="10">
        <f t="shared" si="11"/>
        <v>0</v>
      </c>
      <c r="M65" s="10">
        <f t="shared" si="12"/>
        <v>0</v>
      </c>
      <c r="N65" s="10">
        <f t="shared" si="9"/>
        <v>0</v>
      </c>
      <c r="O65" s="16" t="e">
        <f>N65:N65*F65:F65*#REF!</f>
        <v>#REF!</v>
      </c>
      <c r="P65" s="21"/>
    </row>
    <row r="66" spans="1:16" ht="16.95" hidden="1" customHeight="1">
      <c r="A66" s="22"/>
      <c r="B66" s="15" t="s">
        <v>125</v>
      </c>
      <c r="C66" s="18" t="e">
        <f>IF($C$3=100,#REF!,#REF!)</f>
        <v>#REF!</v>
      </c>
      <c r="D66" s="24">
        <v>0</v>
      </c>
      <c r="E66" s="15" t="str">
        <f t="shared" si="10"/>
        <v>шт.</v>
      </c>
      <c r="F66" s="24">
        <f t="shared" si="6"/>
        <v>1</v>
      </c>
      <c r="G66" s="18" t="e">
        <f t="shared" si="7"/>
        <v>#REF!</v>
      </c>
      <c r="H66" s="24">
        <v>0</v>
      </c>
      <c r="I66" s="24">
        <f t="shared" si="8"/>
        <v>0</v>
      </c>
      <c r="J66" s="24">
        <v>51</v>
      </c>
      <c r="K66" s="24">
        <v>8</v>
      </c>
      <c r="L66" s="24">
        <f t="shared" si="11"/>
        <v>0</v>
      </c>
      <c r="M66" s="24">
        <f t="shared" si="12"/>
        <v>0</v>
      </c>
      <c r="N66" s="24">
        <f t="shared" si="9"/>
        <v>0</v>
      </c>
      <c r="O66" s="18" t="e">
        <f>N66:N66*F66:F66*#REF!</f>
        <v>#REF!</v>
      </c>
      <c r="P66" s="25"/>
    </row>
    <row r="67" spans="1:16" ht="16.95" hidden="1" customHeight="1">
      <c r="A67" s="19"/>
      <c r="B67" s="12" t="s">
        <v>126</v>
      </c>
      <c r="C67" s="16" t="e">
        <f>IF($C$3=100,#REF!,#REF!)</f>
        <v>#REF!</v>
      </c>
      <c r="D67" s="10">
        <v>0</v>
      </c>
      <c r="E67" s="12" t="str">
        <f t="shared" si="10"/>
        <v>шт.</v>
      </c>
      <c r="F67" s="10">
        <f t="shared" si="6"/>
        <v>1</v>
      </c>
      <c r="G67" s="16" t="e">
        <f t="shared" si="7"/>
        <v>#REF!</v>
      </c>
      <c r="H67" s="10">
        <v>0</v>
      </c>
      <c r="I67" s="10">
        <f t="shared" si="8"/>
        <v>0</v>
      </c>
      <c r="J67" s="10">
        <v>20</v>
      </c>
      <c r="K67" s="10">
        <v>8</v>
      </c>
      <c r="L67" s="10">
        <f t="shared" si="11"/>
        <v>0</v>
      </c>
      <c r="M67" s="10">
        <f t="shared" si="12"/>
        <v>0</v>
      </c>
      <c r="N67" s="10">
        <f t="shared" si="9"/>
        <v>0</v>
      </c>
      <c r="O67" s="16" t="e">
        <f>N67:N67*F67:F67*#REF!</f>
        <v>#REF!</v>
      </c>
      <c r="P67" s="21"/>
    </row>
    <row r="68" spans="1:16" ht="16.95" hidden="1" customHeight="1">
      <c r="A68" s="22"/>
      <c r="B68" s="15" t="s">
        <v>127</v>
      </c>
      <c r="C68" s="18" t="e">
        <f>IF($C$3=100,#REF!,#REF!)</f>
        <v>#REF!</v>
      </c>
      <c r="D68" s="24">
        <v>0</v>
      </c>
      <c r="E68" s="15" t="str">
        <f t="shared" si="10"/>
        <v>шт.</v>
      </c>
      <c r="F68" s="24">
        <f t="shared" si="6"/>
        <v>1</v>
      </c>
      <c r="G68" s="18" t="e">
        <f t="shared" si="7"/>
        <v>#REF!</v>
      </c>
      <c r="H68" s="24">
        <v>0</v>
      </c>
      <c r="I68" s="24">
        <f t="shared" si="8"/>
        <v>0</v>
      </c>
      <c r="J68" s="24">
        <v>20</v>
      </c>
      <c r="K68" s="24">
        <v>8</v>
      </c>
      <c r="L68" s="24">
        <f t="shared" si="11"/>
        <v>0</v>
      </c>
      <c r="M68" s="24">
        <f t="shared" si="12"/>
        <v>0</v>
      </c>
      <c r="N68" s="24">
        <f t="shared" si="9"/>
        <v>0</v>
      </c>
      <c r="O68" s="18" t="e">
        <f>N68:N68*F68:F68*#REF!</f>
        <v>#REF!</v>
      </c>
      <c r="P68" s="25"/>
    </row>
    <row r="69" spans="1:16" ht="16.95" hidden="1" customHeight="1">
      <c r="A69" s="19"/>
      <c r="B69" s="12" t="s">
        <v>128</v>
      </c>
      <c r="C69" s="16" t="e">
        <f>IF($C$3=100,#REF!,#REF!)</f>
        <v>#REF!</v>
      </c>
      <c r="D69" s="10">
        <v>0</v>
      </c>
      <c r="E69" s="12" t="str">
        <f t="shared" si="10"/>
        <v>шт.</v>
      </c>
      <c r="F69" s="10">
        <f t="shared" ref="F69:F102" si="13">1+($F$3-1)/2</f>
        <v>1</v>
      </c>
      <c r="G69" s="16" t="e">
        <f t="shared" ref="G69:G100" si="14">C69*D69*F69</f>
        <v>#REF!</v>
      </c>
      <c r="H69" s="10">
        <v>0</v>
      </c>
      <c r="I69" s="10">
        <f t="shared" ref="I69:I100" si="15">H69*D69</f>
        <v>0</v>
      </c>
      <c r="J69" s="10">
        <v>19</v>
      </c>
      <c r="K69" s="10">
        <v>8</v>
      </c>
      <c r="L69" s="10">
        <f t="shared" si="11"/>
        <v>0</v>
      </c>
      <c r="M69" s="10">
        <f t="shared" si="12"/>
        <v>0</v>
      </c>
      <c r="N69" s="10">
        <f t="shared" ref="N69:N102" si="16">IF(D69:D69=0,0,IF(J69:J69=0,0,IF(D69:D69&lt;J69:J69,D69:D69,J69:J69)))</f>
        <v>0</v>
      </c>
      <c r="O69" s="16" t="e">
        <f>N69:N69*F69:F69*#REF!</f>
        <v>#REF!</v>
      </c>
      <c r="P69" s="21"/>
    </row>
    <row r="70" spans="1:16" ht="16.95" hidden="1" customHeight="1">
      <c r="A70" s="22"/>
      <c r="B70" s="15" t="s">
        <v>129</v>
      </c>
      <c r="C70" s="18" t="e">
        <f>IF($C$3=100,#REF!,#REF!)</f>
        <v>#REF!</v>
      </c>
      <c r="D70" s="24">
        <v>0</v>
      </c>
      <c r="E70" s="15" t="str">
        <f t="shared" si="10"/>
        <v>шт.</v>
      </c>
      <c r="F70" s="24">
        <f t="shared" si="13"/>
        <v>1</v>
      </c>
      <c r="G70" s="18" t="e">
        <f t="shared" si="14"/>
        <v>#REF!</v>
      </c>
      <c r="H70" s="24">
        <v>0</v>
      </c>
      <c r="I70" s="24">
        <f t="shared" si="15"/>
        <v>0</v>
      </c>
      <c r="J70" s="24">
        <v>8</v>
      </c>
      <c r="K70" s="24">
        <v>8</v>
      </c>
      <c r="L70" s="24">
        <f t="shared" si="11"/>
        <v>0</v>
      </c>
      <c r="M70" s="24">
        <f t="shared" si="12"/>
        <v>0</v>
      </c>
      <c r="N70" s="24">
        <f t="shared" si="16"/>
        <v>0</v>
      </c>
      <c r="O70" s="18" t="e">
        <f>N70:N70*F70:F70*#REF!</f>
        <v>#REF!</v>
      </c>
      <c r="P70" s="25"/>
    </row>
    <row r="71" spans="1:16" ht="16.95" hidden="1" customHeight="1">
      <c r="A71" s="19"/>
      <c r="B71" s="12" t="s">
        <v>130</v>
      </c>
      <c r="C71" s="16" t="e">
        <f>IF($C$3=100,#REF!,#REF!)</f>
        <v>#REF!</v>
      </c>
      <c r="D71" s="10">
        <v>0</v>
      </c>
      <c r="E71" s="12" t="str">
        <f t="shared" si="10"/>
        <v>шт.</v>
      </c>
      <c r="F71" s="10">
        <f t="shared" si="13"/>
        <v>1</v>
      </c>
      <c r="G71" s="16" t="e">
        <f t="shared" si="14"/>
        <v>#REF!</v>
      </c>
      <c r="H71" s="10">
        <v>0</v>
      </c>
      <c r="I71" s="10">
        <f t="shared" si="15"/>
        <v>0</v>
      </c>
      <c r="J71" s="10">
        <v>6</v>
      </c>
      <c r="K71" s="10">
        <v>8</v>
      </c>
      <c r="L71" s="10">
        <f t="shared" si="11"/>
        <v>0</v>
      </c>
      <c r="M71" s="10">
        <f t="shared" si="12"/>
        <v>0</v>
      </c>
      <c r="N71" s="10">
        <f t="shared" si="16"/>
        <v>0</v>
      </c>
      <c r="O71" s="16" t="e">
        <f>N71:N71*F71:F71*#REF!</f>
        <v>#REF!</v>
      </c>
      <c r="P71" s="21"/>
    </row>
    <row r="72" spans="1:16" ht="16.95" hidden="1" customHeight="1">
      <c r="A72" s="22"/>
      <c r="B72" s="15" t="s">
        <v>131</v>
      </c>
      <c r="C72" s="18" t="e">
        <f>IF($C$3=100,#REF!,#REF!)</f>
        <v>#REF!</v>
      </c>
      <c r="D72" s="24">
        <v>0</v>
      </c>
      <c r="E72" s="15" t="str">
        <f t="shared" si="10"/>
        <v>шт.</v>
      </c>
      <c r="F72" s="24">
        <f t="shared" si="13"/>
        <v>1</v>
      </c>
      <c r="G72" s="18" t="e">
        <f t="shared" si="14"/>
        <v>#REF!</v>
      </c>
      <c r="H72" s="24">
        <v>0</v>
      </c>
      <c r="I72" s="24">
        <f t="shared" si="15"/>
        <v>0</v>
      </c>
      <c r="J72" s="24">
        <v>6</v>
      </c>
      <c r="K72" s="24">
        <v>8</v>
      </c>
      <c r="L72" s="24">
        <f t="shared" si="11"/>
        <v>0</v>
      </c>
      <c r="M72" s="24">
        <f t="shared" si="12"/>
        <v>0</v>
      </c>
      <c r="N72" s="24">
        <f t="shared" si="16"/>
        <v>0</v>
      </c>
      <c r="O72" s="18" t="e">
        <f>N72:N72*F72:F72*#REF!</f>
        <v>#REF!</v>
      </c>
      <c r="P72" s="25"/>
    </row>
    <row r="73" spans="1:16" ht="16.95" hidden="1" customHeight="1">
      <c r="A73" s="9"/>
      <c r="B73" s="12" t="s">
        <v>132</v>
      </c>
      <c r="C73" s="16" t="e">
        <f>IF($C$3=100,#REF!,#REF!)</f>
        <v>#REF!</v>
      </c>
      <c r="D73" s="10">
        <v>0</v>
      </c>
      <c r="E73" s="12" t="str">
        <f t="shared" si="10"/>
        <v>шт.</v>
      </c>
      <c r="F73" s="10">
        <f t="shared" si="13"/>
        <v>1</v>
      </c>
      <c r="G73" s="16" t="e">
        <f t="shared" si="14"/>
        <v>#REF!</v>
      </c>
      <c r="H73" s="10">
        <v>0</v>
      </c>
      <c r="I73" s="10">
        <f t="shared" si="15"/>
        <v>0</v>
      </c>
      <c r="J73" s="10">
        <v>8</v>
      </c>
      <c r="K73" s="10">
        <v>9.5</v>
      </c>
      <c r="L73" s="10">
        <f>D73:D73*9.5</f>
        <v>0</v>
      </c>
      <c r="M73" s="10">
        <f>D73:D73*0.515</f>
        <v>0</v>
      </c>
      <c r="N73" s="10">
        <f t="shared" si="16"/>
        <v>0</v>
      </c>
      <c r="O73" s="16" t="e">
        <f>N73:N73*F73:F73*#REF!</f>
        <v>#REF!</v>
      </c>
      <c r="P73" s="21"/>
    </row>
    <row r="74" spans="1:16" ht="16.95" hidden="1" customHeight="1">
      <c r="A74" s="17"/>
      <c r="B74" s="15" t="s">
        <v>133</v>
      </c>
      <c r="C74" s="18" t="e">
        <f>IF($C$3=100,#REF!,#REF!)</f>
        <v>#REF!</v>
      </c>
      <c r="D74" s="24">
        <v>0</v>
      </c>
      <c r="E74" s="15" t="str">
        <f t="shared" si="10"/>
        <v>шт.</v>
      </c>
      <c r="F74" s="24">
        <f t="shared" si="13"/>
        <v>1</v>
      </c>
      <c r="G74" s="18" t="e">
        <f t="shared" si="14"/>
        <v>#REF!</v>
      </c>
      <c r="H74" s="24">
        <v>0</v>
      </c>
      <c r="I74" s="24">
        <f t="shared" si="15"/>
        <v>0</v>
      </c>
      <c r="J74" s="24">
        <v>18</v>
      </c>
      <c r="K74" s="24">
        <v>8</v>
      </c>
      <c r="L74" s="24">
        <f>D74:D74*8</f>
        <v>0</v>
      </c>
      <c r="M74" s="24">
        <f>D74:D74*0.25</f>
        <v>0</v>
      </c>
      <c r="N74" s="24">
        <f t="shared" si="16"/>
        <v>0</v>
      </c>
      <c r="O74" s="18" t="e">
        <f>N74:N74*F74:F74*#REF!</f>
        <v>#REF!</v>
      </c>
      <c r="P74" s="25"/>
    </row>
    <row r="75" spans="1:16" ht="16.95" customHeight="1">
      <c r="A75" s="7"/>
      <c r="B75" s="3" t="s">
        <v>134</v>
      </c>
      <c r="C75" s="5">
        <v>1500</v>
      </c>
      <c r="D75" s="5">
        <v>2</v>
      </c>
      <c r="E75" s="3" t="str">
        <f t="shared" si="10"/>
        <v>шт.</v>
      </c>
      <c r="F75" s="5">
        <f t="shared" si="13"/>
        <v>1</v>
      </c>
      <c r="G75" s="5">
        <f t="shared" si="14"/>
        <v>3000</v>
      </c>
      <c r="H75" s="10">
        <v>0</v>
      </c>
      <c r="I75" s="10">
        <f t="shared" si="15"/>
        <v>0</v>
      </c>
      <c r="J75" s="10">
        <v>4</v>
      </c>
      <c r="K75" s="10">
        <v>8</v>
      </c>
      <c r="L75" s="10">
        <f>D75:D75*8</f>
        <v>16</v>
      </c>
      <c r="M75" s="10">
        <f>D75:D75*0.25</f>
        <v>0.5</v>
      </c>
      <c r="N75" s="10">
        <f t="shared" si="16"/>
        <v>2</v>
      </c>
      <c r="O75" s="16" t="e">
        <f>N75:N75*F75:F75*#REF!</f>
        <v>#REF!</v>
      </c>
      <c r="P75" s="7"/>
    </row>
    <row r="76" spans="1:16" ht="16.95" hidden="1" customHeight="1">
      <c r="A76" s="22"/>
      <c r="B76" s="15" t="s">
        <v>135</v>
      </c>
      <c r="C76" s="18" t="e">
        <f>IF($C$3=100,#REF!,#REF!)</f>
        <v>#REF!</v>
      </c>
      <c r="D76" s="24">
        <v>0</v>
      </c>
      <c r="E76" s="15" t="str">
        <f t="shared" si="10"/>
        <v>шт.</v>
      </c>
      <c r="F76" s="24">
        <f t="shared" si="13"/>
        <v>1</v>
      </c>
      <c r="G76" s="18" t="e">
        <f t="shared" si="14"/>
        <v>#REF!</v>
      </c>
      <c r="H76" s="24">
        <v>0</v>
      </c>
      <c r="I76" s="24">
        <f t="shared" si="15"/>
        <v>0</v>
      </c>
      <c r="J76" s="24">
        <v>16</v>
      </c>
      <c r="K76" s="24">
        <v>5</v>
      </c>
      <c r="L76" s="24">
        <f>D76:D76*5</f>
        <v>0</v>
      </c>
      <c r="M76" s="24">
        <f>D76:D76*0.079</f>
        <v>0</v>
      </c>
      <c r="N76" s="24">
        <f t="shared" si="16"/>
        <v>0</v>
      </c>
      <c r="O76" s="18" t="e">
        <f>N76:N76*F76:F76*#REF!</f>
        <v>#REF!</v>
      </c>
      <c r="P76" s="25"/>
    </row>
    <row r="77" spans="1:16" ht="16.95" hidden="1" customHeight="1">
      <c r="A77" s="19"/>
      <c r="B77" s="12" t="s">
        <v>136</v>
      </c>
      <c r="C77" s="16" t="e">
        <f>IF($C$3=100,#REF!,#REF!)</f>
        <v>#REF!</v>
      </c>
      <c r="D77" s="10">
        <v>0</v>
      </c>
      <c r="E77" s="12" t="str">
        <f t="shared" si="10"/>
        <v>шт.</v>
      </c>
      <c r="F77" s="10">
        <f t="shared" si="13"/>
        <v>1</v>
      </c>
      <c r="G77" s="16" t="e">
        <f t="shared" si="14"/>
        <v>#REF!</v>
      </c>
      <c r="H77" s="10">
        <v>0</v>
      </c>
      <c r="I77" s="10">
        <f t="shared" si="15"/>
        <v>0</v>
      </c>
      <c r="J77" s="10">
        <v>20</v>
      </c>
      <c r="K77" s="9"/>
      <c r="L77" s="9"/>
      <c r="M77" s="10">
        <f>D77:D77*0.0001</f>
        <v>0</v>
      </c>
      <c r="N77" s="10">
        <f t="shared" si="16"/>
        <v>0</v>
      </c>
      <c r="O77" s="16" t="e">
        <f>N77:N77*F77:F77*#REF!</f>
        <v>#REF!</v>
      </c>
      <c r="P77" s="21"/>
    </row>
    <row r="78" spans="1:16" ht="16.95" customHeight="1">
      <c r="A78" s="13"/>
      <c r="B78" s="14" t="s">
        <v>137</v>
      </c>
      <c r="C78" s="26">
        <v>1500</v>
      </c>
      <c r="D78" s="26">
        <v>2</v>
      </c>
      <c r="E78" s="14" t="str">
        <f t="shared" si="10"/>
        <v>шт.</v>
      </c>
      <c r="F78" s="26">
        <f t="shared" si="13"/>
        <v>1</v>
      </c>
      <c r="G78" s="26">
        <f t="shared" si="14"/>
        <v>3000</v>
      </c>
      <c r="H78" s="24">
        <v>0</v>
      </c>
      <c r="I78" s="24">
        <f t="shared" si="15"/>
        <v>0</v>
      </c>
      <c r="J78" s="24">
        <f>4+12</f>
        <v>16</v>
      </c>
      <c r="K78" s="17"/>
      <c r="L78" s="17"/>
      <c r="M78" s="24">
        <f>D78:D78*0.0001</f>
        <v>2.0000000000000001E-4</v>
      </c>
      <c r="N78" s="24">
        <f t="shared" si="16"/>
        <v>2</v>
      </c>
      <c r="O78" s="18" t="e">
        <f>N78:N78*F78:F78*#REF!</f>
        <v>#REF!</v>
      </c>
      <c r="P78" s="14" t="s">
        <v>138</v>
      </c>
    </row>
    <row r="79" spans="1:16" ht="16.95" hidden="1" customHeight="1">
      <c r="A79" s="19"/>
      <c r="B79" s="12" t="s">
        <v>139</v>
      </c>
      <c r="C79" s="16" t="e">
        <f>IF($C$3=100,#REF!,#REF!)</f>
        <v>#REF!</v>
      </c>
      <c r="D79" s="10">
        <v>0</v>
      </c>
      <c r="E79" s="12" t="str">
        <f>IF($B$3=1,"компл.","set")</f>
        <v>компл.</v>
      </c>
      <c r="F79" s="10">
        <f t="shared" si="13"/>
        <v>1</v>
      </c>
      <c r="G79" s="16" t="e">
        <f t="shared" si="14"/>
        <v>#REF!</v>
      </c>
      <c r="H79" s="10">
        <v>0</v>
      </c>
      <c r="I79" s="10">
        <f t="shared" si="15"/>
        <v>0</v>
      </c>
      <c r="J79" s="10">
        <v>1</v>
      </c>
      <c r="K79" s="10">
        <v>220</v>
      </c>
      <c r="L79" s="10">
        <f>D79:D79*220</f>
        <v>0</v>
      </c>
      <c r="M79" s="9"/>
      <c r="N79" s="10">
        <f t="shared" si="16"/>
        <v>0</v>
      </c>
      <c r="O79" s="16" t="e">
        <f>N79:N79*F79:F79*#REF!</f>
        <v>#REF!</v>
      </c>
      <c r="P79" s="21"/>
    </row>
    <row r="80" spans="1:16" ht="16.95" hidden="1" customHeight="1">
      <c r="A80" s="22"/>
      <c r="B80" s="15" t="s">
        <v>140</v>
      </c>
      <c r="C80" s="18" t="e">
        <f>IF($C$3=100,#REF!,#REF!)</f>
        <v>#REF!</v>
      </c>
      <c r="D80" s="24">
        <v>0</v>
      </c>
      <c r="E80" s="15" t="str">
        <f>IF($B$3=1,"компл.","set")</f>
        <v>компл.</v>
      </c>
      <c r="F80" s="24">
        <f t="shared" si="13"/>
        <v>1</v>
      </c>
      <c r="G80" s="18" t="e">
        <f t="shared" si="14"/>
        <v>#REF!</v>
      </c>
      <c r="H80" s="24">
        <v>0</v>
      </c>
      <c r="I80" s="24">
        <f t="shared" si="15"/>
        <v>0</v>
      </c>
      <c r="J80" s="24">
        <v>1</v>
      </c>
      <c r="K80" s="24">
        <v>176</v>
      </c>
      <c r="L80" s="24">
        <f>D80:D80*176</f>
        <v>0</v>
      </c>
      <c r="M80" s="17"/>
      <c r="N80" s="24">
        <f t="shared" si="16"/>
        <v>0</v>
      </c>
      <c r="O80" s="18" t="e">
        <f>N80:N80*F80:F80*#REF!</f>
        <v>#REF!</v>
      </c>
      <c r="P80" s="25"/>
    </row>
    <row r="81" spans="1:16" ht="16.95" hidden="1" customHeight="1">
      <c r="A81" s="19"/>
      <c r="B81" s="12" t="s">
        <v>141</v>
      </c>
      <c r="C81" s="16" t="e">
        <f>IF($C$3=100,#REF!,#REF!)</f>
        <v>#REF!</v>
      </c>
      <c r="D81" s="10">
        <v>0</v>
      </c>
      <c r="E81" s="12" t="str">
        <f>IF($B$3=1,"компл.","set")</f>
        <v>компл.</v>
      </c>
      <c r="F81" s="10">
        <f t="shared" si="13"/>
        <v>1</v>
      </c>
      <c r="G81" s="16" t="e">
        <f t="shared" si="14"/>
        <v>#REF!</v>
      </c>
      <c r="H81" s="10">
        <v>0</v>
      </c>
      <c r="I81" s="10">
        <f t="shared" si="15"/>
        <v>0</v>
      </c>
      <c r="J81" s="10">
        <v>2</v>
      </c>
      <c r="K81" s="10">
        <v>132</v>
      </c>
      <c r="L81" s="10">
        <f>D81:D81*132</f>
        <v>0</v>
      </c>
      <c r="M81" s="9"/>
      <c r="N81" s="10">
        <f t="shared" si="16"/>
        <v>0</v>
      </c>
      <c r="O81" s="16" t="e">
        <f>N81:N81*F81:F81*#REF!</f>
        <v>#REF!</v>
      </c>
      <c r="P81" s="21"/>
    </row>
    <row r="82" spans="1:16" ht="16.95" hidden="1" customHeight="1">
      <c r="A82" s="22"/>
      <c r="B82" s="15" t="s">
        <v>142</v>
      </c>
      <c r="C82" s="18" t="e">
        <f>IF($C$3=100,#REF!,#REF!)</f>
        <v>#REF!</v>
      </c>
      <c r="D82" s="24">
        <v>0</v>
      </c>
      <c r="E82" s="15" t="str">
        <f>IF($B$3=1,"п.м.","l.m.")</f>
        <v>п.м.</v>
      </c>
      <c r="F82" s="24">
        <f t="shared" si="13"/>
        <v>1</v>
      </c>
      <c r="G82" s="18" t="e">
        <f t="shared" si="14"/>
        <v>#REF!</v>
      </c>
      <c r="H82" s="24">
        <v>0</v>
      </c>
      <c r="I82" s="24">
        <f t="shared" si="15"/>
        <v>0</v>
      </c>
      <c r="J82" s="24">
        <v>58</v>
      </c>
      <c r="K82" s="24">
        <v>4</v>
      </c>
      <c r="L82" s="24">
        <f>D82:D82*4</f>
        <v>0</v>
      </c>
      <c r="M82" s="24">
        <f>D82:D82*0.033</f>
        <v>0</v>
      </c>
      <c r="N82" s="24">
        <f t="shared" si="16"/>
        <v>0</v>
      </c>
      <c r="O82" s="18" t="e">
        <f>N82:N82*F82:F82*#REF!</f>
        <v>#REF!</v>
      </c>
      <c r="P82" s="25"/>
    </row>
    <row r="83" spans="1:16" ht="16.95" hidden="1" customHeight="1">
      <c r="A83" s="9"/>
      <c r="B83" s="12" t="s">
        <v>143</v>
      </c>
      <c r="C83" s="16" t="e">
        <f>IF($C$3=100,#REF!,#REF!)</f>
        <v>#REF!</v>
      </c>
      <c r="D83" s="10">
        <v>0</v>
      </c>
      <c r="E83" s="12" t="str">
        <f>IF($B$3=1,"шт.","pcs")</f>
        <v>шт.</v>
      </c>
      <c r="F83" s="10">
        <f t="shared" si="13"/>
        <v>1</v>
      </c>
      <c r="G83" s="16" t="e">
        <f t="shared" si="14"/>
        <v>#REF!</v>
      </c>
      <c r="H83" s="10">
        <v>0</v>
      </c>
      <c r="I83" s="10">
        <f t="shared" si="15"/>
        <v>0</v>
      </c>
      <c r="J83" s="10">
        <v>24</v>
      </c>
      <c r="K83" s="9"/>
      <c r="L83" s="9"/>
      <c r="M83" s="10">
        <f>D83:D83*0.0256</f>
        <v>0</v>
      </c>
      <c r="N83" s="10">
        <f t="shared" si="16"/>
        <v>0</v>
      </c>
      <c r="O83" s="16" t="e">
        <f>N83:N83*F83:F83*#REF!</f>
        <v>#REF!</v>
      </c>
      <c r="P83" s="21"/>
    </row>
    <row r="84" spans="1:16" ht="16.95" customHeight="1">
      <c r="A84" s="13"/>
      <c r="B84" s="14" t="s">
        <v>144</v>
      </c>
      <c r="C84" s="26">
        <v>300</v>
      </c>
      <c r="D84" s="26">
        <v>4</v>
      </c>
      <c r="E84" s="14" t="str">
        <f>IF($B$3=1,"п.м.","l.m.")</f>
        <v>п.м.</v>
      </c>
      <c r="F84" s="26">
        <f t="shared" si="13"/>
        <v>1</v>
      </c>
      <c r="G84" s="26">
        <f t="shared" si="14"/>
        <v>1200</v>
      </c>
      <c r="H84" s="24">
        <v>0</v>
      </c>
      <c r="I84" s="24">
        <f t="shared" si="15"/>
        <v>0</v>
      </c>
      <c r="J84" s="24">
        <v>200</v>
      </c>
      <c r="K84" s="17"/>
      <c r="L84" s="17"/>
      <c r="M84" s="24">
        <f>D84:D84*0.0025</f>
        <v>0.01</v>
      </c>
      <c r="N84" s="24">
        <f t="shared" si="16"/>
        <v>4</v>
      </c>
      <c r="O84" s="18" t="e">
        <f>N84:N84*F84:F84*#REF!</f>
        <v>#REF!</v>
      </c>
      <c r="P84" s="13"/>
    </row>
    <row r="85" spans="1:16" ht="16.95" hidden="1" customHeight="1">
      <c r="A85" s="19"/>
      <c r="B85" s="12" t="s">
        <v>145</v>
      </c>
      <c r="C85" s="16" t="e">
        <f>IF($C$3=100,#REF!,#REF!)</f>
        <v>#REF!</v>
      </c>
      <c r="D85" s="10">
        <v>0</v>
      </c>
      <c r="E85" s="12" t="str">
        <f>IF($B$3=1,"п.м.","l.m.")</f>
        <v>п.м.</v>
      </c>
      <c r="F85" s="10">
        <f t="shared" si="13"/>
        <v>1</v>
      </c>
      <c r="G85" s="16" t="e">
        <f t="shared" si="14"/>
        <v>#REF!</v>
      </c>
      <c r="H85" s="10">
        <v>0</v>
      </c>
      <c r="I85" s="10">
        <f t="shared" si="15"/>
        <v>0</v>
      </c>
      <c r="J85" s="10">
        <v>252</v>
      </c>
      <c r="K85" s="10">
        <v>18</v>
      </c>
      <c r="L85" s="10">
        <f>D85:D85*18</f>
        <v>0</v>
      </c>
      <c r="M85" s="9"/>
      <c r="N85" s="10">
        <f t="shared" si="16"/>
        <v>0</v>
      </c>
      <c r="O85" s="16" t="e">
        <f>N85:N85*F85:F85*#REF!</f>
        <v>#REF!</v>
      </c>
      <c r="P85" s="21"/>
    </row>
    <row r="86" spans="1:16" ht="16.95" customHeight="1">
      <c r="A86" s="13"/>
      <c r="B86" s="14" t="s">
        <v>146</v>
      </c>
      <c r="C86" s="26">
        <v>200</v>
      </c>
      <c r="D86" s="26">
        <v>8</v>
      </c>
      <c r="E86" s="14" t="str">
        <f t="shared" ref="E86:E97" si="17">IF($B$3=1,"шт.","pcs")</f>
        <v>шт.</v>
      </c>
      <c r="F86" s="26">
        <f t="shared" si="13"/>
        <v>1</v>
      </c>
      <c r="G86" s="26">
        <f t="shared" si="14"/>
        <v>1600</v>
      </c>
      <c r="H86" s="24">
        <v>0</v>
      </c>
      <c r="I86" s="24">
        <f t="shared" si="15"/>
        <v>0</v>
      </c>
      <c r="J86" s="24">
        <v>306</v>
      </c>
      <c r="K86" s="17"/>
      <c r="L86" s="17"/>
      <c r="M86" s="24">
        <f>D86:D86*0.00072</f>
        <v>5.7600000000000004E-3</v>
      </c>
      <c r="N86" s="24">
        <f t="shared" si="16"/>
        <v>8</v>
      </c>
      <c r="O86" s="18" t="e">
        <f>N86:N86*F86:F86*#REF!</f>
        <v>#REF!</v>
      </c>
      <c r="P86" s="13"/>
    </row>
    <row r="87" spans="1:16" ht="34.049999999999997" hidden="1" customHeight="1">
      <c r="A87" s="19"/>
      <c r="B87" s="20" t="s">
        <v>147</v>
      </c>
      <c r="C87" s="16" t="e">
        <f>IF($C$3=100,#REF!,#REF!)</f>
        <v>#REF!</v>
      </c>
      <c r="D87" s="10">
        <v>0</v>
      </c>
      <c r="E87" s="12" t="str">
        <f t="shared" si="17"/>
        <v>шт.</v>
      </c>
      <c r="F87" s="10">
        <f t="shared" si="13"/>
        <v>1</v>
      </c>
      <c r="G87" s="16" t="e">
        <f t="shared" si="14"/>
        <v>#REF!</v>
      </c>
      <c r="H87" s="10">
        <v>0</v>
      </c>
      <c r="I87" s="10">
        <f t="shared" si="15"/>
        <v>0</v>
      </c>
      <c r="J87" s="10">
        <v>18</v>
      </c>
      <c r="K87" s="10">
        <v>3.4</v>
      </c>
      <c r="L87" s="10">
        <f>D87:D87*3.4</f>
        <v>0</v>
      </c>
      <c r="M87" s="10">
        <f>D87:D87*0.006</f>
        <v>0</v>
      </c>
      <c r="N87" s="10">
        <f t="shared" si="16"/>
        <v>0</v>
      </c>
      <c r="O87" s="16" t="e">
        <f>N87:N87*F87:F87*#REF!</f>
        <v>#REF!</v>
      </c>
      <c r="P87" s="21"/>
    </row>
    <row r="88" spans="1:16" ht="34.049999999999997" hidden="1" customHeight="1">
      <c r="A88" s="22"/>
      <c r="B88" s="23" t="s">
        <v>148</v>
      </c>
      <c r="C88" s="18" t="e">
        <f>IF($C$3=100,#REF!,#REF!)</f>
        <v>#REF!</v>
      </c>
      <c r="D88" s="24">
        <v>0</v>
      </c>
      <c r="E88" s="15" t="str">
        <f t="shared" si="17"/>
        <v>шт.</v>
      </c>
      <c r="F88" s="24">
        <f t="shared" si="13"/>
        <v>1</v>
      </c>
      <c r="G88" s="18" t="e">
        <f t="shared" si="14"/>
        <v>#REF!</v>
      </c>
      <c r="H88" s="24">
        <v>0</v>
      </c>
      <c r="I88" s="24">
        <f t="shared" si="15"/>
        <v>0</v>
      </c>
      <c r="J88" s="24">
        <v>8</v>
      </c>
      <c r="K88" s="24">
        <v>30</v>
      </c>
      <c r="L88" s="24">
        <f>D88:D88*30</f>
        <v>0</v>
      </c>
      <c r="M88" s="24">
        <f>D88:D88*0.004</f>
        <v>0</v>
      </c>
      <c r="N88" s="24">
        <f t="shared" si="16"/>
        <v>0</v>
      </c>
      <c r="O88" s="18" t="e">
        <f>N88:N88*F88:F88*#REF!</f>
        <v>#REF!</v>
      </c>
      <c r="P88" s="25"/>
    </row>
    <row r="89" spans="1:16" ht="34.049999999999997" customHeight="1">
      <c r="A89" s="7"/>
      <c r="B89" s="4" t="s">
        <v>149</v>
      </c>
      <c r="C89" s="5">
        <v>1000</v>
      </c>
      <c r="D89" s="5">
        <v>8</v>
      </c>
      <c r="E89" s="3" t="str">
        <f t="shared" si="17"/>
        <v>шт.</v>
      </c>
      <c r="F89" s="5">
        <f t="shared" si="13"/>
        <v>1</v>
      </c>
      <c r="G89" s="5">
        <f t="shared" si="14"/>
        <v>8000</v>
      </c>
      <c r="H89" s="10">
        <v>0</v>
      </c>
      <c r="I89" s="10">
        <f t="shared" si="15"/>
        <v>0</v>
      </c>
      <c r="J89" s="10">
        <v>4</v>
      </c>
      <c r="K89" s="10">
        <v>62</v>
      </c>
      <c r="L89" s="10">
        <f>D89:D89*62</f>
        <v>496</v>
      </c>
      <c r="M89" s="10">
        <f>D89:D89*0.008</f>
        <v>6.4000000000000001E-2</v>
      </c>
      <c r="N89" s="10">
        <f t="shared" si="16"/>
        <v>4</v>
      </c>
      <c r="O89" s="16" t="e">
        <f>N89:N89*F89:F89*#REF!</f>
        <v>#REF!</v>
      </c>
      <c r="P89" s="7"/>
    </row>
    <row r="90" spans="1:16" ht="34.049999999999997" hidden="1" customHeight="1">
      <c r="A90" s="22"/>
      <c r="B90" s="23" t="s">
        <v>150</v>
      </c>
      <c r="C90" s="18" t="e">
        <f>IF($C$3=100,#REF!,#REF!)</f>
        <v>#REF!</v>
      </c>
      <c r="D90" s="24">
        <v>0</v>
      </c>
      <c r="E90" s="15" t="str">
        <f t="shared" si="17"/>
        <v>шт.</v>
      </c>
      <c r="F90" s="24">
        <f t="shared" si="13"/>
        <v>1</v>
      </c>
      <c r="G90" s="18" t="e">
        <f t="shared" si="14"/>
        <v>#REF!</v>
      </c>
      <c r="H90" s="24">
        <v>0</v>
      </c>
      <c r="I90" s="24">
        <f t="shared" si="15"/>
        <v>0</v>
      </c>
      <c r="J90" s="24">
        <v>12</v>
      </c>
      <c r="K90" s="24">
        <v>37</v>
      </c>
      <c r="L90" s="24">
        <f>D90:D90*37</f>
        <v>0</v>
      </c>
      <c r="M90" s="24">
        <f>D90:D90*0.007</f>
        <v>0</v>
      </c>
      <c r="N90" s="24">
        <f t="shared" si="16"/>
        <v>0</v>
      </c>
      <c r="O90" s="18" t="e">
        <f>N90:N90*F90:F90*#REF!</f>
        <v>#REF!</v>
      </c>
      <c r="P90" s="25"/>
    </row>
    <row r="91" spans="1:16" ht="16.95" hidden="1" customHeight="1">
      <c r="A91" s="19"/>
      <c r="B91" s="12" t="s">
        <v>151</v>
      </c>
      <c r="C91" s="16" t="e">
        <f>IF($C$3=100,#REF!,#REF!)</f>
        <v>#REF!</v>
      </c>
      <c r="D91" s="10">
        <v>0</v>
      </c>
      <c r="E91" s="12" t="str">
        <f t="shared" si="17"/>
        <v>шт.</v>
      </c>
      <c r="F91" s="10">
        <f t="shared" si="13"/>
        <v>1</v>
      </c>
      <c r="G91" s="16" t="e">
        <f t="shared" si="14"/>
        <v>#REF!</v>
      </c>
      <c r="H91" s="10">
        <v>0</v>
      </c>
      <c r="I91" s="10">
        <f t="shared" si="15"/>
        <v>0</v>
      </c>
      <c r="J91" s="10">
        <v>16</v>
      </c>
      <c r="K91" s="10">
        <v>2500</v>
      </c>
      <c r="L91" s="10">
        <f>D91:D91*2500</f>
        <v>0</v>
      </c>
      <c r="M91" s="10">
        <f>D91:D91*0.7</f>
        <v>0</v>
      </c>
      <c r="N91" s="10">
        <f t="shared" si="16"/>
        <v>0</v>
      </c>
      <c r="O91" s="16" t="e">
        <f>N91:N91*F91:F91*#REF!</f>
        <v>#REF!</v>
      </c>
      <c r="P91" s="21"/>
    </row>
    <row r="92" spans="1:16" ht="16.95" hidden="1" customHeight="1">
      <c r="A92" s="17"/>
      <c r="B92" s="15" t="s">
        <v>152</v>
      </c>
      <c r="C92" s="18" t="e">
        <f>IF($C$3=100,#REF!,#REF!)</f>
        <v>#REF!</v>
      </c>
      <c r="D92" s="24">
        <v>0</v>
      </c>
      <c r="E92" s="15" t="str">
        <f t="shared" si="17"/>
        <v>шт.</v>
      </c>
      <c r="F92" s="24">
        <f t="shared" si="13"/>
        <v>1</v>
      </c>
      <c r="G92" s="18" t="e">
        <f t="shared" si="14"/>
        <v>#REF!</v>
      </c>
      <c r="H92" s="24">
        <v>0</v>
      </c>
      <c r="I92" s="24">
        <f t="shared" si="15"/>
        <v>0</v>
      </c>
      <c r="J92" s="24">
        <v>15</v>
      </c>
      <c r="K92" s="24">
        <v>50</v>
      </c>
      <c r="L92" s="24">
        <f>D92:D92*K92:K92</f>
        <v>0</v>
      </c>
      <c r="M92" s="24">
        <f>D92:D92*1.4</f>
        <v>0</v>
      </c>
      <c r="N92" s="24">
        <f t="shared" si="16"/>
        <v>0</v>
      </c>
      <c r="O92" s="18" t="e">
        <f>N92:N92*F92:F92*#REF!</f>
        <v>#REF!</v>
      </c>
      <c r="P92" s="25"/>
    </row>
    <row r="93" spans="1:16" ht="16.95" hidden="1" customHeight="1">
      <c r="A93" s="9"/>
      <c r="B93" s="12" t="s">
        <v>153</v>
      </c>
      <c r="C93" s="16" t="e">
        <f>IF($C$3=100,#REF!,#REF!)</f>
        <v>#REF!</v>
      </c>
      <c r="D93" s="10">
        <v>0</v>
      </c>
      <c r="E93" s="12" t="str">
        <f t="shared" si="17"/>
        <v>шт.</v>
      </c>
      <c r="F93" s="10">
        <f t="shared" si="13"/>
        <v>1</v>
      </c>
      <c r="G93" s="16" t="e">
        <f t="shared" si="14"/>
        <v>#REF!</v>
      </c>
      <c r="H93" s="10">
        <v>0</v>
      </c>
      <c r="I93" s="10">
        <f t="shared" si="15"/>
        <v>0</v>
      </c>
      <c r="J93" s="10">
        <v>24</v>
      </c>
      <c r="K93" s="10">
        <v>750</v>
      </c>
      <c r="L93" s="10">
        <f>D93:D93*1000</f>
        <v>0</v>
      </c>
      <c r="M93" s="9"/>
      <c r="N93" s="10">
        <f t="shared" si="16"/>
        <v>0</v>
      </c>
      <c r="O93" s="16" t="e">
        <f>N93:N93*F93:F93*#REF!</f>
        <v>#REF!</v>
      </c>
      <c r="P93" s="21"/>
    </row>
    <row r="94" spans="1:16" ht="16.95" hidden="1" customHeight="1">
      <c r="A94" s="22"/>
      <c r="B94" s="15" t="s">
        <v>154</v>
      </c>
      <c r="C94" s="18" t="e">
        <f>IF($C$3=100,#REF!,#REF!)</f>
        <v>#REF!</v>
      </c>
      <c r="D94" s="24">
        <v>0</v>
      </c>
      <c r="E94" s="15" t="str">
        <f t="shared" si="17"/>
        <v>шт.</v>
      </c>
      <c r="F94" s="24">
        <f t="shared" si="13"/>
        <v>1</v>
      </c>
      <c r="G94" s="18" t="e">
        <f t="shared" si="14"/>
        <v>#REF!</v>
      </c>
      <c r="H94" s="24">
        <v>0</v>
      </c>
      <c r="I94" s="24">
        <f t="shared" si="15"/>
        <v>0</v>
      </c>
      <c r="J94" s="24">
        <v>36</v>
      </c>
      <c r="K94" s="24">
        <v>350</v>
      </c>
      <c r="L94" s="24">
        <f>D94:D94*350</f>
        <v>0</v>
      </c>
      <c r="M94" s="17"/>
      <c r="N94" s="24">
        <f t="shared" si="16"/>
        <v>0</v>
      </c>
      <c r="O94" s="18" t="e">
        <f>N94:N94*F94:F94*#REF!</f>
        <v>#REF!</v>
      </c>
      <c r="P94" s="25"/>
    </row>
    <row r="95" spans="1:16" ht="16.95" hidden="1" customHeight="1">
      <c r="A95" s="19"/>
      <c r="B95" s="12" t="s">
        <v>155</v>
      </c>
      <c r="C95" s="16" t="e">
        <f>IF($C$3=100,#REF!,#REF!)</f>
        <v>#REF!</v>
      </c>
      <c r="D95" s="10">
        <v>0</v>
      </c>
      <c r="E95" s="12" t="str">
        <f t="shared" si="17"/>
        <v>шт.</v>
      </c>
      <c r="F95" s="10">
        <f t="shared" si="13"/>
        <v>1</v>
      </c>
      <c r="G95" s="16" t="e">
        <f t="shared" si="14"/>
        <v>#REF!</v>
      </c>
      <c r="H95" s="10">
        <v>0</v>
      </c>
      <c r="I95" s="10">
        <f t="shared" si="15"/>
        <v>0</v>
      </c>
      <c r="J95" s="10">
        <v>36</v>
      </c>
      <c r="K95" s="10">
        <v>50</v>
      </c>
      <c r="L95" s="10">
        <f>D95:D95*100</f>
        <v>0</v>
      </c>
      <c r="M95" s="9"/>
      <c r="N95" s="10">
        <f t="shared" si="16"/>
        <v>0</v>
      </c>
      <c r="O95" s="16" t="e">
        <f>N95:N95*F95:F95*#REF!</f>
        <v>#REF!</v>
      </c>
      <c r="P95" s="21"/>
    </row>
    <row r="96" spans="1:16" ht="16.95" hidden="1" customHeight="1">
      <c r="A96" s="22"/>
      <c r="B96" s="15" t="s">
        <v>156</v>
      </c>
      <c r="C96" s="18" t="e">
        <f>IF($C$3=100,#REF!,#REF!)</f>
        <v>#REF!</v>
      </c>
      <c r="D96" s="24">
        <v>0</v>
      </c>
      <c r="E96" s="15" t="str">
        <f t="shared" si="17"/>
        <v>шт.</v>
      </c>
      <c r="F96" s="24">
        <f t="shared" si="13"/>
        <v>1</v>
      </c>
      <c r="G96" s="18" t="e">
        <f t="shared" si="14"/>
        <v>#REF!</v>
      </c>
      <c r="H96" s="24">
        <v>0</v>
      </c>
      <c r="I96" s="24">
        <f t="shared" si="15"/>
        <v>0</v>
      </c>
      <c r="J96" s="24">
        <v>6</v>
      </c>
      <c r="K96" s="24">
        <v>99</v>
      </c>
      <c r="L96" s="24">
        <f>D96:D96*K96:K96</f>
        <v>0</v>
      </c>
      <c r="M96" s="24">
        <f>D96:D96*0.45</f>
        <v>0</v>
      </c>
      <c r="N96" s="24">
        <f t="shared" si="16"/>
        <v>0</v>
      </c>
      <c r="O96" s="18" t="e">
        <f>N96:N96*F96:F96*#REF!</f>
        <v>#REF!</v>
      </c>
      <c r="P96" s="25"/>
    </row>
    <row r="97" spans="1:16" ht="16.95" hidden="1" customHeight="1">
      <c r="A97" s="19"/>
      <c r="B97" s="12" t="s">
        <v>157</v>
      </c>
      <c r="C97" s="16" t="e">
        <f>IF($C$3=100,#REF!,#REF!)</f>
        <v>#REF!</v>
      </c>
      <c r="D97" s="10">
        <v>0</v>
      </c>
      <c r="E97" s="12" t="str">
        <f t="shared" si="17"/>
        <v>шт.</v>
      </c>
      <c r="F97" s="10">
        <f t="shared" si="13"/>
        <v>1</v>
      </c>
      <c r="G97" s="16" t="e">
        <f t="shared" si="14"/>
        <v>#REF!</v>
      </c>
      <c r="H97" s="10">
        <v>0</v>
      </c>
      <c r="I97" s="10">
        <f t="shared" si="15"/>
        <v>0</v>
      </c>
      <c r="J97" s="10">
        <v>2</v>
      </c>
      <c r="K97" s="10">
        <v>16</v>
      </c>
      <c r="L97" s="9"/>
      <c r="M97" s="9"/>
      <c r="N97" s="10">
        <f t="shared" si="16"/>
        <v>0</v>
      </c>
      <c r="O97" s="16" t="e">
        <f>N97:N97*F97:F97*#REF!</f>
        <v>#REF!</v>
      </c>
      <c r="P97" s="21"/>
    </row>
    <row r="98" spans="1:16" ht="16.95" hidden="1" customHeight="1">
      <c r="A98" s="22"/>
      <c r="B98" s="15" t="s">
        <v>158</v>
      </c>
      <c r="C98" s="18" t="e">
        <f>IF($C$3=100,#REF!,#REF!)</f>
        <v>#REF!</v>
      </c>
      <c r="D98" s="24">
        <v>0</v>
      </c>
      <c r="E98" s="15" t="str">
        <f>IF($B$3=1,"компл.","set")</f>
        <v>компл.</v>
      </c>
      <c r="F98" s="24">
        <f t="shared" si="13"/>
        <v>1</v>
      </c>
      <c r="G98" s="18" t="e">
        <f t="shared" si="14"/>
        <v>#REF!</v>
      </c>
      <c r="H98" s="24">
        <v>0</v>
      </c>
      <c r="I98" s="24">
        <f t="shared" si="15"/>
        <v>0</v>
      </c>
      <c r="J98" s="24">
        <v>2</v>
      </c>
      <c r="K98" s="24">
        <v>186</v>
      </c>
      <c r="L98" s="24">
        <f>D98:D98*K98:K98</f>
        <v>0</v>
      </c>
      <c r="M98" s="17"/>
      <c r="N98" s="24">
        <f t="shared" si="16"/>
        <v>0</v>
      </c>
      <c r="O98" s="18" t="e">
        <f>N98:N98*F98:F98*#REF!</f>
        <v>#REF!</v>
      </c>
      <c r="P98" s="25"/>
    </row>
    <row r="99" spans="1:16" ht="16.95" customHeight="1">
      <c r="A99" s="7"/>
      <c r="B99" s="3" t="s">
        <v>159</v>
      </c>
      <c r="C99" s="5">
        <v>1000</v>
      </c>
      <c r="D99" s="5">
        <v>48</v>
      </c>
      <c r="E99" s="3" t="str">
        <f>IF($B$3=1,"п.м.","l.m.")</f>
        <v>п.м.</v>
      </c>
      <c r="F99" s="5">
        <f t="shared" si="13"/>
        <v>1</v>
      </c>
      <c r="G99" s="5">
        <f t="shared" si="14"/>
        <v>48000</v>
      </c>
      <c r="H99" s="10">
        <v>0</v>
      </c>
      <c r="I99" s="10">
        <f t="shared" si="15"/>
        <v>0</v>
      </c>
      <c r="J99" s="10">
        <v>32</v>
      </c>
      <c r="K99" s="9"/>
      <c r="L99" s="9"/>
      <c r="M99" s="9"/>
      <c r="N99" s="10">
        <f t="shared" si="16"/>
        <v>32</v>
      </c>
      <c r="O99" s="16" t="e">
        <f>N99:N99*F99:F99*#REF!</f>
        <v>#REF!</v>
      </c>
      <c r="P99" s="7"/>
    </row>
    <row r="100" spans="1:16" ht="16.95" hidden="1" customHeight="1">
      <c r="A100" s="22"/>
      <c r="B100" s="15" t="s">
        <v>160</v>
      </c>
      <c r="C100" s="18" t="e">
        <f>IF($C$3=100,#REF!,#REF!)</f>
        <v>#REF!</v>
      </c>
      <c r="D100" s="24">
        <v>0</v>
      </c>
      <c r="E100" s="15" t="str">
        <f>IF($B$3=1,"шт.","pcs")</f>
        <v>шт.</v>
      </c>
      <c r="F100" s="24">
        <f t="shared" si="13"/>
        <v>1</v>
      </c>
      <c r="G100" s="18" t="e">
        <f t="shared" si="14"/>
        <v>#REF!</v>
      </c>
      <c r="H100" s="24">
        <v>0</v>
      </c>
      <c r="I100" s="24">
        <f t="shared" si="15"/>
        <v>0</v>
      </c>
      <c r="J100" s="24">
        <v>6</v>
      </c>
      <c r="K100" s="17"/>
      <c r="L100" s="17"/>
      <c r="M100" s="17"/>
      <c r="N100" s="24">
        <f t="shared" si="16"/>
        <v>0</v>
      </c>
      <c r="O100" s="18" t="e">
        <f>N100:N100*F100:F100*#REF!</f>
        <v>#REF!</v>
      </c>
      <c r="P100" s="25"/>
    </row>
    <row r="101" spans="1:16" ht="16.95" hidden="1" customHeight="1">
      <c r="A101" s="19"/>
      <c r="B101" s="12" t="s">
        <v>161</v>
      </c>
      <c r="C101" s="16" t="e">
        <f>IF($C$3=100,#REF!,#REF!)</f>
        <v>#REF!</v>
      </c>
      <c r="D101" s="10">
        <v>0</v>
      </c>
      <c r="E101" s="12" t="str">
        <f>IF($B$3=1,"шт.","pcs")</f>
        <v>шт.</v>
      </c>
      <c r="F101" s="10">
        <f t="shared" si="13"/>
        <v>1</v>
      </c>
      <c r="G101" s="16" t="e">
        <f>C101*D101*F101</f>
        <v>#REF!</v>
      </c>
      <c r="H101" s="10">
        <v>0</v>
      </c>
      <c r="I101" s="10">
        <f>H101*D101</f>
        <v>0</v>
      </c>
      <c r="J101" s="10">
        <v>17</v>
      </c>
      <c r="K101" s="9"/>
      <c r="L101" s="9"/>
      <c r="M101" s="9"/>
      <c r="N101" s="10">
        <f t="shared" si="16"/>
        <v>0</v>
      </c>
      <c r="O101" s="16" t="e">
        <f>N101:N101*F101:F101*#REF!</f>
        <v>#REF!</v>
      </c>
      <c r="P101" s="21"/>
    </row>
    <row r="102" spans="1:16" ht="16.95" hidden="1" customHeight="1">
      <c r="A102" s="22"/>
      <c r="B102" s="15" t="s">
        <v>162</v>
      </c>
      <c r="C102" s="18" t="e">
        <f>IF($C$3=100,#REF!,#REF!)</f>
        <v>#REF!</v>
      </c>
      <c r="D102" s="24">
        <v>0</v>
      </c>
      <c r="E102" s="15" t="str">
        <f>IF($B$3=1,"шт.","pcs")</f>
        <v>шт.</v>
      </c>
      <c r="F102" s="24">
        <f t="shared" si="13"/>
        <v>1</v>
      </c>
      <c r="G102" s="18" t="e">
        <f>C102*D102*F102</f>
        <v>#REF!</v>
      </c>
      <c r="H102" s="24">
        <v>0</v>
      </c>
      <c r="I102" s="24">
        <f>H102*D102</f>
        <v>0</v>
      </c>
      <c r="J102" s="24">
        <v>2</v>
      </c>
      <c r="K102" s="17"/>
      <c r="L102" s="17"/>
      <c r="M102" s="17"/>
      <c r="N102" s="24">
        <f t="shared" si="16"/>
        <v>0</v>
      </c>
      <c r="O102" s="18" t="e">
        <f>N102:N102*F102:F102*#REF!</f>
        <v>#REF!</v>
      </c>
      <c r="P102" s="25"/>
    </row>
    <row r="103" spans="1:16" ht="16.05" customHeight="1">
      <c r="A103" s="7"/>
      <c r="B103" s="7"/>
      <c r="C103" s="7"/>
      <c r="D103" s="7"/>
      <c r="E103" s="7"/>
      <c r="F103" s="7"/>
      <c r="G103" s="27">
        <f>SUM(G99,G89,G86,G84,G78,G75,G62,G37,G31)</f>
        <v>155500</v>
      </c>
      <c r="H103" s="9"/>
      <c r="I103" s="9"/>
      <c r="J103" s="9"/>
      <c r="K103" s="9"/>
      <c r="L103" s="10">
        <f>SUM(L5:L102)</f>
        <v>820</v>
      </c>
      <c r="M103" s="10">
        <f>SUM(M5:M102)</f>
        <v>4.5399600000000007</v>
      </c>
      <c r="N103" s="9"/>
      <c r="O103" s="16" t="e">
        <f>SUM(O4:O102)</f>
        <v>#REF!</v>
      </c>
      <c r="P103" s="7"/>
    </row>
    <row r="104" spans="1:16" ht="16.05" customHeight="1">
      <c r="A104" s="13"/>
      <c r="B104" s="13"/>
      <c r="C104" s="13"/>
      <c r="D104" s="13"/>
      <c r="E104" s="13"/>
      <c r="F104" s="13"/>
      <c r="G104" s="13"/>
      <c r="H104" s="17"/>
      <c r="I104" s="17"/>
      <c r="J104" s="17"/>
      <c r="K104" s="17"/>
      <c r="L104" s="17"/>
      <c r="M104" s="17"/>
      <c r="N104" s="17"/>
      <c r="O104" s="18"/>
      <c r="P104" s="13"/>
    </row>
    <row r="105" spans="1:16" ht="16.95" customHeight="1">
      <c r="A105" s="3" t="str">
        <f>IF($B$3=1,"Конструкции Layher","Scaffolding Layher")</f>
        <v>Конструкции Layher</v>
      </c>
      <c r="B105" s="7"/>
      <c r="C105" s="7"/>
      <c r="D105" s="7"/>
      <c r="E105" s="7"/>
      <c r="F105" s="7"/>
      <c r="G105" s="7"/>
      <c r="H105" s="9"/>
      <c r="I105" s="9"/>
      <c r="J105" s="9"/>
      <c r="K105" s="9"/>
      <c r="L105" s="9"/>
      <c r="M105" s="9"/>
      <c r="N105" s="9"/>
      <c r="O105" s="16"/>
      <c r="P105" s="7"/>
    </row>
    <row r="106" spans="1:16" ht="16.95" customHeight="1">
      <c r="A106" s="13"/>
      <c r="B106" s="14" t="s">
        <v>163</v>
      </c>
      <c r="C106" s="26">
        <v>700</v>
      </c>
      <c r="D106" s="26">
        <v>80</v>
      </c>
      <c r="E106" s="14" t="str">
        <f>IF($B$3=1,"м²","sq. m.")</f>
        <v>м²</v>
      </c>
      <c r="F106" s="26">
        <f>1+($F$3-1)/2</f>
        <v>1</v>
      </c>
      <c r="G106" s="26">
        <f>C106*D106*F106</f>
        <v>56000</v>
      </c>
      <c r="H106" s="24">
        <v>0</v>
      </c>
      <c r="I106" s="24">
        <f>H106*D106</f>
        <v>0</v>
      </c>
      <c r="J106" s="24">
        <v>0</v>
      </c>
      <c r="K106" s="17"/>
      <c r="L106" s="17"/>
      <c r="M106" s="17"/>
      <c r="N106" s="24">
        <f>IF(D106:D106=0,0,IF(J106:J106=0,0,IF(D106:D106&lt;J106:J106,D106:D106,J106:J106)))</f>
        <v>0</v>
      </c>
      <c r="O106" s="18" t="e">
        <f>N106:N106*F106:F106*#REF!</f>
        <v>#REF!</v>
      </c>
      <c r="P106" s="14" t="s">
        <v>164</v>
      </c>
    </row>
    <row r="107" spans="1:16" ht="19.05" customHeight="1">
      <c r="A107" s="7"/>
      <c r="B107" s="3" t="s">
        <v>165</v>
      </c>
      <c r="C107" s="5">
        <v>400</v>
      </c>
      <c r="D107" s="5">
        <v>832</v>
      </c>
      <c r="E107" s="3" t="s">
        <v>166</v>
      </c>
      <c r="F107" s="5">
        <f>1+($F$3-1)/2</f>
        <v>1</v>
      </c>
      <c r="G107" s="5">
        <f>C107*D107*F107</f>
        <v>332800</v>
      </c>
      <c r="H107" s="10">
        <v>0</v>
      </c>
      <c r="I107" s="10">
        <f>H107*D107</f>
        <v>0</v>
      </c>
      <c r="J107" s="10">
        <v>0</v>
      </c>
      <c r="K107" s="9"/>
      <c r="L107" s="9"/>
      <c r="M107" s="9"/>
      <c r="N107" s="10">
        <f>IF(D107:D107=0,0,IF(J107:J107=0,0,IF(D107:D107&lt;J107:J107,D107:D107,J107:J107)))</f>
        <v>0</v>
      </c>
      <c r="O107" s="16" t="e">
        <f>N107:N107*F107:F107*#REF!</f>
        <v>#REF!</v>
      </c>
      <c r="P107" s="3" t="s">
        <v>167</v>
      </c>
    </row>
    <row r="108" spans="1:16" ht="19.05" hidden="1" customHeight="1">
      <c r="A108" s="17"/>
      <c r="B108" s="15" t="s">
        <v>168</v>
      </c>
      <c r="C108" s="18" t="e">
        <f>IF($C$3=100,#REF!,#REF!)</f>
        <v>#REF!</v>
      </c>
      <c r="D108" s="24">
        <f>C110*D110*E110</f>
        <v>0</v>
      </c>
      <c r="E108" s="15" t="s">
        <v>169</v>
      </c>
      <c r="F108" s="24">
        <f>1+($F$3-1)/2</f>
        <v>1</v>
      </c>
      <c r="G108" s="18" t="e">
        <f>C108*D108*F108*F110</f>
        <v>#REF!</v>
      </c>
      <c r="H108" s="24">
        <v>0</v>
      </c>
      <c r="I108" s="24">
        <f>H108*D108</f>
        <v>0</v>
      </c>
      <c r="J108" s="24">
        <v>0</v>
      </c>
      <c r="K108" s="17"/>
      <c r="L108" s="17"/>
      <c r="M108" s="17"/>
      <c r="N108" s="24">
        <f>IF(D108:D108=0,0,IF(J108:J108=0,0,IF(D108:D108&lt;J108:J108,D108:D108,J108:J108)))</f>
        <v>0</v>
      </c>
      <c r="O108" s="18" t="e">
        <f>N108:N108*F108:F108*#REF!</f>
        <v>#REF!</v>
      </c>
      <c r="P108" s="25"/>
    </row>
    <row r="109" spans="1:16" ht="16.05" hidden="1" customHeight="1">
      <c r="A109" s="9"/>
      <c r="B109" s="9"/>
      <c r="C109" s="12" t="str">
        <f>IF($B$3=1,"Ш (м)","W (m)")</f>
        <v>Ш (м)</v>
      </c>
      <c r="D109" s="12" t="str">
        <f>IF($B$3=1,"Г (м)","D (m)")</f>
        <v>Г (м)</v>
      </c>
      <c r="E109" s="12" t="str">
        <f>IF($B$3=1,"В (м)","H (m)")</f>
        <v>В (м)</v>
      </c>
      <c r="F109" s="12" t="str">
        <f>IF($B$3=1,"Кол-во","qnt")</f>
        <v>Кол-во</v>
      </c>
      <c r="G109" s="16"/>
      <c r="H109" s="10">
        <v>0</v>
      </c>
      <c r="I109" s="9"/>
      <c r="J109" s="10">
        <v>0</v>
      </c>
      <c r="K109" s="9"/>
      <c r="L109" s="9"/>
      <c r="M109" s="9"/>
      <c r="N109" s="9"/>
      <c r="O109" s="16"/>
      <c r="P109" s="21"/>
    </row>
    <row r="110" spans="1:16" ht="16.05" hidden="1" customHeight="1">
      <c r="A110" s="22"/>
      <c r="B110" s="22"/>
      <c r="C110" s="24">
        <f>1.036*0</f>
        <v>0</v>
      </c>
      <c r="D110" s="24">
        <f>1.036*0</f>
        <v>0</v>
      </c>
      <c r="E110" s="24">
        <v>0</v>
      </c>
      <c r="F110" s="24">
        <v>0</v>
      </c>
      <c r="G110" s="18"/>
      <c r="H110" s="24">
        <v>0</v>
      </c>
      <c r="I110" s="24">
        <f>H110*D110</f>
        <v>0</v>
      </c>
      <c r="J110" s="24">
        <v>0</v>
      </c>
      <c r="K110" s="17"/>
      <c r="L110" s="17"/>
      <c r="M110" s="17"/>
      <c r="N110" s="17"/>
      <c r="O110" s="18"/>
      <c r="P110" s="25"/>
    </row>
    <row r="111" spans="1:16" ht="19.05" hidden="1" customHeight="1">
      <c r="A111" s="19"/>
      <c r="B111" s="12" t="s">
        <v>170</v>
      </c>
      <c r="C111" s="16" t="e">
        <f>IF($C$3=100,#REF!,#REF!)</f>
        <v>#REF!</v>
      </c>
      <c r="D111" s="10">
        <f>C113*D113*E113</f>
        <v>0</v>
      </c>
      <c r="E111" s="12" t="s">
        <v>169</v>
      </c>
      <c r="F111" s="10">
        <f>1+($F$3-1)/2</f>
        <v>1</v>
      </c>
      <c r="G111" s="16" t="e">
        <f>C111*D111*F111*F113</f>
        <v>#REF!</v>
      </c>
      <c r="H111" s="10">
        <v>0</v>
      </c>
      <c r="I111" s="10">
        <f>H111*D111</f>
        <v>0</v>
      </c>
      <c r="J111" s="10">
        <v>0</v>
      </c>
      <c r="K111" s="9"/>
      <c r="L111" s="9"/>
      <c r="M111" s="9"/>
      <c r="N111" s="10">
        <f>IF(D111:D111=0,0,IF(J111:J111=0,0,IF(D111:D111&lt;J111:J111,D111:D111,J111:J111)))</f>
        <v>0</v>
      </c>
      <c r="O111" s="16" t="e">
        <f>N111:N111*F111:F111*#REF!</f>
        <v>#REF!</v>
      </c>
      <c r="P111" s="21"/>
    </row>
    <row r="112" spans="1:16" ht="16.05" hidden="1" customHeight="1">
      <c r="A112" s="17"/>
      <c r="B112" s="17"/>
      <c r="C112" s="15" t="str">
        <f>IF($B$3=1,"Ш (м)","W (m)")</f>
        <v>Ш (м)</v>
      </c>
      <c r="D112" s="15" t="str">
        <f>IF($B$3=1,"Г (м)","D (m)")</f>
        <v>Г (м)</v>
      </c>
      <c r="E112" s="15" t="str">
        <f>IF($B$3=1,"В (м)","H (m)")</f>
        <v>В (м)</v>
      </c>
      <c r="F112" s="15" t="str">
        <f>IF($B$3=1,"Кол-во","qnt")</f>
        <v>Кол-во</v>
      </c>
      <c r="G112" s="18"/>
      <c r="H112" s="24">
        <v>0</v>
      </c>
      <c r="I112" s="17"/>
      <c r="J112" s="24">
        <v>0</v>
      </c>
      <c r="K112" s="17"/>
      <c r="L112" s="17"/>
      <c r="M112" s="17"/>
      <c r="N112" s="17"/>
      <c r="O112" s="18"/>
      <c r="P112" s="25"/>
    </row>
    <row r="113" spans="1:16" ht="16.05" hidden="1" customHeight="1">
      <c r="A113" s="9"/>
      <c r="B113" s="19"/>
      <c r="C113" s="10">
        <f>1.036*0</f>
        <v>0</v>
      </c>
      <c r="D113" s="10">
        <f>1.036*0</f>
        <v>0</v>
      </c>
      <c r="E113" s="10">
        <v>0</v>
      </c>
      <c r="F113" s="10">
        <v>0</v>
      </c>
      <c r="G113" s="16"/>
      <c r="H113" s="10">
        <v>0</v>
      </c>
      <c r="I113" s="10">
        <f>H113*D113</f>
        <v>0</v>
      </c>
      <c r="J113" s="10">
        <v>0</v>
      </c>
      <c r="K113" s="9"/>
      <c r="L113" s="9"/>
      <c r="M113" s="9"/>
      <c r="N113" s="9"/>
      <c r="O113" s="16"/>
      <c r="P113" s="21"/>
    </row>
    <row r="114" spans="1:16" ht="19.05" hidden="1" customHeight="1">
      <c r="A114" s="22"/>
      <c r="B114" s="15" t="s">
        <v>170</v>
      </c>
      <c r="C114" s="18" t="e">
        <f>IF($C$3=100,#REF!,#REF!)</f>
        <v>#REF!</v>
      </c>
      <c r="D114" s="24">
        <f>C116*D116*E116</f>
        <v>0</v>
      </c>
      <c r="E114" s="15" t="s">
        <v>169</v>
      </c>
      <c r="F114" s="24">
        <f>1+($F$3-1)/2</f>
        <v>1</v>
      </c>
      <c r="G114" s="18" t="e">
        <f>C114*D114*F114*F116</f>
        <v>#REF!</v>
      </c>
      <c r="H114" s="24">
        <v>0</v>
      </c>
      <c r="I114" s="24">
        <f>H114*D114</f>
        <v>0</v>
      </c>
      <c r="J114" s="24">
        <v>0</v>
      </c>
      <c r="K114" s="17"/>
      <c r="L114" s="17"/>
      <c r="M114" s="17"/>
      <c r="N114" s="24">
        <f>IF(D114:D114=0,0,IF(J114:J114=0,0,IF(D114:D114&lt;J114:J114,D114:D114,J114:J114)))</f>
        <v>0</v>
      </c>
      <c r="O114" s="18" t="e">
        <f>N114:N114*F114:F114*#REF!</f>
        <v>#REF!</v>
      </c>
      <c r="P114" s="25"/>
    </row>
    <row r="115" spans="1:16" ht="16.05" hidden="1" customHeight="1">
      <c r="A115" s="19"/>
      <c r="B115" s="9"/>
      <c r="C115" s="12" t="str">
        <f>IF($B$3=1,"Ш (м)","W (m)")</f>
        <v>Ш (м)</v>
      </c>
      <c r="D115" s="12" t="str">
        <f>IF($B$3=1,"Г (м)","D (m)")</f>
        <v>Г (м)</v>
      </c>
      <c r="E115" s="12" t="str">
        <f>IF($B$3=1,"В (м)","H (m)")</f>
        <v>В (м)</v>
      </c>
      <c r="F115" s="12" t="str">
        <f>IF($B$3=1,"Кол-во","qnt")</f>
        <v>Кол-во</v>
      </c>
      <c r="G115" s="16"/>
      <c r="H115" s="10">
        <v>0</v>
      </c>
      <c r="I115" s="9"/>
      <c r="J115" s="10">
        <v>0</v>
      </c>
      <c r="K115" s="9"/>
      <c r="L115" s="9"/>
      <c r="M115" s="9"/>
      <c r="N115" s="9"/>
      <c r="O115" s="16"/>
      <c r="P115" s="21"/>
    </row>
    <row r="116" spans="1:16" ht="16.05" hidden="1" customHeight="1">
      <c r="A116" s="17"/>
      <c r="B116" s="22"/>
      <c r="C116" s="24">
        <f>1.036*0</f>
        <v>0</v>
      </c>
      <c r="D116" s="24">
        <f>1.036*0</f>
        <v>0</v>
      </c>
      <c r="E116" s="24">
        <v>0</v>
      </c>
      <c r="F116" s="24">
        <v>0</v>
      </c>
      <c r="G116" s="18"/>
      <c r="H116" s="24">
        <v>0</v>
      </c>
      <c r="I116" s="24">
        <f t="shared" ref="I116:I124" si="18">H116*D116</f>
        <v>0</v>
      </c>
      <c r="J116" s="24">
        <v>0</v>
      </c>
      <c r="K116" s="17"/>
      <c r="L116" s="17"/>
      <c r="M116" s="17"/>
      <c r="N116" s="17"/>
      <c r="O116" s="18"/>
      <c r="P116" s="25"/>
    </row>
    <row r="117" spans="1:16" ht="16.95" customHeight="1">
      <c r="A117" s="7"/>
      <c r="B117" s="3" t="s">
        <v>171</v>
      </c>
      <c r="C117" s="5">
        <v>1000</v>
      </c>
      <c r="D117" s="5">
        <v>4</v>
      </c>
      <c r="E117" s="3" t="str">
        <f t="shared" ref="E117:E124" si="19">IF($B$3=1,"шт.","pcs")</f>
        <v>шт.</v>
      </c>
      <c r="F117" s="5">
        <f t="shared" ref="F117:F124" si="20">1+($F$3-1)/2</f>
        <v>1</v>
      </c>
      <c r="G117" s="5">
        <f t="shared" ref="G117:G124" si="21">C117*D117*F117</f>
        <v>4000</v>
      </c>
      <c r="H117" s="10">
        <v>0</v>
      </c>
      <c r="I117" s="10">
        <f t="shared" si="18"/>
        <v>0</v>
      </c>
      <c r="J117" s="10">
        <v>0</v>
      </c>
      <c r="K117" s="9"/>
      <c r="L117" s="9"/>
      <c r="M117" s="9"/>
      <c r="N117" s="10">
        <f t="shared" ref="N117:N124" si="22">IF(D117:D117=0,0,IF(J117:J117=0,0,IF(D117:D117&lt;J117:J117,D117:D117,J117:J117)))</f>
        <v>0</v>
      </c>
      <c r="O117" s="16" t="e">
        <f>N117:N117*F117:F117*#REF!</f>
        <v>#REF!</v>
      </c>
      <c r="P117" s="3" t="s">
        <v>172</v>
      </c>
    </row>
    <row r="118" spans="1:16" ht="16.95" customHeight="1">
      <c r="A118" s="13"/>
      <c r="B118" s="14" t="s">
        <v>173</v>
      </c>
      <c r="C118" s="26">
        <v>4000</v>
      </c>
      <c r="D118" s="26">
        <v>8</v>
      </c>
      <c r="E118" s="14" t="str">
        <f t="shared" si="19"/>
        <v>шт.</v>
      </c>
      <c r="F118" s="26">
        <f t="shared" si="20"/>
        <v>1</v>
      </c>
      <c r="G118" s="26">
        <f t="shared" si="21"/>
        <v>32000</v>
      </c>
      <c r="H118" s="24">
        <v>0</v>
      </c>
      <c r="I118" s="24">
        <f t="shared" si="18"/>
        <v>0</v>
      </c>
      <c r="J118" s="24">
        <v>0</v>
      </c>
      <c r="K118" s="17"/>
      <c r="L118" s="17"/>
      <c r="M118" s="17"/>
      <c r="N118" s="24">
        <f t="shared" si="22"/>
        <v>0</v>
      </c>
      <c r="O118" s="18" t="e">
        <f>N118:N118*F118:F118*#REF!</f>
        <v>#REF!</v>
      </c>
      <c r="P118" s="14" t="s">
        <v>174</v>
      </c>
    </row>
    <row r="119" spans="1:16" ht="16.95" customHeight="1">
      <c r="A119" s="7"/>
      <c r="B119" s="3" t="s">
        <v>175</v>
      </c>
      <c r="C119" s="5">
        <v>1000</v>
      </c>
      <c r="D119" s="5">
        <v>2</v>
      </c>
      <c r="E119" s="3" t="str">
        <f t="shared" si="19"/>
        <v>шт.</v>
      </c>
      <c r="F119" s="5">
        <f t="shared" si="20"/>
        <v>1</v>
      </c>
      <c r="G119" s="5">
        <f t="shared" si="21"/>
        <v>2000</v>
      </c>
      <c r="H119" s="10">
        <v>0</v>
      </c>
      <c r="I119" s="10">
        <f t="shared" si="18"/>
        <v>0</v>
      </c>
      <c r="J119" s="10">
        <v>0</v>
      </c>
      <c r="K119" s="9"/>
      <c r="L119" s="9"/>
      <c r="M119" s="9"/>
      <c r="N119" s="10">
        <f t="shared" si="22"/>
        <v>0</v>
      </c>
      <c r="O119" s="16" t="e">
        <f>N119:N119*F119:F119*#REF!</f>
        <v>#REF!</v>
      </c>
      <c r="P119" s="7"/>
    </row>
    <row r="120" spans="1:16" ht="16.95" hidden="1" customHeight="1">
      <c r="A120" s="22"/>
      <c r="B120" s="15" t="s">
        <v>152</v>
      </c>
      <c r="C120" s="18" t="e">
        <f>IF($C$3=100,#REF!,#REF!)</f>
        <v>#REF!</v>
      </c>
      <c r="D120" s="24">
        <v>0</v>
      </c>
      <c r="E120" s="15" t="str">
        <f t="shared" si="19"/>
        <v>шт.</v>
      </c>
      <c r="F120" s="24">
        <f t="shared" si="20"/>
        <v>1</v>
      </c>
      <c r="G120" s="18" t="e">
        <f t="shared" si="21"/>
        <v>#REF!</v>
      </c>
      <c r="H120" s="24">
        <v>0</v>
      </c>
      <c r="I120" s="24">
        <f t="shared" si="18"/>
        <v>0</v>
      </c>
      <c r="J120" s="24">
        <v>0</v>
      </c>
      <c r="K120" s="17"/>
      <c r="L120" s="17"/>
      <c r="M120" s="17"/>
      <c r="N120" s="24">
        <f t="shared" si="22"/>
        <v>0</v>
      </c>
      <c r="O120" s="18" t="e">
        <f>N120:N120*F120:F120*#REF!</f>
        <v>#REF!</v>
      </c>
      <c r="P120" s="25"/>
    </row>
    <row r="121" spans="1:16" ht="16.95" customHeight="1">
      <c r="A121" s="7"/>
      <c r="B121" s="3" t="s">
        <v>176</v>
      </c>
      <c r="C121" s="5">
        <v>1000</v>
      </c>
      <c r="D121" s="5">
        <v>8</v>
      </c>
      <c r="E121" s="3" t="str">
        <f t="shared" si="19"/>
        <v>шт.</v>
      </c>
      <c r="F121" s="5">
        <f t="shared" si="20"/>
        <v>1</v>
      </c>
      <c r="G121" s="5">
        <f t="shared" si="21"/>
        <v>8000</v>
      </c>
      <c r="H121" s="10">
        <v>0</v>
      </c>
      <c r="I121" s="10">
        <f t="shared" si="18"/>
        <v>0</v>
      </c>
      <c r="J121" s="10">
        <v>0</v>
      </c>
      <c r="K121" s="9"/>
      <c r="L121" s="9"/>
      <c r="M121" s="9"/>
      <c r="N121" s="10">
        <f t="shared" si="22"/>
        <v>0</v>
      </c>
      <c r="O121" s="16" t="e">
        <f>N121:N121*F121:F121*#REF!</f>
        <v>#REF!</v>
      </c>
      <c r="P121" s="7"/>
    </row>
    <row r="122" spans="1:16" ht="16.95" hidden="1" customHeight="1">
      <c r="A122" s="17"/>
      <c r="B122" s="15" t="s">
        <v>177</v>
      </c>
      <c r="C122" s="18" t="e">
        <f>IF($C$3=100,#REF!,#REF!)</f>
        <v>#REF!</v>
      </c>
      <c r="D122" s="24">
        <v>0</v>
      </c>
      <c r="E122" s="15" t="str">
        <f t="shared" si="19"/>
        <v>шт.</v>
      </c>
      <c r="F122" s="24">
        <f t="shared" si="20"/>
        <v>1</v>
      </c>
      <c r="G122" s="18" t="e">
        <f t="shared" si="21"/>
        <v>#REF!</v>
      </c>
      <c r="H122" s="24">
        <v>0</v>
      </c>
      <c r="I122" s="24">
        <f t="shared" si="18"/>
        <v>0</v>
      </c>
      <c r="J122" s="24">
        <v>0</v>
      </c>
      <c r="K122" s="17"/>
      <c r="L122" s="17"/>
      <c r="M122" s="17"/>
      <c r="N122" s="24">
        <f t="shared" si="22"/>
        <v>0</v>
      </c>
      <c r="O122" s="18" t="e">
        <f>N122:N122*F122:F122*#REF!</f>
        <v>#REF!</v>
      </c>
      <c r="P122" s="25"/>
    </row>
    <row r="123" spans="1:16" ht="16.95" hidden="1" customHeight="1">
      <c r="A123" s="19"/>
      <c r="B123" s="12" t="s">
        <v>178</v>
      </c>
      <c r="C123" s="16" t="e">
        <f>IF($C$3=100,#REF!,#REF!)</f>
        <v>#REF!</v>
      </c>
      <c r="D123" s="10">
        <v>0</v>
      </c>
      <c r="E123" s="12" t="str">
        <f t="shared" si="19"/>
        <v>шт.</v>
      </c>
      <c r="F123" s="10">
        <f t="shared" si="20"/>
        <v>1</v>
      </c>
      <c r="G123" s="16" t="e">
        <f t="shared" si="21"/>
        <v>#REF!</v>
      </c>
      <c r="H123" s="10">
        <v>0</v>
      </c>
      <c r="I123" s="10">
        <f t="shared" si="18"/>
        <v>0</v>
      </c>
      <c r="J123" s="10">
        <v>0</v>
      </c>
      <c r="K123" s="9"/>
      <c r="L123" s="9"/>
      <c r="M123" s="9"/>
      <c r="N123" s="10">
        <f t="shared" si="22"/>
        <v>0</v>
      </c>
      <c r="O123" s="16" t="e">
        <f>N123:N123*F123:F123*#REF!</f>
        <v>#REF!</v>
      </c>
      <c r="P123" s="21"/>
    </row>
    <row r="124" spans="1:16" ht="16.95" hidden="1" customHeight="1">
      <c r="A124" s="22"/>
      <c r="B124" s="15" t="s">
        <v>179</v>
      </c>
      <c r="C124" s="18" t="e">
        <f>IF($C$3=100,#REF!,#REF!)</f>
        <v>#REF!</v>
      </c>
      <c r="D124" s="24">
        <v>0</v>
      </c>
      <c r="E124" s="15" t="str">
        <f t="shared" si="19"/>
        <v>шт.</v>
      </c>
      <c r="F124" s="24">
        <f t="shared" si="20"/>
        <v>1</v>
      </c>
      <c r="G124" s="18" t="e">
        <f t="shared" si="21"/>
        <v>#REF!</v>
      </c>
      <c r="H124" s="24">
        <v>0</v>
      </c>
      <c r="I124" s="24">
        <f t="shared" si="18"/>
        <v>0</v>
      </c>
      <c r="J124" s="24">
        <v>0</v>
      </c>
      <c r="K124" s="17"/>
      <c r="L124" s="17"/>
      <c r="M124" s="17"/>
      <c r="N124" s="24">
        <f t="shared" si="22"/>
        <v>0</v>
      </c>
      <c r="O124" s="18" t="e">
        <f>N124:N124*F124:F124*#REF!</f>
        <v>#REF!</v>
      </c>
      <c r="P124" s="25"/>
    </row>
    <row r="125" spans="1:16" ht="16.05" customHeight="1">
      <c r="A125" s="7"/>
      <c r="B125" s="7"/>
      <c r="C125" s="7"/>
      <c r="D125" s="7"/>
      <c r="E125" s="7"/>
      <c r="F125" s="7"/>
      <c r="G125" s="27">
        <f>G121+G119+G118+G117+G107+G106</f>
        <v>434800</v>
      </c>
      <c r="H125" s="9"/>
      <c r="I125" s="9"/>
      <c r="J125" s="9"/>
      <c r="K125" s="9"/>
      <c r="L125" s="9"/>
      <c r="M125" s="9"/>
      <c r="N125" s="9"/>
      <c r="O125" s="16" t="e">
        <f>SUM(O105:O124)</f>
        <v>#REF!</v>
      </c>
      <c r="P125" s="7"/>
    </row>
    <row r="126" spans="1:16" ht="16.05" customHeight="1">
      <c r="A126" s="13"/>
      <c r="B126" s="13"/>
      <c r="C126" s="13"/>
      <c r="D126" s="13"/>
      <c r="E126" s="13"/>
      <c r="F126" s="13"/>
      <c r="G126" s="13"/>
      <c r="H126" s="17"/>
      <c r="I126" s="17"/>
      <c r="J126" s="17"/>
      <c r="K126" s="17"/>
      <c r="L126" s="17"/>
      <c r="M126" s="17"/>
      <c r="N126" s="17"/>
      <c r="O126" s="18"/>
      <c r="P126" s="13"/>
    </row>
    <row r="127" spans="1:16" ht="16.95" customHeight="1">
      <c r="A127" s="3" t="str">
        <f>IF($B$3=1,"Подвесные конструкции","Rigging")</f>
        <v>Подвесные конструкции</v>
      </c>
      <c r="B127" s="7"/>
      <c r="C127" s="7"/>
      <c r="D127" s="7"/>
      <c r="E127" s="7"/>
      <c r="F127" s="7"/>
      <c r="G127" s="7"/>
      <c r="H127" s="9"/>
      <c r="I127" s="9"/>
      <c r="J127" s="9"/>
      <c r="K127" s="9"/>
      <c r="L127" s="9"/>
      <c r="M127" s="9"/>
      <c r="N127" s="9"/>
      <c r="O127" s="16"/>
      <c r="P127" s="7"/>
    </row>
    <row r="128" spans="1:16" ht="16.95" hidden="1" customHeight="1">
      <c r="A128" s="17"/>
      <c r="B128" s="15" t="s">
        <v>180</v>
      </c>
      <c r="C128" s="18" t="e">
        <f>IF($C$3=100,#REF!,#REF!)</f>
        <v>#REF!</v>
      </c>
      <c r="D128" s="24">
        <v>0</v>
      </c>
      <c r="E128" s="15" t="str">
        <f t="shared" ref="E128:E138" si="23">IF($B$3=1,"шт.","pcs")</f>
        <v>шт.</v>
      </c>
      <c r="F128" s="24">
        <f t="shared" ref="F128:F138" si="24">1+($F$3-1)/2</f>
        <v>1</v>
      </c>
      <c r="G128" s="18" t="e">
        <f t="shared" ref="G128:G138" si="25">C128*D128*F128</f>
        <v>#REF!</v>
      </c>
      <c r="H128" s="24">
        <v>0</v>
      </c>
      <c r="I128" s="24">
        <f t="shared" ref="I128:I139" si="26">H128*D128</f>
        <v>0</v>
      </c>
      <c r="J128" s="24">
        <f>201-(D129+D130+D131+D132+D133)</f>
        <v>191</v>
      </c>
      <c r="K128" s="24">
        <v>49</v>
      </c>
      <c r="L128" s="24">
        <f t="shared" ref="L128:L133" si="27">D128:D128*60</f>
        <v>0</v>
      </c>
      <c r="M128" s="24">
        <f>D128:D128*0.07</f>
        <v>0</v>
      </c>
      <c r="N128" s="24">
        <f t="shared" ref="N128:N138" si="28">IF(D128:D128=0,0,IF(J128:J128=0,0,IF(D128:D128&lt;J128:J128,D128:D128,J128:J128)))</f>
        <v>0</v>
      </c>
      <c r="O128" s="18" t="e">
        <f>N128:N128*F128:F128*#REF!</f>
        <v>#REF!</v>
      </c>
      <c r="P128" s="25"/>
    </row>
    <row r="129" spans="1:16" ht="16.95" hidden="1" customHeight="1">
      <c r="A129" s="19"/>
      <c r="B129" s="12" t="s">
        <v>181</v>
      </c>
      <c r="C129" s="16" t="e">
        <f>IF($C$3=100,#REF!,#REF!)</f>
        <v>#REF!</v>
      </c>
      <c r="D129" s="10">
        <v>0</v>
      </c>
      <c r="E129" s="12" t="str">
        <f t="shared" si="23"/>
        <v>шт.</v>
      </c>
      <c r="F129" s="10">
        <f t="shared" si="24"/>
        <v>1</v>
      </c>
      <c r="G129" s="16" t="e">
        <f t="shared" si="25"/>
        <v>#REF!</v>
      </c>
      <c r="H129" s="10">
        <v>0</v>
      </c>
      <c r="I129" s="10">
        <f t="shared" si="26"/>
        <v>0</v>
      </c>
      <c r="J129" s="10">
        <v>40</v>
      </c>
      <c r="K129" s="10">
        <v>49</v>
      </c>
      <c r="L129" s="10">
        <f t="shared" si="27"/>
        <v>0</v>
      </c>
      <c r="M129" s="10">
        <f>D129:D129*0.07</f>
        <v>0</v>
      </c>
      <c r="N129" s="10">
        <f t="shared" si="28"/>
        <v>0</v>
      </c>
      <c r="O129" s="16" t="e">
        <f>N129:N129*F129:F129*#REF!</f>
        <v>#REF!</v>
      </c>
      <c r="P129" s="21"/>
    </row>
    <row r="130" spans="1:16" ht="16.95" customHeight="1">
      <c r="A130" s="13"/>
      <c r="B130" s="14" t="s">
        <v>182</v>
      </c>
      <c r="C130" s="26">
        <v>2500</v>
      </c>
      <c r="D130" s="26">
        <v>10</v>
      </c>
      <c r="E130" s="14" t="str">
        <f t="shared" si="23"/>
        <v>шт.</v>
      </c>
      <c r="F130" s="26">
        <f t="shared" si="24"/>
        <v>1</v>
      </c>
      <c r="G130" s="26">
        <f t="shared" si="25"/>
        <v>25000</v>
      </c>
      <c r="H130" s="24">
        <v>0</v>
      </c>
      <c r="I130" s="24">
        <f t="shared" si="26"/>
        <v>0</v>
      </c>
      <c r="J130" s="24">
        <v>20</v>
      </c>
      <c r="K130" s="24">
        <v>49</v>
      </c>
      <c r="L130" s="24">
        <f t="shared" si="27"/>
        <v>600</v>
      </c>
      <c r="M130" s="24">
        <f>D130:D130*0.07</f>
        <v>0.70000000000000007</v>
      </c>
      <c r="N130" s="24">
        <f t="shared" si="28"/>
        <v>10</v>
      </c>
      <c r="O130" s="18" t="e">
        <f>N130:N130*F130:F130*#REF!</f>
        <v>#REF!</v>
      </c>
      <c r="P130" s="13"/>
    </row>
    <row r="131" spans="1:16" ht="16.95" hidden="1" customHeight="1">
      <c r="A131" s="19"/>
      <c r="B131" s="12" t="s">
        <v>183</v>
      </c>
      <c r="C131" s="16" t="e">
        <f>IF($C$3=100,#REF!,#REF!)</f>
        <v>#REF!</v>
      </c>
      <c r="D131" s="10">
        <v>0</v>
      </c>
      <c r="E131" s="12" t="str">
        <f t="shared" si="23"/>
        <v>шт.</v>
      </c>
      <c r="F131" s="10">
        <f t="shared" si="24"/>
        <v>1</v>
      </c>
      <c r="G131" s="16" t="e">
        <f t="shared" si="25"/>
        <v>#REF!</v>
      </c>
      <c r="H131" s="10">
        <v>0</v>
      </c>
      <c r="I131" s="10">
        <f t="shared" si="26"/>
        <v>0</v>
      </c>
      <c r="J131" s="10">
        <v>35</v>
      </c>
      <c r="K131" s="10">
        <v>49</v>
      </c>
      <c r="L131" s="10">
        <f t="shared" si="27"/>
        <v>0</v>
      </c>
      <c r="M131" s="10">
        <f>D131:D131*0.07</f>
        <v>0</v>
      </c>
      <c r="N131" s="10">
        <f t="shared" si="28"/>
        <v>0</v>
      </c>
      <c r="O131" s="16" t="e">
        <f>N131:N131*F131:F131*#REF!</f>
        <v>#REF!</v>
      </c>
      <c r="P131" s="21"/>
    </row>
    <row r="132" spans="1:16" ht="16.95" hidden="1" customHeight="1">
      <c r="A132" s="22"/>
      <c r="B132" s="15" t="s">
        <v>184</v>
      </c>
      <c r="C132" s="18" t="e">
        <f>IF($C$3=100,#REF!,#REF!)</f>
        <v>#REF!</v>
      </c>
      <c r="D132" s="24">
        <v>0</v>
      </c>
      <c r="E132" s="15" t="str">
        <f t="shared" si="23"/>
        <v>шт.</v>
      </c>
      <c r="F132" s="24">
        <f t="shared" si="24"/>
        <v>1</v>
      </c>
      <c r="G132" s="18" t="e">
        <f t="shared" si="25"/>
        <v>#REF!</v>
      </c>
      <c r="H132" s="24">
        <v>0</v>
      </c>
      <c r="I132" s="24">
        <f t="shared" si="26"/>
        <v>0</v>
      </c>
      <c r="J132" s="24">
        <v>76</v>
      </c>
      <c r="K132" s="24">
        <v>54</v>
      </c>
      <c r="L132" s="24">
        <f t="shared" si="27"/>
        <v>0</v>
      </c>
      <c r="M132" s="17"/>
      <c r="N132" s="24">
        <f t="shared" si="28"/>
        <v>0</v>
      </c>
      <c r="O132" s="18" t="e">
        <f>N132:N132*F132:F132*#REF!</f>
        <v>#REF!</v>
      </c>
      <c r="P132" s="25"/>
    </row>
    <row r="133" spans="1:16" ht="16.95" hidden="1" customHeight="1">
      <c r="A133" s="19"/>
      <c r="B133" s="12" t="s">
        <v>185</v>
      </c>
      <c r="C133" s="16" t="e">
        <f>IF($C$3=100,#REF!,#REF!)</f>
        <v>#REF!</v>
      </c>
      <c r="D133" s="10">
        <v>0</v>
      </c>
      <c r="E133" s="12" t="str">
        <f t="shared" si="23"/>
        <v>шт.</v>
      </c>
      <c r="F133" s="10">
        <f t="shared" si="24"/>
        <v>1</v>
      </c>
      <c r="G133" s="16" t="e">
        <f t="shared" si="25"/>
        <v>#REF!</v>
      </c>
      <c r="H133" s="10">
        <v>0</v>
      </c>
      <c r="I133" s="10">
        <f t="shared" si="26"/>
        <v>0</v>
      </c>
      <c r="J133" s="10">
        <v>27</v>
      </c>
      <c r="K133" s="10">
        <v>54</v>
      </c>
      <c r="L133" s="10">
        <f t="shared" si="27"/>
        <v>0</v>
      </c>
      <c r="M133" s="9"/>
      <c r="N133" s="10">
        <f t="shared" si="28"/>
        <v>0</v>
      </c>
      <c r="O133" s="16" t="e">
        <f>N133:N133*F133:F133*#REF!</f>
        <v>#REF!</v>
      </c>
      <c r="P133" s="21"/>
    </row>
    <row r="134" spans="1:16" ht="16.95" hidden="1" customHeight="1">
      <c r="A134" s="17"/>
      <c r="B134" s="15" t="s">
        <v>186</v>
      </c>
      <c r="C134" s="18" t="e">
        <f>IF($C$3=100,#REF!,#REF!)</f>
        <v>#REF!</v>
      </c>
      <c r="D134" s="24">
        <v>0</v>
      </c>
      <c r="E134" s="15" t="str">
        <f t="shared" si="23"/>
        <v>шт.</v>
      </c>
      <c r="F134" s="24">
        <f t="shared" si="24"/>
        <v>1</v>
      </c>
      <c r="G134" s="18" t="e">
        <f t="shared" si="25"/>
        <v>#REF!</v>
      </c>
      <c r="H134" s="24">
        <v>0</v>
      </c>
      <c r="I134" s="24">
        <f t="shared" si="26"/>
        <v>0</v>
      </c>
      <c r="J134" s="24">
        <v>18</v>
      </c>
      <c r="K134" s="17"/>
      <c r="L134" s="17"/>
      <c r="M134" s="17"/>
      <c r="N134" s="24">
        <f t="shared" si="28"/>
        <v>0</v>
      </c>
      <c r="O134" s="18" t="e">
        <f>N134:N134*F134:F134*#REF!</f>
        <v>#REF!</v>
      </c>
      <c r="P134" s="25"/>
    </row>
    <row r="135" spans="1:16" ht="16.95" customHeight="1">
      <c r="A135" s="7"/>
      <c r="B135" s="3" t="s">
        <v>187</v>
      </c>
      <c r="C135" s="5">
        <v>200</v>
      </c>
      <c r="D135" s="5">
        <f>SUM(D128:D134)</f>
        <v>10</v>
      </c>
      <c r="E135" s="3" t="str">
        <f t="shared" si="23"/>
        <v>шт.</v>
      </c>
      <c r="F135" s="5">
        <f t="shared" si="24"/>
        <v>1</v>
      </c>
      <c r="G135" s="5">
        <f t="shared" si="25"/>
        <v>2000</v>
      </c>
      <c r="H135" s="10">
        <v>0</v>
      </c>
      <c r="I135" s="10">
        <f t="shared" si="26"/>
        <v>0</v>
      </c>
      <c r="J135" s="10">
        <v>300</v>
      </c>
      <c r="K135" s="9"/>
      <c r="L135" s="9"/>
      <c r="M135" s="9"/>
      <c r="N135" s="10">
        <f t="shared" si="28"/>
        <v>10</v>
      </c>
      <c r="O135" s="16" t="e">
        <f>N135:N135*F135:F135*#REF!</f>
        <v>#REF!</v>
      </c>
      <c r="P135" s="7"/>
    </row>
    <row r="136" spans="1:16" ht="16.95" customHeight="1">
      <c r="A136" s="13"/>
      <c r="B136" s="14" t="s">
        <v>188</v>
      </c>
      <c r="C136" s="26">
        <v>2000</v>
      </c>
      <c r="D136" s="26">
        <f>ROUNDUP(SUM(D128:D134)/16,0)+0</f>
        <v>1</v>
      </c>
      <c r="E136" s="14" t="str">
        <f t="shared" si="23"/>
        <v>шт.</v>
      </c>
      <c r="F136" s="26">
        <f t="shared" si="24"/>
        <v>1</v>
      </c>
      <c r="G136" s="26">
        <f t="shared" si="25"/>
        <v>2000</v>
      </c>
      <c r="H136" s="24">
        <v>0</v>
      </c>
      <c r="I136" s="24">
        <f t="shared" si="26"/>
        <v>0</v>
      </c>
      <c r="J136" s="24">
        <v>8</v>
      </c>
      <c r="K136" s="17"/>
      <c r="L136" s="17"/>
      <c r="M136" s="17"/>
      <c r="N136" s="24">
        <f t="shared" si="28"/>
        <v>1</v>
      </c>
      <c r="O136" s="18" t="e">
        <f>N136:N136*F136:F136*#REF!</f>
        <v>#REF!</v>
      </c>
      <c r="P136" s="13"/>
    </row>
    <row r="137" spans="1:16" ht="16.95" hidden="1" customHeight="1">
      <c r="A137" s="9"/>
      <c r="B137" s="12" t="s">
        <v>189</v>
      </c>
      <c r="C137" s="16" t="e">
        <f>IF($C$3=100,#REF!,#REF!)</f>
        <v>#REF!</v>
      </c>
      <c r="D137" s="10">
        <v>0</v>
      </c>
      <c r="E137" s="12" t="str">
        <f t="shared" si="23"/>
        <v>шт.</v>
      </c>
      <c r="F137" s="10">
        <f t="shared" si="24"/>
        <v>1</v>
      </c>
      <c r="G137" s="16" t="e">
        <f t="shared" si="25"/>
        <v>#REF!</v>
      </c>
      <c r="H137" s="10">
        <v>0</v>
      </c>
      <c r="I137" s="10">
        <f t="shared" si="26"/>
        <v>0</v>
      </c>
      <c r="J137" s="10">
        <v>18</v>
      </c>
      <c r="K137" s="9"/>
      <c r="L137" s="9"/>
      <c r="M137" s="9"/>
      <c r="N137" s="10">
        <f t="shared" si="28"/>
        <v>0</v>
      </c>
      <c r="O137" s="16" t="e">
        <f>N137:N137*F137:F137*#REF!</f>
        <v>#REF!</v>
      </c>
      <c r="P137" s="21"/>
    </row>
    <row r="138" spans="1:16" ht="16.95" hidden="1" customHeight="1">
      <c r="A138" s="22"/>
      <c r="B138" s="15" t="s">
        <v>190</v>
      </c>
      <c r="C138" s="18" t="e">
        <f>IF($C$3=100,#REF!,#REF!)</f>
        <v>#REF!</v>
      </c>
      <c r="D138" s="24">
        <v>0</v>
      </c>
      <c r="E138" s="15" t="str">
        <f t="shared" si="23"/>
        <v>шт.</v>
      </c>
      <c r="F138" s="24">
        <f t="shared" si="24"/>
        <v>1</v>
      </c>
      <c r="G138" s="18" t="e">
        <f t="shared" si="25"/>
        <v>#REF!</v>
      </c>
      <c r="H138" s="24">
        <v>0</v>
      </c>
      <c r="I138" s="24">
        <f t="shared" si="26"/>
        <v>0</v>
      </c>
      <c r="J138" s="24">
        <v>8</v>
      </c>
      <c r="K138" s="17"/>
      <c r="L138" s="17"/>
      <c r="M138" s="17"/>
      <c r="N138" s="24">
        <f t="shared" si="28"/>
        <v>0</v>
      </c>
      <c r="O138" s="18" t="e">
        <f>N138:N138*F138:F138*#REF!</f>
        <v>#REF!</v>
      </c>
      <c r="P138" s="25"/>
    </row>
    <row r="139" spans="1:16" ht="16.05" customHeight="1">
      <c r="A139" s="7"/>
      <c r="B139" s="7"/>
      <c r="C139" s="7"/>
      <c r="D139" s="7"/>
      <c r="E139" s="7"/>
      <c r="F139" s="7"/>
      <c r="G139" s="27">
        <f>G136+G135+G130</f>
        <v>29000</v>
      </c>
      <c r="H139" s="9"/>
      <c r="I139" s="10">
        <f t="shared" si="26"/>
        <v>0</v>
      </c>
      <c r="J139" s="9"/>
      <c r="K139" s="9"/>
      <c r="L139" s="10">
        <f>SUM(L128:L138)</f>
        <v>600</v>
      </c>
      <c r="M139" s="10">
        <f>SUM(M128:M138)</f>
        <v>0.70000000000000007</v>
      </c>
      <c r="N139" s="9"/>
      <c r="O139" s="16" t="e">
        <f>SUM(O127:O138)</f>
        <v>#REF!</v>
      </c>
      <c r="P139" s="7"/>
    </row>
    <row r="140" spans="1:16" ht="16.05" customHeight="1">
      <c r="A140" s="13"/>
      <c r="B140" s="13"/>
      <c r="C140" s="13"/>
      <c r="D140" s="13"/>
      <c r="E140" s="13"/>
      <c r="F140" s="13"/>
      <c r="G140" s="13"/>
      <c r="H140" s="17"/>
      <c r="I140" s="17"/>
      <c r="J140" s="17"/>
      <c r="K140" s="17"/>
      <c r="L140" s="17"/>
      <c r="M140" s="17"/>
      <c r="N140" s="17"/>
      <c r="O140" s="18"/>
      <c r="P140" s="13"/>
    </row>
    <row r="141" spans="1:16" ht="16.95" hidden="1" customHeight="1">
      <c r="A141" s="12" t="str">
        <f>IF($B$3=1,"Сценические конструкции","Stage")</f>
        <v>Сценические конструкции</v>
      </c>
      <c r="B141" s="19"/>
      <c r="C141" s="16"/>
      <c r="D141" s="19"/>
      <c r="E141" s="9"/>
      <c r="F141" s="9"/>
      <c r="G141" s="28"/>
      <c r="H141" s="9"/>
      <c r="I141" s="9"/>
      <c r="J141" s="9"/>
      <c r="K141" s="9"/>
      <c r="L141" s="9"/>
      <c r="M141" s="9"/>
      <c r="N141" s="9"/>
      <c r="O141" s="16"/>
      <c r="P141" s="21"/>
    </row>
    <row r="142" spans="1:16" ht="16.95" hidden="1" customHeight="1">
      <c r="A142" s="17"/>
      <c r="B142" s="15" t="s">
        <v>191</v>
      </c>
      <c r="C142" s="18" t="e">
        <f>IF($C$3=100,#REF!,#REF!)</f>
        <v>#REF!</v>
      </c>
      <c r="D142" s="24">
        <f>C144*D144</f>
        <v>0</v>
      </c>
      <c r="E142" s="15" t="str">
        <f>IF($B$3=1,"м²","sq. m.")</f>
        <v>м²</v>
      </c>
      <c r="F142" s="24">
        <f>1+($F$3-1)/2</f>
        <v>1</v>
      </c>
      <c r="G142" s="18" t="e">
        <f>C142*D142*F142*F144</f>
        <v>#REF!</v>
      </c>
      <c r="H142" s="24">
        <v>0</v>
      </c>
      <c r="I142" s="24">
        <f>H142*D142</f>
        <v>0</v>
      </c>
      <c r="J142" s="24">
        <f>122*2+8*1</f>
        <v>252</v>
      </c>
      <c r="K142" s="24">
        <v>40</v>
      </c>
      <c r="L142" s="24">
        <f>D142:D142/2*40</f>
        <v>0</v>
      </c>
      <c r="M142" s="24">
        <f>D142:D142*0.0975</f>
        <v>0</v>
      </c>
      <c r="N142" s="24">
        <f>IF(D142:D142=0,0,IF(J142:J142=0,0,IF(D142:D142&lt;J142:J142,D142:D142,J142:J142)))</f>
        <v>0</v>
      </c>
      <c r="O142" s="18" t="e">
        <f>N142:N142*F142:F142*#REF!</f>
        <v>#REF!</v>
      </c>
      <c r="P142" s="25"/>
    </row>
    <row r="143" spans="1:16" ht="16.05" hidden="1" customHeight="1">
      <c r="A143" s="19"/>
      <c r="B143" s="19"/>
      <c r="C143" s="12" t="str">
        <f>IF($B$3=1,"Ш (м)","W (m)")</f>
        <v>Ш (м)</v>
      </c>
      <c r="D143" s="12" t="str">
        <f>IF($B$3=1,"Г (м)","D (m)")</f>
        <v>Г (м)</v>
      </c>
      <c r="E143" s="12" t="str">
        <f>IF($B$3=1,"В (м)","H (m)")</f>
        <v>В (м)</v>
      </c>
      <c r="F143" s="12" t="str">
        <f>IF($B$3=1,"Кол-во","qnt")</f>
        <v>Кол-во</v>
      </c>
      <c r="G143" s="16"/>
      <c r="H143" s="10">
        <v>0</v>
      </c>
      <c r="I143" s="9"/>
      <c r="J143" s="10">
        <v>0</v>
      </c>
      <c r="K143" s="9"/>
      <c r="L143" s="9"/>
      <c r="M143" s="9"/>
      <c r="N143" s="9"/>
      <c r="O143" s="16"/>
      <c r="P143" s="21"/>
    </row>
    <row r="144" spans="1:16" ht="16.05" hidden="1" customHeight="1">
      <c r="A144" s="22"/>
      <c r="B144" s="22"/>
      <c r="C144" s="24">
        <f>1.036*0</f>
        <v>0</v>
      </c>
      <c r="D144" s="24">
        <f>1.036*0</f>
        <v>0</v>
      </c>
      <c r="E144" s="24">
        <v>1</v>
      </c>
      <c r="F144" s="24">
        <v>1</v>
      </c>
      <c r="G144" s="18"/>
      <c r="H144" s="24">
        <v>0</v>
      </c>
      <c r="I144" s="24">
        <f>H144*D144</f>
        <v>0</v>
      </c>
      <c r="J144" s="24">
        <v>0</v>
      </c>
      <c r="K144" s="17"/>
      <c r="L144" s="17"/>
      <c r="M144" s="17"/>
      <c r="N144" s="17"/>
      <c r="O144" s="18"/>
      <c r="P144" s="25"/>
    </row>
    <row r="145" spans="1:16" ht="16.95" hidden="1" customHeight="1">
      <c r="A145" s="19"/>
      <c r="B145" s="12" t="s">
        <v>192</v>
      </c>
      <c r="C145" s="16" t="e">
        <f>IF($C$3=100,#REF!,#REF!)</f>
        <v>#REF!</v>
      </c>
      <c r="D145" s="10">
        <f>C144+D144*2</f>
        <v>0</v>
      </c>
      <c r="E145" s="12" t="str">
        <f>IF($B$3=1,"п.м.","l.m.")</f>
        <v>п.м.</v>
      </c>
      <c r="F145" s="10">
        <f>1+($F$3-1)/2</f>
        <v>1</v>
      </c>
      <c r="G145" s="16" t="e">
        <f>C145*D145*F145</f>
        <v>#REF!</v>
      </c>
      <c r="H145" s="10">
        <v>0</v>
      </c>
      <c r="I145" s="10">
        <f>H145*D145</f>
        <v>0</v>
      </c>
      <c r="J145" s="10">
        <f>29*2+6*1</f>
        <v>64</v>
      </c>
      <c r="K145" s="10">
        <v>17</v>
      </c>
      <c r="L145" s="10">
        <f>D145:D145*17</f>
        <v>0</v>
      </c>
      <c r="M145" s="10">
        <f>D145:D145*0.03</f>
        <v>0</v>
      </c>
      <c r="N145" s="10">
        <f>IF(D145:D145=0,0,IF(J145:J145=0,0,IF(D145:D145&lt;J145:J145,D145:D145,J145:J145)))</f>
        <v>0</v>
      </c>
      <c r="O145" s="16" t="e">
        <f>N145:N145*F145:F145*#REF!</f>
        <v>#REF!</v>
      </c>
      <c r="P145" s="21"/>
    </row>
    <row r="146" spans="1:16" ht="16.95" hidden="1" customHeight="1">
      <c r="A146" s="17"/>
      <c r="B146" s="15" t="s">
        <v>191</v>
      </c>
      <c r="C146" s="18" t="e">
        <f>IF($C$3=100,#REF!,#REF!)</f>
        <v>#REF!</v>
      </c>
      <c r="D146" s="24">
        <f>C148*D148</f>
        <v>0</v>
      </c>
      <c r="E146" s="15" t="str">
        <f>IF($B$3=1,"м²","sq. m.")</f>
        <v>м²</v>
      </c>
      <c r="F146" s="24">
        <f>1+($F$3-1)/2</f>
        <v>1</v>
      </c>
      <c r="G146" s="18" t="e">
        <f>C146*D146*F146</f>
        <v>#REF!</v>
      </c>
      <c r="H146" s="24">
        <v>0</v>
      </c>
      <c r="I146" s="24">
        <f>H146*D146</f>
        <v>0</v>
      </c>
      <c r="J146" s="24">
        <f>122*2+8*1</f>
        <v>252</v>
      </c>
      <c r="K146" s="24">
        <v>40</v>
      </c>
      <c r="L146" s="24">
        <f>D146:D146/2*40</f>
        <v>0</v>
      </c>
      <c r="M146" s="24">
        <f>D146:D146*0.0975</f>
        <v>0</v>
      </c>
      <c r="N146" s="24">
        <f>IF(D146:D146=0,0,IF(J146:J146=0,0,IF(D146:D146&lt;J146:J146,D146:D146,J146:J146)))</f>
        <v>0</v>
      </c>
      <c r="O146" s="18" t="e">
        <f>N146:N146*F146:F146*#REF!</f>
        <v>#REF!</v>
      </c>
      <c r="P146" s="25"/>
    </row>
    <row r="147" spans="1:16" ht="16.05" hidden="1" customHeight="1">
      <c r="A147" s="19"/>
      <c r="B147" s="19"/>
      <c r="C147" s="12" t="str">
        <f>IF($B$3=1,"Ш (м)","W (m)")</f>
        <v>Ш (м)</v>
      </c>
      <c r="D147" s="12" t="str">
        <f>IF($B$3=1,"Г (м)","D (m)")</f>
        <v>Г (м)</v>
      </c>
      <c r="E147" s="12" t="str">
        <f>IF($B$3=1,"В (м)","H (m)")</f>
        <v>В (м)</v>
      </c>
      <c r="F147" s="12" t="str">
        <f>IF($B$3=1,"Кол-во","qnt")</f>
        <v>Кол-во</v>
      </c>
      <c r="G147" s="16"/>
      <c r="H147" s="10">
        <v>0</v>
      </c>
      <c r="I147" s="9"/>
      <c r="J147" s="10">
        <v>0</v>
      </c>
      <c r="K147" s="9"/>
      <c r="L147" s="9"/>
      <c r="M147" s="9"/>
      <c r="N147" s="9"/>
      <c r="O147" s="16"/>
      <c r="P147" s="21"/>
    </row>
    <row r="148" spans="1:16" ht="16.05" hidden="1" customHeight="1">
      <c r="A148" s="22"/>
      <c r="B148" s="22"/>
      <c r="C148" s="24">
        <f>1.036*0</f>
        <v>0</v>
      </c>
      <c r="D148" s="24">
        <f>1.036*0</f>
        <v>0</v>
      </c>
      <c r="E148" s="24">
        <v>0</v>
      </c>
      <c r="F148" s="24">
        <v>0</v>
      </c>
      <c r="G148" s="18"/>
      <c r="H148" s="24">
        <v>0</v>
      </c>
      <c r="I148" s="24">
        <f t="shared" ref="I148:I165" si="29">H148*D148</f>
        <v>0</v>
      </c>
      <c r="J148" s="24">
        <v>0</v>
      </c>
      <c r="K148" s="17"/>
      <c r="L148" s="17"/>
      <c r="M148" s="17"/>
      <c r="N148" s="17"/>
      <c r="O148" s="18"/>
      <c r="P148" s="25"/>
    </row>
    <row r="149" spans="1:16" ht="16.95" hidden="1" customHeight="1">
      <c r="A149" s="19"/>
      <c r="B149" s="12" t="s">
        <v>192</v>
      </c>
      <c r="C149" s="16" t="e">
        <f>IF($C$3=100,#REF!,#REF!)</f>
        <v>#REF!</v>
      </c>
      <c r="D149" s="10">
        <f>C148+D148*2</f>
        <v>0</v>
      </c>
      <c r="E149" s="12" t="str">
        <f>IF($B$3=1,"п.м.","l.m.")</f>
        <v>п.м.</v>
      </c>
      <c r="F149" s="10">
        <f t="shared" ref="F149:F164" si="30">1+($F$3-1)/2</f>
        <v>1</v>
      </c>
      <c r="G149" s="16" t="e">
        <f t="shared" ref="G149:G164" si="31">C149*D149*F149</f>
        <v>#REF!</v>
      </c>
      <c r="H149" s="10">
        <v>0</v>
      </c>
      <c r="I149" s="10">
        <f t="shared" si="29"/>
        <v>0</v>
      </c>
      <c r="J149" s="10">
        <f>29*2+6*1</f>
        <v>64</v>
      </c>
      <c r="K149" s="10">
        <v>17</v>
      </c>
      <c r="L149" s="10">
        <f>D149:D149*17</f>
        <v>0</v>
      </c>
      <c r="M149" s="10">
        <f>D149:D149*0.03</f>
        <v>0</v>
      </c>
      <c r="N149" s="10">
        <f t="shared" ref="N149:N164" si="32">IF(D149:D149=0,0,IF(J149:J149=0,0,IF(D149:D149&lt;J149:J149,D149:D149,J149:J149)))</f>
        <v>0</v>
      </c>
      <c r="O149" s="16" t="e">
        <f>N149:N149*F149:F149*#REF!</f>
        <v>#REF!</v>
      </c>
      <c r="P149" s="21"/>
    </row>
    <row r="150" spans="1:16" ht="16.95" hidden="1" customHeight="1">
      <c r="A150" s="22"/>
      <c r="B150" s="15" t="s">
        <v>193</v>
      </c>
      <c r="C150" s="18" t="e">
        <f>IF($C$3=100,#REF!,#REF!)</f>
        <v>#REF!</v>
      </c>
      <c r="D150" s="24">
        <v>0</v>
      </c>
      <c r="E150" s="15" t="str">
        <f>IF($B$3=1,"шт.","pcs")</f>
        <v>шт.</v>
      </c>
      <c r="F150" s="24">
        <f t="shared" si="30"/>
        <v>1</v>
      </c>
      <c r="G150" s="18" t="e">
        <f t="shared" si="31"/>
        <v>#REF!</v>
      </c>
      <c r="H150" s="24">
        <v>0</v>
      </c>
      <c r="I150" s="24">
        <f t="shared" si="29"/>
        <v>0</v>
      </c>
      <c r="J150" s="24">
        <v>4</v>
      </c>
      <c r="K150" s="17"/>
      <c r="L150" s="17"/>
      <c r="M150" s="24">
        <f>D150:D150*0.18</f>
        <v>0</v>
      </c>
      <c r="N150" s="24">
        <f t="shared" si="32"/>
        <v>0</v>
      </c>
      <c r="O150" s="18" t="e">
        <f>N150:N150*F150:F150*#REF!</f>
        <v>#REF!</v>
      </c>
      <c r="P150" s="25"/>
    </row>
    <row r="151" spans="1:16" ht="16.95" hidden="1" customHeight="1">
      <c r="A151" s="19"/>
      <c r="B151" s="12" t="s">
        <v>194</v>
      </c>
      <c r="C151" s="16" t="e">
        <f>IF($C$3=100,#REF!,#REF!)</f>
        <v>#REF!</v>
      </c>
      <c r="D151" s="10">
        <v>0</v>
      </c>
      <c r="E151" s="12" t="str">
        <f t="shared" ref="E151:E158" si="33">IF($B$3=1,"м²","sq. m.")</f>
        <v>м²</v>
      </c>
      <c r="F151" s="10">
        <f t="shared" si="30"/>
        <v>1</v>
      </c>
      <c r="G151" s="16" t="e">
        <f t="shared" si="31"/>
        <v>#REF!</v>
      </c>
      <c r="H151" s="10">
        <v>0</v>
      </c>
      <c r="I151" s="10">
        <f t="shared" si="29"/>
        <v>0</v>
      </c>
      <c r="J151" s="10">
        <v>20</v>
      </c>
      <c r="K151" s="9"/>
      <c r="L151" s="9"/>
      <c r="M151" s="10">
        <f>D151:D151*0.975</f>
        <v>0</v>
      </c>
      <c r="N151" s="10">
        <f t="shared" si="32"/>
        <v>0</v>
      </c>
      <c r="O151" s="16" t="e">
        <f>N151:N151*F151:F151*#REF!</f>
        <v>#REF!</v>
      </c>
      <c r="P151" s="21"/>
    </row>
    <row r="152" spans="1:16" ht="16.95" hidden="1" customHeight="1">
      <c r="A152" s="15" t="s">
        <v>195</v>
      </c>
      <c r="B152" s="15" t="s">
        <v>196</v>
      </c>
      <c r="C152" s="18" t="e">
        <f>IF($C$3=100,#REF!,#REF!)</f>
        <v>#REF!</v>
      </c>
      <c r="D152" s="24">
        <v>0</v>
      </c>
      <c r="E152" s="15" t="str">
        <f t="shared" si="33"/>
        <v>м²</v>
      </c>
      <c r="F152" s="24">
        <f t="shared" si="30"/>
        <v>1</v>
      </c>
      <c r="G152" s="18" t="e">
        <f t="shared" si="31"/>
        <v>#REF!</v>
      </c>
      <c r="H152" s="24">
        <v>0</v>
      </c>
      <c r="I152" s="24">
        <f t="shared" si="29"/>
        <v>0</v>
      </c>
      <c r="J152" s="24">
        <v>420</v>
      </c>
      <c r="K152" s="24">
        <v>41</v>
      </c>
      <c r="L152" s="24">
        <f>D152:D152*41</f>
        <v>0</v>
      </c>
      <c r="M152" s="24">
        <f>D152:D152*0.216</f>
        <v>0</v>
      </c>
      <c r="N152" s="24">
        <f t="shared" si="32"/>
        <v>0</v>
      </c>
      <c r="O152" s="18" t="e">
        <f>N152:N152*F152:F152*#REF!</f>
        <v>#REF!</v>
      </c>
      <c r="P152" s="25"/>
    </row>
    <row r="153" spans="1:16" ht="16.95" hidden="1" customHeight="1">
      <c r="A153" s="19"/>
      <c r="B153" s="12" t="s">
        <v>197</v>
      </c>
      <c r="C153" s="16" t="e">
        <f>IF($C$3=100,#REF!,#REF!)</f>
        <v>#REF!</v>
      </c>
      <c r="D153" s="10">
        <v>0</v>
      </c>
      <c r="E153" s="12" t="str">
        <f t="shared" si="33"/>
        <v>м²</v>
      </c>
      <c r="F153" s="10">
        <f t="shared" si="30"/>
        <v>1</v>
      </c>
      <c r="G153" s="16" t="e">
        <f t="shared" si="31"/>
        <v>#REF!</v>
      </c>
      <c r="H153" s="10">
        <v>0</v>
      </c>
      <c r="I153" s="10">
        <f t="shared" si="29"/>
        <v>0</v>
      </c>
      <c r="J153" s="10">
        <v>522</v>
      </c>
      <c r="K153" s="10">
        <v>5.4</v>
      </c>
      <c r="L153" s="10">
        <f t="shared" ref="L153:L158" si="34">D153:D153*5.4</f>
        <v>0</v>
      </c>
      <c r="M153" s="10">
        <f t="shared" ref="M153:M158" si="35">D153:D153*0.01</f>
        <v>0</v>
      </c>
      <c r="N153" s="10">
        <f t="shared" si="32"/>
        <v>0</v>
      </c>
      <c r="O153" s="16" t="e">
        <f>N153:N153*F153:F153*#REF!</f>
        <v>#REF!</v>
      </c>
      <c r="P153" s="21"/>
    </row>
    <row r="154" spans="1:16" ht="16.95" hidden="1" customHeight="1">
      <c r="A154" s="22"/>
      <c r="B154" s="15" t="s">
        <v>198</v>
      </c>
      <c r="C154" s="18" t="e">
        <f>IF($C$3=100,#REF!,#REF!)</f>
        <v>#REF!</v>
      </c>
      <c r="D154" s="24">
        <v>0</v>
      </c>
      <c r="E154" s="15" t="str">
        <f t="shared" si="33"/>
        <v>м²</v>
      </c>
      <c r="F154" s="24">
        <f t="shared" si="30"/>
        <v>1</v>
      </c>
      <c r="G154" s="18" t="e">
        <f t="shared" si="31"/>
        <v>#REF!</v>
      </c>
      <c r="H154" s="24">
        <v>0</v>
      </c>
      <c r="I154" s="24">
        <f t="shared" si="29"/>
        <v>0</v>
      </c>
      <c r="J154" s="24">
        <v>400</v>
      </c>
      <c r="K154" s="24">
        <v>5.4</v>
      </c>
      <c r="L154" s="24">
        <f t="shared" si="34"/>
        <v>0</v>
      </c>
      <c r="M154" s="24">
        <f t="shared" si="35"/>
        <v>0</v>
      </c>
      <c r="N154" s="24">
        <f t="shared" si="32"/>
        <v>0</v>
      </c>
      <c r="O154" s="18" t="e">
        <f>N154:N154*F154:F154*#REF!</f>
        <v>#REF!</v>
      </c>
      <c r="P154" s="25"/>
    </row>
    <row r="155" spans="1:16" ht="16.95" hidden="1" customHeight="1">
      <c r="A155" s="19"/>
      <c r="B155" s="12" t="s">
        <v>199</v>
      </c>
      <c r="C155" s="16" t="e">
        <f>IF($C$3=100,#REF!,#REF!)</f>
        <v>#REF!</v>
      </c>
      <c r="D155" s="10">
        <v>0</v>
      </c>
      <c r="E155" s="12" t="str">
        <f t="shared" si="33"/>
        <v>м²</v>
      </c>
      <c r="F155" s="10">
        <f t="shared" si="30"/>
        <v>1</v>
      </c>
      <c r="G155" s="16" t="e">
        <f t="shared" si="31"/>
        <v>#REF!</v>
      </c>
      <c r="H155" s="10">
        <v>0</v>
      </c>
      <c r="I155" s="10">
        <f t="shared" si="29"/>
        <v>0</v>
      </c>
      <c r="J155" s="10">
        <v>107</v>
      </c>
      <c r="K155" s="10">
        <v>5.4</v>
      </c>
      <c r="L155" s="10">
        <f t="shared" si="34"/>
        <v>0</v>
      </c>
      <c r="M155" s="10">
        <f t="shared" si="35"/>
        <v>0</v>
      </c>
      <c r="N155" s="10">
        <f t="shared" si="32"/>
        <v>0</v>
      </c>
      <c r="O155" s="16" t="e">
        <f>N155:N155*F155:F155*#REF!</f>
        <v>#REF!</v>
      </c>
      <c r="P155" s="21"/>
    </row>
    <row r="156" spans="1:16" ht="16.95" hidden="1" customHeight="1">
      <c r="A156" s="22"/>
      <c r="B156" s="15" t="s">
        <v>200</v>
      </c>
      <c r="C156" s="18" t="e">
        <f>IF($C$3=100,#REF!,#REF!)</f>
        <v>#REF!</v>
      </c>
      <c r="D156" s="24">
        <v>0</v>
      </c>
      <c r="E156" s="15" t="str">
        <f t="shared" si="33"/>
        <v>м²</v>
      </c>
      <c r="F156" s="24">
        <f t="shared" si="30"/>
        <v>1</v>
      </c>
      <c r="G156" s="18" t="e">
        <f t="shared" si="31"/>
        <v>#REF!</v>
      </c>
      <c r="H156" s="24">
        <v>0</v>
      </c>
      <c r="I156" s="24">
        <f t="shared" si="29"/>
        <v>0</v>
      </c>
      <c r="J156" s="24">
        <v>76</v>
      </c>
      <c r="K156" s="24">
        <v>5.4</v>
      </c>
      <c r="L156" s="24">
        <f t="shared" si="34"/>
        <v>0</v>
      </c>
      <c r="M156" s="24">
        <f t="shared" si="35"/>
        <v>0</v>
      </c>
      <c r="N156" s="24">
        <f t="shared" si="32"/>
        <v>0</v>
      </c>
      <c r="O156" s="18" t="e">
        <f>N156:N156*F156:F156*#REF!</f>
        <v>#REF!</v>
      </c>
      <c r="P156" s="25"/>
    </row>
    <row r="157" spans="1:16" ht="16.95" hidden="1" customHeight="1">
      <c r="A157" s="19"/>
      <c r="B157" s="12" t="s">
        <v>201</v>
      </c>
      <c r="C157" s="16" t="e">
        <f>IF($C$3=100,#REF!,#REF!)</f>
        <v>#REF!</v>
      </c>
      <c r="D157" s="10">
        <v>0</v>
      </c>
      <c r="E157" s="12" t="str">
        <f t="shared" si="33"/>
        <v>м²</v>
      </c>
      <c r="F157" s="10">
        <f t="shared" si="30"/>
        <v>1</v>
      </c>
      <c r="G157" s="16" t="e">
        <f t="shared" si="31"/>
        <v>#REF!</v>
      </c>
      <c r="H157" s="10">
        <v>0</v>
      </c>
      <c r="I157" s="10">
        <f t="shared" si="29"/>
        <v>0</v>
      </c>
      <c r="J157" s="10">
        <v>49</v>
      </c>
      <c r="K157" s="10">
        <v>5.4</v>
      </c>
      <c r="L157" s="10">
        <f t="shared" si="34"/>
        <v>0</v>
      </c>
      <c r="M157" s="10">
        <f t="shared" si="35"/>
        <v>0</v>
      </c>
      <c r="N157" s="10">
        <f t="shared" si="32"/>
        <v>0</v>
      </c>
      <c r="O157" s="16" t="e">
        <f>N157:N157*F157:F157*#REF!</f>
        <v>#REF!</v>
      </c>
      <c r="P157" s="21"/>
    </row>
    <row r="158" spans="1:16" ht="34.049999999999997" hidden="1" customHeight="1">
      <c r="A158" s="22"/>
      <c r="B158" s="15" t="s">
        <v>202</v>
      </c>
      <c r="C158" s="18" t="e">
        <f>IF($C$3=100,#REF!,#REF!)</f>
        <v>#REF!</v>
      </c>
      <c r="D158" s="24">
        <v>0</v>
      </c>
      <c r="E158" s="15" t="str">
        <f t="shared" si="33"/>
        <v>м²</v>
      </c>
      <c r="F158" s="24">
        <f t="shared" si="30"/>
        <v>1</v>
      </c>
      <c r="G158" s="18" t="e">
        <f t="shared" si="31"/>
        <v>#REF!</v>
      </c>
      <c r="H158" s="24">
        <v>0</v>
      </c>
      <c r="I158" s="24">
        <f t="shared" si="29"/>
        <v>0</v>
      </c>
      <c r="J158" s="24">
        <v>46</v>
      </c>
      <c r="K158" s="24">
        <v>5.4</v>
      </c>
      <c r="L158" s="24">
        <f t="shared" si="34"/>
        <v>0</v>
      </c>
      <c r="M158" s="24">
        <f t="shared" si="35"/>
        <v>0</v>
      </c>
      <c r="N158" s="24">
        <f t="shared" si="32"/>
        <v>0</v>
      </c>
      <c r="O158" s="18" t="e">
        <f>N158:N158*F158:F158*#REF!</f>
        <v>#REF!</v>
      </c>
      <c r="P158" s="25"/>
    </row>
    <row r="159" spans="1:16" ht="16.95" hidden="1" customHeight="1">
      <c r="A159" s="19"/>
      <c r="B159" s="12" t="s">
        <v>203</v>
      </c>
      <c r="C159" s="16" t="e">
        <f>IF($C$3=100,#REF!,#REF!)</f>
        <v>#REF!</v>
      </c>
      <c r="D159" s="10">
        <v>0</v>
      </c>
      <c r="E159" s="12" t="str">
        <f>IF($B$3=1,"шт.","pcs")</f>
        <v>шт.</v>
      </c>
      <c r="F159" s="10">
        <f t="shared" si="30"/>
        <v>1</v>
      </c>
      <c r="G159" s="16" t="e">
        <f t="shared" si="31"/>
        <v>#REF!</v>
      </c>
      <c r="H159" s="10">
        <v>0</v>
      </c>
      <c r="I159" s="10">
        <f t="shared" si="29"/>
        <v>0</v>
      </c>
      <c r="J159" s="10">
        <v>197</v>
      </c>
      <c r="K159" s="10">
        <v>11.4</v>
      </c>
      <c r="L159" s="10">
        <f>D159:D159*11.4</f>
        <v>0</v>
      </c>
      <c r="M159" s="10">
        <f>D159:D159*0.2</f>
        <v>0</v>
      </c>
      <c r="N159" s="10">
        <f t="shared" si="32"/>
        <v>0</v>
      </c>
      <c r="O159" s="16" t="e">
        <f>N159:N159*F159:F159*#REF!</f>
        <v>#REF!</v>
      </c>
      <c r="P159" s="21"/>
    </row>
    <row r="160" spans="1:16" ht="16.95" hidden="1" customHeight="1">
      <c r="A160" s="22"/>
      <c r="B160" s="15" t="s">
        <v>204</v>
      </c>
      <c r="C160" s="18" t="e">
        <f>IF($C$3=100,#REF!,#REF!)</f>
        <v>#REF!</v>
      </c>
      <c r="D160" s="24">
        <v>0</v>
      </c>
      <c r="E160" s="15" t="str">
        <f>IF($B$3=1,"шт.","pcs")</f>
        <v>шт.</v>
      </c>
      <c r="F160" s="24">
        <f t="shared" si="30"/>
        <v>1</v>
      </c>
      <c r="G160" s="18" t="e">
        <f t="shared" si="31"/>
        <v>#REF!</v>
      </c>
      <c r="H160" s="24">
        <v>0</v>
      </c>
      <c r="I160" s="24">
        <f t="shared" si="29"/>
        <v>0</v>
      </c>
      <c r="J160" s="24">
        <v>54</v>
      </c>
      <c r="K160" s="24">
        <v>13</v>
      </c>
      <c r="L160" s="24">
        <f>D160:D160*13</f>
        <v>0</v>
      </c>
      <c r="M160" s="24">
        <f>D160:D160*0.2</f>
        <v>0</v>
      </c>
      <c r="N160" s="24">
        <f t="shared" si="32"/>
        <v>0</v>
      </c>
      <c r="O160" s="18" t="e">
        <f>N160:N160*F160:F160*#REF!</f>
        <v>#REF!</v>
      </c>
      <c r="P160" s="25"/>
    </row>
    <row r="161" spans="1:16" ht="16.95" hidden="1" customHeight="1">
      <c r="A161" s="9"/>
      <c r="B161" s="12" t="s">
        <v>205</v>
      </c>
      <c r="C161" s="16" t="e">
        <f>IF($C$3=100,#REF!,#REF!)</f>
        <v>#REF!</v>
      </c>
      <c r="D161" s="10">
        <v>0</v>
      </c>
      <c r="E161" s="12" t="str">
        <f>IF($B$3=1,"шт.","pcs")</f>
        <v>шт.</v>
      </c>
      <c r="F161" s="10">
        <f t="shared" si="30"/>
        <v>1</v>
      </c>
      <c r="G161" s="16" t="e">
        <f t="shared" si="31"/>
        <v>#REF!</v>
      </c>
      <c r="H161" s="10">
        <v>0</v>
      </c>
      <c r="I161" s="10">
        <f t="shared" si="29"/>
        <v>0</v>
      </c>
      <c r="J161" s="10">
        <f>80+11</f>
        <v>91</v>
      </c>
      <c r="K161" s="10">
        <v>14</v>
      </c>
      <c r="L161" s="10">
        <f>D161:D161*14</f>
        <v>0</v>
      </c>
      <c r="M161" s="10">
        <f>D161:D161*0.1125</f>
        <v>0</v>
      </c>
      <c r="N161" s="10">
        <f t="shared" si="32"/>
        <v>0</v>
      </c>
      <c r="O161" s="16" t="e">
        <f>N161:N161*F161:F161*#REF!</f>
        <v>#REF!</v>
      </c>
      <c r="P161" s="21"/>
    </row>
    <row r="162" spans="1:16" ht="16.95" hidden="1" customHeight="1">
      <c r="A162" s="17"/>
      <c r="B162" s="15" t="s">
        <v>206</v>
      </c>
      <c r="C162" s="18" t="e">
        <f>IF($C$3=100,#REF!,#REF!)</f>
        <v>#REF!</v>
      </c>
      <c r="D162" s="24">
        <v>0</v>
      </c>
      <c r="E162" s="15" t="str">
        <f>IF($B$3=1,"шт.","pcs")</f>
        <v>шт.</v>
      </c>
      <c r="F162" s="24">
        <f t="shared" si="30"/>
        <v>1</v>
      </c>
      <c r="G162" s="18" t="e">
        <f t="shared" si="31"/>
        <v>#REF!</v>
      </c>
      <c r="H162" s="24">
        <v>0</v>
      </c>
      <c r="I162" s="24">
        <f t="shared" si="29"/>
        <v>0</v>
      </c>
      <c r="J162" s="24">
        <v>2</v>
      </c>
      <c r="K162" s="17"/>
      <c r="L162" s="17"/>
      <c r="M162" s="17"/>
      <c r="N162" s="24">
        <f t="shared" si="32"/>
        <v>0</v>
      </c>
      <c r="O162" s="18" t="e">
        <f>N162:N162*F162:F162*#REF!</f>
        <v>#REF!</v>
      </c>
      <c r="P162" s="25"/>
    </row>
    <row r="163" spans="1:16" ht="16.95" hidden="1" customHeight="1">
      <c r="A163" s="9"/>
      <c r="B163" s="12" t="s">
        <v>207</v>
      </c>
      <c r="C163" s="16" t="e">
        <f>IF($C$3=100,#REF!,#REF!)</f>
        <v>#REF!</v>
      </c>
      <c r="D163" s="10">
        <v>0</v>
      </c>
      <c r="E163" s="12" t="str">
        <f>IF($B$3=1,"компл.","set")</f>
        <v>компл.</v>
      </c>
      <c r="F163" s="10">
        <f t="shared" si="30"/>
        <v>1</v>
      </c>
      <c r="G163" s="16" t="e">
        <f t="shared" si="31"/>
        <v>#REF!</v>
      </c>
      <c r="H163" s="10">
        <v>0</v>
      </c>
      <c r="I163" s="10">
        <f t="shared" si="29"/>
        <v>0</v>
      </c>
      <c r="J163" s="10">
        <v>15</v>
      </c>
      <c r="K163" s="9"/>
      <c r="L163" s="9"/>
      <c r="M163" s="9"/>
      <c r="N163" s="10">
        <f t="shared" si="32"/>
        <v>0</v>
      </c>
      <c r="O163" s="16" t="e">
        <f>N163:N163*F163:F163*#REF!</f>
        <v>#REF!</v>
      </c>
      <c r="P163" s="21"/>
    </row>
    <row r="164" spans="1:16" ht="16.95" hidden="1" customHeight="1">
      <c r="A164" s="22"/>
      <c r="B164" s="15" t="s">
        <v>158</v>
      </c>
      <c r="C164" s="18" t="e">
        <f>IF($C$3=100,#REF!,#REF!)</f>
        <v>#REF!</v>
      </c>
      <c r="D164" s="24">
        <v>0</v>
      </c>
      <c r="E164" s="15" t="str">
        <f>IF($B$3=1,"компл.","set")</f>
        <v>компл.</v>
      </c>
      <c r="F164" s="24">
        <f t="shared" si="30"/>
        <v>1</v>
      </c>
      <c r="G164" s="18" t="e">
        <f t="shared" si="31"/>
        <v>#REF!</v>
      </c>
      <c r="H164" s="24">
        <v>0</v>
      </c>
      <c r="I164" s="24">
        <f t="shared" si="29"/>
        <v>0</v>
      </c>
      <c r="J164" s="24">
        <v>2</v>
      </c>
      <c r="K164" s="24">
        <v>186</v>
      </c>
      <c r="L164" s="24">
        <f>D164:D164*K164:K164</f>
        <v>0</v>
      </c>
      <c r="M164" s="17"/>
      <c r="N164" s="24">
        <f t="shared" si="32"/>
        <v>0</v>
      </c>
      <c r="O164" s="18" t="e">
        <f>N164:N164*F164:F164*#REF!</f>
        <v>#REF!</v>
      </c>
      <c r="P164" s="25"/>
    </row>
    <row r="165" spans="1:16" ht="16.05" hidden="1" customHeight="1">
      <c r="A165" s="9"/>
      <c r="B165" s="9"/>
      <c r="C165" s="16"/>
      <c r="D165" s="9"/>
      <c r="E165" s="9"/>
      <c r="F165" s="9"/>
      <c r="G165" s="16" t="e">
        <f>SUM(G141:G164)</f>
        <v>#REF!</v>
      </c>
      <c r="H165" s="9"/>
      <c r="I165" s="10">
        <f t="shared" si="29"/>
        <v>0</v>
      </c>
      <c r="J165" s="9"/>
      <c r="K165" s="9"/>
      <c r="L165" s="10">
        <f>SUM(L142:L164)</f>
        <v>0</v>
      </c>
      <c r="M165" s="10">
        <f>SUM(M142:M164)</f>
        <v>0</v>
      </c>
      <c r="N165" s="9"/>
      <c r="O165" s="16" t="e">
        <f>SUM(O141:O164)</f>
        <v>#REF!</v>
      </c>
      <c r="P165" s="21"/>
    </row>
    <row r="166" spans="1:16" ht="16.05" hidden="1" customHeight="1">
      <c r="A166" s="22"/>
      <c r="B166" s="22"/>
      <c r="C166" s="18"/>
      <c r="D166" s="17"/>
      <c r="E166" s="17"/>
      <c r="F166" s="17"/>
      <c r="G166" s="29"/>
      <c r="H166" s="17"/>
      <c r="I166" s="17"/>
      <c r="J166" s="17"/>
      <c r="K166" s="17"/>
      <c r="L166" s="17"/>
      <c r="M166" s="17"/>
      <c r="N166" s="17"/>
      <c r="O166" s="18"/>
      <c r="P166" s="25"/>
    </row>
    <row r="167" spans="1:16" ht="16.95" customHeight="1">
      <c r="A167" s="3" t="str">
        <f>IF($B$3=1,"Звуковое оборудование","Sound")</f>
        <v>Звуковое оборудование</v>
      </c>
      <c r="B167" s="7"/>
      <c r="C167" s="7"/>
      <c r="D167" s="7"/>
      <c r="E167" s="7"/>
      <c r="F167" s="7"/>
      <c r="G167" s="7"/>
      <c r="H167" s="9"/>
      <c r="I167" s="10">
        <f t="shared" ref="I167:I198" si="36">H167*D167</f>
        <v>0</v>
      </c>
      <c r="J167" s="9"/>
      <c r="K167" s="9"/>
      <c r="L167" s="9"/>
      <c r="M167" s="9"/>
      <c r="N167" s="9"/>
      <c r="O167" s="16"/>
      <c r="P167" s="7"/>
    </row>
    <row r="168" spans="1:16" ht="16.95" hidden="1" customHeight="1">
      <c r="A168" s="22"/>
      <c r="B168" s="15" t="s">
        <v>208</v>
      </c>
      <c r="C168" s="18" t="e">
        <f>IF($C$3=100,#REF!,#REF!)</f>
        <v>#REF!</v>
      </c>
      <c r="D168" s="24">
        <v>0</v>
      </c>
      <c r="E168" s="15" t="str">
        <f>IF($B$3=1,"кВт","kW")</f>
        <v>кВт</v>
      </c>
      <c r="F168" s="24">
        <f t="shared" ref="F168:F199" si="37">1+($F$3-1)/2</f>
        <v>1</v>
      </c>
      <c r="G168" s="18" t="e">
        <f t="shared" ref="G168:G199" si="38">C168*D168*F168</f>
        <v>#REF!</v>
      </c>
      <c r="H168" s="24">
        <v>1000</v>
      </c>
      <c r="I168" s="24">
        <f t="shared" si="36"/>
        <v>0</v>
      </c>
      <c r="J168" s="24">
        <v>0</v>
      </c>
      <c r="K168" s="17"/>
      <c r="L168" s="17"/>
      <c r="M168" s="17"/>
      <c r="N168" s="24">
        <f t="shared" ref="N168:N199" si="39">IF(D168:D168=0,0,IF(J168:J168=0,0,IF(D168:D168&lt;J168:J168,D168:D168,J168:J168)))</f>
        <v>0</v>
      </c>
      <c r="O168" s="18" t="e">
        <f>N168:N168*F168:F168*#REF!</f>
        <v>#REF!</v>
      </c>
      <c r="P168" s="25"/>
    </row>
    <row r="169" spans="1:16" ht="16.95" customHeight="1">
      <c r="A169" s="7"/>
      <c r="B169" s="3" t="s">
        <v>209</v>
      </c>
      <c r="C169" s="5">
        <v>4800</v>
      </c>
      <c r="D169" s="5">
        <v>12</v>
      </c>
      <c r="E169" s="3" t="str">
        <f t="shared" ref="E169:E200" si="40">IF($B$3=1,"шт.","pcs")</f>
        <v>шт.</v>
      </c>
      <c r="F169" s="5">
        <f t="shared" si="37"/>
        <v>1</v>
      </c>
      <c r="G169" s="5">
        <f t="shared" si="38"/>
        <v>57600</v>
      </c>
      <c r="H169" s="10">
        <v>1250</v>
      </c>
      <c r="I169" s="10">
        <f t="shared" si="36"/>
        <v>15000</v>
      </c>
      <c r="J169" s="10">
        <v>0</v>
      </c>
      <c r="K169" s="10">
        <v>68.040000000000006</v>
      </c>
      <c r="L169" s="10">
        <f>ROUNDUP((D169:D169/4),0)*272.16</f>
        <v>816.48</v>
      </c>
      <c r="M169" s="9"/>
      <c r="N169" s="10">
        <f t="shared" si="39"/>
        <v>0</v>
      </c>
      <c r="O169" s="16" t="e">
        <f>N169:N169*F169:F169*#REF!</f>
        <v>#REF!</v>
      </c>
      <c r="P169" s="3" t="s">
        <v>210</v>
      </c>
    </row>
    <row r="170" spans="1:16" ht="16.95" customHeight="1">
      <c r="A170" s="13"/>
      <c r="B170" s="14" t="s">
        <v>211</v>
      </c>
      <c r="C170" s="26">
        <v>3600</v>
      </c>
      <c r="D170" s="26">
        <v>9</v>
      </c>
      <c r="E170" s="14" t="str">
        <f t="shared" si="40"/>
        <v>шт.</v>
      </c>
      <c r="F170" s="26">
        <f t="shared" si="37"/>
        <v>1</v>
      </c>
      <c r="G170" s="26">
        <f t="shared" si="38"/>
        <v>32400</v>
      </c>
      <c r="H170" s="24">
        <v>500</v>
      </c>
      <c r="I170" s="24">
        <f t="shared" si="36"/>
        <v>4500</v>
      </c>
      <c r="J170" s="24">
        <v>0</v>
      </c>
      <c r="K170" s="24">
        <v>28.12</v>
      </c>
      <c r="L170" s="24">
        <f>ROUNDUP((D170:D170/3),0)*84.5</f>
        <v>253.5</v>
      </c>
      <c r="M170" s="17"/>
      <c r="N170" s="24">
        <f t="shared" si="39"/>
        <v>0</v>
      </c>
      <c r="O170" s="18" t="e">
        <f>N170:N170*F170:F170*#REF!</f>
        <v>#REF!</v>
      </c>
      <c r="P170" s="14" t="s">
        <v>212</v>
      </c>
    </row>
    <row r="171" spans="1:16" ht="16.95" customHeight="1">
      <c r="A171" s="7"/>
      <c r="B171" s="3" t="s">
        <v>213</v>
      </c>
      <c r="C171" s="5">
        <v>4200</v>
      </c>
      <c r="D171" s="5">
        <v>6</v>
      </c>
      <c r="E171" s="3" t="str">
        <f t="shared" si="40"/>
        <v>шт.</v>
      </c>
      <c r="F171" s="5">
        <f t="shared" si="37"/>
        <v>1</v>
      </c>
      <c r="G171" s="5">
        <f t="shared" si="38"/>
        <v>25200</v>
      </c>
      <c r="H171" s="10">
        <v>950</v>
      </c>
      <c r="I171" s="10">
        <f t="shared" si="36"/>
        <v>5700</v>
      </c>
      <c r="J171" s="10">
        <v>0</v>
      </c>
      <c r="K171" s="10">
        <v>117.5</v>
      </c>
      <c r="L171" s="10">
        <f>ROUNDUP((D171:D171/2),0)*235</f>
        <v>705</v>
      </c>
      <c r="M171" s="9"/>
      <c r="N171" s="10">
        <f t="shared" si="39"/>
        <v>0</v>
      </c>
      <c r="O171" s="16" t="e">
        <f>N171:N171*F171:F171*#REF!</f>
        <v>#REF!</v>
      </c>
      <c r="P171" s="3" t="s">
        <v>214</v>
      </c>
    </row>
    <row r="172" spans="1:16" ht="16.95" hidden="1" customHeight="1">
      <c r="A172" s="22"/>
      <c r="B172" s="15" t="s">
        <v>215</v>
      </c>
      <c r="C172" s="18" t="e">
        <f>IF($C$3=100,#REF!,#REF!)</f>
        <v>#REF!</v>
      </c>
      <c r="D172" s="24">
        <v>0</v>
      </c>
      <c r="E172" s="15" t="str">
        <f t="shared" si="40"/>
        <v>шт.</v>
      </c>
      <c r="F172" s="24">
        <f t="shared" si="37"/>
        <v>1</v>
      </c>
      <c r="G172" s="18" t="e">
        <f t="shared" si="38"/>
        <v>#REF!</v>
      </c>
      <c r="H172" s="24">
        <v>950</v>
      </c>
      <c r="I172" s="24">
        <f t="shared" si="36"/>
        <v>0</v>
      </c>
      <c r="J172" s="24">
        <v>0</v>
      </c>
      <c r="K172" s="24">
        <v>82.55</v>
      </c>
      <c r="L172" s="24">
        <f>ROUNDUP((D172:D172/2),0)*82.55</f>
        <v>0</v>
      </c>
      <c r="M172" s="17"/>
      <c r="N172" s="24">
        <f t="shared" si="39"/>
        <v>0</v>
      </c>
      <c r="O172" s="18" t="e">
        <f>N172:N172*F172:F172*#REF!</f>
        <v>#REF!</v>
      </c>
      <c r="P172" s="25"/>
    </row>
    <row r="173" spans="1:16" ht="16.95" customHeight="1">
      <c r="A173" s="7"/>
      <c r="B173" s="3" t="s">
        <v>216</v>
      </c>
      <c r="C173" s="5">
        <v>3600</v>
      </c>
      <c r="D173" s="5">
        <v>1</v>
      </c>
      <c r="E173" s="3" t="str">
        <f t="shared" si="40"/>
        <v>шт.</v>
      </c>
      <c r="F173" s="5">
        <f t="shared" si="37"/>
        <v>1</v>
      </c>
      <c r="G173" s="5">
        <f t="shared" si="38"/>
        <v>3600</v>
      </c>
      <c r="H173" s="10">
        <v>200</v>
      </c>
      <c r="I173" s="10">
        <f t="shared" si="36"/>
        <v>200</v>
      </c>
      <c r="J173" s="10">
        <v>0</v>
      </c>
      <c r="K173" s="10">
        <v>8.7100000000000009</v>
      </c>
      <c r="L173" s="10">
        <f>D173:D173*9</f>
        <v>9</v>
      </c>
      <c r="M173" s="9"/>
      <c r="N173" s="10">
        <f t="shared" si="39"/>
        <v>0</v>
      </c>
      <c r="O173" s="16" t="e">
        <f>N173:N173*F173:F173*#REF!</f>
        <v>#REF!</v>
      </c>
      <c r="P173" s="7"/>
    </row>
    <row r="174" spans="1:16" ht="16.95" customHeight="1">
      <c r="A174" s="13"/>
      <c r="B174" s="14" t="s">
        <v>217</v>
      </c>
      <c r="C174" s="26">
        <v>1000</v>
      </c>
      <c r="D174" s="26">
        <v>4</v>
      </c>
      <c r="E174" s="14" t="str">
        <f t="shared" si="40"/>
        <v>шт.</v>
      </c>
      <c r="F174" s="26">
        <f t="shared" si="37"/>
        <v>1</v>
      </c>
      <c r="G174" s="26">
        <f t="shared" si="38"/>
        <v>4000</v>
      </c>
      <c r="H174" s="24">
        <v>0</v>
      </c>
      <c r="I174" s="24">
        <f t="shared" si="36"/>
        <v>0</v>
      </c>
      <c r="J174" s="24">
        <v>0</v>
      </c>
      <c r="K174" s="24">
        <v>51.4</v>
      </c>
      <c r="L174" s="24">
        <f>ROUNDUP((D174:D174/2),0)*102.8</f>
        <v>205.6</v>
      </c>
      <c r="M174" s="17"/>
      <c r="N174" s="24">
        <f t="shared" si="39"/>
        <v>0</v>
      </c>
      <c r="O174" s="18" t="e">
        <f>N174:N174*F174:F174*#REF!</f>
        <v>#REF!</v>
      </c>
      <c r="P174" s="13"/>
    </row>
    <row r="175" spans="1:16" ht="16.95" hidden="1" customHeight="1">
      <c r="A175" s="19"/>
      <c r="B175" s="12" t="s">
        <v>218</v>
      </c>
      <c r="C175" s="16" t="e">
        <f>IF($C$3=100,#REF!,#REF!)</f>
        <v>#REF!</v>
      </c>
      <c r="D175" s="10">
        <v>0</v>
      </c>
      <c r="E175" s="12" t="str">
        <f t="shared" si="40"/>
        <v>шт.</v>
      </c>
      <c r="F175" s="10">
        <f t="shared" si="37"/>
        <v>1</v>
      </c>
      <c r="G175" s="16" t="e">
        <f t="shared" si="38"/>
        <v>#REF!</v>
      </c>
      <c r="H175" s="10">
        <v>500</v>
      </c>
      <c r="I175" s="10">
        <f t="shared" si="36"/>
        <v>0</v>
      </c>
      <c r="J175" s="10">
        <v>0</v>
      </c>
      <c r="K175" s="10">
        <v>49</v>
      </c>
      <c r="L175" s="10">
        <f>ROUNDUP((D175:D175/2),0)*98</f>
        <v>0</v>
      </c>
      <c r="M175" s="9"/>
      <c r="N175" s="10">
        <f t="shared" si="39"/>
        <v>0</v>
      </c>
      <c r="O175" s="16" t="e">
        <f>N175:N175*F175:F175*#REF!</f>
        <v>#REF!</v>
      </c>
      <c r="P175" s="21"/>
    </row>
    <row r="176" spans="1:16" ht="16.95" hidden="1" customHeight="1">
      <c r="A176" s="22"/>
      <c r="B176" s="15" t="s">
        <v>219</v>
      </c>
      <c r="C176" s="18" t="e">
        <f>IF($C$3=100,#REF!,#REF!)</f>
        <v>#REF!</v>
      </c>
      <c r="D176" s="24">
        <v>0</v>
      </c>
      <c r="E176" s="15" t="str">
        <f t="shared" si="40"/>
        <v>шт.</v>
      </c>
      <c r="F176" s="24">
        <f t="shared" si="37"/>
        <v>1</v>
      </c>
      <c r="G176" s="18" t="e">
        <f t="shared" si="38"/>
        <v>#REF!</v>
      </c>
      <c r="H176" s="24">
        <v>875</v>
      </c>
      <c r="I176" s="24">
        <f t="shared" si="36"/>
        <v>0</v>
      </c>
      <c r="J176" s="24">
        <v>14</v>
      </c>
      <c r="K176" s="24">
        <v>24</v>
      </c>
      <c r="L176" s="24">
        <f>ROUNDUP((D176:D176/3),0)*81.4</f>
        <v>0</v>
      </c>
      <c r="M176" s="24">
        <f>ROUNDUP((D176:D176/3),0)*0.375</f>
        <v>0</v>
      </c>
      <c r="N176" s="24">
        <f t="shared" si="39"/>
        <v>0</v>
      </c>
      <c r="O176" s="18" t="e">
        <f>N176:N176*F176:F176*#REF!</f>
        <v>#REF!</v>
      </c>
      <c r="P176" s="25"/>
    </row>
    <row r="177" spans="1:16" ht="16.95" hidden="1" customHeight="1">
      <c r="A177" s="9"/>
      <c r="B177" s="12" t="s">
        <v>220</v>
      </c>
      <c r="C177" s="16" t="e">
        <f>IF($C$3=100,#REF!,#REF!)</f>
        <v>#REF!</v>
      </c>
      <c r="D177" s="10">
        <v>0</v>
      </c>
      <c r="E177" s="12" t="str">
        <f t="shared" si="40"/>
        <v>шт.</v>
      </c>
      <c r="F177" s="10">
        <f t="shared" si="37"/>
        <v>1</v>
      </c>
      <c r="G177" s="16" t="e">
        <f t="shared" si="38"/>
        <v>#REF!</v>
      </c>
      <c r="H177" s="10">
        <v>750</v>
      </c>
      <c r="I177" s="10">
        <f t="shared" si="36"/>
        <v>0</v>
      </c>
      <c r="J177" s="10">
        <v>8</v>
      </c>
      <c r="K177" s="10">
        <v>39.5</v>
      </c>
      <c r="L177" s="10">
        <f>D177:D177*39.5</f>
        <v>0</v>
      </c>
      <c r="M177" s="10">
        <f>D177:D177*0.228</f>
        <v>0</v>
      </c>
      <c r="N177" s="10">
        <f t="shared" si="39"/>
        <v>0</v>
      </c>
      <c r="O177" s="16" t="e">
        <f>N177:N177*F177:F177*#REF!</f>
        <v>#REF!</v>
      </c>
      <c r="P177" s="21"/>
    </row>
    <row r="178" spans="1:16" ht="16.95" hidden="1" customHeight="1">
      <c r="A178" s="22"/>
      <c r="B178" s="15" t="s">
        <v>221</v>
      </c>
      <c r="C178" s="18" t="e">
        <f>IF($C$3=100,#REF!,#REF!)</f>
        <v>#REF!</v>
      </c>
      <c r="D178" s="24">
        <v>0</v>
      </c>
      <c r="E178" s="15" t="str">
        <f t="shared" si="40"/>
        <v>шт.</v>
      </c>
      <c r="F178" s="24">
        <f t="shared" si="37"/>
        <v>1</v>
      </c>
      <c r="G178" s="18" t="e">
        <f t="shared" si="38"/>
        <v>#REF!</v>
      </c>
      <c r="H178" s="24">
        <v>0</v>
      </c>
      <c r="I178" s="24">
        <f t="shared" si="36"/>
        <v>0</v>
      </c>
      <c r="J178" s="24">
        <v>6</v>
      </c>
      <c r="K178" s="24">
        <v>2.5</v>
      </c>
      <c r="L178" s="24">
        <f>D178:D178*2.5</f>
        <v>0</v>
      </c>
      <c r="M178" s="24">
        <f>D178:D178*0.158</f>
        <v>0</v>
      </c>
      <c r="N178" s="24">
        <f t="shared" si="39"/>
        <v>0</v>
      </c>
      <c r="O178" s="18" t="e">
        <f>N178:N178*F178:F178*#REF!</f>
        <v>#REF!</v>
      </c>
      <c r="P178" s="25"/>
    </row>
    <row r="179" spans="1:16" ht="16.05" hidden="1" customHeight="1">
      <c r="A179" s="19"/>
      <c r="B179" s="12" t="s">
        <v>222</v>
      </c>
      <c r="C179" s="16" t="e">
        <f>IF($C$3=100,#REF!,#REF!)</f>
        <v>#REF!</v>
      </c>
      <c r="D179" s="10">
        <v>0</v>
      </c>
      <c r="E179" s="12" t="str">
        <f t="shared" si="40"/>
        <v>шт.</v>
      </c>
      <c r="F179" s="10">
        <f t="shared" si="37"/>
        <v>1</v>
      </c>
      <c r="G179" s="16" t="e">
        <f t="shared" si="38"/>
        <v>#REF!</v>
      </c>
      <c r="H179" s="10">
        <v>500</v>
      </c>
      <c r="I179" s="10">
        <f t="shared" si="36"/>
        <v>0</v>
      </c>
      <c r="J179" s="10">
        <v>4</v>
      </c>
      <c r="K179" s="10">
        <v>32.200000000000003</v>
      </c>
      <c r="L179" s="10">
        <f>ROUNDUP((D179:D179/4),0)*175.8</f>
        <v>0</v>
      </c>
      <c r="M179" s="10">
        <f>D179:D179*0.061</f>
        <v>0</v>
      </c>
      <c r="N179" s="10">
        <f t="shared" si="39"/>
        <v>0</v>
      </c>
      <c r="O179" s="16" t="e">
        <f>N179:N179*F179:F179*#REF!</f>
        <v>#REF!</v>
      </c>
      <c r="P179" s="21"/>
    </row>
    <row r="180" spans="1:16" ht="16.95" hidden="1" customHeight="1">
      <c r="A180" s="22"/>
      <c r="B180" s="15" t="s">
        <v>223</v>
      </c>
      <c r="C180" s="18" t="e">
        <f>IF($C$3=100,#REF!,#REF!)</f>
        <v>#REF!</v>
      </c>
      <c r="D180" s="24">
        <v>0</v>
      </c>
      <c r="E180" s="15" t="str">
        <f t="shared" si="40"/>
        <v>шт.</v>
      </c>
      <c r="F180" s="24">
        <f t="shared" si="37"/>
        <v>1</v>
      </c>
      <c r="G180" s="18" t="e">
        <f t="shared" si="38"/>
        <v>#REF!</v>
      </c>
      <c r="H180" s="24">
        <v>50</v>
      </c>
      <c r="I180" s="24">
        <f t="shared" si="36"/>
        <v>0</v>
      </c>
      <c r="J180" s="24">
        <v>1</v>
      </c>
      <c r="K180" s="24">
        <v>1</v>
      </c>
      <c r="L180" s="24">
        <f>D180:D180*K180:K180</f>
        <v>0</v>
      </c>
      <c r="M180" s="24">
        <f>D180:D180*0.0303</f>
        <v>0</v>
      </c>
      <c r="N180" s="24">
        <f t="shared" si="39"/>
        <v>0</v>
      </c>
      <c r="O180" s="18" t="e">
        <f>N180:N180*F180:F180*#REF!</f>
        <v>#REF!</v>
      </c>
      <c r="P180" s="25"/>
    </row>
    <row r="181" spans="1:16" ht="16.95" hidden="1" customHeight="1">
      <c r="A181" s="19"/>
      <c r="B181" s="12" t="s">
        <v>224</v>
      </c>
      <c r="C181" s="16" t="e">
        <f>IF($C$3=100,#REF!,#REF!)</f>
        <v>#REF!</v>
      </c>
      <c r="D181" s="10">
        <v>0</v>
      </c>
      <c r="E181" s="12" t="str">
        <f t="shared" si="40"/>
        <v>шт.</v>
      </c>
      <c r="F181" s="10">
        <f t="shared" si="37"/>
        <v>1</v>
      </c>
      <c r="G181" s="16" t="e">
        <f t="shared" si="38"/>
        <v>#REF!</v>
      </c>
      <c r="H181" s="10">
        <v>1200</v>
      </c>
      <c r="I181" s="10">
        <f t="shared" si="36"/>
        <v>0</v>
      </c>
      <c r="J181" s="10">
        <v>4</v>
      </c>
      <c r="K181" s="10">
        <v>34.200000000000003</v>
      </c>
      <c r="L181" s="10">
        <f>D181:D181*34.2</f>
        <v>0</v>
      </c>
      <c r="M181" s="10">
        <f>D181:D181*0.15</f>
        <v>0</v>
      </c>
      <c r="N181" s="10">
        <f t="shared" si="39"/>
        <v>0</v>
      </c>
      <c r="O181" s="16" t="e">
        <f>N181:N181*F181:F181*#REF!</f>
        <v>#REF!</v>
      </c>
      <c r="P181" s="21"/>
    </row>
    <row r="182" spans="1:16" ht="16.95" hidden="1" customHeight="1">
      <c r="A182" s="17"/>
      <c r="B182" s="15" t="s">
        <v>225</v>
      </c>
      <c r="C182" s="18" t="e">
        <f>IF($C$3=100,#REF!,#REF!)</f>
        <v>#REF!</v>
      </c>
      <c r="D182" s="24">
        <v>0</v>
      </c>
      <c r="E182" s="15" t="str">
        <f t="shared" si="40"/>
        <v>шт.</v>
      </c>
      <c r="F182" s="24">
        <f t="shared" si="37"/>
        <v>1</v>
      </c>
      <c r="G182" s="18" t="e">
        <f t="shared" si="38"/>
        <v>#REF!</v>
      </c>
      <c r="H182" s="24">
        <v>1600</v>
      </c>
      <c r="I182" s="24">
        <f t="shared" si="36"/>
        <v>0</v>
      </c>
      <c r="J182" s="24">
        <v>4</v>
      </c>
      <c r="K182" s="24">
        <v>76</v>
      </c>
      <c r="L182" s="24">
        <f>D182:D182*76</f>
        <v>0</v>
      </c>
      <c r="M182" s="24">
        <f>D182:D182*0.538</f>
        <v>0</v>
      </c>
      <c r="N182" s="24">
        <f t="shared" si="39"/>
        <v>0</v>
      </c>
      <c r="O182" s="18" t="e">
        <f>N182:N182*F182:F182*#REF!</f>
        <v>#REF!</v>
      </c>
      <c r="P182" s="25"/>
    </row>
    <row r="183" spans="1:16" ht="16.95" customHeight="1">
      <c r="A183" s="7"/>
      <c r="B183" s="3" t="s">
        <v>226</v>
      </c>
      <c r="C183" s="5">
        <v>1500</v>
      </c>
      <c r="D183" s="5">
        <v>6</v>
      </c>
      <c r="E183" s="3" t="str">
        <f t="shared" si="40"/>
        <v>шт.</v>
      </c>
      <c r="F183" s="5">
        <f t="shared" si="37"/>
        <v>1</v>
      </c>
      <c r="G183" s="5">
        <f t="shared" si="38"/>
        <v>9000</v>
      </c>
      <c r="H183" s="10">
        <v>350</v>
      </c>
      <c r="I183" s="10">
        <f t="shared" si="36"/>
        <v>2100</v>
      </c>
      <c r="J183" s="10">
        <v>8</v>
      </c>
      <c r="K183" s="10">
        <v>19.100000000000001</v>
      </c>
      <c r="L183" s="10">
        <f>D183:D183*19.1</f>
        <v>114.60000000000001</v>
      </c>
      <c r="M183" s="10">
        <f>D183:D183*0.079</f>
        <v>0.47399999999999998</v>
      </c>
      <c r="N183" s="10">
        <f t="shared" si="39"/>
        <v>6</v>
      </c>
      <c r="O183" s="16" t="e">
        <f>N183:N183*F183:F183*#REF!</f>
        <v>#REF!</v>
      </c>
      <c r="P183" s="7"/>
    </row>
    <row r="184" spans="1:16" ht="16.95" hidden="1" customHeight="1">
      <c r="A184" s="22"/>
      <c r="B184" s="15" t="s">
        <v>227</v>
      </c>
      <c r="C184" s="18" t="e">
        <f>IF($C$3=100,#REF!,#REF!)</f>
        <v>#REF!</v>
      </c>
      <c r="D184" s="24">
        <v>0</v>
      </c>
      <c r="E184" s="15" t="str">
        <f t="shared" si="40"/>
        <v>шт.</v>
      </c>
      <c r="F184" s="24">
        <f t="shared" si="37"/>
        <v>1</v>
      </c>
      <c r="G184" s="18" t="e">
        <f t="shared" si="38"/>
        <v>#REF!</v>
      </c>
      <c r="H184" s="24">
        <v>350</v>
      </c>
      <c r="I184" s="24">
        <f t="shared" si="36"/>
        <v>0</v>
      </c>
      <c r="J184" s="24">
        <v>6</v>
      </c>
      <c r="K184" s="24">
        <v>15</v>
      </c>
      <c r="L184" s="24">
        <f>D184:D184*15</f>
        <v>0</v>
      </c>
      <c r="M184" s="24">
        <f>D184:D184*0.08</f>
        <v>0</v>
      </c>
      <c r="N184" s="24">
        <f t="shared" si="39"/>
        <v>0</v>
      </c>
      <c r="O184" s="18" t="e">
        <f>N184:N184*F184:F184*#REF!</f>
        <v>#REF!</v>
      </c>
      <c r="P184" s="25"/>
    </row>
    <row r="185" spans="1:16" ht="16.95" hidden="1" customHeight="1">
      <c r="A185" s="19"/>
      <c r="B185" s="12" t="s">
        <v>228</v>
      </c>
      <c r="C185" s="16" t="e">
        <f>IF($C$3=100,#REF!,#REF!)</f>
        <v>#REF!</v>
      </c>
      <c r="D185" s="10">
        <v>0</v>
      </c>
      <c r="E185" s="12" t="str">
        <f t="shared" si="40"/>
        <v>шт.</v>
      </c>
      <c r="F185" s="10">
        <f t="shared" si="37"/>
        <v>1</v>
      </c>
      <c r="G185" s="16" t="e">
        <f t="shared" si="38"/>
        <v>#REF!</v>
      </c>
      <c r="H185" s="10">
        <v>0</v>
      </c>
      <c r="I185" s="10">
        <f t="shared" si="36"/>
        <v>0</v>
      </c>
      <c r="J185" s="10">
        <v>14</v>
      </c>
      <c r="K185" s="10">
        <v>5</v>
      </c>
      <c r="L185" s="10">
        <f>D185:D185*5</f>
        <v>0</v>
      </c>
      <c r="M185" s="9"/>
      <c r="N185" s="10">
        <f t="shared" si="39"/>
        <v>0</v>
      </c>
      <c r="O185" s="16" t="e">
        <f>N185:N185*F185:F185*#REF!</f>
        <v>#REF!</v>
      </c>
      <c r="P185" s="21"/>
    </row>
    <row r="186" spans="1:16" ht="16.95" hidden="1" customHeight="1">
      <c r="A186" s="22"/>
      <c r="B186" s="15" t="s">
        <v>229</v>
      </c>
      <c r="C186" s="18" t="e">
        <f>IF($C$3=100,#REF!,#REF!)</f>
        <v>#REF!</v>
      </c>
      <c r="D186" s="24">
        <v>0</v>
      </c>
      <c r="E186" s="15" t="str">
        <f t="shared" si="40"/>
        <v>шт.</v>
      </c>
      <c r="F186" s="24">
        <f t="shared" si="37"/>
        <v>1</v>
      </c>
      <c r="G186" s="18" t="e">
        <f t="shared" si="38"/>
        <v>#REF!</v>
      </c>
      <c r="H186" s="24">
        <v>0</v>
      </c>
      <c r="I186" s="24">
        <f t="shared" si="36"/>
        <v>0</v>
      </c>
      <c r="J186" s="24">
        <v>4</v>
      </c>
      <c r="K186" s="24">
        <v>0.4</v>
      </c>
      <c r="L186" s="24">
        <f>D186:D186*K186:K186</f>
        <v>0</v>
      </c>
      <c r="M186" s="17"/>
      <c r="N186" s="24">
        <f t="shared" si="39"/>
        <v>0</v>
      </c>
      <c r="O186" s="18" t="e">
        <f>N186:N186*F186:F186*#REF!</f>
        <v>#REF!</v>
      </c>
      <c r="P186" s="25"/>
    </row>
    <row r="187" spans="1:16" ht="16.95" hidden="1" customHeight="1">
      <c r="A187" s="19"/>
      <c r="B187" s="12" t="s">
        <v>230</v>
      </c>
      <c r="C187" s="16" t="e">
        <f>IF($C$3=100,#REF!,#REF!)</f>
        <v>#REF!</v>
      </c>
      <c r="D187" s="10">
        <v>0</v>
      </c>
      <c r="E187" s="12" t="str">
        <f t="shared" si="40"/>
        <v>шт.</v>
      </c>
      <c r="F187" s="10">
        <f t="shared" si="37"/>
        <v>1</v>
      </c>
      <c r="G187" s="16" t="e">
        <f t="shared" si="38"/>
        <v>#REF!</v>
      </c>
      <c r="H187" s="10">
        <v>250</v>
      </c>
      <c r="I187" s="10">
        <f t="shared" si="36"/>
        <v>0</v>
      </c>
      <c r="J187" s="10">
        <v>1</v>
      </c>
      <c r="K187" s="10">
        <v>61.2</v>
      </c>
      <c r="L187" s="10">
        <f>D187:D187*61.2</f>
        <v>0</v>
      </c>
      <c r="M187" s="10">
        <f>D187:D187*0.343</f>
        <v>0</v>
      </c>
      <c r="N187" s="10">
        <f t="shared" si="39"/>
        <v>0</v>
      </c>
      <c r="O187" s="16" t="e">
        <f>N187:N187*F187:F187*#REF!</f>
        <v>#REF!</v>
      </c>
      <c r="P187" s="21"/>
    </row>
    <row r="188" spans="1:16" ht="16.95" hidden="1" customHeight="1">
      <c r="A188" s="22"/>
      <c r="B188" s="15" t="s">
        <v>231</v>
      </c>
      <c r="C188" s="18" t="e">
        <f>IF($C$3=100,#REF!,#REF!)</f>
        <v>#REF!</v>
      </c>
      <c r="D188" s="24">
        <v>0</v>
      </c>
      <c r="E188" s="15" t="str">
        <f t="shared" si="40"/>
        <v>шт.</v>
      </c>
      <c r="F188" s="24">
        <f t="shared" si="37"/>
        <v>1</v>
      </c>
      <c r="G188" s="18" t="e">
        <f t="shared" si="38"/>
        <v>#REF!</v>
      </c>
      <c r="H188" s="24">
        <v>100</v>
      </c>
      <c r="I188" s="24">
        <f t="shared" si="36"/>
        <v>0</v>
      </c>
      <c r="J188" s="24">
        <v>1</v>
      </c>
      <c r="K188" s="24">
        <v>12.4</v>
      </c>
      <c r="L188" s="24">
        <f>D188:D188*12.4</f>
        <v>0</v>
      </c>
      <c r="M188" s="17"/>
      <c r="N188" s="24">
        <f t="shared" si="39"/>
        <v>0</v>
      </c>
      <c r="O188" s="18" t="e">
        <f>N188:N188*F188:F188*#REF!</f>
        <v>#REF!</v>
      </c>
      <c r="P188" s="25"/>
    </row>
    <row r="189" spans="1:16" ht="16.95" customHeight="1">
      <c r="A189" s="7"/>
      <c r="B189" s="3" t="s">
        <v>232</v>
      </c>
      <c r="C189" s="5">
        <v>18000</v>
      </c>
      <c r="D189" s="5">
        <v>1</v>
      </c>
      <c r="E189" s="3" t="str">
        <f t="shared" si="40"/>
        <v>шт.</v>
      </c>
      <c r="F189" s="5">
        <f t="shared" si="37"/>
        <v>1</v>
      </c>
      <c r="G189" s="5">
        <f t="shared" si="38"/>
        <v>18000</v>
      </c>
      <c r="H189" s="10">
        <v>250</v>
      </c>
      <c r="I189" s="10">
        <f t="shared" si="36"/>
        <v>250</v>
      </c>
      <c r="J189" s="10">
        <v>1</v>
      </c>
      <c r="K189" s="10">
        <v>61.2</v>
      </c>
      <c r="L189" s="10">
        <f>D189:D189*61.2</f>
        <v>61.2</v>
      </c>
      <c r="M189" s="9"/>
      <c r="N189" s="10">
        <f t="shared" si="39"/>
        <v>1</v>
      </c>
      <c r="O189" s="16" t="e">
        <f>N189:N189*F189:F189*#REF!</f>
        <v>#REF!</v>
      </c>
      <c r="P189" s="7"/>
    </row>
    <row r="190" spans="1:16" ht="16.95" customHeight="1">
      <c r="A190" s="13"/>
      <c r="B190" s="14" t="s">
        <v>233</v>
      </c>
      <c r="C190" s="26">
        <v>17000</v>
      </c>
      <c r="D190" s="26">
        <v>1</v>
      </c>
      <c r="E190" s="14" t="str">
        <f t="shared" si="40"/>
        <v>шт.</v>
      </c>
      <c r="F190" s="26">
        <f t="shared" si="37"/>
        <v>1</v>
      </c>
      <c r="G190" s="26">
        <f t="shared" si="38"/>
        <v>17000</v>
      </c>
      <c r="H190" s="24">
        <v>251</v>
      </c>
      <c r="I190" s="24">
        <f t="shared" si="36"/>
        <v>251</v>
      </c>
      <c r="J190" s="24">
        <v>1</v>
      </c>
      <c r="K190" s="24">
        <v>61.2</v>
      </c>
      <c r="L190" s="24">
        <f>D190:D190*61.2</f>
        <v>61.2</v>
      </c>
      <c r="M190" s="17"/>
      <c r="N190" s="24">
        <f t="shared" si="39"/>
        <v>1</v>
      </c>
      <c r="O190" s="18" t="e">
        <f>N190:N190*F190:F190*#REF!</f>
        <v>#REF!</v>
      </c>
      <c r="P190" s="13"/>
    </row>
    <row r="191" spans="1:16" ht="16.95" customHeight="1">
      <c r="A191" s="7"/>
      <c r="B191" s="3" t="s">
        <v>234</v>
      </c>
      <c r="C191" s="5">
        <v>6200</v>
      </c>
      <c r="D191" s="5">
        <v>1</v>
      </c>
      <c r="E191" s="3" t="str">
        <f t="shared" si="40"/>
        <v>шт.</v>
      </c>
      <c r="F191" s="5">
        <f t="shared" si="37"/>
        <v>1</v>
      </c>
      <c r="G191" s="5">
        <f t="shared" si="38"/>
        <v>6200</v>
      </c>
      <c r="H191" s="10">
        <v>100</v>
      </c>
      <c r="I191" s="10">
        <f t="shared" si="36"/>
        <v>100</v>
      </c>
      <c r="J191" s="10">
        <v>1</v>
      </c>
      <c r="K191" s="10">
        <v>11.4</v>
      </c>
      <c r="L191" s="10">
        <f>D191:D191*11.4</f>
        <v>11.4</v>
      </c>
      <c r="M191" s="9"/>
      <c r="N191" s="10">
        <f t="shared" si="39"/>
        <v>1</v>
      </c>
      <c r="O191" s="16" t="e">
        <f>N191:N191*F191:F191*#REF!</f>
        <v>#REF!</v>
      </c>
      <c r="P191" s="7"/>
    </row>
    <row r="192" spans="1:16" ht="16.95" customHeight="1">
      <c r="A192" s="13"/>
      <c r="B192" s="14" t="s">
        <v>235</v>
      </c>
      <c r="C192" s="26">
        <v>2000</v>
      </c>
      <c r="D192" s="26">
        <v>1</v>
      </c>
      <c r="E192" s="14" t="str">
        <f t="shared" si="40"/>
        <v>шт.</v>
      </c>
      <c r="F192" s="26">
        <f t="shared" si="37"/>
        <v>1</v>
      </c>
      <c r="G192" s="26">
        <f t="shared" si="38"/>
        <v>2000</v>
      </c>
      <c r="H192" s="24">
        <v>100</v>
      </c>
      <c r="I192" s="24">
        <f t="shared" si="36"/>
        <v>100</v>
      </c>
      <c r="J192" s="24">
        <v>2</v>
      </c>
      <c r="K192" s="24">
        <v>0.66500000000000004</v>
      </c>
      <c r="L192" s="24">
        <f>D192:D192*K192:K192</f>
        <v>0.66500000000000004</v>
      </c>
      <c r="M192" s="17"/>
      <c r="N192" s="24">
        <f t="shared" si="39"/>
        <v>1</v>
      </c>
      <c r="O192" s="18" t="e">
        <f>N192:N192*F192:F192*#REF!</f>
        <v>#REF!</v>
      </c>
      <c r="P192" s="13"/>
    </row>
    <row r="193" spans="1:16" ht="16.95" hidden="1" customHeight="1">
      <c r="A193" s="19"/>
      <c r="B193" s="12" t="s">
        <v>236</v>
      </c>
      <c r="C193" s="16" t="e">
        <f>IF($C$3=100,#REF!,#REF!)</f>
        <v>#REF!</v>
      </c>
      <c r="D193" s="10">
        <v>0</v>
      </c>
      <c r="E193" s="12" t="str">
        <f t="shared" si="40"/>
        <v>шт.</v>
      </c>
      <c r="F193" s="10">
        <f t="shared" si="37"/>
        <v>1</v>
      </c>
      <c r="G193" s="16" t="e">
        <f t="shared" si="38"/>
        <v>#REF!</v>
      </c>
      <c r="H193" s="10">
        <v>200</v>
      </c>
      <c r="I193" s="10">
        <f t="shared" si="36"/>
        <v>0</v>
      </c>
      <c r="J193" s="10">
        <v>1</v>
      </c>
      <c r="K193" s="10">
        <v>4</v>
      </c>
      <c r="L193" s="10">
        <f>D193:D193*K193:K193</f>
        <v>0</v>
      </c>
      <c r="M193" s="10">
        <f>D193:D193*0.0187</f>
        <v>0</v>
      </c>
      <c r="N193" s="10">
        <f t="shared" si="39"/>
        <v>0</v>
      </c>
      <c r="O193" s="16" t="e">
        <f>N193:N193*F193:F193*#REF!</f>
        <v>#REF!</v>
      </c>
      <c r="P193" s="21"/>
    </row>
    <row r="194" spans="1:16" ht="16.95" hidden="1" customHeight="1">
      <c r="A194" s="17"/>
      <c r="B194" s="15" t="s">
        <v>237</v>
      </c>
      <c r="C194" s="18" t="e">
        <f>IF($C$3=100,#REF!,#REF!)</f>
        <v>#REF!</v>
      </c>
      <c r="D194" s="24">
        <v>0</v>
      </c>
      <c r="E194" s="15" t="str">
        <f t="shared" si="40"/>
        <v>шт.</v>
      </c>
      <c r="F194" s="24">
        <f t="shared" si="37"/>
        <v>1</v>
      </c>
      <c r="G194" s="18" t="e">
        <f t="shared" si="38"/>
        <v>#REF!</v>
      </c>
      <c r="H194" s="24">
        <v>100</v>
      </c>
      <c r="I194" s="24">
        <f t="shared" si="36"/>
        <v>0</v>
      </c>
      <c r="J194" s="24">
        <v>1</v>
      </c>
      <c r="K194" s="24">
        <v>34.4</v>
      </c>
      <c r="L194" s="17"/>
      <c r="M194" s="17"/>
      <c r="N194" s="24">
        <f t="shared" si="39"/>
        <v>0</v>
      </c>
      <c r="O194" s="18" t="e">
        <f>N194:N194*F194:F194*#REF!</f>
        <v>#REF!</v>
      </c>
      <c r="P194" s="25"/>
    </row>
    <row r="195" spans="1:16" ht="16.95" hidden="1" customHeight="1">
      <c r="A195" s="19"/>
      <c r="B195" s="12" t="s">
        <v>238</v>
      </c>
      <c r="C195" s="16" t="e">
        <f>IF($C$3=100,#REF!,#REF!)</f>
        <v>#REF!</v>
      </c>
      <c r="D195" s="10">
        <v>0</v>
      </c>
      <c r="E195" s="12" t="str">
        <f t="shared" si="40"/>
        <v>шт.</v>
      </c>
      <c r="F195" s="10">
        <f t="shared" si="37"/>
        <v>1</v>
      </c>
      <c r="G195" s="16" t="e">
        <f t="shared" si="38"/>
        <v>#REF!</v>
      </c>
      <c r="H195" s="10">
        <v>100</v>
      </c>
      <c r="I195" s="10">
        <f t="shared" si="36"/>
        <v>0</v>
      </c>
      <c r="J195" s="10">
        <v>1</v>
      </c>
      <c r="K195" s="10">
        <v>29.4</v>
      </c>
      <c r="L195" s="10">
        <f>D195:D195*35</f>
        <v>0</v>
      </c>
      <c r="M195" s="10">
        <f>D195:D195*0.13</f>
        <v>0</v>
      </c>
      <c r="N195" s="10">
        <f t="shared" si="39"/>
        <v>0</v>
      </c>
      <c r="O195" s="16" t="e">
        <f>N195:N195*F195:F195*#REF!</f>
        <v>#REF!</v>
      </c>
      <c r="P195" s="21"/>
    </row>
    <row r="196" spans="1:16" ht="16.95" hidden="1" customHeight="1">
      <c r="A196" s="22"/>
      <c r="B196" s="15" t="s">
        <v>239</v>
      </c>
      <c r="C196" s="18" t="e">
        <f>IF($C$3=100,#REF!,#REF!)</f>
        <v>#REF!</v>
      </c>
      <c r="D196" s="24">
        <v>0</v>
      </c>
      <c r="E196" s="15" t="str">
        <f t="shared" si="40"/>
        <v>шт.</v>
      </c>
      <c r="F196" s="24">
        <f t="shared" si="37"/>
        <v>1</v>
      </c>
      <c r="G196" s="18" t="e">
        <f t="shared" si="38"/>
        <v>#REF!</v>
      </c>
      <c r="H196" s="24">
        <v>100</v>
      </c>
      <c r="I196" s="24">
        <f t="shared" si="36"/>
        <v>0</v>
      </c>
      <c r="J196" s="24">
        <v>1</v>
      </c>
      <c r="K196" s="24">
        <v>38.6</v>
      </c>
      <c r="L196" s="24">
        <f>D196:D196*K196:K196</f>
        <v>0</v>
      </c>
      <c r="M196" s="24">
        <f>D196:D196*0.144</f>
        <v>0</v>
      </c>
      <c r="N196" s="24">
        <f t="shared" si="39"/>
        <v>0</v>
      </c>
      <c r="O196" s="18" t="e">
        <f>N196:N196*F196:F196*#REF!</f>
        <v>#REF!</v>
      </c>
      <c r="P196" s="25"/>
    </row>
    <row r="197" spans="1:16" ht="16.95" hidden="1" customHeight="1">
      <c r="A197" s="19"/>
      <c r="B197" s="12" t="s">
        <v>240</v>
      </c>
      <c r="C197" s="16" t="e">
        <f>IF($C$3=100,#REF!,#REF!)</f>
        <v>#REF!</v>
      </c>
      <c r="D197" s="10">
        <v>0</v>
      </c>
      <c r="E197" s="12" t="str">
        <f t="shared" si="40"/>
        <v>шт.</v>
      </c>
      <c r="F197" s="10">
        <f t="shared" si="37"/>
        <v>1</v>
      </c>
      <c r="G197" s="16" t="e">
        <f t="shared" si="38"/>
        <v>#REF!</v>
      </c>
      <c r="H197" s="10">
        <v>100</v>
      </c>
      <c r="I197" s="10">
        <f t="shared" si="36"/>
        <v>0</v>
      </c>
      <c r="J197" s="10">
        <v>1</v>
      </c>
      <c r="K197" s="10">
        <v>9.1</v>
      </c>
      <c r="L197" s="10">
        <f>D197:D197*9.1</f>
        <v>0</v>
      </c>
      <c r="M197" s="10">
        <f>D197:D197*0.0336</f>
        <v>0</v>
      </c>
      <c r="N197" s="10">
        <f t="shared" si="39"/>
        <v>0</v>
      </c>
      <c r="O197" s="16" t="e">
        <f>N197:N197*F197:F197*#REF!</f>
        <v>#REF!</v>
      </c>
      <c r="P197" s="21"/>
    </row>
    <row r="198" spans="1:16" ht="16.95" hidden="1" customHeight="1">
      <c r="A198" s="22"/>
      <c r="B198" s="15" t="s">
        <v>241</v>
      </c>
      <c r="C198" s="18" t="e">
        <f>IF($C$3=100,#REF!,#REF!)</f>
        <v>#REF!</v>
      </c>
      <c r="D198" s="24">
        <v>0</v>
      </c>
      <c r="E198" s="15" t="str">
        <f t="shared" si="40"/>
        <v>шт.</v>
      </c>
      <c r="F198" s="24">
        <f t="shared" si="37"/>
        <v>1</v>
      </c>
      <c r="G198" s="18" t="e">
        <f t="shared" si="38"/>
        <v>#REF!</v>
      </c>
      <c r="H198" s="24">
        <v>100</v>
      </c>
      <c r="I198" s="24">
        <f t="shared" si="36"/>
        <v>0</v>
      </c>
      <c r="J198" s="24">
        <v>1</v>
      </c>
      <c r="K198" s="24">
        <v>7.5</v>
      </c>
      <c r="L198" s="24">
        <f>D198:D198*7.5</f>
        <v>0</v>
      </c>
      <c r="M198" s="24">
        <f>D198:D198*0.047</f>
        <v>0</v>
      </c>
      <c r="N198" s="24">
        <f t="shared" si="39"/>
        <v>0</v>
      </c>
      <c r="O198" s="18" t="e">
        <f>N198:N198*F198:F198*#REF!</f>
        <v>#REF!</v>
      </c>
      <c r="P198" s="25"/>
    </row>
    <row r="199" spans="1:16" ht="16.95" hidden="1" customHeight="1">
      <c r="A199" s="19"/>
      <c r="B199" s="12" t="s">
        <v>242</v>
      </c>
      <c r="C199" s="16" t="e">
        <f>IF($C$3=100,#REF!,#REF!)</f>
        <v>#REF!</v>
      </c>
      <c r="D199" s="10">
        <v>0</v>
      </c>
      <c r="E199" s="12" t="str">
        <f t="shared" si="40"/>
        <v>шт.</v>
      </c>
      <c r="F199" s="10">
        <f t="shared" si="37"/>
        <v>1</v>
      </c>
      <c r="G199" s="16" t="e">
        <f t="shared" si="38"/>
        <v>#REF!</v>
      </c>
      <c r="H199" s="10">
        <v>100</v>
      </c>
      <c r="I199" s="10">
        <f t="shared" ref="I199:I230" si="41">H199*D199</f>
        <v>0</v>
      </c>
      <c r="J199" s="10">
        <v>1</v>
      </c>
      <c r="K199" s="9"/>
      <c r="L199" s="9"/>
      <c r="M199" s="9"/>
      <c r="N199" s="10">
        <f t="shared" si="39"/>
        <v>0</v>
      </c>
      <c r="O199" s="16" t="e">
        <f>N199:N199*F199:F199*#REF!</f>
        <v>#REF!</v>
      </c>
      <c r="P199" s="21"/>
    </row>
    <row r="200" spans="1:16" ht="16.95" hidden="1" customHeight="1">
      <c r="A200" s="22"/>
      <c r="B200" s="15" t="s">
        <v>243</v>
      </c>
      <c r="C200" s="18" t="e">
        <f>IF($C$3=100,#REF!,#REF!)</f>
        <v>#REF!</v>
      </c>
      <c r="D200" s="24">
        <v>0</v>
      </c>
      <c r="E200" s="15" t="str">
        <f t="shared" si="40"/>
        <v>шт.</v>
      </c>
      <c r="F200" s="24">
        <f t="shared" ref="F200:F218" si="42">1+($F$3-1)/2</f>
        <v>1</v>
      </c>
      <c r="G200" s="18" t="e">
        <f t="shared" ref="G200:G231" si="43">C200*D200*F200</f>
        <v>#REF!</v>
      </c>
      <c r="H200" s="24">
        <v>100</v>
      </c>
      <c r="I200" s="24">
        <f t="shared" si="41"/>
        <v>0</v>
      </c>
      <c r="J200" s="24">
        <v>2</v>
      </c>
      <c r="K200" s="17"/>
      <c r="L200" s="17"/>
      <c r="M200" s="17"/>
      <c r="N200" s="24">
        <f t="shared" ref="N200:N231" si="44">IF(D200:D200=0,0,IF(J200:J200=0,0,IF(D200:D200&lt;J200:J200,D200:D200,J200:J200)))</f>
        <v>0</v>
      </c>
      <c r="O200" s="18" t="e">
        <f>N200:N200*F200:F200*#REF!</f>
        <v>#REF!</v>
      </c>
      <c r="P200" s="25"/>
    </row>
    <row r="201" spans="1:16" ht="16.95" hidden="1" customHeight="1">
      <c r="A201" s="19"/>
      <c r="B201" s="12" t="s">
        <v>244</v>
      </c>
      <c r="C201" s="16" t="e">
        <f>IF($C$3=100,#REF!,#REF!)</f>
        <v>#REF!</v>
      </c>
      <c r="D201" s="10">
        <v>0</v>
      </c>
      <c r="E201" s="12" t="str">
        <f t="shared" ref="E201:E226" si="45">IF($B$3=1,"шт.","pcs")</f>
        <v>шт.</v>
      </c>
      <c r="F201" s="10">
        <f t="shared" si="42"/>
        <v>1</v>
      </c>
      <c r="G201" s="16" t="e">
        <f t="shared" si="43"/>
        <v>#REF!</v>
      </c>
      <c r="H201" s="10">
        <v>100</v>
      </c>
      <c r="I201" s="10">
        <f t="shared" si="41"/>
        <v>0</v>
      </c>
      <c r="J201" s="10">
        <v>2</v>
      </c>
      <c r="K201" s="9"/>
      <c r="L201" s="9"/>
      <c r="M201" s="9"/>
      <c r="N201" s="10">
        <f t="shared" si="44"/>
        <v>0</v>
      </c>
      <c r="O201" s="16" t="e">
        <f>N201:N201*F201:F201*#REF!</f>
        <v>#REF!</v>
      </c>
      <c r="P201" s="21"/>
    </row>
    <row r="202" spans="1:16" ht="16.95" hidden="1" customHeight="1">
      <c r="A202" s="22"/>
      <c r="B202" s="15" t="s">
        <v>245</v>
      </c>
      <c r="C202" s="18" t="e">
        <f>IF($C$3=100,#REF!,#REF!)</f>
        <v>#REF!</v>
      </c>
      <c r="D202" s="24">
        <v>0</v>
      </c>
      <c r="E202" s="15" t="str">
        <f t="shared" si="45"/>
        <v>шт.</v>
      </c>
      <c r="F202" s="24">
        <f t="shared" si="42"/>
        <v>1</v>
      </c>
      <c r="G202" s="18" t="e">
        <f t="shared" si="43"/>
        <v>#REF!</v>
      </c>
      <c r="H202" s="24">
        <v>100</v>
      </c>
      <c r="I202" s="24">
        <f t="shared" si="41"/>
        <v>0</v>
      </c>
      <c r="J202" s="24">
        <v>1</v>
      </c>
      <c r="K202" s="17"/>
      <c r="L202" s="17"/>
      <c r="M202" s="17"/>
      <c r="N202" s="24">
        <f t="shared" si="44"/>
        <v>0</v>
      </c>
      <c r="O202" s="18" t="e">
        <f>N202:N202*F202:F202*#REF!</f>
        <v>#REF!</v>
      </c>
      <c r="P202" s="25"/>
    </row>
    <row r="203" spans="1:16" ht="16.95" hidden="1" customHeight="1">
      <c r="A203" s="19"/>
      <c r="B203" s="12" t="s">
        <v>246</v>
      </c>
      <c r="C203" s="16" t="e">
        <f>IF($C$3=100,#REF!,#REF!)</f>
        <v>#REF!</v>
      </c>
      <c r="D203" s="10">
        <v>0</v>
      </c>
      <c r="E203" s="12" t="str">
        <f t="shared" si="45"/>
        <v>шт.</v>
      </c>
      <c r="F203" s="10">
        <f t="shared" si="42"/>
        <v>1</v>
      </c>
      <c r="G203" s="16" t="e">
        <f t="shared" si="43"/>
        <v>#REF!</v>
      </c>
      <c r="H203" s="10">
        <v>100</v>
      </c>
      <c r="I203" s="10">
        <f t="shared" si="41"/>
        <v>0</v>
      </c>
      <c r="J203" s="10">
        <v>1</v>
      </c>
      <c r="K203" s="9"/>
      <c r="L203" s="9"/>
      <c r="M203" s="9"/>
      <c r="N203" s="10">
        <f t="shared" si="44"/>
        <v>0</v>
      </c>
      <c r="O203" s="16" t="e">
        <f>N203:N203*F203:F203*#REF!</f>
        <v>#REF!</v>
      </c>
      <c r="P203" s="21"/>
    </row>
    <row r="204" spans="1:16" ht="16.95" hidden="1" customHeight="1">
      <c r="A204" s="22"/>
      <c r="B204" s="15" t="s">
        <v>247</v>
      </c>
      <c r="C204" s="18" t="e">
        <f>IF($C$3=100,#REF!,#REF!)</f>
        <v>#REF!</v>
      </c>
      <c r="D204" s="24">
        <v>0</v>
      </c>
      <c r="E204" s="15" t="str">
        <f t="shared" si="45"/>
        <v>шт.</v>
      </c>
      <c r="F204" s="24">
        <f t="shared" si="42"/>
        <v>1</v>
      </c>
      <c r="G204" s="18" t="e">
        <f t="shared" si="43"/>
        <v>#REF!</v>
      </c>
      <c r="H204" s="24">
        <v>100</v>
      </c>
      <c r="I204" s="24">
        <f t="shared" si="41"/>
        <v>0</v>
      </c>
      <c r="J204" s="24">
        <v>1</v>
      </c>
      <c r="K204" s="17"/>
      <c r="L204" s="17"/>
      <c r="M204" s="17"/>
      <c r="N204" s="24">
        <f t="shared" si="44"/>
        <v>0</v>
      </c>
      <c r="O204" s="18" t="e">
        <f>N204:N204*F204:F204*#REF!</f>
        <v>#REF!</v>
      </c>
      <c r="P204" s="25"/>
    </row>
    <row r="205" spans="1:16" ht="16.95" hidden="1" customHeight="1">
      <c r="A205" s="19"/>
      <c r="B205" s="12" t="s">
        <v>248</v>
      </c>
      <c r="C205" s="16" t="e">
        <f>IF($C$3=100,#REF!,#REF!)</f>
        <v>#REF!</v>
      </c>
      <c r="D205" s="10">
        <v>0</v>
      </c>
      <c r="E205" s="12" t="str">
        <f t="shared" si="45"/>
        <v>шт.</v>
      </c>
      <c r="F205" s="10">
        <f t="shared" si="42"/>
        <v>1</v>
      </c>
      <c r="G205" s="16" t="e">
        <f t="shared" si="43"/>
        <v>#REF!</v>
      </c>
      <c r="H205" s="10">
        <v>100</v>
      </c>
      <c r="I205" s="10">
        <f t="shared" si="41"/>
        <v>0</v>
      </c>
      <c r="J205" s="10">
        <v>1</v>
      </c>
      <c r="K205" s="9"/>
      <c r="L205" s="9"/>
      <c r="M205" s="9"/>
      <c r="N205" s="10">
        <f t="shared" si="44"/>
        <v>0</v>
      </c>
      <c r="O205" s="16" t="e">
        <f>N205:N205*F205:F205*#REF!</f>
        <v>#REF!</v>
      </c>
      <c r="P205" s="21"/>
    </row>
    <row r="206" spans="1:16" ht="16.95" hidden="1" customHeight="1">
      <c r="A206" s="22"/>
      <c r="B206" s="15" t="s">
        <v>249</v>
      </c>
      <c r="C206" s="18" t="e">
        <f>IF($C$3=100,#REF!,#REF!)</f>
        <v>#REF!</v>
      </c>
      <c r="D206" s="24">
        <v>0</v>
      </c>
      <c r="E206" s="15" t="str">
        <f t="shared" si="45"/>
        <v>шт.</v>
      </c>
      <c r="F206" s="24">
        <f t="shared" si="42"/>
        <v>1</v>
      </c>
      <c r="G206" s="18" t="e">
        <f t="shared" si="43"/>
        <v>#REF!</v>
      </c>
      <c r="H206" s="24">
        <v>100</v>
      </c>
      <c r="I206" s="24">
        <f t="shared" si="41"/>
        <v>0</v>
      </c>
      <c r="J206" s="24">
        <v>1</v>
      </c>
      <c r="K206" s="17"/>
      <c r="L206" s="17"/>
      <c r="M206" s="17"/>
      <c r="N206" s="24">
        <f t="shared" si="44"/>
        <v>0</v>
      </c>
      <c r="O206" s="18" t="e">
        <f>N206:N206*F206:F206*#REF!</f>
        <v>#REF!</v>
      </c>
      <c r="P206" s="25"/>
    </row>
    <row r="207" spans="1:16" ht="16.95" hidden="1" customHeight="1">
      <c r="A207" s="19"/>
      <c r="B207" s="12" t="s">
        <v>250</v>
      </c>
      <c r="C207" s="16" t="e">
        <f>IF($C$3=100,#REF!,#REF!)</f>
        <v>#REF!</v>
      </c>
      <c r="D207" s="10">
        <v>0</v>
      </c>
      <c r="E207" s="12" t="str">
        <f t="shared" si="45"/>
        <v>шт.</v>
      </c>
      <c r="F207" s="10">
        <f t="shared" si="42"/>
        <v>1</v>
      </c>
      <c r="G207" s="16" t="e">
        <f t="shared" si="43"/>
        <v>#REF!</v>
      </c>
      <c r="H207" s="10">
        <v>100</v>
      </c>
      <c r="I207" s="10">
        <f t="shared" si="41"/>
        <v>0</v>
      </c>
      <c r="J207" s="10">
        <v>1</v>
      </c>
      <c r="K207" s="9"/>
      <c r="L207" s="9"/>
      <c r="M207" s="9"/>
      <c r="N207" s="10">
        <f t="shared" si="44"/>
        <v>0</v>
      </c>
      <c r="O207" s="16" t="e">
        <f>N207:N207*F207:F207*#REF!</f>
        <v>#REF!</v>
      </c>
      <c r="P207" s="21"/>
    </row>
    <row r="208" spans="1:16" ht="16.95" hidden="1" customHeight="1">
      <c r="A208" s="22"/>
      <c r="B208" s="15" t="s">
        <v>251</v>
      </c>
      <c r="C208" s="18" t="e">
        <f>IF($C$3=100,#REF!,#REF!)</f>
        <v>#REF!</v>
      </c>
      <c r="D208" s="24">
        <v>0</v>
      </c>
      <c r="E208" s="15" t="str">
        <f t="shared" si="45"/>
        <v>шт.</v>
      </c>
      <c r="F208" s="24">
        <f t="shared" si="42"/>
        <v>1</v>
      </c>
      <c r="G208" s="18" t="e">
        <f t="shared" si="43"/>
        <v>#REF!</v>
      </c>
      <c r="H208" s="24">
        <v>100</v>
      </c>
      <c r="I208" s="24">
        <f t="shared" si="41"/>
        <v>0</v>
      </c>
      <c r="J208" s="24">
        <v>1</v>
      </c>
      <c r="K208" s="17"/>
      <c r="L208" s="17"/>
      <c r="M208" s="17"/>
      <c r="N208" s="24">
        <f t="shared" si="44"/>
        <v>0</v>
      </c>
      <c r="O208" s="18" t="e">
        <f>N208:N208*F208:F208*#REF!</f>
        <v>#REF!</v>
      </c>
      <c r="P208" s="25"/>
    </row>
    <row r="209" spans="1:16" ht="16.95" hidden="1" customHeight="1">
      <c r="A209" s="19"/>
      <c r="B209" s="12" t="s">
        <v>252</v>
      </c>
      <c r="C209" s="16" t="e">
        <f>IF($C$3=100,#REF!,#REF!)</f>
        <v>#REF!</v>
      </c>
      <c r="D209" s="10">
        <v>0</v>
      </c>
      <c r="E209" s="12" t="str">
        <f t="shared" si="45"/>
        <v>шт.</v>
      </c>
      <c r="F209" s="10">
        <f t="shared" si="42"/>
        <v>1</v>
      </c>
      <c r="G209" s="16" t="e">
        <f t="shared" si="43"/>
        <v>#REF!</v>
      </c>
      <c r="H209" s="10">
        <v>100</v>
      </c>
      <c r="I209" s="10">
        <f t="shared" si="41"/>
        <v>0</v>
      </c>
      <c r="J209" s="10">
        <v>1</v>
      </c>
      <c r="K209" s="9"/>
      <c r="L209" s="9"/>
      <c r="M209" s="9"/>
      <c r="N209" s="10">
        <f t="shared" si="44"/>
        <v>0</v>
      </c>
      <c r="O209" s="16" t="e">
        <f>N209:N209*F209:F209*#REF!</f>
        <v>#REF!</v>
      </c>
      <c r="P209" s="21"/>
    </row>
    <row r="210" spans="1:16" ht="16.95" hidden="1" customHeight="1">
      <c r="A210" s="22"/>
      <c r="B210" s="15" t="s">
        <v>253</v>
      </c>
      <c r="C210" s="18" t="e">
        <f>IF($C$3=100,#REF!,#REF!)</f>
        <v>#REF!</v>
      </c>
      <c r="D210" s="24">
        <v>0</v>
      </c>
      <c r="E210" s="15" t="str">
        <f t="shared" si="45"/>
        <v>шт.</v>
      </c>
      <c r="F210" s="24">
        <f t="shared" si="42"/>
        <v>1</v>
      </c>
      <c r="G210" s="18" t="e">
        <f t="shared" si="43"/>
        <v>#REF!</v>
      </c>
      <c r="H210" s="24">
        <v>100</v>
      </c>
      <c r="I210" s="24">
        <f t="shared" si="41"/>
        <v>0</v>
      </c>
      <c r="J210" s="24">
        <v>2</v>
      </c>
      <c r="K210" s="17"/>
      <c r="L210" s="17"/>
      <c r="M210" s="17"/>
      <c r="N210" s="24">
        <f t="shared" si="44"/>
        <v>0</v>
      </c>
      <c r="O210" s="18" t="e">
        <f>N210:N210*F210:F210*#REF!</f>
        <v>#REF!</v>
      </c>
      <c r="P210" s="25"/>
    </row>
    <row r="211" spans="1:16" ht="16.95" hidden="1" customHeight="1">
      <c r="A211" s="19"/>
      <c r="B211" s="12" t="s">
        <v>254</v>
      </c>
      <c r="C211" s="16" t="e">
        <f>IF($C$3=100,#REF!,#REF!)</f>
        <v>#REF!</v>
      </c>
      <c r="D211" s="10">
        <v>0</v>
      </c>
      <c r="E211" s="12" t="str">
        <f t="shared" si="45"/>
        <v>шт.</v>
      </c>
      <c r="F211" s="10">
        <f t="shared" si="42"/>
        <v>1</v>
      </c>
      <c r="G211" s="16" t="e">
        <f t="shared" si="43"/>
        <v>#REF!</v>
      </c>
      <c r="H211" s="10">
        <v>100</v>
      </c>
      <c r="I211" s="10">
        <f t="shared" si="41"/>
        <v>0</v>
      </c>
      <c r="J211" s="10">
        <v>2</v>
      </c>
      <c r="K211" s="9"/>
      <c r="L211" s="9"/>
      <c r="M211" s="9"/>
      <c r="N211" s="10">
        <f t="shared" si="44"/>
        <v>0</v>
      </c>
      <c r="O211" s="16" t="e">
        <f>N211:N211*F211:F211*#REF!</f>
        <v>#REF!</v>
      </c>
      <c r="P211" s="21"/>
    </row>
    <row r="212" spans="1:16" ht="16.95" hidden="1" customHeight="1">
      <c r="A212" s="22"/>
      <c r="B212" s="15" t="s">
        <v>255</v>
      </c>
      <c r="C212" s="18" t="e">
        <f>IF($C$3=100,#REF!,#REF!)</f>
        <v>#REF!</v>
      </c>
      <c r="D212" s="24">
        <v>0</v>
      </c>
      <c r="E212" s="15" t="str">
        <f t="shared" si="45"/>
        <v>шт.</v>
      </c>
      <c r="F212" s="24">
        <f t="shared" si="42"/>
        <v>1</v>
      </c>
      <c r="G212" s="18" t="e">
        <f t="shared" si="43"/>
        <v>#REF!</v>
      </c>
      <c r="H212" s="24">
        <v>100</v>
      </c>
      <c r="I212" s="24">
        <f t="shared" si="41"/>
        <v>0</v>
      </c>
      <c r="J212" s="24">
        <v>1</v>
      </c>
      <c r="K212" s="17"/>
      <c r="L212" s="17"/>
      <c r="M212" s="17"/>
      <c r="N212" s="24">
        <f t="shared" si="44"/>
        <v>0</v>
      </c>
      <c r="O212" s="18" t="e">
        <f>N212:N212*F212:F212*#REF!</f>
        <v>#REF!</v>
      </c>
      <c r="P212" s="25"/>
    </row>
    <row r="213" spans="1:16" ht="16.95" hidden="1" customHeight="1">
      <c r="A213" s="19"/>
      <c r="B213" s="12" t="s">
        <v>256</v>
      </c>
      <c r="C213" s="16" t="e">
        <f>IF($C$3=100,#REF!,#REF!)</f>
        <v>#REF!</v>
      </c>
      <c r="D213" s="10">
        <v>0</v>
      </c>
      <c r="E213" s="12" t="str">
        <f t="shared" si="45"/>
        <v>шт.</v>
      </c>
      <c r="F213" s="10">
        <f t="shared" si="42"/>
        <v>1</v>
      </c>
      <c r="G213" s="16" t="e">
        <f t="shared" si="43"/>
        <v>#REF!</v>
      </c>
      <c r="H213" s="10">
        <v>0</v>
      </c>
      <c r="I213" s="10">
        <f t="shared" si="41"/>
        <v>0</v>
      </c>
      <c r="J213" s="10">
        <v>1</v>
      </c>
      <c r="K213" s="10">
        <v>14</v>
      </c>
      <c r="L213" s="10">
        <f>D213:D213*K213:K213</f>
        <v>0</v>
      </c>
      <c r="M213" s="10">
        <f>D213:D213*0.103</f>
        <v>0</v>
      </c>
      <c r="N213" s="10">
        <f t="shared" si="44"/>
        <v>0</v>
      </c>
      <c r="O213" s="16" t="e">
        <f>N213:N213*F213:F213*#REF!</f>
        <v>#REF!</v>
      </c>
      <c r="P213" s="21"/>
    </row>
    <row r="214" spans="1:16" ht="16.95" customHeight="1">
      <c r="A214" s="13"/>
      <c r="B214" s="14" t="s">
        <v>257</v>
      </c>
      <c r="C214" s="26">
        <v>1500</v>
      </c>
      <c r="D214" s="26">
        <v>2</v>
      </c>
      <c r="E214" s="14" t="str">
        <f t="shared" si="45"/>
        <v>шт.</v>
      </c>
      <c r="F214" s="26">
        <f t="shared" si="42"/>
        <v>1</v>
      </c>
      <c r="G214" s="26">
        <f t="shared" si="43"/>
        <v>3000</v>
      </c>
      <c r="H214" s="24">
        <v>100</v>
      </c>
      <c r="I214" s="24">
        <f t="shared" si="41"/>
        <v>200</v>
      </c>
      <c r="J214" s="24">
        <v>4</v>
      </c>
      <c r="K214" s="24">
        <v>2.8</v>
      </c>
      <c r="L214" s="24">
        <f>ROUNDUP((D214:D214/2),0)*11.2</f>
        <v>11.2</v>
      </c>
      <c r="M214" s="24">
        <f>ROUNDUP((D214:D214/2),0)*0.03</f>
        <v>0.03</v>
      </c>
      <c r="N214" s="24">
        <f t="shared" si="44"/>
        <v>2</v>
      </c>
      <c r="O214" s="18" t="e">
        <f>N214:N214*F214:F214*#REF!</f>
        <v>#REF!</v>
      </c>
      <c r="P214" s="13"/>
    </row>
    <row r="215" spans="1:16" ht="16.95" customHeight="1">
      <c r="A215" s="7"/>
      <c r="B215" s="3" t="s">
        <v>258</v>
      </c>
      <c r="C215" s="5">
        <v>1500</v>
      </c>
      <c r="D215" s="5">
        <v>2</v>
      </c>
      <c r="E215" s="3" t="str">
        <f t="shared" si="45"/>
        <v>шт.</v>
      </c>
      <c r="F215" s="5">
        <f t="shared" si="42"/>
        <v>1</v>
      </c>
      <c r="G215" s="5">
        <f t="shared" si="43"/>
        <v>3000</v>
      </c>
      <c r="H215" s="10">
        <v>100</v>
      </c>
      <c r="I215" s="10">
        <f t="shared" si="41"/>
        <v>200</v>
      </c>
      <c r="J215" s="10">
        <v>3</v>
      </c>
      <c r="K215" s="10">
        <v>3.2</v>
      </c>
      <c r="L215" s="10">
        <f>ROUNDUP((D215:D215/2),0)*16</f>
        <v>16</v>
      </c>
      <c r="M215" s="10">
        <f>ROUNDUP((D215:D215/2),0)*0.018</f>
        <v>1.7999999999999999E-2</v>
      </c>
      <c r="N215" s="10">
        <f t="shared" si="44"/>
        <v>2</v>
      </c>
      <c r="O215" s="16" t="e">
        <f>N215:N215*F215:F215*#REF!</f>
        <v>#REF!</v>
      </c>
      <c r="P215" s="7"/>
    </row>
    <row r="216" spans="1:16" ht="16.95" customHeight="1">
      <c r="A216" s="13"/>
      <c r="B216" s="14" t="s">
        <v>259</v>
      </c>
      <c r="C216" s="26">
        <v>3000</v>
      </c>
      <c r="D216" s="26">
        <v>2</v>
      </c>
      <c r="E216" s="14" t="str">
        <f t="shared" si="45"/>
        <v>шт.</v>
      </c>
      <c r="F216" s="26">
        <f t="shared" si="42"/>
        <v>1</v>
      </c>
      <c r="G216" s="26">
        <f t="shared" si="43"/>
        <v>6000</v>
      </c>
      <c r="H216" s="24">
        <v>100</v>
      </c>
      <c r="I216" s="24">
        <f t="shared" si="41"/>
        <v>200</v>
      </c>
      <c r="J216" s="24">
        <v>2</v>
      </c>
      <c r="K216" s="24">
        <v>2.8</v>
      </c>
      <c r="L216" s="24">
        <f>ROUNDUP((D216:D216/2),0)*12.6</f>
        <v>12.6</v>
      </c>
      <c r="M216" s="24">
        <f>ROUNDUP((D216:D216/2),0)*0.0416</f>
        <v>4.1599999999999998E-2</v>
      </c>
      <c r="N216" s="24">
        <f t="shared" si="44"/>
        <v>2</v>
      </c>
      <c r="O216" s="18" t="e">
        <f>N216:N216*F216:F216*#REF!</f>
        <v>#REF!</v>
      </c>
      <c r="P216" s="13"/>
    </row>
    <row r="217" spans="1:16" ht="16.95" customHeight="1">
      <c r="A217" s="7"/>
      <c r="B217" s="3" t="s">
        <v>260</v>
      </c>
      <c r="C217" s="5">
        <v>1500</v>
      </c>
      <c r="D217" s="5">
        <v>4</v>
      </c>
      <c r="E217" s="3" t="str">
        <f t="shared" si="45"/>
        <v>шт.</v>
      </c>
      <c r="F217" s="5">
        <f t="shared" si="42"/>
        <v>1</v>
      </c>
      <c r="G217" s="5">
        <f t="shared" si="43"/>
        <v>6000</v>
      </c>
      <c r="H217" s="10">
        <v>100</v>
      </c>
      <c r="I217" s="10">
        <f t="shared" si="41"/>
        <v>400</v>
      </c>
      <c r="J217" s="10">
        <v>0</v>
      </c>
      <c r="K217" s="9"/>
      <c r="L217" s="9"/>
      <c r="M217" s="9"/>
      <c r="N217" s="10">
        <f t="shared" si="44"/>
        <v>0</v>
      </c>
      <c r="O217" s="16" t="e">
        <f>N217:N217*F217:F217*#REF!</f>
        <v>#REF!</v>
      </c>
      <c r="P217" s="7"/>
    </row>
    <row r="218" spans="1:16" ht="16.95" hidden="1" customHeight="1">
      <c r="A218" s="22"/>
      <c r="B218" s="15" t="s">
        <v>261</v>
      </c>
      <c r="C218" s="18" t="e">
        <f>IF($C$3=100,#REF!,#REF!)</f>
        <v>#REF!</v>
      </c>
      <c r="D218" s="24">
        <v>0</v>
      </c>
      <c r="E218" s="15" t="str">
        <f t="shared" si="45"/>
        <v>шт.</v>
      </c>
      <c r="F218" s="24">
        <f t="shared" si="42"/>
        <v>1</v>
      </c>
      <c r="G218" s="18" t="e">
        <f t="shared" si="43"/>
        <v>#REF!</v>
      </c>
      <c r="H218" s="24">
        <v>100</v>
      </c>
      <c r="I218" s="24">
        <f t="shared" si="41"/>
        <v>0</v>
      </c>
      <c r="J218" s="24">
        <v>2</v>
      </c>
      <c r="K218" s="17"/>
      <c r="L218" s="17"/>
      <c r="M218" s="17"/>
      <c r="N218" s="24">
        <f t="shared" si="44"/>
        <v>0</v>
      </c>
      <c r="O218" s="18" t="e">
        <f>N218:N218*F218:F218*#REF!</f>
        <v>#REF!</v>
      </c>
      <c r="P218" s="25"/>
    </row>
    <row r="219" spans="1:16" ht="16.95" customHeight="1">
      <c r="A219" s="7"/>
      <c r="B219" s="3" t="s">
        <v>262</v>
      </c>
      <c r="C219" s="5">
        <v>70</v>
      </c>
      <c r="D219" s="5">
        <f>D214+D215+D216+D217+D218</f>
        <v>10</v>
      </c>
      <c r="E219" s="3" t="str">
        <f t="shared" si="45"/>
        <v>шт.</v>
      </c>
      <c r="F219" s="5">
        <f>$F$3</f>
        <v>1</v>
      </c>
      <c r="G219" s="5">
        <f t="shared" si="43"/>
        <v>700</v>
      </c>
      <c r="H219" s="10">
        <v>0</v>
      </c>
      <c r="I219" s="10">
        <f t="shared" si="41"/>
        <v>0</v>
      </c>
      <c r="J219" s="10">
        <v>0</v>
      </c>
      <c r="K219" s="9"/>
      <c r="L219" s="9"/>
      <c r="M219" s="9"/>
      <c r="N219" s="10">
        <f t="shared" si="44"/>
        <v>0</v>
      </c>
      <c r="O219" s="16" t="e">
        <f>N219:N219*F219:F219*#REF!</f>
        <v>#REF!</v>
      </c>
      <c r="P219" s="7"/>
    </row>
    <row r="220" spans="1:16" ht="16.95" hidden="1" customHeight="1">
      <c r="A220" s="22"/>
      <c r="B220" s="15" t="s">
        <v>263</v>
      </c>
      <c r="C220" s="18" t="e">
        <f>IF($C$3=100,#REF!,#REF!)</f>
        <v>#REF!</v>
      </c>
      <c r="D220" s="24">
        <v>0</v>
      </c>
      <c r="E220" s="15" t="str">
        <f t="shared" si="45"/>
        <v>шт.</v>
      </c>
      <c r="F220" s="24">
        <f t="shared" ref="F220:F251" si="46">1+($F$3-1)/2</f>
        <v>1</v>
      </c>
      <c r="G220" s="18" t="e">
        <f t="shared" si="43"/>
        <v>#REF!</v>
      </c>
      <c r="H220" s="24">
        <v>0</v>
      </c>
      <c r="I220" s="24">
        <f t="shared" si="41"/>
        <v>0</v>
      </c>
      <c r="J220" s="24">
        <v>6</v>
      </c>
      <c r="K220" s="17"/>
      <c r="L220" s="17"/>
      <c r="M220" s="17"/>
      <c r="N220" s="24">
        <f t="shared" si="44"/>
        <v>0</v>
      </c>
      <c r="O220" s="18" t="e">
        <f>N220:N220*F220:F220*#REF!</f>
        <v>#REF!</v>
      </c>
      <c r="P220" s="25"/>
    </row>
    <row r="221" spans="1:16" ht="16.95" hidden="1" customHeight="1">
      <c r="A221" s="19"/>
      <c r="B221" s="12" t="s">
        <v>264</v>
      </c>
      <c r="C221" s="16" t="e">
        <f>IF($C$3=100,#REF!,#REF!)</f>
        <v>#REF!</v>
      </c>
      <c r="D221" s="10">
        <v>0</v>
      </c>
      <c r="E221" s="12" t="str">
        <f t="shared" si="45"/>
        <v>шт.</v>
      </c>
      <c r="F221" s="10">
        <f t="shared" si="46"/>
        <v>1</v>
      </c>
      <c r="G221" s="16" t="e">
        <f t="shared" si="43"/>
        <v>#REF!</v>
      </c>
      <c r="H221" s="10">
        <v>0</v>
      </c>
      <c r="I221" s="10">
        <f t="shared" si="41"/>
        <v>0</v>
      </c>
      <c r="J221" s="10">
        <v>2</v>
      </c>
      <c r="K221" s="9"/>
      <c r="L221" s="9"/>
      <c r="M221" s="9"/>
      <c r="N221" s="10">
        <f t="shared" si="44"/>
        <v>0</v>
      </c>
      <c r="O221" s="16" t="e">
        <f>N221:N221*F221:F221*#REF!</f>
        <v>#REF!</v>
      </c>
      <c r="P221" s="21"/>
    </row>
    <row r="222" spans="1:16" ht="16.95" hidden="1" customHeight="1">
      <c r="A222" s="22"/>
      <c r="B222" s="15" t="s">
        <v>265</v>
      </c>
      <c r="C222" s="18" t="e">
        <f>IF($C$3=100,#REF!,#REF!)</f>
        <v>#REF!</v>
      </c>
      <c r="D222" s="24">
        <v>0</v>
      </c>
      <c r="E222" s="15" t="str">
        <f t="shared" si="45"/>
        <v>шт.</v>
      </c>
      <c r="F222" s="24">
        <f t="shared" si="46"/>
        <v>1</v>
      </c>
      <c r="G222" s="18" t="e">
        <f t="shared" si="43"/>
        <v>#REF!</v>
      </c>
      <c r="H222" s="24">
        <v>0</v>
      </c>
      <c r="I222" s="24">
        <f t="shared" si="41"/>
        <v>0</v>
      </c>
      <c r="J222" s="24">
        <v>3</v>
      </c>
      <c r="K222" s="17"/>
      <c r="L222" s="17"/>
      <c r="M222" s="17"/>
      <c r="N222" s="24">
        <f t="shared" si="44"/>
        <v>0</v>
      </c>
      <c r="O222" s="18" t="e">
        <f>N222:N222*F222:F222*#REF!</f>
        <v>#REF!</v>
      </c>
      <c r="P222" s="25"/>
    </row>
    <row r="223" spans="1:16" ht="16.95" hidden="1" customHeight="1">
      <c r="A223" s="19"/>
      <c r="B223" s="12" t="s">
        <v>266</v>
      </c>
      <c r="C223" s="16" t="e">
        <f>IF($C$3=100,#REF!,#REF!)</f>
        <v>#REF!</v>
      </c>
      <c r="D223" s="10">
        <v>0</v>
      </c>
      <c r="E223" s="12" t="str">
        <f t="shared" si="45"/>
        <v>шт.</v>
      </c>
      <c r="F223" s="10">
        <f t="shared" si="46"/>
        <v>1</v>
      </c>
      <c r="G223" s="16" t="e">
        <f t="shared" si="43"/>
        <v>#REF!</v>
      </c>
      <c r="H223" s="10">
        <v>0</v>
      </c>
      <c r="I223" s="10">
        <f t="shared" si="41"/>
        <v>0</v>
      </c>
      <c r="J223" s="10">
        <v>5</v>
      </c>
      <c r="K223" s="9"/>
      <c r="L223" s="9"/>
      <c r="M223" s="9"/>
      <c r="N223" s="10">
        <f t="shared" si="44"/>
        <v>0</v>
      </c>
      <c r="O223" s="16" t="e">
        <f>N223:N223*F223:F223*#REF!</f>
        <v>#REF!</v>
      </c>
      <c r="P223" s="21"/>
    </row>
    <row r="224" spans="1:16" ht="16.95" hidden="1" customHeight="1">
      <c r="A224" s="22"/>
      <c r="B224" s="15" t="s">
        <v>267</v>
      </c>
      <c r="C224" s="18" t="e">
        <f>IF($C$3=100,#REF!,#REF!)</f>
        <v>#REF!</v>
      </c>
      <c r="D224" s="24">
        <v>0</v>
      </c>
      <c r="E224" s="15" t="str">
        <f t="shared" si="45"/>
        <v>шт.</v>
      </c>
      <c r="F224" s="24">
        <f t="shared" si="46"/>
        <v>1</v>
      </c>
      <c r="G224" s="18" t="e">
        <f t="shared" si="43"/>
        <v>#REF!</v>
      </c>
      <c r="H224" s="24">
        <v>0</v>
      </c>
      <c r="I224" s="24">
        <f t="shared" si="41"/>
        <v>0</v>
      </c>
      <c r="J224" s="24">
        <v>2</v>
      </c>
      <c r="K224" s="17"/>
      <c r="L224" s="17"/>
      <c r="M224" s="17"/>
      <c r="N224" s="24">
        <f t="shared" si="44"/>
        <v>0</v>
      </c>
      <c r="O224" s="18" t="e">
        <f>N224:N224*F224:F224*#REF!</f>
        <v>#REF!</v>
      </c>
      <c r="P224" s="25"/>
    </row>
    <row r="225" spans="1:16" ht="16.95" hidden="1" customHeight="1">
      <c r="A225" s="19"/>
      <c r="B225" s="12" t="s">
        <v>268</v>
      </c>
      <c r="C225" s="16" t="e">
        <f>IF($C$3=100,#REF!,#REF!)</f>
        <v>#REF!</v>
      </c>
      <c r="D225" s="10">
        <v>0</v>
      </c>
      <c r="E225" s="12" t="str">
        <f t="shared" si="45"/>
        <v>шт.</v>
      </c>
      <c r="F225" s="10">
        <f t="shared" si="46"/>
        <v>1</v>
      </c>
      <c r="G225" s="16" t="e">
        <f t="shared" si="43"/>
        <v>#REF!</v>
      </c>
      <c r="H225" s="10">
        <v>0</v>
      </c>
      <c r="I225" s="10">
        <f t="shared" si="41"/>
        <v>0</v>
      </c>
      <c r="J225" s="10">
        <v>1</v>
      </c>
      <c r="K225" s="9"/>
      <c r="L225" s="9"/>
      <c r="M225" s="9"/>
      <c r="N225" s="10">
        <f t="shared" si="44"/>
        <v>0</v>
      </c>
      <c r="O225" s="16" t="e">
        <f>N225:N225*F225:F225*#REF!</f>
        <v>#REF!</v>
      </c>
      <c r="P225" s="21"/>
    </row>
    <row r="226" spans="1:16" ht="16.95" hidden="1" customHeight="1">
      <c r="A226" s="22"/>
      <c r="B226" s="15" t="s">
        <v>269</v>
      </c>
      <c r="C226" s="18" t="e">
        <f>IF($C$3=100,#REF!,#REF!)</f>
        <v>#REF!</v>
      </c>
      <c r="D226" s="24">
        <v>0</v>
      </c>
      <c r="E226" s="15" t="str">
        <f t="shared" si="45"/>
        <v>шт.</v>
      </c>
      <c r="F226" s="24">
        <f t="shared" si="46"/>
        <v>1</v>
      </c>
      <c r="G226" s="18" t="e">
        <f t="shared" si="43"/>
        <v>#REF!</v>
      </c>
      <c r="H226" s="24">
        <v>0</v>
      </c>
      <c r="I226" s="24">
        <f t="shared" si="41"/>
        <v>0</v>
      </c>
      <c r="J226" s="24">
        <v>3</v>
      </c>
      <c r="K226" s="17"/>
      <c r="L226" s="17"/>
      <c r="M226" s="17"/>
      <c r="N226" s="24">
        <f t="shared" si="44"/>
        <v>0</v>
      </c>
      <c r="O226" s="18" t="e">
        <f>N226:N226*F226:F226*#REF!</f>
        <v>#REF!</v>
      </c>
      <c r="P226" s="25"/>
    </row>
    <row r="227" spans="1:16" ht="16.95" customHeight="1">
      <c r="A227" s="7"/>
      <c r="B227" s="3" t="s">
        <v>270</v>
      </c>
      <c r="C227" s="5">
        <v>4000</v>
      </c>
      <c r="D227" s="5">
        <v>1</v>
      </c>
      <c r="E227" s="3" t="str">
        <f>IF($B$3=1,"компл.","set")</f>
        <v>компл.</v>
      </c>
      <c r="F227" s="5">
        <f t="shared" si="46"/>
        <v>1</v>
      </c>
      <c r="G227" s="5">
        <f t="shared" si="43"/>
        <v>4000</v>
      </c>
      <c r="H227" s="10">
        <v>0</v>
      </c>
      <c r="I227" s="10">
        <f t="shared" si="41"/>
        <v>0</v>
      </c>
      <c r="J227" s="10">
        <v>1</v>
      </c>
      <c r="K227" s="10">
        <v>7</v>
      </c>
      <c r="L227" s="10">
        <f>D227:D227*7</f>
        <v>7</v>
      </c>
      <c r="M227" s="9"/>
      <c r="N227" s="10">
        <f t="shared" si="44"/>
        <v>1</v>
      </c>
      <c r="O227" s="16" t="e">
        <f>N227:N227*F227:F227*#REF!</f>
        <v>#REF!</v>
      </c>
      <c r="P227" s="7"/>
    </row>
    <row r="228" spans="1:16" ht="16.95" customHeight="1">
      <c r="A228" s="13"/>
      <c r="B228" s="14" t="s">
        <v>271</v>
      </c>
      <c r="C228" s="26">
        <v>200</v>
      </c>
      <c r="D228" s="26">
        <v>10</v>
      </c>
      <c r="E228" s="14" t="str">
        <f t="shared" ref="E228:E248" si="47">IF($B$3=1,"шт.","pcs")</f>
        <v>шт.</v>
      </c>
      <c r="F228" s="26">
        <f t="shared" si="46"/>
        <v>1</v>
      </c>
      <c r="G228" s="26">
        <f t="shared" si="43"/>
        <v>2000</v>
      </c>
      <c r="H228" s="24">
        <v>0</v>
      </c>
      <c r="I228" s="24">
        <f t="shared" si="41"/>
        <v>0</v>
      </c>
      <c r="J228" s="24">
        <v>15</v>
      </c>
      <c r="K228" s="24">
        <v>2.2999999999999998</v>
      </c>
      <c r="L228" s="24">
        <f>D228:D228*K228:K228</f>
        <v>23</v>
      </c>
      <c r="M228" s="17"/>
      <c r="N228" s="24">
        <f t="shared" si="44"/>
        <v>10</v>
      </c>
      <c r="O228" s="18" t="e">
        <f>N228:N228*F228:F228*#REF!</f>
        <v>#REF!</v>
      </c>
      <c r="P228" s="13"/>
    </row>
    <row r="229" spans="1:16" ht="16.95" hidden="1" customHeight="1">
      <c r="A229" s="19"/>
      <c r="B229" s="12" t="s">
        <v>272</v>
      </c>
      <c r="C229" s="16" t="e">
        <f>IF($C$3=100,#REF!,#REF!)</f>
        <v>#REF!</v>
      </c>
      <c r="D229" s="10">
        <v>0</v>
      </c>
      <c r="E229" s="12" t="str">
        <f t="shared" si="47"/>
        <v>шт.</v>
      </c>
      <c r="F229" s="10">
        <f t="shared" si="46"/>
        <v>1</v>
      </c>
      <c r="G229" s="16" t="e">
        <f t="shared" si="43"/>
        <v>#REF!</v>
      </c>
      <c r="H229" s="10">
        <v>100</v>
      </c>
      <c r="I229" s="10">
        <f t="shared" si="41"/>
        <v>0</v>
      </c>
      <c r="J229" s="10">
        <v>1</v>
      </c>
      <c r="K229" s="10">
        <v>8.6</v>
      </c>
      <c r="L229" s="10">
        <f>D229:D229*K229:K229</f>
        <v>0</v>
      </c>
      <c r="M229" s="10">
        <f>D229:D229*0.132</f>
        <v>0</v>
      </c>
      <c r="N229" s="10">
        <f t="shared" si="44"/>
        <v>0</v>
      </c>
      <c r="O229" s="16" t="e">
        <f>N229:N229*F229:F229*#REF!</f>
        <v>#REF!</v>
      </c>
      <c r="P229" s="21"/>
    </row>
    <row r="230" spans="1:16" ht="16.95" hidden="1" customHeight="1">
      <c r="A230" s="22"/>
      <c r="B230" s="15" t="s">
        <v>273</v>
      </c>
      <c r="C230" s="18" t="e">
        <f>IF($C$3=100,#REF!,#REF!)</f>
        <v>#REF!</v>
      </c>
      <c r="D230" s="24">
        <v>0</v>
      </c>
      <c r="E230" s="15" t="str">
        <f t="shared" si="47"/>
        <v>шт.</v>
      </c>
      <c r="F230" s="24">
        <f t="shared" si="46"/>
        <v>1</v>
      </c>
      <c r="G230" s="18" t="e">
        <f t="shared" si="43"/>
        <v>#REF!</v>
      </c>
      <c r="H230" s="24">
        <v>100</v>
      </c>
      <c r="I230" s="24">
        <f t="shared" si="41"/>
        <v>0</v>
      </c>
      <c r="J230" s="24">
        <v>2</v>
      </c>
      <c r="K230" s="24">
        <v>6.6</v>
      </c>
      <c r="L230" s="24">
        <f>ROUNDUP((D230:D230/2),0)*41</f>
        <v>0</v>
      </c>
      <c r="M230" s="24">
        <f>D230:D230*0.132</f>
        <v>0</v>
      </c>
      <c r="N230" s="24">
        <f t="shared" si="44"/>
        <v>0</v>
      </c>
      <c r="O230" s="18" t="e">
        <f>N230:N230*F230:F230*#REF!</f>
        <v>#REF!</v>
      </c>
      <c r="P230" s="25"/>
    </row>
    <row r="231" spans="1:16" ht="16.95" hidden="1" customHeight="1">
      <c r="A231" s="9"/>
      <c r="B231" s="12" t="s">
        <v>274</v>
      </c>
      <c r="C231" s="16" t="e">
        <f>IF($C$3=100,#REF!,#REF!)</f>
        <v>#REF!</v>
      </c>
      <c r="D231" s="10">
        <v>0</v>
      </c>
      <c r="E231" s="12" t="str">
        <f t="shared" si="47"/>
        <v>шт.</v>
      </c>
      <c r="F231" s="10">
        <f t="shared" si="46"/>
        <v>1</v>
      </c>
      <c r="G231" s="16" t="e">
        <f t="shared" si="43"/>
        <v>#REF!</v>
      </c>
      <c r="H231" s="10">
        <v>100</v>
      </c>
      <c r="I231" s="10">
        <f t="shared" ref="I231:I251" si="48">H231*D231</f>
        <v>0</v>
      </c>
      <c r="J231" s="10">
        <v>2</v>
      </c>
      <c r="K231" s="10">
        <v>5.7</v>
      </c>
      <c r="L231" s="10">
        <f>ROUNDUP((D231:D231/2),0)*39</f>
        <v>0</v>
      </c>
      <c r="M231" s="10">
        <f>D231:D231*0.132</f>
        <v>0</v>
      </c>
      <c r="N231" s="10">
        <f t="shared" si="44"/>
        <v>0</v>
      </c>
      <c r="O231" s="16" t="e">
        <f>N231:N231*F231:F231*#REF!</f>
        <v>#REF!</v>
      </c>
      <c r="P231" s="21"/>
    </row>
    <row r="232" spans="1:16" ht="16.95" hidden="1" customHeight="1">
      <c r="A232" s="22"/>
      <c r="B232" s="15" t="s">
        <v>275</v>
      </c>
      <c r="C232" s="18" t="e">
        <f>IF($C$3=100,#REF!,#REF!)</f>
        <v>#REF!</v>
      </c>
      <c r="D232" s="24">
        <v>0</v>
      </c>
      <c r="E232" s="15" t="str">
        <f t="shared" si="47"/>
        <v>шт.</v>
      </c>
      <c r="F232" s="24">
        <f t="shared" si="46"/>
        <v>1</v>
      </c>
      <c r="G232" s="18" t="e">
        <f t="shared" ref="G232:G251" si="49">C232*D232*F232</f>
        <v>#REF!</v>
      </c>
      <c r="H232" s="24">
        <v>100</v>
      </c>
      <c r="I232" s="24">
        <f t="shared" si="48"/>
        <v>0</v>
      </c>
      <c r="J232" s="24">
        <v>2</v>
      </c>
      <c r="K232" s="24">
        <v>4.2</v>
      </c>
      <c r="L232" s="24">
        <f>ROUNDUP((D232:D232/2),0)*36</f>
        <v>0</v>
      </c>
      <c r="M232" s="24">
        <f>D232:D232*0.132</f>
        <v>0</v>
      </c>
      <c r="N232" s="24">
        <f t="shared" ref="N232:N251" si="50">IF(D232:D232=0,0,IF(J232:J232=0,0,IF(D232:D232&lt;J232:J232,D232:D232,J232:J232)))</f>
        <v>0</v>
      </c>
      <c r="O232" s="18" t="e">
        <f>N232:N232*F232:F232*#REF!</f>
        <v>#REF!</v>
      </c>
      <c r="P232" s="25"/>
    </row>
    <row r="233" spans="1:16" ht="16.95" hidden="1" customHeight="1">
      <c r="A233" s="19"/>
      <c r="B233" s="12" t="s">
        <v>276</v>
      </c>
      <c r="C233" s="16" t="e">
        <f>IF($C$3=100,#REF!,#REF!)</f>
        <v>#REF!</v>
      </c>
      <c r="D233" s="10">
        <v>0</v>
      </c>
      <c r="E233" s="12" t="str">
        <f t="shared" si="47"/>
        <v>шт.</v>
      </c>
      <c r="F233" s="10">
        <f t="shared" si="46"/>
        <v>1</v>
      </c>
      <c r="G233" s="16" t="e">
        <f t="shared" si="49"/>
        <v>#REF!</v>
      </c>
      <c r="H233" s="10">
        <v>100</v>
      </c>
      <c r="I233" s="10">
        <f t="shared" si="48"/>
        <v>0</v>
      </c>
      <c r="J233" s="10">
        <v>2</v>
      </c>
      <c r="K233" s="10">
        <v>7.4</v>
      </c>
      <c r="L233" s="10">
        <f>D233:D233*7.4</f>
        <v>0</v>
      </c>
      <c r="M233" s="10">
        <f>D233:D233*0.132</f>
        <v>0</v>
      </c>
      <c r="N233" s="10">
        <f t="shared" si="50"/>
        <v>0</v>
      </c>
      <c r="O233" s="16" t="e">
        <f>N233:N233*F233:F233*#REF!</f>
        <v>#REF!</v>
      </c>
      <c r="P233" s="21"/>
    </row>
    <row r="234" spans="1:16" ht="16.95" hidden="1" customHeight="1">
      <c r="A234" s="22"/>
      <c r="B234" s="15" t="s">
        <v>277</v>
      </c>
      <c r="C234" s="18" t="e">
        <f>IF($C$3=100,#REF!,#REF!)</f>
        <v>#REF!</v>
      </c>
      <c r="D234" s="24">
        <v>0</v>
      </c>
      <c r="E234" s="15" t="str">
        <f t="shared" si="47"/>
        <v>шт.</v>
      </c>
      <c r="F234" s="24">
        <f t="shared" si="46"/>
        <v>1</v>
      </c>
      <c r="G234" s="18" t="e">
        <f t="shared" si="49"/>
        <v>#REF!</v>
      </c>
      <c r="H234" s="24">
        <v>100</v>
      </c>
      <c r="I234" s="24">
        <f t="shared" si="48"/>
        <v>0</v>
      </c>
      <c r="J234" s="24">
        <v>2</v>
      </c>
      <c r="K234" s="24">
        <v>12</v>
      </c>
      <c r="L234" s="17"/>
      <c r="M234" s="17"/>
      <c r="N234" s="24">
        <f t="shared" si="50"/>
        <v>0</v>
      </c>
      <c r="O234" s="18" t="e">
        <f>N234:N234*F234:F234*#REF!</f>
        <v>#REF!</v>
      </c>
      <c r="P234" s="25"/>
    </row>
    <row r="235" spans="1:16" ht="16.95" hidden="1" customHeight="1">
      <c r="A235" s="19"/>
      <c r="B235" s="12" t="s">
        <v>278</v>
      </c>
      <c r="C235" s="16" t="e">
        <f>IF($C$3=100,#REF!,#REF!)</f>
        <v>#REF!</v>
      </c>
      <c r="D235" s="10">
        <v>0</v>
      </c>
      <c r="E235" s="12" t="str">
        <f t="shared" si="47"/>
        <v>шт.</v>
      </c>
      <c r="F235" s="10">
        <f t="shared" si="46"/>
        <v>1</v>
      </c>
      <c r="G235" s="16" t="e">
        <f t="shared" si="49"/>
        <v>#REF!</v>
      </c>
      <c r="H235" s="10">
        <v>1000</v>
      </c>
      <c r="I235" s="10">
        <f t="shared" si="48"/>
        <v>0</v>
      </c>
      <c r="J235" s="10">
        <v>0</v>
      </c>
      <c r="K235" s="9"/>
      <c r="L235" s="9"/>
      <c r="M235" s="9"/>
      <c r="N235" s="10">
        <f t="shared" si="50"/>
        <v>0</v>
      </c>
      <c r="O235" s="16" t="e">
        <f>N235:N235*F235:F235*#REF!</f>
        <v>#REF!</v>
      </c>
      <c r="P235" s="12" t="s">
        <v>279</v>
      </c>
    </row>
    <row r="236" spans="1:16" ht="16.95" hidden="1" customHeight="1">
      <c r="A236" s="22"/>
      <c r="B236" s="15" t="s">
        <v>280</v>
      </c>
      <c r="C236" s="18" t="e">
        <f>IF($C$3=100,#REF!,#REF!)</f>
        <v>#REF!</v>
      </c>
      <c r="D236" s="24">
        <v>0</v>
      </c>
      <c r="E236" s="15" t="str">
        <f t="shared" si="47"/>
        <v>шт.</v>
      </c>
      <c r="F236" s="24">
        <f t="shared" si="46"/>
        <v>1</v>
      </c>
      <c r="G236" s="18" t="e">
        <f t="shared" si="49"/>
        <v>#REF!</v>
      </c>
      <c r="H236" s="24">
        <v>0</v>
      </c>
      <c r="I236" s="24">
        <f t="shared" si="48"/>
        <v>0</v>
      </c>
      <c r="J236" s="24">
        <v>1</v>
      </c>
      <c r="K236" s="24">
        <v>108</v>
      </c>
      <c r="L236" s="24">
        <f>D236:D236*108</f>
        <v>0</v>
      </c>
      <c r="M236" s="17"/>
      <c r="N236" s="24">
        <f t="shared" si="50"/>
        <v>0</v>
      </c>
      <c r="O236" s="18" t="e">
        <f>N236:N236*F236:F236*#REF!</f>
        <v>#REF!</v>
      </c>
      <c r="P236" s="25"/>
    </row>
    <row r="237" spans="1:16" ht="16.95" customHeight="1">
      <c r="A237" s="7"/>
      <c r="B237" s="3" t="s">
        <v>281</v>
      </c>
      <c r="C237" s="5">
        <v>5000</v>
      </c>
      <c r="D237" s="5">
        <v>1</v>
      </c>
      <c r="E237" s="3" t="str">
        <f t="shared" si="47"/>
        <v>шт.</v>
      </c>
      <c r="F237" s="5">
        <f t="shared" si="46"/>
        <v>1</v>
      </c>
      <c r="G237" s="5">
        <f t="shared" si="49"/>
        <v>5000</v>
      </c>
      <c r="H237" s="10">
        <v>300</v>
      </c>
      <c r="I237" s="10">
        <f t="shared" si="48"/>
        <v>300</v>
      </c>
      <c r="J237" s="10">
        <v>1</v>
      </c>
      <c r="K237" s="10">
        <v>31.9</v>
      </c>
      <c r="L237" s="10">
        <f>D237:D237*31.9</f>
        <v>31.9</v>
      </c>
      <c r="M237" s="10">
        <f>D237:D237*0.176</f>
        <v>0.17599999999999999</v>
      </c>
      <c r="N237" s="10">
        <f t="shared" si="50"/>
        <v>1</v>
      </c>
      <c r="O237" s="16" t="e">
        <f>N237:N237*F237:F237*#REF!</f>
        <v>#REF!</v>
      </c>
      <c r="P237" s="7"/>
    </row>
    <row r="238" spans="1:16" ht="16.95" customHeight="1">
      <c r="A238" s="13"/>
      <c r="B238" s="14" t="s">
        <v>282</v>
      </c>
      <c r="C238" s="26">
        <v>5000</v>
      </c>
      <c r="D238" s="26">
        <v>1</v>
      </c>
      <c r="E238" s="14" t="str">
        <f t="shared" si="47"/>
        <v>шт.</v>
      </c>
      <c r="F238" s="26">
        <f t="shared" si="46"/>
        <v>1</v>
      </c>
      <c r="G238" s="26">
        <f t="shared" si="49"/>
        <v>5000</v>
      </c>
      <c r="H238" s="24">
        <v>100</v>
      </c>
      <c r="I238" s="24">
        <f t="shared" si="48"/>
        <v>100</v>
      </c>
      <c r="J238" s="24">
        <v>1</v>
      </c>
      <c r="K238" s="24">
        <v>58.7</v>
      </c>
      <c r="L238" s="24">
        <f>D238:D238*58.7</f>
        <v>58.7</v>
      </c>
      <c r="M238" s="24">
        <f>D238:D238*0.127</f>
        <v>0.127</v>
      </c>
      <c r="N238" s="24">
        <f t="shared" si="50"/>
        <v>1</v>
      </c>
      <c r="O238" s="18" t="e">
        <f>N238:N238*F238:F238*#REF!</f>
        <v>#REF!</v>
      </c>
      <c r="P238" s="13"/>
    </row>
    <row r="239" spans="1:16" ht="16.95" customHeight="1">
      <c r="A239" s="7"/>
      <c r="B239" s="3" t="s">
        <v>283</v>
      </c>
      <c r="C239" s="5">
        <v>3500</v>
      </c>
      <c r="D239" s="5">
        <v>1</v>
      </c>
      <c r="E239" s="3" t="str">
        <f t="shared" si="47"/>
        <v>шт.</v>
      </c>
      <c r="F239" s="5">
        <f t="shared" si="46"/>
        <v>1</v>
      </c>
      <c r="G239" s="5">
        <f t="shared" si="49"/>
        <v>3500</v>
      </c>
      <c r="H239" s="10">
        <v>400</v>
      </c>
      <c r="I239" s="10">
        <f t="shared" si="48"/>
        <v>400</v>
      </c>
      <c r="J239" s="10">
        <v>1</v>
      </c>
      <c r="K239" s="9"/>
      <c r="L239" s="9"/>
      <c r="M239" s="9"/>
      <c r="N239" s="10">
        <f t="shared" si="50"/>
        <v>1</v>
      </c>
      <c r="O239" s="16" t="e">
        <f>N239:N239*F239:F239*#REF!</f>
        <v>#REF!</v>
      </c>
      <c r="P239" s="7"/>
    </row>
    <row r="240" spans="1:16" ht="16.95" hidden="1" customHeight="1">
      <c r="A240" s="22"/>
      <c r="B240" s="15" t="s">
        <v>284</v>
      </c>
      <c r="C240" s="18" t="e">
        <f>IF($C$3=100,#REF!,#REF!)</f>
        <v>#REF!</v>
      </c>
      <c r="D240" s="24">
        <v>0</v>
      </c>
      <c r="E240" s="15" t="str">
        <f t="shared" si="47"/>
        <v>шт.</v>
      </c>
      <c r="F240" s="24">
        <f t="shared" si="46"/>
        <v>1</v>
      </c>
      <c r="G240" s="18" t="e">
        <f t="shared" si="49"/>
        <v>#REF!</v>
      </c>
      <c r="H240" s="24">
        <v>600</v>
      </c>
      <c r="I240" s="24">
        <f t="shared" si="48"/>
        <v>0</v>
      </c>
      <c r="J240" s="24">
        <v>1</v>
      </c>
      <c r="K240" s="24">
        <v>61.3</v>
      </c>
      <c r="L240" s="24">
        <f>D240:D240*61.3</f>
        <v>0</v>
      </c>
      <c r="M240" s="24">
        <f>D240:D240*0.215</f>
        <v>0</v>
      </c>
      <c r="N240" s="24">
        <f t="shared" si="50"/>
        <v>0</v>
      </c>
      <c r="O240" s="18" t="e">
        <f>N240:N240*F240:F240*#REF!</f>
        <v>#REF!</v>
      </c>
      <c r="P240" s="25"/>
    </row>
    <row r="241" spans="1:16" ht="16.95" hidden="1" customHeight="1">
      <c r="A241" s="19"/>
      <c r="B241" s="12" t="s">
        <v>285</v>
      </c>
      <c r="C241" s="16" t="e">
        <f>IF($C$3=100,#REF!,#REF!)</f>
        <v>#REF!</v>
      </c>
      <c r="D241" s="10">
        <v>0</v>
      </c>
      <c r="E241" s="12" t="str">
        <f t="shared" si="47"/>
        <v>шт.</v>
      </c>
      <c r="F241" s="10">
        <f t="shared" si="46"/>
        <v>1</v>
      </c>
      <c r="G241" s="16" t="e">
        <f t="shared" si="49"/>
        <v>#REF!</v>
      </c>
      <c r="H241" s="10">
        <v>400</v>
      </c>
      <c r="I241" s="10">
        <f t="shared" si="48"/>
        <v>0</v>
      </c>
      <c r="J241" s="10">
        <v>1</v>
      </c>
      <c r="K241" s="10">
        <v>21.6</v>
      </c>
      <c r="L241" s="10">
        <f t="shared" ref="L241:L246" si="51">D241:D241*K241:K241</f>
        <v>0</v>
      </c>
      <c r="M241" s="9"/>
      <c r="N241" s="10">
        <f t="shared" si="50"/>
        <v>0</v>
      </c>
      <c r="O241" s="16" t="e">
        <f>N241:N241*F241:F241*#REF!</f>
        <v>#REF!</v>
      </c>
      <c r="P241" s="21"/>
    </row>
    <row r="242" spans="1:16" ht="16.95" hidden="1" customHeight="1">
      <c r="A242" s="22"/>
      <c r="B242" s="15" t="s">
        <v>286</v>
      </c>
      <c r="C242" s="18" t="e">
        <f>IF($C$3=100,#REF!,#REF!)</f>
        <v>#REF!</v>
      </c>
      <c r="D242" s="24">
        <v>0</v>
      </c>
      <c r="E242" s="15" t="str">
        <f t="shared" si="47"/>
        <v>шт.</v>
      </c>
      <c r="F242" s="24">
        <f t="shared" si="46"/>
        <v>1</v>
      </c>
      <c r="G242" s="18" t="e">
        <f t="shared" si="49"/>
        <v>#REF!</v>
      </c>
      <c r="H242" s="24">
        <v>600</v>
      </c>
      <c r="I242" s="24">
        <f t="shared" si="48"/>
        <v>0</v>
      </c>
      <c r="J242" s="24">
        <v>1</v>
      </c>
      <c r="K242" s="24">
        <v>66</v>
      </c>
      <c r="L242" s="24">
        <f t="shared" si="51"/>
        <v>0</v>
      </c>
      <c r="M242" s="24">
        <f>D242:D242*0.259</f>
        <v>0</v>
      </c>
      <c r="N242" s="24">
        <f t="shared" si="50"/>
        <v>0</v>
      </c>
      <c r="O242" s="18" t="e">
        <f>N242:N242*F242:F242*#REF!</f>
        <v>#REF!</v>
      </c>
      <c r="P242" s="25"/>
    </row>
    <row r="243" spans="1:16" ht="16.95" customHeight="1">
      <c r="A243" s="7"/>
      <c r="B243" s="3" t="s">
        <v>287</v>
      </c>
      <c r="C243" s="5">
        <v>3500</v>
      </c>
      <c r="D243" s="5">
        <v>1</v>
      </c>
      <c r="E243" s="3" t="str">
        <f t="shared" si="47"/>
        <v>шт.</v>
      </c>
      <c r="F243" s="5">
        <f t="shared" si="46"/>
        <v>1</v>
      </c>
      <c r="G243" s="5">
        <f t="shared" si="49"/>
        <v>3500</v>
      </c>
      <c r="H243" s="10">
        <v>200</v>
      </c>
      <c r="I243" s="10">
        <f t="shared" si="48"/>
        <v>200</v>
      </c>
      <c r="J243" s="10">
        <v>1</v>
      </c>
      <c r="K243" s="10">
        <v>25</v>
      </c>
      <c r="L243" s="10">
        <f t="shared" si="51"/>
        <v>25</v>
      </c>
      <c r="M243" s="9"/>
      <c r="N243" s="10">
        <f t="shared" si="50"/>
        <v>1</v>
      </c>
      <c r="O243" s="16" t="e">
        <f>N243:N243*F243:F243*#REF!</f>
        <v>#REF!</v>
      </c>
      <c r="P243" s="7"/>
    </row>
    <row r="244" spans="1:16" ht="16.95" customHeight="1">
      <c r="A244" s="13"/>
      <c r="B244" s="14" t="s">
        <v>288</v>
      </c>
      <c r="C244" s="26">
        <v>350</v>
      </c>
      <c r="D244" s="26">
        <v>3</v>
      </c>
      <c r="E244" s="14" t="str">
        <f t="shared" si="47"/>
        <v>шт.</v>
      </c>
      <c r="F244" s="26">
        <f t="shared" si="46"/>
        <v>1</v>
      </c>
      <c r="G244" s="26">
        <f t="shared" si="49"/>
        <v>1050</v>
      </c>
      <c r="H244" s="24">
        <v>0</v>
      </c>
      <c r="I244" s="24">
        <f t="shared" si="48"/>
        <v>0</v>
      </c>
      <c r="J244" s="24">
        <v>3</v>
      </c>
      <c r="K244" s="24">
        <v>1.5</v>
      </c>
      <c r="L244" s="24">
        <f t="shared" si="51"/>
        <v>4.5</v>
      </c>
      <c r="M244" s="17"/>
      <c r="N244" s="24">
        <f t="shared" si="50"/>
        <v>3</v>
      </c>
      <c r="O244" s="18" t="e">
        <f>N244:N244*F244:F244*#REF!</f>
        <v>#REF!</v>
      </c>
      <c r="P244" s="13"/>
    </row>
    <row r="245" spans="1:16" ht="16.95" hidden="1" customHeight="1">
      <c r="A245" s="19"/>
      <c r="B245" s="12" t="s">
        <v>289</v>
      </c>
      <c r="C245" s="16" t="e">
        <f>IF($C$3=100,#REF!,#REF!)</f>
        <v>#REF!</v>
      </c>
      <c r="D245" s="10">
        <v>0</v>
      </c>
      <c r="E245" s="12" t="str">
        <f t="shared" si="47"/>
        <v>шт.</v>
      </c>
      <c r="F245" s="10">
        <f t="shared" si="46"/>
        <v>1</v>
      </c>
      <c r="G245" s="16" t="e">
        <f t="shared" si="49"/>
        <v>#REF!</v>
      </c>
      <c r="H245" s="10">
        <v>0</v>
      </c>
      <c r="I245" s="10">
        <f t="shared" si="48"/>
        <v>0</v>
      </c>
      <c r="J245" s="10">
        <v>1</v>
      </c>
      <c r="K245" s="10">
        <v>5</v>
      </c>
      <c r="L245" s="10">
        <f t="shared" si="51"/>
        <v>0</v>
      </c>
      <c r="M245" s="9"/>
      <c r="N245" s="10">
        <f t="shared" si="50"/>
        <v>0</v>
      </c>
      <c r="O245" s="16" t="e">
        <f>N245:N245*F245:F245*#REF!</f>
        <v>#REF!</v>
      </c>
      <c r="P245" s="21"/>
    </row>
    <row r="246" spans="1:16" ht="16.95" customHeight="1">
      <c r="A246" s="13"/>
      <c r="B246" s="14" t="s">
        <v>290</v>
      </c>
      <c r="C246" s="26">
        <v>500</v>
      </c>
      <c r="D246" s="26">
        <v>2</v>
      </c>
      <c r="E246" s="14" t="str">
        <f t="shared" si="47"/>
        <v>шт.</v>
      </c>
      <c r="F246" s="26">
        <f t="shared" si="46"/>
        <v>1</v>
      </c>
      <c r="G246" s="26">
        <f t="shared" si="49"/>
        <v>1000</v>
      </c>
      <c r="H246" s="24">
        <v>0</v>
      </c>
      <c r="I246" s="24">
        <f t="shared" si="48"/>
        <v>0</v>
      </c>
      <c r="J246" s="24">
        <v>1</v>
      </c>
      <c r="K246" s="24">
        <v>6.5</v>
      </c>
      <c r="L246" s="24">
        <f t="shared" si="51"/>
        <v>13</v>
      </c>
      <c r="M246" s="17"/>
      <c r="N246" s="24">
        <f t="shared" si="50"/>
        <v>1</v>
      </c>
      <c r="O246" s="18" t="e">
        <f>N246:N246*F246:F246*#REF!</f>
        <v>#REF!</v>
      </c>
      <c r="P246" s="13"/>
    </row>
    <row r="247" spans="1:16" ht="16.95" customHeight="1">
      <c r="A247" s="7"/>
      <c r="B247" s="3" t="s">
        <v>291</v>
      </c>
      <c r="C247" s="5">
        <v>400</v>
      </c>
      <c r="D247" s="5">
        <v>12</v>
      </c>
      <c r="E247" s="3" t="str">
        <f t="shared" si="47"/>
        <v>шт.</v>
      </c>
      <c r="F247" s="5">
        <f t="shared" si="46"/>
        <v>1</v>
      </c>
      <c r="G247" s="5">
        <f t="shared" si="49"/>
        <v>4800</v>
      </c>
      <c r="H247" s="10">
        <v>0</v>
      </c>
      <c r="I247" s="10">
        <f t="shared" si="48"/>
        <v>0</v>
      </c>
      <c r="J247" s="10">
        <v>6</v>
      </c>
      <c r="K247" s="10">
        <v>0.7</v>
      </c>
      <c r="L247" s="10">
        <f>D247:D247*0.7</f>
        <v>8.3999999999999986</v>
      </c>
      <c r="M247" s="9"/>
      <c r="N247" s="10">
        <f t="shared" si="50"/>
        <v>6</v>
      </c>
      <c r="O247" s="16" t="e">
        <f>N247:N247*F247:F247*#REF!</f>
        <v>#REF!</v>
      </c>
      <c r="P247" s="7"/>
    </row>
    <row r="248" spans="1:16" ht="16.95" hidden="1" customHeight="1">
      <c r="A248" s="22"/>
      <c r="B248" s="15" t="s">
        <v>292</v>
      </c>
      <c r="C248" s="18" t="e">
        <f>IF($C$3=100,#REF!,#REF!)</f>
        <v>#REF!</v>
      </c>
      <c r="D248" s="24">
        <v>0</v>
      </c>
      <c r="E248" s="15" t="str">
        <f t="shared" si="47"/>
        <v>шт.</v>
      </c>
      <c r="F248" s="24">
        <f t="shared" si="46"/>
        <v>1</v>
      </c>
      <c r="G248" s="18" t="e">
        <f t="shared" si="49"/>
        <v>#REF!</v>
      </c>
      <c r="H248" s="24">
        <v>0</v>
      </c>
      <c r="I248" s="24">
        <f t="shared" si="48"/>
        <v>0</v>
      </c>
      <c r="J248" s="24">
        <v>7</v>
      </c>
      <c r="K248" s="24">
        <v>0.5</v>
      </c>
      <c r="L248" s="24">
        <f>D248:D248*0.5</f>
        <v>0</v>
      </c>
      <c r="M248" s="17"/>
      <c r="N248" s="24">
        <f t="shared" si="50"/>
        <v>0</v>
      </c>
      <c r="O248" s="18" t="e">
        <f>N248:N248*F248:F248*#REF!</f>
        <v>#REF!</v>
      </c>
      <c r="P248" s="25"/>
    </row>
    <row r="249" spans="1:16" ht="16.95" customHeight="1">
      <c r="A249" s="7"/>
      <c r="B249" s="3" t="s">
        <v>293</v>
      </c>
      <c r="C249" s="5">
        <v>6000</v>
      </c>
      <c r="D249" s="5">
        <v>1</v>
      </c>
      <c r="E249" s="3" t="str">
        <f>IF($B$3=1,"компл.","set")</f>
        <v>компл.</v>
      </c>
      <c r="F249" s="5">
        <f t="shared" si="46"/>
        <v>1</v>
      </c>
      <c r="G249" s="5">
        <f t="shared" si="49"/>
        <v>6000</v>
      </c>
      <c r="H249" s="10">
        <v>0</v>
      </c>
      <c r="I249" s="10">
        <f t="shared" si="48"/>
        <v>0</v>
      </c>
      <c r="J249" s="10">
        <v>10</v>
      </c>
      <c r="K249" s="9"/>
      <c r="L249" s="9"/>
      <c r="M249" s="9"/>
      <c r="N249" s="10">
        <f t="shared" si="50"/>
        <v>1</v>
      </c>
      <c r="O249" s="16" t="e">
        <f>N249:N249*F249:F249*#REF!</f>
        <v>#REF!</v>
      </c>
      <c r="P249" s="3" t="s">
        <v>294</v>
      </c>
    </row>
    <row r="250" spans="1:16" ht="16.95" hidden="1" customHeight="1">
      <c r="A250" s="22"/>
      <c r="B250" s="15" t="s">
        <v>295</v>
      </c>
      <c r="C250" s="18" t="e">
        <f>IF($C$3=100,#REF!,#REF!)</f>
        <v>#REF!</v>
      </c>
      <c r="D250" s="24">
        <v>0</v>
      </c>
      <c r="E250" s="15" t="str">
        <f>IF($B$3=1,"компл.","set")</f>
        <v>компл.</v>
      </c>
      <c r="F250" s="24">
        <f t="shared" si="46"/>
        <v>1</v>
      </c>
      <c r="G250" s="18" t="e">
        <f t="shared" si="49"/>
        <v>#REF!</v>
      </c>
      <c r="H250" s="24">
        <v>0</v>
      </c>
      <c r="I250" s="24">
        <f t="shared" si="48"/>
        <v>0</v>
      </c>
      <c r="J250" s="24">
        <v>10</v>
      </c>
      <c r="K250" s="17"/>
      <c r="L250" s="17"/>
      <c r="M250" s="17"/>
      <c r="N250" s="24">
        <f t="shared" si="50"/>
        <v>0</v>
      </c>
      <c r="O250" s="18" t="e">
        <f>N250:N250*F250:F250*#REF!</f>
        <v>#REF!</v>
      </c>
      <c r="P250" s="25"/>
    </row>
    <row r="251" spans="1:16" ht="16.95" customHeight="1">
      <c r="A251" s="7"/>
      <c r="B251" s="3" t="s">
        <v>296</v>
      </c>
      <c r="C251" s="5">
        <v>500</v>
      </c>
      <c r="D251" s="5">
        <v>10</v>
      </c>
      <c r="E251" s="3" t="str">
        <f>IF($B$3=1,"шт.","pcs")</f>
        <v>шт.</v>
      </c>
      <c r="F251" s="5">
        <f t="shared" si="46"/>
        <v>1</v>
      </c>
      <c r="G251" s="5">
        <f t="shared" si="49"/>
        <v>5000</v>
      </c>
      <c r="H251" s="10">
        <v>0</v>
      </c>
      <c r="I251" s="10">
        <f t="shared" si="48"/>
        <v>0</v>
      </c>
      <c r="J251" s="10">
        <v>12</v>
      </c>
      <c r="K251" s="9"/>
      <c r="L251" s="9"/>
      <c r="M251" s="10">
        <f>ROUNDUP((D251:D251/10),0)*0.079</f>
        <v>7.9000000000000001E-2</v>
      </c>
      <c r="N251" s="10">
        <f t="shared" si="50"/>
        <v>10</v>
      </c>
      <c r="O251" s="16" t="e">
        <f>N251:N251*F251:F251*#REF!</f>
        <v>#REF!</v>
      </c>
      <c r="P251" s="7"/>
    </row>
    <row r="252" spans="1:16" ht="16.05" customHeight="1">
      <c r="A252" s="13"/>
      <c r="B252" s="13"/>
      <c r="C252" s="13"/>
      <c r="D252" s="13"/>
      <c r="E252" s="13"/>
      <c r="F252" s="13"/>
      <c r="G252" s="30">
        <f>G251+G249+G247+G246+G244+G243+G239+G237+G238+G228+G227+G219+G217+G216+G215+G214+G192+G191+G190+G189+G183+G174+G173+G171+G170+G169</f>
        <v>234550</v>
      </c>
      <c r="H252" s="17"/>
      <c r="I252" s="17"/>
      <c r="J252" s="17"/>
      <c r="K252" s="17"/>
      <c r="L252" s="24">
        <f>SUM(L168:L251)</f>
        <v>2449.9449999999993</v>
      </c>
      <c r="M252" s="24">
        <f>SUM(M168:M251)</f>
        <v>0.9456</v>
      </c>
      <c r="N252" s="17"/>
      <c r="O252" s="18" t="e">
        <f>SUM(O167:O251)</f>
        <v>#REF!</v>
      </c>
      <c r="P252" s="13"/>
    </row>
    <row r="253" spans="1:16" ht="16.05" customHeight="1">
      <c r="A253" s="7"/>
      <c r="B253" s="7"/>
      <c r="C253" s="7"/>
      <c r="D253" s="7"/>
      <c r="E253" s="7"/>
      <c r="F253" s="7"/>
      <c r="G253" s="7"/>
      <c r="H253" s="9"/>
      <c r="I253" s="9"/>
      <c r="J253" s="9"/>
      <c r="K253" s="9"/>
      <c r="L253" s="9"/>
      <c r="M253" s="9"/>
      <c r="N253" s="9"/>
      <c r="O253" s="16"/>
      <c r="P253" s="7"/>
    </row>
    <row r="254" spans="1:16" ht="16.95" customHeight="1">
      <c r="A254" s="14" t="str">
        <f>IF($B$3=1,"Световое оборудование","Light")</f>
        <v>Световое оборудование</v>
      </c>
      <c r="B254" s="13"/>
      <c r="C254" s="13"/>
      <c r="D254" s="13"/>
      <c r="E254" s="13"/>
      <c r="F254" s="13"/>
      <c r="G254" s="13"/>
      <c r="H254" s="17"/>
      <c r="I254" s="17"/>
      <c r="J254" s="17"/>
      <c r="K254" s="17"/>
      <c r="L254" s="17"/>
      <c r="M254" s="17"/>
      <c r="N254" s="17"/>
      <c r="O254" s="18"/>
      <c r="P254" s="13"/>
    </row>
    <row r="255" spans="1:16" ht="16.95" hidden="1" customHeight="1">
      <c r="A255" s="19"/>
      <c r="B255" s="12" t="s">
        <v>297</v>
      </c>
      <c r="C255" s="16" t="e">
        <f>IF($C$3=100,#REF!,#REF!)</f>
        <v>#REF!</v>
      </c>
      <c r="D255" s="9"/>
      <c r="E255" s="12" t="str">
        <f t="shared" ref="E255:E301" si="52">IF($B$3=1,"шт.","pcs")</f>
        <v>шт.</v>
      </c>
      <c r="F255" s="10">
        <f t="shared" ref="F255:F301" si="53">1+($F$3-1)/2</f>
        <v>1</v>
      </c>
      <c r="G255" s="16" t="e">
        <f t="shared" ref="G255:G286" si="54">C255*D255*F255</f>
        <v>#REF!</v>
      </c>
      <c r="H255" s="10">
        <v>2000</v>
      </c>
      <c r="I255" s="10">
        <f t="shared" ref="I255:I286" si="55">H255*D255</f>
        <v>0</v>
      </c>
      <c r="J255" s="10">
        <v>8</v>
      </c>
      <c r="K255" s="10">
        <v>36.6</v>
      </c>
      <c r="L255" s="10">
        <f>ROUNDUP((D255:D255/2),0)*167.4</f>
        <v>0</v>
      </c>
      <c r="M255" s="10">
        <f>ROUNDUP((D255:D255/2),0)*0.748</f>
        <v>0</v>
      </c>
      <c r="N255" s="10">
        <f t="shared" ref="N255:N286" si="56">IF(D255:D255=0,0,IF(J255:J255=0,0,IF(D255:D255&lt;J255:J255,D255:D255,J255:J255)))</f>
        <v>0</v>
      </c>
      <c r="O255" s="16" t="e">
        <f>N255:N255*F255:F255*#REF!</f>
        <v>#REF!</v>
      </c>
      <c r="P255" s="21"/>
    </row>
    <row r="256" spans="1:16" ht="16.95" customHeight="1">
      <c r="A256" s="13"/>
      <c r="B256" s="14" t="s">
        <v>298</v>
      </c>
      <c r="C256" s="26">
        <v>3600</v>
      </c>
      <c r="D256" s="26">
        <v>16</v>
      </c>
      <c r="E256" s="14" t="str">
        <f t="shared" si="52"/>
        <v>шт.</v>
      </c>
      <c r="F256" s="26">
        <f t="shared" si="53"/>
        <v>1</v>
      </c>
      <c r="G256" s="26">
        <f t="shared" si="54"/>
        <v>57600</v>
      </c>
      <c r="H256" s="24">
        <v>1020</v>
      </c>
      <c r="I256" s="24">
        <f t="shared" si="55"/>
        <v>16320</v>
      </c>
      <c r="J256" s="24">
        <v>22</v>
      </c>
      <c r="K256" s="24">
        <v>28.7</v>
      </c>
      <c r="L256" s="24">
        <f>ROUNDUP((D256:D256/2),0)*105.7</f>
        <v>845.6</v>
      </c>
      <c r="M256" s="24">
        <f>ROUNDUP((D256:D256/2),0)*0.522</f>
        <v>4.1760000000000002</v>
      </c>
      <c r="N256" s="24">
        <f t="shared" si="56"/>
        <v>16</v>
      </c>
      <c r="O256" s="18" t="e">
        <f>N256:N256*F256:F256*#REF!</f>
        <v>#REF!</v>
      </c>
      <c r="P256" s="13"/>
    </row>
    <row r="257" spans="1:16" ht="16.95" hidden="1" customHeight="1">
      <c r="A257" s="19"/>
      <c r="B257" s="12" t="s">
        <v>299</v>
      </c>
      <c r="C257" s="16" t="e">
        <f>IF($C$3=100,#REF!,#REF!)</f>
        <v>#REF!</v>
      </c>
      <c r="D257" s="10">
        <v>0</v>
      </c>
      <c r="E257" s="12" t="str">
        <f t="shared" si="52"/>
        <v>шт.</v>
      </c>
      <c r="F257" s="10">
        <f t="shared" si="53"/>
        <v>1</v>
      </c>
      <c r="G257" s="16" t="e">
        <f t="shared" si="54"/>
        <v>#REF!</v>
      </c>
      <c r="H257" s="10">
        <v>1020</v>
      </c>
      <c r="I257" s="10">
        <f t="shared" si="55"/>
        <v>0</v>
      </c>
      <c r="J257" s="10">
        <v>0</v>
      </c>
      <c r="K257" s="10">
        <v>25.3</v>
      </c>
      <c r="L257" s="10">
        <f>ROUNDUP((D257:D257/2),0)*105.7</f>
        <v>0</v>
      </c>
      <c r="M257" s="10">
        <f>ROUNDUP((D257:D257/2),0)*0.522</f>
        <v>0</v>
      </c>
      <c r="N257" s="10">
        <f t="shared" si="56"/>
        <v>0</v>
      </c>
      <c r="O257" s="16" t="e">
        <f>N257:N257*F257:F257*#REF!</f>
        <v>#REF!</v>
      </c>
      <c r="P257" s="21"/>
    </row>
    <row r="258" spans="1:16" ht="16.95" hidden="1" customHeight="1">
      <c r="A258" s="22"/>
      <c r="B258" s="15" t="s">
        <v>300</v>
      </c>
      <c r="C258" s="18" t="e">
        <f>IF($C$3=100,#REF!,#REF!)</f>
        <v>#REF!</v>
      </c>
      <c r="D258" s="24">
        <v>0</v>
      </c>
      <c r="E258" s="15" t="str">
        <f t="shared" si="52"/>
        <v>шт.</v>
      </c>
      <c r="F258" s="24">
        <f t="shared" si="53"/>
        <v>1</v>
      </c>
      <c r="G258" s="18" t="e">
        <f t="shared" si="54"/>
        <v>#REF!</v>
      </c>
      <c r="H258" s="24">
        <v>1600</v>
      </c>
      <c r="I258" s="24">
        <f t="shared" si="55"/>
        <v>0</v>
      </c>
      <c r="J258" s="24">
        <v>0</v>
      </c>
      <c r="K258" s="24">
        <v>51.5</v>
      </c>
      <c r="L258" s="17"/>
      <c r="M258" s="24">
        <f>ROUNDUP((D258:D258/2),0)*0.765</f>
        <v>0</v>
      </c>
      <c r="N258" s="24">
        <f t="shared" si="56"/>
        <v>0</v>
      </c>
      <c r="O258" s="18" t="e">
        <f>N258:N258*F258:F258*#REF!</f>
        <v>#REF!</v>
      </c>
      <c r="P258" s="25"/>
    </row>
    <row r="259" spans="1:16" ht="16.95" hidden="1" customHeight="1">
      <c r="A259" s="19"/>
      <c r="B259" s="12" t="s">
        <v>301</v>
      </c>
      <c r="C259" s="16" t="e">
        <f>IF($C$3=100,#REF!,#REF!)</f>
        <v>#REF!</v>
      </c>
      <c r="D259" s="10">
        <v>0</v>
      </c>
      <c r="E259" s="12" t="str">
        <f t="shared" si="52"/>
        <v>шт.</v>
      </c>
      <c r="F259" s="10">
        <f t="shared" si="53"/>
        <v>1</v>
      </c>
      <c r="G259" s="16" t="e">
        <f t="shared" si="54"/>
        <v>#REF!</v>
      </c>
      <c r="H259" s="10">
        <v>1480</v>
      </c>
      <c r="I259" s="10">
        <f t="shared" si="55"/>
        <v>0</v>
      </c>
      <c r="J259" s="10">
        <v>0</v>
      </c>
      <c r="K259" s="10">
        <v>42</v>
      </c>
      <c r="L259" s="9"/>
      <c r="M259" s="10">
        <f>ROUNDUP((D259:D259/2),0)*0.765</f>
        <v>0</v>
      </c>
      <c r="N259" s="10">
        <f t="shared" si="56"/>
        <v>0</v>
      </c>
      <c r="O259" s="16" t="e">
        <f>N259:N259*F259:F259*#REF!</f>
        <v>#REF!</v>
      </c>
      <c r="P259" s="21"/>
    </row>
    <row r="260" spans="1:16" ht="16.95" customHeight="1">
      <c r="A260" s="13"/>
      <c r="B260" s="14" t="s">
        <v>302</v>
      </c>
      <c r="C260" s="26">
        <v>3600</v>
      </c>
      <c r="D260" s="26">
        <v>16</v>
      </c>
      <c r="E260" s="14" t="str">
        <f t="shared" si="52"/>
        <v>шт.</v>
      </c>
      <c r="F260" s="26">
        <f t="shared" si="53"/>
        <v>1</v>
      </c>
      <c r="G260" s="26">
        <f t="shared" si="54"/>
        <v>57600</v>
      </c>
      <c r="H260" s="24">
        <v>600</v>
      </c>
      <c r="I260" s="24">
        <f t="shared" si="55"/>
        <v>9600</v>
      </c>
      <c r="J260" s="24">
        <v>0</v>
      </c>
      <c r="K260" s="24">
        <v>13.3</v>
      </c>
      <c r="L260" s="17"/>
      <c r="M260" s="17"/>
      <c r="N260" s="24">
        <f t="shared" si="56"/>
        <v>0</v>
      </c>
      <c r="O260" s="18" t="e">
        <f>N260:N260*F260:F260*#REF!</f>
        <v>#REF!</v>
      </c>
      <c r="P260" s="13"/>
    </row>
    <row r="261" spans="1:16" ht="16.95" customHeight="1">
      <c r="A261" s="7"/>
      <c r="B261" s="3" t="s">
        <v>303</v>
      </c>
      <c r="C261" s="5">
        <v>3200</v>
      </c>
      <c r="D261" s="5">
        <v>12</v>
      </c>
      <c r="E261" s="3" t="str">
        <f t="shared" si="52"/>
        <v>шт.</v>
      </c>
      <c r="F261" s="5">
        <f t="shared" si="53"/>
        <v>1</v>
      </c>
      <c r="G261" s="5">
        <f t="shared" si="54"/>
        <v>38400</v>
      </c>
      <c r="H261" s="10">
        <v>470</v>
      </c>
      <c r="I261" s="10">
        <f t="shared" si="55"/>
        <v>5640</v>
      </c>
      <c r="J261" s="10">
        <v>24</v>
      </c>
      <c r="K261" s="10">
        <v>16.8</v>
      </c>
      <c r="L261" s="10">
        <f>ROUNDUP((D261:D261/4),0)*131.1</f>
        <v>393.29999999999995</v>
      </c>
      <c r="M261" s="10">
        <f>ROUNDUP((D261:D261/4),0)*0.46</f>
        <v>1.3800000000000001</v>
      </c>
      <c r="N261" s="10">
        <f t="shared" si="56"/>
        <v>12</v>
      </c>
      <c r="O261" s="16" t="e">
        <f>N261:N261*F261:F261*#REF!</f>
        <v>#REF!</v>
      </c>
      <c r="P261" s="7"/>
    </row>
    <row r="262" spans="1:16" ht="16.95" customHeight="1">
      <c r="A262" s="13"/>
      <c r="B262" s="14" t="s">
        <v>304</v>
      </c>
      <c r="C262" s="26">
        <v>2500</v>
      </c>
      <c r="D262" s="26">
        <v>12</v>
      </c>
      <c r="E262" s="14" t="str">
        <f t="shared" si="52"/>
        <v>шт.</v>
      </c>
      <c r="F262" s="26">
        <f t="shared" si="53"/>
        <v>1</v>
      </c>
      <c r="G262" s="26">
        <f t="shared" si="54"/>
        <v>30000</v>
      </c>
      <c r="H262" s="24">
        <v>415</v>
      </c>
      <c r="I262" s="24">
        <f t="shared" si="55"/>
        <v>4980</v>
      </c>
      <c r="J262" s="24">
        <v>24</v>
      </c>
      <c r="K262" s="24">
        <v>12.1</v>
      </c>
      <c r="L262" s="24">
        <f>ROUNDUP((D262:D262/6),0)*131.4</f>
        <v>262.8</v>
      </c>
      <c r="M262" s="24">
        <f>ROUNDUP((D262:D262/6),0)*0.46</f>
        <v>0.92</v>
      </c>
      <c r="N262" s="24">
        <f t="shared" si="56"/>
        <v>12</v>
      </c>
      <c r="O262" s="18" t="e">
        <f>N262:N262*F262:F262*#REF!</f>
        <v>#REF!</v>
      </c>
      <c r="P262" s="13"/>
    </row>
    <row r="263" spans="1:16" ht="16.95" hidden="1" customHeight="1">
      <c r="A263" s="19"/>
      <c r="B263" s="12" t="s">
        <v>305</v>
      </c>
      <c r="C263" s="16" t="e">
        <f>IF($C$3=100,#REF!,#REF!)</f>
        <v>#REF!</v>
      </c>
      <c r="D263" s="10">
        <v>0</v>
      </c>
      <c r="E263" s="12" t="str">
        <f t="shared" si="52"/>
        <v>шт.</v>
      </c>
      <c r="F263" s="10">
        <f t="shared" si="53"/>
        <v>1</v>
      </c>
      <c r="G263" s="16" t="e">
        <f t="shared" si="54"/>
        <v>#REF!</v>
      </c>
      <c r="H263" s="10">
        <v>400</v>
      </c>
      <c r="I263" s="10">
        <f t="shared" si="55"/>
        <v>0</v>
      </c>
      <c r="J263" s="10">
        <v>0</v>
      </c>
      <c r="K263" s="10">
        <v>19</v>
      </c>
      <c r="L263" s="9"/>
      <c r="M263" s="9"/>
      <c r="N263" s="10">
        <f t="shared" si="56"/>
        <v>0</v>
      </c>
      <c r="O263" s="16" t="e">
        <f>N263:N263*F263:F263*#REF!</f>
        <v>#REF!</v>
      </c>
      <c r="P263" s="21"/>
    </row>
    <row r="264" spans="1:16" ht="16.95" customHeight="1">
      <c r="A264" s="13"/>
      <c r="B264" s="14" t="s">
        <v>306</v>
      </c>
      <c r="C264" s="26">
        <v>1500</v>
      </c>
      <c r="D264" s="26">
        <v>12</v>
      </c>
      <c r="E264" s="14" t="str">
        <f t="shared" si="52"/>
        <v>шт.</v>
      </c>
      <c r="F264" s="26">
        <f t="shared" si="53"/>
        <v>1</v>
      </c>
      <c r="G264" s="26">
        <f t="shared" si="54"/>
        <v>18000</v>
      </c>
      <c r="H264" s="24">
        <v>200</v>
      </c>
      <c r="I264" s="24">
        <f t="shared" si="55"/>
        <v>2400</v>
      </c>
      <c r="J264" s="24">
        <v>24</v>
      </c>
      <c r="K264" s="24">
        <v>5.6</v>
      </c>
      <c r="L264" s="24">
        <f>ROUNDUP((D264:D264/12),0)*116.3</f>
        <v>116.3</v>
      </c>
      <c r="M264" s="24">
        <f>ROUNDUP((D264:D264/12),0)*0.612</f>
        <v>0.61199999999999999</v>
      </c>
      <c r="N264" s="24">
        <f t="shared" si="56"/>
        <v>12</v>
      </c>
      <c r="O264" s="18" t="e">
        <f>N264:N264*F264:F264*#REF!</f>
        <v>#REF!</v>
      </c>
      <c r="P264" s="13"/>
    </row>
    <row r="265" spans="1:16" ht="16.95" hidden="1" customHeight="1">
      <c r="A265" s="19"/>
      <c r="B265" s="12" t="s">
        <v>307</v>
      </c>
      <c r="C265" s="16" t="e">
        <f>IF($C$3=100,#REF!,#REF!)</f>
        <v>#REF!</v>
      </c>
      <c r="D265" s="10">
        <v>0</v>
      </c>
      <c r="E265" s="12" t="str">
        <f t="shared" si="52"/>
        <v>шт.</v>
      </c>
      <c r="F265" s="10">
        <f t="shared" si="53"/>
        <v>1</v>
      </c>
      <c r="G265" s="16" t="e">
        <f t="shared" si="54"/>
        <v>#REF!</v>
      </c>
      <c r="H265" s="10">
        <v>760</v>
      </c>
      <c r="I265" s="10">
        <f t="shared" si="55"/>
        <v>0</v>
      </c>
      <c r="J265" s="10">
        <v>0</v>
      </c>
      <c r="K265" s="10">
        <v>34.5</v>
      </c>
      <c r="L265" s="10">
        <f>ROUNDUP((D265:D265/2),0)*122.7</f>
        <v>0</v>
      </c>
      <c r="M265" s="10">
        <f>ROUNDUP((D265:D265/2),0)*0.518</f>
        <v>0</v>
      </c>
      <c r="N265" s="10">
        <f t="shared" si="56"/>
        <v>0</v>
      </c>
      <c r="O265" s="16" t="e">
        <f>N265:N265*F265:F265*#REF!</f>
        <v>#REF!</v>
      </c>
      <c r="P265" s="21"/>
    </row>
    <row r="266" spans="1:16" ht="16.95" hidden="1" customHeight="1">
      <c r="A266" s="22"/>
      <c r="B266" s="15" t="s">
        <v>308</v>
      </c>
      <c r="C266" s="18" t="e">
        <f>IF($C$3=100,#REF!,#REF!)</f>
        <v>#REF!</v>
      </c>
      <c r="D266" s="24">
        <v>0</v>
      </c>
      <c r="E266" s="15" t="str">
        <f t="shared" si="52"/>
        <v>шт.</v>
      </c>
      <c r="F266" s="24">
        <f t="shared" si="53"/>
        <v>1</v>
      </c>
      <c r="G266" s="18" t="e">
        <f t="shared" si="54"/>
        <v>#REF!</v>
      </c>
      <c r="H266" s="24">
        <v>720</v>
      </c>
      <c r="I266" s="24">
        <f t="shared" si="55"/>
        <v>0</v>
      </c>
      <c r="J266" s="24">
        <v>8</v>
      </c>
      <c r="K266" s="24">
        <v>34.5</v>
      </c>
      <c r="L266" s="24">
        <f>ROUNDUP((D266:D266/2),0)*122.7</f>
        <v>0</v>
      </c>
      <c r="M266" s="24">
        <f>ROUNDUP((D266:D266/2),0)*0.518</f>
        <v>0</v>
      </c>
      <c r="N266" s="24">
        <f t="shared" si="56"/>
        <v>0</v>
      </c>
      <c r="O266" s="18" t="e">
        <f>N266:N266*F266:F266*#REF!</f>
        <v>#REF!</v>
      </c>
      <c r="P266" s="25"/>
    </row>
    <row r="267" spans="1:16" ht="16.95" customHeight="1">
      <c r="A267" s="7"/>
      <c r="B267" s="3" t="s">
        <v>309</v>
      </c>
      <c r="C267" s="5">
        <v>3500</v>
      </c>
      <c r="D267" s="5">
        <v>12</v>
      </c>
      <c r="E267" s="3" t="str">
        <f t="shared" si="52"/>
        <v>шт.</v>
      </c>
      <c r="F267" s="5">
        <f t="shared" si="53"/>
        <v>1</v>
      </c>
      <c r="G267" s="5">
        <f t="shared" si="54"/>
        <v>42000</v>
      </c>
      <c r="H267" s="10">
        <v>2700</v>
      </c>
      <c r="I267" s="10">
        <f t="shared" si="55"/>
        <v>32400</v>
      </c>
      <c r="J267" s="10">
        <v>0</v>
      </c>
      <c r="K267" s="10">
        <v>69</v>
      </c>
      <c r="L267" s="10">
        <f>D267:D267*K267:K267</f>
        <v>828</v>
      </c>
      <c r="M267" s="10">
        <f>D267:D267*0.04</f>
        <v>0.48</v>
      </c>
      <c r="N267" s="10">
        <f t="shared" si="56"/>
        <v>0</v>
      </c>
      <c r="O267" s="16" t="e">
        <f>N267:N267*F267:F267*#REF!</f>
        <v>#REF!</v>
      </c>
      <c r="P267" s="7"/>
    </row>
    <row r="268" spans="1:16" ht="16.95" hidden="1" customHeight="1">
      <c r="A268" s="22"/>
      <c r="B268" s="15" t="s">
        <v>310</v>
      </c>
      <c r="C268" s="18" t="e">
        <f>IF($C$3=100,#REF!,#REF!)</f>
        <v>#REF!</v>
      </c>
      <c r="D268" s="24">
        <v>0</v>
      </c>
      <c r="E268" s="15" t="str">
        <f t="shared" si="52"/>
        <v>шт.</v>
      </c>
      <c r="F268" s="24">
        <f t="shared" si="53"/>
        <v>1</v>
      </c>
      <c r="G268" s="18" t="e">
        <f t="shared" si="54"/>
        <v>#REF!</v>
      </c>
      <c r="H268" s="24">
        <v>520</v>
      </c>
      <c r="I268" s="24">
        <f t="shared" si="55"/>
        <v>0</v>
      </c>
      <c r="J268" s="24">
        <v>22</v>
      </c>
      <c r="K268" s="24">
        <v>35.4</v>
      </c>
      <c r="L268" s="24">
        <f>ROUNDUP((D268:D268/2),0)*113</f>
        <v>0</v>
      </c>
      <c r="M268" s="24">
        <f>ROUNDUP((D268:D268/2),0)*0.36</f>
        <v>0</v>
      </c>
      <c r="N268" s="24">
        <f t="shared" si="56"/>
        <v>0</v>
      </c>
      <c r="O268" s="18" t="e">
        <f>N268:N268*F268:F268*#REF!</f>
        <v>#REF!</v>
      </c>
      <c r="P268" s="25"/>
    </row>
    <row r="269" spans="1:16" ht="16.95" hidden="1" customHeight="1">
      <c r="A269" s="19"/>
      <c r="B269" s="12" t="s">
        <v>311</v>
      </c>
      <c r="C269" s="16" t="e">
        <f>IF($C$3=100,#REF!,#REF!)</f>
        <v>#REF!</v>
      </c>
      <c r="D269" s="10">
        <v>0</v>
      </c>
      <c r="E269" s="12" t="str">
        <f t="shared" si="52"/>
        <v>шт.</v>
      </c>
      <c r="F269" s="10">
        <f t="shared" si="53"/>
        <v>1</v>
      </c>
      <c r="G269" s="16" t="e">
        <f t="shared" si="54"/>
        <v>#REF!</v>
      </c>
      <c r="H269" s="10">
        <v>400</v>
      </c>
      <c r="I269" s="10">
        <f t="shared" si="55"/>
        <v>0</v>
      </c>
      <c r="J269" s="10">
        <v>12</v>
      </c>
      <c r="K269" s="10">
        <v>24.1</v>
      </c>
      <c r="L269" s="10">
        <f>ROUNDUP((D269:D269/2),0)*83.5</f>
        <v>0</v>
      </c>
      <c r="M269" s="10">
        <f>ROUNDUP((D269:D269/2),0)*0.88</f>
        <v>0</v>
      </c>
      <c r="N269" s="10">
        <f t="shared" si="56"/>
        <v>0</v>
      </c>
      <c r="O269" s="16" t="e">
        <f>N269:N269*F269:F269*#REF!</f>
        <v>#REF!</v>
      </c>
      <c r="P269" s="21"/>
    </row>
    <row r="270" spans="1:16" ht="16.95" customHeight="1">
      <c r="A270" s="13"/>
      <c r="B270" s="14" t="s">
        <v>312</v>
      </c>
      <c r="C270" s="26">
        <v>3000</v>
      </c>
      <c r="D270" s="26">
        <v>16</v>
      </c>
      <c r="E270" s="14" t="str">
        <f t="shared" si="52"/>
        <v>шт.</v>
      </c>
      <c r="F270" s="26">
        <f t="shared" si="53"/>
        <v>1</v>
      </c>
      <c r="G270" s="26">
        <f t="shared" si="54"/>
        <v>48000</v>
      </c>
      <c r="H270" s="24">
        <v>150</v>
      </c>
      <c r="I270" s="24">
        <f t="shared" si="55"/>
        <v>2400</v>
      </c>
      <c r="J270" s="24">
        <v>0</v>
      </c>
      <c r="K270" s="24">
        <v>12.4</v>
      </c>
      <c r="L270" s="17"/>
      <c r="M270" s="24">
        <v>0</v>
      </c>
      <c r="N270" s="24">
        <f t="shared" si="56"/>
        <v>0</v>
      </c>
      <c r="O270" s="18" t="e">
        <f>N270:N270*F270:F270*#REF!</f>
        <v>#REF!</v>
      </c>
      <c r="P270" s="13"/>
    </row>
    <row r="271" spans="1:16" ht="16.95" hidden="1" customHeight="1">
      <c r="A271" s="19"/>
      <c r="B271" s="12" t="s">
        <v>313</v>
      </c>
      <c r="C271" s="16" t="e">
        <f>IF($C$3=100,#REF!,#REF!)</f>
        <v>#REF!</v>
      </c>
      <c r="D271" s="10">
        <v>0</v>
      </c>
      <c r="E271" s="12" t="str">
        <f t="shared" si="52"/>
        <v>шт.</v>
      </c>
      <c r="F271" s="10">
        <f t="shared" si="53"/>
        <v>1</v>
      </c>
      <c r="G271" s="16" t="e">
        <f t="shared" si="54"/>
        <v>#REF!</v>
      </c>
      <c r="H271" s="10">
        <v>170</v>
      </c>
      <c r="I271" s="10">
        <f t="shared" si="55"/>
        <v>0</v>
      </c>
      <c r="J271" s="10">
        <v>0</v>
      </c>
      <c r="K271" s="10">
        <v>11.1</v>
      </c>
      <c r="L271" s="9"/>
      <c r="M271" s="9"/>
      <c r="N271" s="10">
        <f t="shared" si="56"/>
        <v>0</v>
      </c>
      <c r="O271" s="16" t="e">
        <f>N271:N271*F271:F271*#REF!</f>
        <v>#REF!</v>
      </c>
      <c r="P271" s="21"/>
    </row>
    <row r="272" spans="1:16" ht="34.049999999999997" hidden="1" customHeight="1">
      <c r="A272" s="22"/>
      <c r="B272" s="23" t="s">
        <v>314</v>
      </c>
      <c r="C272" s="18" t="e">
        <f>IF($C$3=100,#REF!,#REF!)</f>
        <v>#REF!</v>
      </c>
      <c r="D272" s="24">
        <v>0</v>
      </c>
      <c r="E272" s="15" t="str">
        <f t="shared" si="52"/>
        <v>шт.</v>
      </c>
      <c r="F272" s="24">
        <f t="shared" si="53"/>
        <v>1</v>
      </c>
      <c r="G272" s="18" t="e">
        <f t="shared" si="54"/>
        <v>#REF!</v>
      </c>
      <c r="H272" s="24">
        <v>90</v>
      </c>
      <c r="I272" s="24">
        <f t="shared" si="55"/>
        <v>0</v>
      </c>
      <c r="J272" s="24">
        <v>12</v>
      </c>
      <c r="K272" s="24">
        <v>9.8000000000000007</v>
      </c>
      <c r="L272" s="24">
        <f>ROUNDUP((D272:D272/4),0)*71.7</f>
        <v>0</v>
      </c>
      <c r="M272" s="24">
        <f>ROUNDUP((D272:D272/4),0)*0.32</f>
        <v>0</v>
      </c>
      <c r="N272" s="24">
        <f t="shared" si="56"/>
        <v>0</v>
      </c>
      <c r="O272" s="18" t="e">
        <f>N272:N272*F272:F272*#REF!</f>
        <v>#REF!</v>
      </c>
      <c r="P272" s="25"/>
    </row>
    <row r="273" spans="1:16" ht="16.95" hidden="1" customHeight="1">
      <c r="A273" s="19"/>
      <c r="B273" s="12" t="s">
        <v>315</v>
      </c>
      <c r="C273" s="16" t="e">
        <f>IF($C$3=100,#REF!,#REF!)</f>
        <v>#REF!</v>
      </c>
      <c r="D273" s="10">
        <v>0</v>
      </c>
      <c r="E273" s="12" t="str">
        <f t="shared" si="52"/>
        <v>шт.</v>
      </c>
      <c r="F273" s="10">
        <f t="shared" si="53"/>
        <v>1</v>
      </c>
      <c r="G273" s="16" t="e">
        <f t="shared" si="54"/>
        <v>#REF!</v>
      </c>
      <c r="H273" s="10">
        <v>90</v>
      </c>
      <c r="I273" s="10">
        <f t="shared" si="55"/>
        <v>0</v>
      </c>
      <c r="J273" s="10">
        <v>12</v>
      </c>
      <c r="K273" s="10">
        <v>9.8000000000000007</v>
      </c>
      <c r="L273" s="10">
        <f>ROUNDUP((D273:D273/4),0)*71.7</f>
        <v>0</v>
      </c>
      <c r="M273" s="10">
        <f>ROUNDUP((D273:D273/4),0)*0.32</f>
        <v>0</v>
      </c>
      <c r="N273" s="10">
        <f t="shared" si="56"/>
        <v>0</v>
      </c>
      <c r="O273" s="16" t="e">
        <f>N273:N273*F273:F273*#REF!</f>
        <v>#REF!</v>
      </c>
      <c r="P273" s="21"/>
    </row>
    <row r="274" spans="1:16" ht="16.95" hidden="1" customHeight="1">
      <c r="A274" s="22"/>
      <c r="B274" s="15" t="s">
        <v>316</v>
      </c>
      <c r="C274" s="18" t="e">
        <f>IF($C$3=100,#REF!,#REF!)</f>
        <v>#REF!</v>
      </c>
      <c r="D274" s="24">
        <v>0</v>
      </c>
      <c r="E274" s="15" t="str">
        <f t="shared" si="52"/>
        <v>шт.</v>
      </c>
      <c r="F274" s="24">
        <f t="shared" si="53"/>
        <v>1</v>
      </c>
      <c r="G274" s="18" t="e">
        <f t="shared" si="54"/>
        <v>#REF!</v>
      </c>
      <c r="H274" s="24">
        <v>80</v>
      </c>
      <c r="I274" s="24">
        <f t="shared" si="55"/>
        <v>0</v>
      </c>
      <c r="J274" s="24">
        <v>0</v>
      </c>
      <c r="K274" s="24">
        <v>6.5</v>
      </c>
      <c r="L274" s="17"/>
      <c r="M274" s="17"/>
      <c r="N274" s="24">
        <f t="shared" si="56"/>
        <v>0</v>
      </c>
      <c r="O274" s="18" t="e">
        <f>N274:N274*F274:F274*#REF!</f>
        <v>#REF!</v>
      </c>
      <c r="P274" s="25"/>
    </row>
    <row r="275" spans="1:16" ht="34.049999999999997" hidden="1" customHeight="1">
      <c r="A275" s="19"/>
      <c r="B275" s="12" t="s">
        <v>317</v>
      </c>
      <c r="C275" s="16" t="e">
        <f>IF($C$3=100,#REF!,#REF!)</f>
        <v>#REF!</v>
      </c>
      <c r="D275" s="10">
        <v>0</v>
      </c>
      <c r="E275" s="12" t="str">
        <f t="shared" si="52"/>
        <v>шт.</v>
      </c>
      <c r="F275" s="10">
        <f t="shared" si="53"/>
        <v>1</v>
      </c>
      <c r="G275" s="16" t="e">
        <f t="shared" si="54"/>
        <v>#REF!</v>
      </c>
      <c r="H275" s="10">
        <v>150</v>
      </c>
      <c r="I275" s="10">
        <f t="shared" si="55"/>
        <v>0</v>
      </c>
      <c r="J275" s="10">
        <v>6</v>
      </c>
      <c r="K275" s="10">
        <v>4.5999999999999996</v>
      </c>
      <c r="L275" s="10">
        <f>ROUNDUP((D275:D275/2),0)*13</f>
        <v>0</v>
      </c>
      <c r="M275" s="10">
        <f>ROUNDUP((D275:D275/2),0)*0.74</f>
        <v>0</v>
      </c>
      <c r="N275" s="10">
        <f t="shared" si="56"/>
        <v>0</v>
      </c>
      <c r="O275" s="16" t="e">
        <f>N275:N275*F275:F275*#REF!</f>
        <v>#REF!</v>
      </c>
      <c r="P275" s="21"/>
    </row>
    <row r="276" spans="1:16" ht="34.049999999999997" hidden="1" customHeight="1">
      <c r="A276" s="22"/>
      <c r="B276" s="15" t="s">
        <v>318</v>
      </c>
      <c r="C276" s="18" t="e">
        <f>IF($C$3=100,#REF!,#REF!)</f>
        <v>#REF!</v>
      </c>
      <c r="D276" s="24">
        <v>0</v>
      </c>
      <c r="E276" s="15" t="str">
        <f t="shared" si="52"/>
        <v>шт.</v>
      </c>
      <c r="F276" s="24">
        <f t="shared" si="53"/>
        <v>1</v>
      </c>
      <c r="G276" s="18" t="e">
        <f t="shared" si="54"/>
        <v>#REF!</v>
      </c>
      <c r="H276" s="24">
        <v>50</v>
      </c>
      <c r="I276" s="24">
        <f t="shared" si="55"/>
        <v>0</v>
      </c>
      <c r="J276" s="24">
        <v>0</v>
      </c>
      <c r="K276" s="24">
        <v>2</v>
      </c>
      <c r="L276" s="24">
        <f>ROUNDUP((D276:D276/4),0)*13.7</f>
        <v>0</v>
      </c>
      <c r="M276" s="24">
        <f>ROUNDUP((D276:D276/4),0)*0.112</f>
        <v>0</v>
      </c>
      <c r="N276" s="24">
        <f t="shared" si="56"/>
        <v>0</v>
      </c>
      <c r="O276" s="18" t="e">
        <f>N276:N276*F276:F276*#REF!</f>
        <v>#REF!</v>
      </c>
      <c r="P276" s="25"/>
    </row>
    <row r="277" spans="1:16" ht="16.95" hidden="1" customHeight="1">
      <c r="A277" s="19"/>
      <c r="B277" s="12" t="s">
        <v>319</v>
      </c>
      <c r="C277" s="16" t="e">
        <f>IF($C$3=100,#REF!,#REF!)</f>
        <v>#REF!</v>
      </c>
      <c r="D277" s="10">
        <v>0</v>
      </c>
      <c r="E277" s="12" t="str">
        <f t="shared" si="52"/>
        <v>шт.</v>
      </c>
      <c r="F277" s="10">
        <f t="shared" si="53"/>
        <v>1</v>
      </c>
      <c r="G277" s="16" t="e">
        <f t="shared" si="54"/>
        <v>#REF!</v>
      </c>
      <c r="H277" s="10">
        <v>95</v>
      </c>
      <c r="I277" s="10">
        <f t="shared" si="55"/>
        <v>0</v>
      </c>
      <c r="J277" s="10">
        <v>0</v>
      </c>
      <c r="K277" s="10">
        <v>7.1</v>
      </c>
      <c r="L277" s="9"/>
      <c r="M277" s="9"/>
      <c r="N277" s="10">
        <f t="shared" si="56"/>
        <v>0</v>
      </c>
      <c r="O277" s="16" t="e">
        <f>N277:N277*F277:F277*#REF!</f>
        <v>#REF!</v>
      </c>
      <c r="P277" s="21"/>
    </row>
    <row r="278" spans="1:16" ht="16.95" hidden="1" customHeight="1">
      <c r="A278" s="22"/>
      <c r="B278" s="15" t="s">
        <v>320</v>
      </c>
      <c r="C278" s="18" t="e">
        <f>IF($C$3=100,#REF!,#REF!)</f>
        <v>#REF!</v>
      </c>
      <c r="D278" s="24">
        <v>0</v>
      </c>
      <c r="E278" s="15" t="str">
        <f t="shared" si="52"/>
        <v>шт.</v>
      </c>
      <c r="F278" s="24">
        <f t="shared" si="53"/>
        <v>1</v>
      </c>
      <c r="G278" s="18" t="e">
        <f t="shared" si="54"/>
        <v>#REF!</v>
      </c>
      <c r="H278" s="24">
        <v>0</v>
      </c>
      <c r="I278" s="24">
        <f t="shared" si="55"/>
        <v>0</v>
      </c>
      <c r="J278" s="24">
        <v>0</v>
      </c>
      <c r="K278" s="24">
        <v>15</v>
      </c>
      <c r="L278" s="17"/>
      <c r="M278" s="17"/>
      <c r="N278" s="24">
        <f t="shared" si="56"/>
        <v>0</v>
      </c>
      <c r="O278" s="18" t="e">
        <f>N278:N278*F278:F278*#REF!</f>
        <v>#REF!</v>
      </c>
      <c r="P278" s="25"/>
    </row>
    <row r="279" spans="1:16" ht="16.95" customHeight="1">
      <c r="A279" s="7"/>
      <c r="B279" s="3" t="s">
        <v>321</v>
      </c>
      <c r="C279" s="5">
        <v>2000</v>
      </c>
      <c r="D279" s="5">
        <v>8</v>
      </c>
      <c r="E279" s="3" t="str">
        <f t="shared" si="52"/>
        <v>шт.</v>
      </c>
      <c r="F279" s="5">
        <f t="shared" si="53"/>
        <v>1</v>
      </c>
      <c r="G279" s="5">
        <f t="shared" si="54"/>
        <v>16000</v>
      </c>
      <c r="H279" s="10">
        <v>1500</v>
      </c>
      <c r="I279" s="10">
        <f t="shared" si="55"/>
        <v>12000</v>
      </c>
      <c r="J279" s="10">
        <v>11</v>
      </c>
      <c r="K279" s="10">
        <v>8.4</v>
      </c>
      <c r="L279" s="10">
        <f>ROUNDUP((D279:D279/2),0)*31.9</f>
        <v>127.6</v>
      </c>
      <c r="M279" s="10">
        <f>ROUNDUP((D279:D279/2),0)*1</f>
        <v>4</v>
      </c>
      <c r="N279" s="10">
        <f t="shared" si="56"/>
        <v>8</v>
      </c>
      <c r="O279" s="16" t="e">
        <f>N279:N279*F279:F279*#REF!</f>
        <v>#REF!</v>
      </c>
      <c r="P279" s="7"/>
    </row>
    <row r="280" spans="1:16" ht="16.95" hidden="1" customHeight="1">
      <c r="A280" s="22"/>
      <c r="B280" s="15" t="s">
        <v>322</v>
      </c>
      <c r="C280" s="18" t="e">
        <f>IF($C$3=100,#REF!,#REF!)</f>
        <v>#REF!</v>
      </c>
      <c r="D280" s="24">
        <v>0</v>
      </c>
      <c r="E280" s="15" t="str">
        <f t="shared" si="52"/>
        <v>шт.</v>
      </c>
      <c r="F280" s="24">
        <f t="shared" si="53"/>
        <v>1</v>
      </c>
      <c r="G280" s="18" t="e">
        <f t="shared" si="54"/>
        <v>#REF!</v>
      </c>
      <c r="H280" s="24">
        <v>400</v>
      </c>
      <c r="I280" s="24">
        <f t="shared" si="55"/>
        <v>0</v>
      </c>
      <c r="J280" s="24">
        <v>4</v>
      </c>
      <c r="K280" s="24">
        <v>7.1</v>
      </c>
      <c r="L280" s="24">
        <f>D280:D280*28.9</f>
        <v>0</v>
      </c>
      <c r="M280" s="24">
        <f>ROUNDUP((D280:D280/2),0)*0.98</f>
        <v>0</v>
      </c>
      <c r="N280" s="24">
        <f t="shared" si="56"/>
        <v>0</v>
      </c>
      <c r="O280" s="18" t="e">
        <f>N280:N280*F280:F280*#REF!</f>
        <v>#REF!</v>
      </c>
      <c r="P280" s="25"/>
    </row>
    <row r="281" spans="1:16" ht="16.95" customHeight="1">
      <c r="A281" s="7"/>
      <c r="B281" s="3" t="s">
        <v>323</v>
      </c>
      <c r="C281" s="5">
        <v>2000</v>
      </c>
      <c r="D281" s="5">
        <v>6</v>
      </c>
      <c r="E281" s="3" t="str">
        <f t="shared" si="52"/>
        <v>шт.</v>
      </c>
      <c r="F281" s="5">
        <f t="shared" si="53"/>
        <v>1</v>
      </c>
      <c r="G281" s="5">
        <f t="shared" si="54"/>
        <v>12000</v>
      </c>
      <c r="H281" s="10">
        <v>5200</v>
      </c>
      <c r="I281" s="10">
        <f t="shared" si="55"/>
        <v>31200</v>
      </c>
      <c r="J281" s="10">
        <v>0</v>
      </c>
      <c r="K281" s="10">
        <v>2.25</v>
      </c>
      <c r="L281" s="10">
        <v>0</v>
      </c>
      <c r="M281" s="10">
        <f>ROUNDUP((D281:D281/4),0)*0.113</f>
        <v>0.22600000000000001</v>
      </c>
      <c r="N281" s="10">
        <f t="shared" si="56"/>
        <v>0</v>
      </c>
      <c r="O281" s="16" t="e">
        <f>N281:N281*F281:F281*#REF!</f>
        <v>#REF!</v>
      </c>
      <c r="P281" s="7"/>
    </row>
    <row r="282" spans="1:16" ht="16.95" hidden="1" customHeight="1">
      <c r="A282" s="22"/>
      <c r="B282" s="15" t="s">
        <v>324</v>
      </c>
      <c r="C282" s="18" t="e">
        <f>IF($C$3=100,#REF!,#REF!)</f>
        <v>#REF!</v>
      </c>
      <c r="D282" s="24">
        <v>0</v>
      </c>
      <c r="E282" s="15" t="str">
        <f t="shared" si="52"/>
        <v>шт.</v>
      </c>
      <c r="F282" s="24">
        <f t="shared" si="53"/>
        <v>1</v>
      </c>
      <c r="G282" s="18" t="e">
        <f t="shared" si="54"/>
        <v>#REF!</v>
      </c>
      <c r="H282" s="24">
        <v>260</v>
      </c>
      <c r="I282" s="24">
        <f t="shared" si="55"/>
        <v>0</v>
      </c>
      <c r="J282" s="24">
        <v>16</v>
      </c>
      <c r="K282" s="24">
        <v>5</v>
      </c>
      <c r="L282" s="17"/>
      <c r="M282" s="17"/>
      <c r="N282" s="24">
        <f t="shared" si="56"/>
        <v>0</v>
      </c>
      <c r="O282" s="18" t="e">
        <f>N282:N282*F282:F282*#REF!</f>
        <v>#REF!</v>
      </c>
      <c r="P282" s="25"/>
    </row>
    <row r="283" spans="1:16" ht="16.95" hidden="1" customHeight="1">
      <c r="A283" s="19"/>
      <c r="B283" s="12" t="s">
        <v>325</v>
      </c>
      <c r="C283" s="16" t="e">
        <f>IF($C$3=100,#REF!,#REF!)</f>
        <v>#REF!</v>
      </c>
      <c r="D283" s="10">
        <v>0</v>
      </c>
      <c r="E283" s="12" t="str">
        <f t="shared" si="52"/>
        <v>шт.</v>
      </c>
      <c r="F283" s="10">
        <f t="shared" si="53"/>
        <v>1</v>
      </c>
      <c r="G283" s="16" t="e">
        <f t="shared" si="54"/>
        <v>#REF!</v>
      </c>
      <c r="H283" s="10">
        <v>750</v>
      </c>
      <c r="I283" s="10">
        <f t="shared" si="55"/>
        <v>0</v>
      </c>
      <c r="J283" s="10">
        <v>24</v>
      </c>
      <c r="K283" s="10">
        <v>4.66</v>
      </c>
      <c r="L283" s="10">
        <f>ROUNDUP((D283:D283/8),0)*93</f>
        <v>0</v>
      </c>
      <c r="M283" s="10">
        <f>ROUNDUP((D283:D283/8),0)*0.256</f>
        <v>0</v>
      </c>
      <c r="N283" s="10">
        <f t="shared" si="56"/>
        <v>0</v>
      </c>
      <c r="O283" s="16" t="e">
        <f>N283:N283*F283:F283*#REF!</f>
        <v>#REF!</v>
      </c>
      <c r="P283" s="21"/>
    </row>
    <row r="284" spans="1:16" ht="16.95" hidden="1" customHeight="1">
      <c r="A284" s="22"/>
      <c r="B284" s="15" t="s">
        <v>326</v>
      </c>
      <c r="C284" s="18" t="e">
        <f>IF($C$3=100,#REF!,#REF!)</f>
        <v>#REF!</v>
      </c>
      <c r="D284" s="24">
        <v>0</v>
      </c>
      <c r="E284" s="15" t="str">
        <f t="shared" si="52"/>
        <v>шт.</v>
      </c>
      <c r="F284" s="24">
        <f t="shared" si="53"/>
        <v>1</v>
      </c>
      <c r="G284" s="18" t="e">
        <f t="shared" si="54"/>
        <v>#REF!</v>
      </c>
      <c r="H284" s="24">
        <v>400</v>
      </c>
      <c r="I284" s="24">
        <f t="shared" si="55"/>
        <v>0</v>
      </c>
      <c r="J284" s="24">
        <v>2</v>
      </c>
      <c r="K284" s="24">
        <v>9</v>
      </c>
      <c r="L284" s="24">
        <f>D284:D284*K284:K284</f>
        <v>0</v>
      </c>
      <c r="M284" s="24">
        <f>D284:D284*0.04</f>
        <v>0</v>
      </c>
      <c r="N284" s="24">
        <f t="shared" si="56"/>
        <v>0</v>
      </c>
      <c r="O284" s="18" t="e">
        <f>N284:N284*F284:F284*#REF!</f>
        <v>#REF!</v>
      </c>
      <c r="P284" s="25"/>
    </row>
    <row r="285" spans="1:16" ht="34.049999999999997" hidden="1" customHeight="1">
      <c r="A285" s="19"/>
      <c r="B285" s="12" t="s">
        <v>327</v>
      </c>
      <c r="C285" s="16" t="e">
        <f>IF($C$3=100,#REF!,#REF!)</f>
        <v>#REF!</v>
      </c>
      <c r="D285" s="10">
        <v>0</v>
      </c>
      <c r="E285" s="12" t="str">
        <f t="shared" si="52"/>
        <v>шт.</v>
      </c>
      <c r="F285" s="10">
        <f t="shared" si="53"/>
        <v>1</v>
      </c>
      <c r="G285" s="16" t="e">
        <f t="shared" si="54"/>
        <v>#REF!</v>
      </c>
      <c r="H285" s="10">
        <v>18</v>
      </c>
      <c r="I285" s="10">
        <f t="shared" si="55"/>
        <v>0</v>
      </c>
      <c r="J285" s="10">
        <v>6</v>
      </c>
      <c r="K285" s="10">
        <v>5.7</v>
      </c>
      <c r="L285" s="10">
        <f>D285:D285*K285:K285</f>
        <v>0</v>
      </c>
      <c r="M285" s="10">
        <f>D285:D285*0.003</f>
        <v>0</v>
      </c>
      <c r="N285" s="10">
        <f t="shared" si="56"/>
        <v>0</v>
      </c>
      <c r="O285" s="16" t="e">
        <f>N285:N285*F285:F285*#REF!</f>
        <v>#REF!</v>
      </c>
      <c r="P285" s="21"/>
    </row>
    <row r="286" spans="1:16" ht="16.95" hidden="1" customHeight="1">
      <c r="A286" s="22"/>
      <c r="B286" s="15" t="s">
        <v>328</v>
      </c>
      <c r="C286" s="18" t="e">
        <f>IF($C$3=100,#REF!,#REF!)</f>
        <v>#REF!</v>
      </c>
      <c r="D286" s="24">
        <v>0</v>
      </c>
      <c r="E286" s="15" t="str">
        <f t="shared" si="52"/>
        <v>шт.</v>
      </c>
      <c r="F286" s="24">
        <f t="shared" si="53"/>
        <v>1</v>
      </c>
      <c r="G286" s="18" t="e">
        <f t="shared" si="54"/>
        <v>#REF!</v>
      </c>
      <c r="H286" s="24">
        <v>750</v>
      </c>
      <c r="I286" s="24">
        <f t="shared" si="55"/>
        <v>0</v>
      </c>
      <c r="J286" s="24">
        <v>160</v>
      </c>
      <c r="K286" s="24">
        <v>10.199999999999999</v>
      </c>
      <c r="L286" s="24">
        <f>ROUNDUP((D286:D286/8),0)*133.7</f>
        <v>0</v>
      </c>
      <c r="M286" s="24">
        <f>ROUNDUP((D286:D286/8),0)*0.717</f>
        <v>0</v>
      </c>
      <c r="N286" s="24">
        <f t="shared" si="56"/>
        <v>0</v>
      </c>
      <c r="O286" s="18" t="e">
        <f>N286:N286*F286:F286*#REF!</f>
        <v>#REF!</v>
      </c>
      <c r="P286" s="25"/>
    </row>
    <row r="287" spans="1:16" ht="16.95" hidden="1" customHeight="1">
      <c r="A287" s="19"/>
      <c r="B287" s="12" t="s">
        <v>329</v>
      </c>
      <c r="C287" s="16" t="e">
        <f>IF($C$3=100,#REF!,#REF!)</f>
        <v>#REF!</v>
      </c>
      <c r="D287" s="10">
        <v>0</v>
      </c>
      <c r="E287" s="12" t="str">
        <f t="shared" si="52"/>
        <v>шт.</v>
      </c>
      <c r="F287" s="10">
        <f t="shared" si="53"/>
        <v>1</v>
      </c>
      <c r="G287" s="16" t="e">
        <f t="shared" ref="G287:G318" si="57">C287*D287*F287</f>
        <v>#REF!</v>
      </c>
      <c r="H287" s="10">
        <v>1000</v>
      </c>
      <c r="I287" s="10">
        <f t="shared" ref="I287:I318" si="58">H287*D287</f>
        <v>0</v>
      </c>
      <c r="J287" s="10">
        <v>40</v>
      </c>
      <c r="K287" s="10">
        <v>2.5</v>
      </c>
      <c r="L287" s="10">
        <f>ROUNDUP((D287:D287/4),0)*16.4</f>
        <v>0</v>
      </c>
      <c r="M287" s="10">
        <f>ROUNDUP((D287:D287/4),0)*0.16</f>
        <v>0</v>
      </c>
      <c r="N287" s="10">
        <f t="shared" ref="N287:N318" si="59">IF(D287:D287=0,0,IF(J287:J287=0,0,IF(D287:D287&lt;J287:J287,D287:D287,J287:J287)))</f>
        <v>0</v>
      </c>
      <c r="O287" s="16" t="e">
        <f>N287:N287*F287:F287*#REF!</f>
        <v>#REF!</v>
      </c>
      <c r="P287" s="21"/>
    </row>
    <row r="288" spans="1:16" ht="16.95" hidden="1" customHeight="1">
      <c r="A288" s="22"/>
      <c r="B288" s="15" t="s">
        <v>330</v>
      </c>
      <c r="C288" s="18" t="e">
        <f>IF($C$3=100,#REF!,#REF!)</f>
        <v>#REF!</v>
      </c>
      <c r="D288" s="24">
        <v>0</v>
      </c>
      <c r="E288" s="15" t="str">
        <f t="shared" si="52"/>
        <v>шт.</v>
      </c>
      <c r="F288" s="24">
        <f t="shared" si="53"/>
        <v>1</v>
      </c>
      <c r="G288" s="18" t="e">
        <f t="shared" si="57"/>
        <v>#REF!</v>
      </c>
      <c r="H288" s="24">
        <v>300</v>
      </c>
      <c r="I288" s="24">
        <f t="shared" si="58"/>
        <v>0</v>
      </c>
      <c r="J288" s="24">
        <v>0</v>
      </c>
      <c r="K288" s="24">
        <v>1.3</v>
      </c>
      <c r="L288" s="24">
        <f>ROUNDUP((D288:D288/4),0)*9.3</f>
        <v>0</v>
      </c>
      <c r="M288" s="24">
        <f>ROUNDUP((D288:D288/4),0)*0.74</f>
        <v>0</v>
      </c>
      <c r="N288" s="24">
        <f t="shared" si="59"/>
        <v>0</v>
      </c>
      <c r="O288" s="18" t="e">
        <f>N288:N288*F288:F288*#REF!</f>
        <v>#REF!</v>
      </c>
      <c r="P288" s="25"/>
    </row>
    <row r="289" spans="1:16" ht="16.95" hidden="1" customHeight="1">
      <c r="A289" s="19"/>
      <c r="B289" s="12" t="s">
        <v>331</v>
      </c>
      <c r="C289" s="16" t="e">
        <f>IF($C$3=100,#REF!,#REF!)</f>
        <v>#REF!</v>
      </c>
      <c r="D289" s="10">
        <v>0</v>
      </c>
      <c r="E289" s="12" t="str">
        <f t="shared" si="52"/>
        <v>шт.</v>
      </c>
      <c r="F289" s="10">
        <f t="shared" si="53"/>
        <v>1</v>
      </c>
      <c r="G289" s="16" t="e">
        <f t="shared" si="57"/>
        <v>#REF!</v>
      </c>
      <c r="H289" s="10">
        <v>1200</v>
      </c>
      <c r="I289" s="10">
        <f t="shared" si="58"/>
        <v>0</v>
      </c>
      <c r="J289" s="10">
        <v>20</v>
      </c>
      <c r="K289" s="10">
        <v>5</v>
      </c>
      <c r="L289" s="10">
        <f>ROUNDUP((D289:D289/6),0)*41</f>
        <v>0</v>
      </c>
      <c r="M289" s="10">
        <f>ROUNDUP((D289:D289/6),0)*0.213</f>
        <v>0</v>
      </c>
      <c r="N289" s="10">
        <f t="shared" si="59"/>
        <v>0</v>
      </c>
      <c r="O289" s="16" t="e">
        <f>N289:N289*F289:F289*#REF!</f>
        <v>#REF!</v>
      </c>
      <c r="P289" s="21"/>
    </row>
    <row r="290" spans="1:16" ht="16.95" hidden="1" customHeight="1">
      <c r="A290" s="22"/>
      <c r="B290" s="15" t="s">
        <v>332</v>
      </c>
      <c r="C290" s="18" t="e">
        <f>IF($C$3=100,#REF!,#REF!)</f>
        <v>#REF!</v>
      </c>
      <c r="D290" s="24">
        <v>0</v>
      </c>
      <c r="E290" s="15" t="str">
        <f t="shared" si="52"/>
        <v>шт.</v>
      </c>
      <c r="F290" s="24">
        <f t="shared" si="53"/>
        <v>1</v>
      </c>
      <c r="G290" s="18" t="e">
        <f t="shared" si="57"/>
        <v>#REF!</v>
      </c>
      <c r="H290" s="24">
        <v>1000</v>
      </c>
      <c r="I290" s="24">
        <f t="shared" si="58"/>
        <v>0</v>
      </c>
      <c r="J290" s="24">
        <v>0</v>
      </c>
      <c r="K290" s="24">
        <v>4.4000000000000004</v>
      </c>
      <c r="L290" s="24">
        <f>D290:D290*K290:K290</f>
        <v>0</v>
      </c>
      <c r="M290" s="24">
        <f>D290:D290*0.33</f>
        <v>0</v>
      </c>
      <c r="N290" s="24">
        <f t="shared" si="59"/>
        <v>0</v>
      </c>
      <c r="O290" s="18" t="e">
        <f>N290:N290*F290:F290*#REF!</f>
        <v>#REF!</v>
      </c>
      <c r="P290" s="25"/>
    </row>
    <row r="291" spans="1:16" ht="16.95" hidden="1" customHeight="1">
      <c r="A291" s="19"/>
      <c r="B291" s="12" t="s">
        <v>333</v>
      </c>
      <c r="C291" s="16" t="e">
        <f>IF($C$3=100,#REF!,#REF!)</f>
        <v>#REF!</v>
      </c>
      <c r="D291" s="10">
        <v>0</v>
      </c>
      <c r="E291" s="12" t="str">
        <f t="shared" si="52"/>
        <v>шт.</v>
      </c>
      <c r="F291" s="10">
        <f t="shared" si="53"/>
        <v>1</v>
      </c>
      <c r="G291" s="16" t="e">
        <f t="shared" si="57"/>
        <v>#REF!</v>
      </c>
      <c r="H291" s="10">
        <v>150</v>
      </c>
      <c r="I291" s="10">
        <f t="shared" si="58"/>
        <v>0</v>
      </c>
      <c r="J291" s="10">
        <v>10</v>
      </c>
      <c r="K291" s="10">
        <v>0.8</v>
      </c>
      <c r="L291" s="10">
        <f>D291:D291*K291:K291</f>
        <v>0</v>
      </c>
      <c r="M291" s="10">
        <f>D291:D291*0.00297</f>
        <v>0</v>
      </c>
      <c r="N291" s="10">
        <f t="shared" si="59"/>
        <v>0</v>
      </c>
      <c r="O291" s="16" t="e">
        <f>N291:N291*F291:F291*#REF!</f>
        <v>#REF!</v>
      </c>
      <c r="P291" s="21"/>
    </row>
    <row r="292" spans="1:16" ht="16.95" hidden="1" customHeight="1">
      <c r="A292" s="22"/>
      <c r="B292" s="15" t="s">
        <v>334</v>
      </c>
      <c r="C292" s="18" t="e">
        <f>IF($C$3=100,#REF!,#REF!)</f>
        <v>#REF!</v>
      </c>
      <c r="D292" s="24">
        <v>0</v>
      </c>
      <c r="E292" s="15" t="str">
        <f t="shared" si="52"/>
        <v>шт.</v>
      </c>
      <c r="F292" s="24">
        <f t="shared" si="53"/>
        <v>1</v>
      </c>
      <c r="G292" s="18" t="e">
        <f t="shared" si="57"/>
        <v>#REF!</v>
      </c>
      <c r="H292" s="24">
        <v>36</v>
      </c>
      <c r="I292" s="24">
        <f t="shared" si="58"/>
        <v>0</v>
      </c>
      <c r="J292" s="24">
        <v>30</v>
      </c>
      <c r="K292" s="24">
        <v>2.2999999999999998</v>
      </c>
      <c r="L292" s="24">
        <f>D292:D292*K292:K292</f>
        <v>0</v>
      </c>
      <c r="M292" s="24">
        <f>D292:D292*0.0017</f>
        <v>0</v>
      </c>
      <c r="N292" s="24">
        <f t="shared" si="59"/>
        <v>0</v>
      </c>
      <c r="O292" s="18" t="e">
        <f>N292:N292*F292:F292*#REF!</f>
        <v>#REF!</v>
      </c>
      <c r="P292" s="25"/>
    </row>
    <row r="293" spans="1:16" ht="16.95" hidden="1" customHeight="1">
      <c r="A293" s="19"/>
      <c r="B293" s="12" t="s">
        <v>335</v>
      </c>
      <c r="C293" s="16" t="e">
        <f>IF($C$3=100,#REF!,#REF!)</f>
        <v>#REF!</v>
      </c>
      <c r="D293" s="10">
        <v>0</v>
      </c>
      <c r="E293" s="12" t="str">
        <f t="shared" si="52"/>
        <v>шт.</v>
      </c>
      <c r="F293" s="10">
        <f t="shared" si="53"/>
        <v>1</v>
      </c>
      <c r="G293" s="16" t="e">
        <f t="shared" si="57"/>
        <v>#REF!</v>
      </c>
      <c r="H293" s="10">
        <v>0</v>
      </c>
      <c r="I293" s="10">
        <f t="shared" si="58"/>
        <v>0</v>
      </c>
      <c r="J293" s="10">
        <v>3</v>
      </c>
      <c r="K293" s="10">
        <v>17</v>
      </c>
      <c r="L293" s="9"/>
      <c r="M293" s="10">
        <f>D293:D293*0.258</f>
        <v>0</v>
      </c>
      <c r="N293" s="10">
        <f t="shared" si="59"/>
        <v>0</v>
      </c>
      <c r="O293" s="16" t="e">
        <f>N293:N293*F293:F293*#REF!</f>
        <v>#REF!</v>
      </c>
      <c r="P293" s="19"/>
    </row>
    <row r="294" spans="1:16" ht="16.95" hidden="1" customHeight="1">
      <c r="A294" s="22"/>
      <c r="B294" s="15" t="s">
        <v>336</v>
      </c>
      <c r="C294" s="18" t="e">
        <f>IF($C$3=100,#REF!,#REF!)</f>
        <v>#REF!</v>
      </c>
      <c r="D294" s="24">
        <v>0</v>
      </c>
      <c r="E294" s="15" t="str">
        <f t="shared" si="52"/>
        <v>шт.</v>
      </c>
      <c r="F294" s="24">
        <f t="shared" si="53"/>
        <v>1</v>
      </c>
      <c r="G294" s="18" t="e">
        <f t="shared" si="57"/>
        <v>#REF!</v>
      </c>
      <c r="H294" s="24">
        <v>0</v>
      </c>
      <c r="I294" s="24">
        <f t="shared" si="58"/>
        <v>0</v>
      </c>
      <c r="J294" s="24">
        <v>1</v>
      </c>
      <c r="K294" s="24">
        <v>17</v>
      </c>
      <c r="L294" s="24">
        <f>D294:D294*17</f>
        <v>0</v>
      </c>
      <c r="M294" s="22">
        <f>D294:D294*0.031</f>
        <v>0</v>
      </c>
      <c r="N294" s="24">
        <f t="shared" si="59"/>
        <v>0</v>
      </c>
      <c r="O294" s="18" t="e">
        <f>N294:N294*F294:F294*#REF!</f>
        <v>#REF!</v>
      </c>
      <c r="P294" s="25"/>
    </row>
    <row r="295" spans="1:16" ht="16.95" hidden="1" customHeight="1">
      <c r="A295" s="19"/>
      <c r="B295" s="12" t="s">
        <v>337</v>
      </c>
      <c r="C295" s="16" t="e">
        <f>IF($C$3=100,#REF!,#REF!)</f>
        <v>#REF!</v>
      </c>
      <c r="D295" s="10">
        <v>0</v>
      </c>
      <c r="E295" s="12" t="str">
        <f t="shared" si="52"/>
        <v>шт.</v>
      </c>
      <c r="F295" s="10">
        <f t="shared" si="53"/>
        <v>1</v>
      </c>
      <c r="G295" s="16" t="e">
        <f t="shared" si="57"/>
        <v>#REF!</v>
      </c>
      <c r="H295" s="10">
        <v>1500</v>
      </c>
      <c r="I295" s="10">
        <f t="shared" si="58"/>
        <v>0</v>
      </c>
      <c r="J295" s="10">
        <v>2</v>
      </c>
      <c r="K295" s="10">
        <v>18.5</v>
      </c>
      <c r="L295" s="10">
        <f>D295:D295*18.5</f>
        <v>0</v>
      </c>
      <c r="M295" s="19">
        <f>D295:D295*0.03</f>
        <v>0</v>
      </c>
      <c r="N295" s="10">
        <f t="shared" si="59"/>
        <v>0</v>
      </c>
      <c r="O295" s="16" t="e">
        <f>N295:N295*F295:F295*#REF!</f>
        <v>#REF!</v>
      </c>
      <c r="P295" s="21"/>
    </row>
    <row r="296" spans="1:16" ht="16.95" customHeight="1">
      <c r="A296" s="13"/>
      <c r="B296" s="14" t="s">
        <v>338</v>
      </c>
      <c r="C296" s="26">
        <v>6000</v>
      </c>
      <c r="D296" s="26">
        <v>2</v>
      </c>
      <c r="E296" s="14" t="str">
        <f t="shared" si="52"/>
        <v>шт.</v>
      </c>
      <c r="F296" s="26">
        <f t="shared" si="53"/>
        <v>1</v>
      </c>
      <c r="G296" s="26">
        <f t="shared" si="57"/>
        <v>12000</v>
      </c>
      <c r="H296" s="24">
        <v>500</v>
      </c>
      <c r="I296" s="24">
        <f t="shared" si="58"/>
        <v>1000</v>
      </c>
      <c r="J296" s="24">
        <v>2</v>
      </c>
      <c r="K296" s="24">
        <v>31.5</v>
      </c>
      <c r="L296" s="24">
        <f>D296:D296*31.5</f>
        <v>63</v>
      </c>
      <c r="M296" s="24">
        <f>D296:D296*0.058</f>
        <v>0.11600000000000001</v>
      </c>
      <c r="N296" s="24">
        <f t="shared" si="59"/>
        <v>2</v>
      </c>
      <c r="O296" s="18" t="e">
        <f>N296:N296*F296:F296*#REF!</f>
        <v>#REF!</v>
      </c>
      <c r="P296" s="13"/>
    </row>
    <row r="297" spans="1:16" ht="16.95" hidden="1" customHeight="1">
      <c r="A297" s="19"/>
      <c r="B297" s="12" t="s">
        <v>339</v>
      </c>
      <c r="C297" s="16" t="e">
        <f>IF($C$3=100,#REF!,#REF!)</f>
        <v>#REF!</v>
      </c>
      <c r="D297" s="10">
        <v>0</v>
      </c>
      <c r="E297" s="12" t="str">
        <f t="shared" si="52"/>
        <v>шт.</v>
      </c>
      <c r="F297" s="10">
        <f t="shared" si="53"/>
        <v>1</v>
      </c>
      <c r="G297" s="16" t="e">
        <f t="shared" si="57"/>
        <v>#REF!</v>
      </c>
      <c r="H297" s="10">
        <v>1000</v>
      </c>
      <c r="I297" s="10">
        <f t="shared" si="58"/>
        <v>0</v>
      </c>
      <c r="J297" s="10">
        <v>2</v>
      </c>
      <c r="K297" s="10">
        <v>18.8</v>
      </c>
      <c r="L297" s="10">
        <f>D297:D297*18.8</f>
        <v>0</v>
      </c>
      <c r="M297" s="10">
        <f>D297:D297*0.05</f>
        <v>0</v>
      </c>
      <c r="N297" s="10">
        <f t="shared" si="59"/>
        <v>0</v>
      </c>
      <c r="O297" s="16" t="e">
        <f>N297:N297*F297:F297*#REF!</f>
        <v>#REF!</v>
      </c>
      <c r="P297" s="21"/>
    </row>
    <row r="298" spans="1:16" ht="16.95" customHeight="1">
      <c r="A298" s="13"/>
      <c r="B298" s="14" t="s">
        <v>340</v>
      </c>
      <c r="C298" s="26">
        <v>1500</v>
      </c>
      <c r="D298" s="26">
        <v>4</v>
      </c>
      <c r="E298" s="14" t="str">
        <f t="shared" si="52"/>
        <v>шт.</v>
      </c>
      <c r="F298" s="26">
        <f t="shared" si="53"/>
        <v>1</v>
      </c>
      <c r="G298" s="26">
        <f t="shared" si="57"/>
        <v>6000</v>
      </c>
      <c r="H298" s="24">
        <v>120</v>
      </c>
      <c r="I298" s="24">
        <f t="shared" si="58"/>
        <v>480</v>
      </c>
      <c r="J298" s="24">
        <v>2</v>
      </c>
      <c r="K298" s="24">
        <v>8.4</v>
      </c>
      <c r="L298" s="24">
        <f>D298:D298*8.4</f>
        <v>33.6</v>
      </c>
      <c r="M298" s="24">
        <f>D298:D298*0.066</f>
        <v>0.26400000000000001</v>
      </c>
      <c r="N298" s="24">
        <f t="shared" si="59"/>
        <v>2</v>
      </c>
      <c r="O298" s="18" t="e">
        <f>N298:N298*F298:F298*#REF!</f>
        <v>#REF!</v>
      </c>
      <c r="P298" s="13"/>
    </row>
    <row r="299" spans="1:16" ht="16.95" hidden="1" customHeight="1">
      <c r="A299" s="19"/>
      <c r="B299" s="12" t="s">
        <v>341</v>
      </c>
      <c r="C299" s="16" t="e">
        <f>IF($C$3=100,#REF!,#REF!)</f>
        <v>#REF!</v>
      </c>
      <c r="D299" s="10">
        <v>0</v>
      </c>
      <c r="E299" s="12" t="str">
        <f t="shared" si="52"/>
        <v>шт.</v>
      </c>
      <c r="F299" s="10">
        <f t="shared" si="53"/>
        <v>1</v>
      </c>
      <c r="G299" s="16" t="e">
        <f t="shared" si="57"/>
        <v>#REF!</v>
      </c>
      <c r="H299" s="10">
        <v>1550</v>
      </c>
      <c r="I299" s="10">
        <f t="shared" si="58"/>
        <v>0</v>
      </c>
      <c r="J299" s="10">
        <v>7</v>
      </c>
      <c r="K299" s="10">
        <v>12.8</v>
      </c>
      <c r="L299" s="10">
        <f>ROUNDUP((D299:D299/2),0)*37.9</f>
        <v>0</v>
      </c>
      <c r="M299" s="10">
        <f>ROUNDUP((D299:D299/2),0)*0.1068</f>
        <v>0</v>
      </c>
      <c r="N299" s="10">
        <f t="shared" si="59"/>
        <v>0</v>
      </c>
      <c r="O299" s="16" t="e">
        <f>N299:N299*F299:F299*#REF!</f>
        <v>#REF!</v>
      </c>
      <c r="P299" s="21"/>
    </row>
    <row r="300" spans="1:16" ht="16.95" hidden="1" customHeight="1">
      <c r="A300" s="22"/>
      <c r="B300" s="15" t="s">
        <v>342</v>
      </c>
      <c r="C300" s="18" t="e">
        <f>IF($C$3=100,#REF!,#REF!)</f>
        <v>#REF!</v>
      </c>
      <c r="D300" s="24">
        <v>0</v>
      </c>
      <c r="E300" s="15" t="str">
        <f t="shared" si="52"/>
        <v>шт.</v>
      </c>
      <c r="F300" s="24">
        <f t="shared" si="53"/>
        <v>1</v>
      </c>
      <c r="G300" s="18" t="e">
        <f t="shared" si="57"/>
        <v>#REF!</v>
      </c>
      <c r="H300" s="24">
        <v>5500</v>
      </c>
      <c r="I300" s="24">
        <f t="shared" si="58"/>
        <v>0</v>
      </c>
      <c r="J300" s="24">
        <v>0</v>
      </c>
      <c r="K300" s="24">
        <v>110</v>
      </c>
      <c r="L300" s="24">
        <f>D300:D300*K300:K300</f>
        <v>0</v>
      </c>
      <c r="M300" s="24">
        <f>D300:D300*0.41</f>
        <v>0</v>
      </c>
      <c r="N300" s="24">
        <f t="shared" si="59"/>
        <v>0</v>
      </c>
      <c r="O300" s="18" t="e">
        <f>N300:N300*F300:F300*#REF!</f>
        <v>#REF!</v>
      </c>
      <c r="P300" s="25"/>
    </row>
    <row r="301" spans="1:16" ht="16.95" hidden="1" customHeight="1">
      <c r="A301" s="19"/>
      <c r="B301" s="12" t="s">
        <v>343</v>
      </c>
      <c r="C301" s="16" t="e">
        <f>IF($C$3=100,#REF!,#REF!)</f>
        <v>#REF!</v>
      </c>
      <c r="D301" s="10">
        <v>0</v>
      </c>
      <c r="E301" s="12" t="str">
        <f t="shared" si="52"/>
        <v>шт.</v>
      </c>
      <c r="F301" s="10">
        <f t="shared" si="53"/>
        <v>1</v>
      </c>
      <c r="G301" s="16" t="e">
        <f t="shared" si="57"/>
        <v>#REF!</v>
      </c>
      <c r="H301" s="10">
        <v>1000</v>
      </c>
      <c r="I301" s="10">
        <f t="shared" si="58"/>
        <v>0</v>
      </c>
      <c r="J301" s="10">
        <v>0</v>
      </c>
      <c r="K301" s="10">
        <v>24.4</v>
      </c>
      <c r="L301" s="10">
        <f>D301:D301*K301:K301</f>
        <v>0</v>
      </c>
      <c r="M301" s="10">
        <f>D301:D301*0.08</f>
        <v>0</v>
      </c>
      <c r="N301" s="10">
        <f t="shared" si="59"/>
        <v>0</v>
      </c>
      <c r="O301" s="16" t="e">
        <f>N301:N301*F301:F301*#REF!</f>
        <v>#REF!</v>
      </c>
      <c r="P301" s="21"/>
    </row>
    <row r="302" spans="1:16" ht="16.95" customHeight="1">
      <c r="A302" s="13"/>
      <c r="B302" s="14" t="s">
        <v>344</v>
      </c>
      <c r="C302" s="26">
        <v>2500</v>
      </c>
      <c r="D302" s="26">
        <v>2</v>
      </c>
      <c r="E302" s="14" t="s">
        <v>345</v>
      </c>
      <c r="F302" s="26">
        <v>1</v>
      </c>
      <c r="G302" s="26">
        <f t="shared" si="57"/>
        <v>5000</v>
      </c>
      <c r="H302" s="24">
        <v>0</v>
      </c>
      <c r="I302" s="24">
        <f t="shared" si="58"/>
        <v>0</v>
      </c>
      <c r="J302" s="24">
        <v>0</v>
      </c>
      <c r="K302" s="17"/>
      <c r="L302" s="17"/>
      <c r="M302" s="17"/>
      <c r="N302" s="24">
        <f t="shared" si="59"/>
        <v>0</v>
      </c>
      <c r="O302" s="18" t="e">
        <f>N302:N302*F302:F302*#REF!</f>
        <v>#REF!</v>
      </c>
      <c r="P302" s="13"/>
    </row>
    <row r="303" spans="1:16" ht="16.95" hidden="1" customHeight="1">
      <c r="A303" s="19"/>
      <c r="B303" s="12" t="s">
        <v>346</v>
      </c>
      <c r="C303" s="16" t="e">
        <f>IF($C$3=100,#REF!,#REF!)</f>
        <v>#REF!</v>
      </c>
      <c r="D303" s="10">
        <v>0</v>
      </c>
      <c r="E303" s="12" t="str">
        <f t="shared" ref="E303:E316" si="60">IF($B$3=1,"шт.","pcs")</f>
        <v>шт.</v>
      </c>
      <c r="F303" s="10">
        <f t="shared" ref="F303:F318" si="61">1+($F$3-1)/2</f>
        <v>1</v>
      </c>
      <c r="G303" s="16" t="e">
        <f t="shared" si="57"/>
        <v>#REF!</v>
      </c>
      <c r="H303" s="10">
        <v>20</v>
      </c>
      <c r="I303" s="10">
        <f t="shared" si="58"/>
        <v>0</v>
      </c>
      <c r="J303" s="10">
        <v>2</v>
      </c>
      <c r="K303" s="10">
        <v>6.8</v>
      </c>
      <c r="L303" s="10">
        <f>D303:D303*6.8</f>
        <v>0</v>
      </c>
      <c r="M303" s="10">
        <f>D303:D303*0.125</f>
        <v>0</v>
      </c>
      <c r="N303" s="10">
        <f t="shared" si="59"/>
        <v>0</v>
      </c>
      <c r="O303" s="16" t="e">
        <f>N303:N303*F303:F303*#REF!</f>
        <v>#REF!</v>
      </c>
      <c r="P303" s="21"/>
    </row>
    <row r="304" spans="1:16" ht="16.95" hidden="1" customHeight="1">
      <c r="A304" s="22"/>
      <c r="B304" s="15" t="s">
        <v>347</v>
      </c>
      <c r="C304" s="18" t="e">
        <f>IF($C$3=100,#REF!,#REF!)</f>
        <v>#REF!</v>
      </c>
      <c r="D304" s="24">
        <v>0</v>
      </c>
      <c r="E304" s="15" t="str">
        <f t="shared" si="60"/>
        <v>шт.</v>
      </c>
      <c r="F304" s="24">
        <f t="shared" si="61"/>
        <v>1</v>
      </c>
      <c r="G304" s="18" t="e">
        <f t="shared" si="57"/>
        <v>#REF!</v>
      </c>
      <c r="H304" s="24">
        <v>2000</v>
      </c>
      <c r="I304" s="24">
        <f t="shared" si="58"/>
        <v>0</v>
      </c>
      <c r="J304" s="24">
        <v>8</v>
      </c>
      <c r="K304" s="24">
        <v>52.6</v>
      </c>
      <c r="L304" s="24">
        <f>ROUNDUP((D304:D304/2),0)*167.4</f>
        <v>0</v>
      </c>
      <c r="M304" s="24">
        <f>ROUNDUP((D304:D304/2),0)*0.748</f>
        <v>0</v>
      </c>
      <c r="N304" s="24">
        <f t="shared" si="59"/>
        <v>0</v>
      </c>
      <c r="O304" s="18" t="e">
        <f>N304:N304*F304:F304*#REF!</f>
        <v>#REF!</v>
      </c>
      <c r="P304" s="25"/>
    </row>
    <row r="305" spans="1:16" ht="16.95" hidden="1" customHeight="1">
      <c r="A305" s="19"/>
      <c r="B305" s="12" t="s">
        <v>348</v>
      </c>
      <c r="C305" s="16" t="e">
        <f>IF($C$3=100,#REF!,#REF!)</f>
        <v>#REF!</v>
      </c>
      <c r="D305" s="10">
        <v>0</v>
      </c>
      <c r="E305" s="12" t="str">
        <f t="shared" si="60"/>
        <v>шт.</v>
      </c>
      <c r="F305" s="10">
        <f t="shared" si="61"/>
        <v>1</v>
      </c>
      <c r="G305" s="16" t="e">
        <f t="shared" si="57"/>
        <v>#REF!</v>
      </c>
      <c r="H305" s="10">
        <v>1200</v>
      </c>
      <c r="I305" s="10">
        <f t="shared" si="58"/>
        <v>0</v>
      </c>
      <c r="J305" s="10">
        <v>4</v>
      </c>
      <c r="K305" s="10">
        <v>49.7</v>
      </c>
      <c r="L305" s="10">
        <f>D305:D305*68.2</f>
        <v>0</v>
      </c>
      <c r="M305" s="10">
        <f>D305:D305*0.218</f>
        <v>0</v>
      </c>
      <c r="N305" s="10">
        <f t="shared" si="59"/>
        <v>0</v>
      </c>
      <c r="O305" s="16" t="e">
        <f>N305:N305*F305:F305*#REF!</f>
        <v>#REF!</v>
      </c>
      <c r="P305" s="21"/>
    </row>
    <row r="306" spans="1:16" ht="16.95" hidden="1" customHeight="1">
      <c r="A306" s="22"/>
      <c r="B306" s="15" t="s">
        <v>349</v>
      </c>
      <c r="C306" s="18" t="e">
        <f>IF($C$3=100,#REF!,#REF!)</f>
        <v>#REF!</v>
      </c>
      <c r="D306" s="24">
        <v>0</v>
      </c>
      <c r="E306" s="15" t="str">
        <f t="shared" si="60"/>
        <v>шт.</v>
      </c>
      <c r="F306" s="24">
        <f t="shared" si="61"/>
        <v>1</v>
      </c>
      <c r="G306" s="18" t="e">
        <f t="shared" si="57"/>
        <v>#REF!</v>
      </c>
      <c r="H306" s="24">
        <v>0</v>
      </c>
      <c r="I306" s="24">
        <f t="shared" si="58"/>
        <v>0</v>
      </c>
      <c r="J306" s="24">
        <v>8</v>
      </c>
      <c r="K306" s="24">
        <v>4</v>
      </c>
      <c r="L306" s="24">
        <f>ROUNDUP((D306:D306/8),0)*52.6</f>
        <v>0</v>
      </c>
      <c r="M306" s="24">
        <f>ROUNDUP((D306:D306/8),0)*0.305</f>
        <v>0</v>
      </c>
      <c r="N306" s="24">
        <f t="shared" si="59"/>
        <v>0</v>
      </c>
      <c r="O306" s="18" t="e">
        <f>N306:N306*F306:F306*#REF!</f>
        <v>#REF!</v>
      </c>
      <c r="P306" s="25"/>
    </row>
    <row r="307" spans="1:16" ht="16.95" customHeight="1">
      <c r="A307" s="7"/>
      <c r="B307" s="3" t="s">
        <v>350</v>
      </c>
      <c r="C307" s="5">
        <v>1500</v>
      </c>
      <c r="D307" s="5">
        <v>1</v>
      </c>
      <c r="E307" s="3" t="str">
        <f t="shared" si="60"/>
        <v>шт.</v>
      </c>
      <c r="F307" s="5">
        <f t="shared" si="61"/>
        <v>1</v>
      </c>
      <c r="G307" s="5">
        <f t="shared" si="57"/>
        <v>1500</v>
      </c>
      <c r="H307" s="10">
        <v>100</v>
      </c>
      <c r="I307" s="10">
        <f t="shared" si="58"/>
        <v>100</v>
      </c>
      <c r="J307" s="10">
        <v>1</v>
      </c>
      <c r="K307" s="10">
        <v>36.1</v>
      </c>
      <c r="L307" s="10">
        <f>D307:D307*36.1</f>
        <v>36.1</v>
      </c>
      <c r="M307" s="9"/>
      <c r="N307" s="10">
        <f t="shared" si="59"/>
        <v>1</v>
      </c>
      <c r="O307" s="16" t="e">
        <f>N307:N307*F307:F307*#REF!</f>
        <v>#REF!</v>
      </c>
      <c r="P307" s="7"/>
    </row>
    <row r="308" spans="1:16" ht="16.95" hidden="1" customHeight="1">
      <c r="A308" s="22"/>
      <c r="B308" s="15" t="s">
        <v>351</v>
      </c>
      <c r="C308" s="18" t="e">
        <f>IF($C$3=100,#REF!,#REF!)</f>
        <v>#REF!</v>
      </c>
      <c r="D308" s="24">
        <v>0</v>
      </c>
      <c r="E308" s="15" t="str">
        <f t="shared" si="60"/>
        <v>шт.</v>
      </c>
      <c r="F308" s="24">
        <f t="shared" si="61"/>
        <v>1</v>
      </c>
      <c r="G308" s="18" t="e">
        <f t="shared" si="57"/>
        <v>#REF!</v>
      </c>
      <c r="H308" s="24">
        <v>100</v>
      </c>
      <c r="I308" s="24">
        <f t="shared" si="58"/>
        <v>0</v>
      </c>
      <c r="J308" s="24">
        <v>4</v>
      </c>
      <c r="K308" s="24">
        <v>13.1</v>
      </c>
      <c r="L308" s="24">
        <f>D308:D308*13.1</f>
        <v>0</v>
      </c>
      <c r="M308" s="17"/>
      <c r="N308" s="24">
        <f t="shared" si="59"/>
        <v>0</v>
      </c>
      <c r="O308" s="18" t="e">
        <f>N308:N308*F308:F308*#REF!</f>
        <v>#REF!</v>
      </c>
      <c r="P308" s="25"/>
    </row>
    <row r="309" spans="1:16" ht="16.95" hidden="1" customHeight="1">
      <c r="A309" s="19"/>
      <c r="B309" s="12" t="s">
        <v>352</v>
      </c>
      <c r="C309" s="16" t="e">
        <f>IF($C$3=100,#REF!,#REF!)</f>
        <v>#REF!</v>
      </c>
      <c r="D309" s="10">
        <v>0</v>
      </c>
      <c r="E309" s="12" t="str">
        <f t="shared" si="60"/>
        <v>шт.</v>
      </c>
      <c r="F309" s="10">
        <f t="shared" si="61"/>
        <v>1</v>
      </c>
      <c r="G309" s="16" t="e">
        <f t="shared" si="57"/>
        <v>#REF!</v>
      </c>
      <c r="H309" s="10">
        <v>100</v>
      </c>
      <c r="I309" s="10">
        <f t="shared" si="58"/>
        <v>0</v>
      </c>
      <c r="J309" s="10">
        <v>1</v>
      </c>
      <c r="K309" s="10">
        <v>16.899999999999999</v>
      </c>
      <c r="L309" s="10">
        <f>D309:D309*16.9</f>
        <v>0</v>
      </c>
      <c r="M309" s="9"/>
      <c r="N309" s="10">
        <f t="shared" si="59"/>
        <v>0</v>
      </c>
      <c r="O309" s="16" t="e">
        <f>N309:N309*F309:F309*#REF!</f>
        <v>#REF!</v>
      </c>
      <c r="P309" s="21"/>
    </row>
    <row r="310" spans="1:16" ht="16.95" hidden="1" customHeight="1">
      <c r="A310" s="22"/>
      <c r="B310" s="15" t="s">
        <v>353</v>
      </c>
      <c r="C310" s="18" t="e">
        <f>IF($C$3=100,#REF!,#REF!)</f>
        <v>#REF!</v>
      </c>
      <c r="D310" s="24">
        <v>0</v>
      </c>
      <c r="E310" s="15" t="str">
        <f t="shared" si="60"/>
        <v>шт.</v>
      </c>
      <c r="F310" s="24">
        <f t="shared" si="61"/>
        <v>1</v>
      </c>
      <c r="G310" s="18" t="e">
        <f t="shared" si="57"/>
        <v>#REF!</v>
      </c>
      <c r="H310" s="24">
        <v>50</v>
      </c>
      <c r="I310" s="24">
        <f t="shared" si="58"/>
        <v>0</v>
      </c>
      <c r="J310" s="24">
        <v>2</v>
      </c>
      <c r="K310" s="24">
        <v>19.2</v>
      </c>
      <c r="L310" s="24">
        <f>D310:D310*19.2</f>
        <v>0</v>
      </c>
      <c r="M310" s="17"/>
      <c r="N310" s="24">
        <f t="shared" si="59"/>
        <v>0</v>
      </c>
      <c r="O310" s="18" t="e">
        <f>N310:N310*F310:F310*#REF!</f>
        <v>#REF!</v>
      </c>
      <c r="P310" s="25"/>
    </row>
    <row r="311" spans="1:16" ht="16.95" hidden="1" customHeight="1">
      <c r="A311" s="19"/>
      <c r="B311" s="12" t="s">
        <v>256</v>
      </c>
      <c r="C311" s="16" t="e">
        <f>IF($C$3=100,#REF!,#REF!)</f>
        <v>#REF!</v>
      </c>
      <c r="D311" s="10">
        <v>0</v>
      </c>
      <c r="E311" s="12" t="str">
        <f t="shared" si="60"/>
        <v>шт.</v>
      </c>
      <c r="F311" s="10">
        <f t="shared" si="61"/>
        <v>1</v>
      </c>
      <c r="G311" s="16" t="e">
        <f t="shared" si="57"/>
        <v>#REF!</v>
      </c>
      <c r="H311" s="10">
        <v>0</v>
      </c>
      <c r="I311" s="10">
        <f t="shared" si="58"/>
        <v>0</v>
      </c>
      <c r="J311" s="10">
        <v>1</v>
      </c>
      <c r="K311" s="10">
        <v>14</v>
      </c>
      <c r="L311" s="10">
        <f>D311:D311*K311:K311</f>
        <v>0</v>
      </c>
      <c r="M311" s="10">
        <f>D311:D311*0.103</f>
        <v>0</v>
      </c>
      <c r="N311" s="10">
        <f t="shared" si="59"/>
        <v>0</v>
      </c>
      <c r="O311" s="16" t="e">
        <f>N311:N311*F311:F311*#REF!</f>
        <v>#REF!</v>
      </c>
      <c r="P311" s="21"/>
    </row>
    <row r="312" spans="1:16" ht="16.95" hidden="1" customHeight="1">
      <c r="A312" s="22"/>
      <c r="B312" s="15" t="s">
        <v>157</v>
      </c>
      <c r="C312" s="18" t="e">
        <f>IF($C$3=100,#REF!,#REF!)</f>
        <v>#REF!</v>
      </c>
      <c r="D312" s="24">
        <v>0</v>
      </c>
      <c r="E312" s="15" t="str">
        <f t="shared" si="60"/>
        <v>шт.</v>
      </c>
      <c r="F312" s="24">
        <f t="shared" si="61"/>
        <v>1</v>
      </c>
      <c r="G312" s="18" t="e">
        <f t="shared" si="57"/>
        <v>#REF!</v>
      </c>
      <c r="H312" s="24">
        <v>0</v>
      </c>
      <c r="I312" s="24">
        <f t="shared" si="58"/>
        <v>0</v>
      </c>
      <c r="J312" s="24">
        <v>3</v>
      </c>
      <c r="K312" s="24">
        <v>16</v>
      </c>
      <c r="L312" s="24">
        <f>D312:D312*K312:K312</f>
        <v>0</v>
      </c>
      <c r="M312" s="17"/>
      <c r="N312" s="24">
        <f t="shared" si="59"/>
        <v>0</v>
      </c>
      <c r="O312" s="18" t="e">
        <f>N312:N312*F312:F312*#REF!</f>
        <v>#REF!</v>
      </c>
      <c r="P312" s="25"/>
    </row>
    <row r="313" spans="1:16" ht="16.95" hidden="1" customHeight="1">
      <c r="A313" s="19"/>
      <c r="B313" s="12" t="s">
        <v>354</v>
      </c>
      <c r="C313" s="16" t="e">
        <f>IF($C$3=100,#REF!,#REF!)</f>
        <v>#REF!</v>
      </c>
      <c r="D313" s="10">
        <v>0</v>
      </c>
      <c r="E313" s="12" t="str">
        <f t="shared" si="60"/>
        <v>шт.</v>
      </c>
      <c r="F313" s="10">
        <f t="shared" si="61"/>
        <v>1</v>
      </c>
      <c r="G313" s="16" t="e">
        <f t="shared" si="57"/>
        <v>#REF!</v>
      </c>
      <c r="H313" s="10">
        <v>0</v>
      </c>
      <c r="I313" s="10">
        <f t="shared" si="58"/>
        <v>0</v>
      </c>
      <c r="J313" s="10">
        <v>24</v>
      </c>
      <c r="K313" s="9"/>
      <c r="L313" s="9"/>
      <c r="M313" s="9"/>
      <c r="N313" s="10">
        <f t="shared" si="59"/>
        <v>0</v>
      </c>
      <c r="O313" s="16" t="e">
        <f>N313:N313*F313:F313*#REF!</f>
        <v>#REF!</v>
      </c>
      <c r="P313" s="21"/>
    </row>
    <row r="314" spans="1:16" ht="16.95" hidden="1" customHeight="1">
      <c r="A314" s="22"/>
      <c r="B314" s="15" t="s">
        <v>355</v>
      </c>
      <c r="C314" s="18" t="e">
        <f>IF($C$3=100,#REF!,#REF!)</f>
        <v>#REF!</v>
      </c>
      <c r="D314" s="24">
        <v>0</v>
      </c>
      <c r="E314" s="15" t="str">
        <f t="shared" si="60"/>
        <v>шт.</v>
      </c>
      <c r="F314" s="24">
        <f t="shared" si="61"/>
        <v>1</v>
      </c>
      <c r="G314" s="18" t="e">
        <f t="shared" si="57"/>
        <v>#REF!</v>
      </c>
      <c r="H314" s="24">
        <v>50</v>
      </c>
      <c r="I314" s="24">
        <f t="shared" si="58"/>
        <v>0</v>
      </c>
      <c r="J314" s="24">
        <v>0</v>
      </c>
      <c r="K314" s="17"/>
      <c r="L314" s="17"/>
      <c r="M314" s="17"/>
      <c r="N314" s="24">
        <f t="shared" si="59"/>
        <v>0</v>
      </c>
      <c r="O314" s="18" t="e">
        <f>N314:N314*F314:F314*#REF!</f>
        <v>#REF!</v>
      </c>
      <c r="P314" s="25"/>
    </row>
    <row r="315" spans="1:16" ht="16.95" customHeight="1">
      <c r="A315" s="7"/>
      <c r="B315" s="3" t="s">
        <v>356</v>
      </c>
      <c r="C315" s="5">
        <v>1000</v>
      </c>
      <c r="D315" s="5">
        <v>4</v>
      </c>
      <c r="E315" s="3" t="str">
        <f t="shared" si="60"/>
        <v>шт.</v>
      </c>
      <c r="F315" s="5">
        <f t="shared" si="61"/>
        <v>1</v>
      </c>
      <c r="G315" s="5">
        <f t="shared" si="57"/>
        <v>4000</v>
      </c>
      <c r="H315" s="10">
        <v>50</v>
      </c>
      <c r="I315" s="10">
        <f t="shared" si="58"/>
        <v>200</v>
      </c>
      <c r="J315" s="10">
        <v>6</v>
      </c>
      <c r="K315" s="10">
        <v>1.7</v>
      </c>
      <c r="L315" s="9"/>
      <c r="M315" s="9"/>
      <c r="N315" s="10">
        <f t="shared" si="59"/>
        <v>4</v>
      </c>
      <c r="O315" s="16" t="e">
        <f>N315:N315*F315:F315*#REF!</f>
        <v>#REF!</v>
      </c>
      <c r="P315" s="7"/>
    </row>
    <row r="316" spans="1:16" ht="16.95" hidden="1" customHeight="1">
      <c r="A316" s="22"/>
      <c r="B316" s="15" t="s">
        <v>357</v>
      </c>
      <c r="C316" s="18" t="e">
        <f>IF($C$3=100,#REF!,#REF!)</f>
        <v>#REF!</v>
      </c>
      <c r="D316" s="24">
        <v>0</v>
      </c>
      <c r="E316" s="15" t="str">
        <f t="shared" si="60"/>
        <v>шт.</v>
      </c>
      <c r="F316" s="24">
        <f t="shared" si="61"/>
        <v>1</v>
      </c>
      <c r="G316" s="18" t="e">
        <f t="shared" si="57"/>
        <v>#REF!</v>
      </c>
      <c r="H316" s="24">
        <v>50</v>
      </c>
      <c r="I316" s="24">
        <f t="shared" si="58"/>
        <v>0</v>
      </c>
      <c r="J316" s="24">
        <v>4</v>
      </c>
      <c r="K316" s="17"/>
      <c r="L316" s="17"/>
      <c r="M316" s="17"/>
      <c r="N316" s="24">
        <f t="shared" si="59"/>
        <v>0</v>
      </c>
      <c r="O316" s="18" t="e">
        <f>N316:N316*F316:F316*#REF!</f>
        <v>#REF!</v>
      </c>
      <c r="P316" s="25"/>
    </row>
    <row r="317" spans="1:16" ht="16.95" customHeight="1">
      <c r="A317" s="7"/>
      <c r="B317" s="3" t="s">
        <v>293</v>
      </c>
      <c r="C317" s="5">
        <v>6000</v>
      </c>
      <c r="D317" s="5">
        <v>1</v>
      </c>
      <c r="E317" s="3" t="str">
        <f>IF($B$3=1,"компл.","set")</f>
        <v>компл.</v>
      </c>
      <c r="F317" s="5">
        <f t="shared" si="61"/>
        <v>1</v>
      </c>
      <c r="G317" s="5">
        <f t="shared" si="57"/>
        <v>6000</v>
      </c>
      <c r="H317" s="10">
        <v>0</v>
      </c>
      <c r="I317" s="10">
        <f t="shared" si="58"/>
        <v>0</v>
      </c>
      <c r="J317" s="10">
        <v>6</v>
      </c>
      <c r="K317" s="9"/>
      <c r="L317" s="9"/>
      <c r="M317" s="9"/>
      <c r="N317" s="10">
        <f t="shared" si="59"/>
        <v>1</v>
      </c>
      <c r="O317" s="16" t="e">
        <f>N317:N317*F317:F317*#REF!</f>
        <v>#REF!</v>
      </c>
      <c r="P317" s="7"/>
    </row>
    <row r="318" spans="1:16" ht="16.95" hidden="1" customHeight="1">
      <c r="A318" s="22"/>
      <c r="B318" s="15" t="s">
        <v>295</v>
      </c>
      <c r="C318" s="18" t="e">
        <f>IF($C$3=100,#REF!,#REF!)</f>
        <v>#REF!</v>
      </c>
      <c r="D318" s="24">
        <v>0</v>
      </c>
      <c r="E318" s="15" t="str">
        <f>IF($B$3=1,"компл.","set")</f>
        <v>компл.</v>
      </c>
      <c r="F318" s="24">
        <f t="shared" si="61"/>
        <v>1</v>
      </c>
      <c r="G318" s="18" t="e">
        <f t="shared" si="57"/>
        <v>#REF!</v>
      </c>
      <c r="H318" s="24">
        <v>0</v>
      </c>
      <c r="I318" s="24">
        <f t="shared" si="58"/>
        <v>0</v>
      </c>
      <c r="J318" s="24">
        <v>6</v>
      </c>
      <c r="K318" s="17"/>
      <c r="L318" s="17"/>
      <c r="M318" s="17"/>
      <c r="N318" s="24">
        <f t="shared" si="59"/>
        <v>0</v>
      </c>
      <c r="O318" s="18" t="e">
        <f>N318:N318*F318:F318*#REF!</f>
        <v>#REF!</v>
      </c>
      <c r="P318" s="25"/>
    </row>
    <row r="319" spans="1:16" ht="16.05" customHeight="1">
      <c r="A319" s="7"/>
      <c r="B319" s="7"/>
      <c r="C319" s="7"/>
      <c r="D319" s="7"/>
      <c r="E319" s="7"/>
      <c r="F319" s="7"/>
      <c r="G319" s="27">
        <f>G317+G315+G307+G302+G298+G296+G281+G279+G270+G267+G264+G262+G261+G260+G256</f>
        <v>354100</v>
      </c>
      <c r="H319" s="9"/>
      <c r="I319" s="10">
        <f>H319*D319</f>
        <v>0</v>
      </c>
      <c r="J319" s="9"/>
      <c r="K319" s="9"/>
      <c r="L319" s="10">
        <f>SUM(L255:L318)</f>
        <v>2706.2999999999997</v>
      </c>
      <c r="M319" s="10">
        <f>SUM(M255:M318)</f>
        <v>12.173999999999999</v>
      </c>
      <c r="N319" s="9"/>
      <c r="O319" s="16" t="e">
        <f>SUM(O254:O318)</f>
        <v>#REF!</v>
      </c>
      <c r="P319" s="7"/>
    </row>
    <row r="320" spans="1:16" ht="16.05" customHeight="1">
      <c r="A320" s="13"/>
      <c r="B320" s="13"/>
      <c r="C320" s="13"/>
      <c r="D320" s="13"/>
      <c r="E320" s="13"/>
      <c r="F320" s="13"/>
      <c r="G320" s="13"/>
      <c r="H320" s="17"/>
      <c r="I320" s="24">
        <f>H320*D320</f>
        <v>0</v>
      </c>
      <c r="J320" s="17"/>
      <c r="K320" s="17"/>
      <c r="L320" s="17"/>
      <c r="M320" s="17"/>
      <c r="N320" s="17"/>
      <c r="O320" s="18"/>
      <c r="P320" s="13"/>
    </row>
    <row r="321" spans="1:16" ht="16.95" hidden="1" customHeight="1">
      <c r="A321" s="12" t="str">
        <f>IF($B$3=1,"Видео оборудование","Video")</f>
        <v>Видео оборудование</v>
      </c>
      <c r="B321" s="19"/>
      <c r="C321" s="16"/>
      <c r="D321" s="9"/>
      <c r="E321" s="9"/>
      <c r="F321" s="9"/>
      <c r="G321" s="28"/>
      <c r="H321" s="9"/>
      <c r="I321" s="9"/>
      <c r="J321" s="9"/>
      <c r="K321" s="9"/>
      <c r="L321" s="9"/>
      <c r="M321" s="9"/>
      <c r="N321" s="9"/>
      <c r="O321" s="16"/>
      <c r="P321" s="21"/>
    </row>
    <row r="322" spans="1:16" ht="16.95" hidden="1" customHeight="1">
      <c r="A322" s="22"/>
      <c r="B322" s="15" t="s">
        <v>358</v>
      </c>
      <c r="C322" s="18" t="e">
        <f>IF($C$3=100,#REF!,#REF!)</f>
        <v>#REF!</v>
      </c>
      <c r="D322" s="24">
        <v>0</v>
      </c>
      <c r="E322" s="15" t="str">
        <f>IF($B$3=1,"м²","sq. m.")</f>
        <v>м²</v>
      </c>
      <c r="F322" s="24">
        <f t="shared" ref="F322:F353" si="62">1+($F$3-1)/2</f>
        <v>1</v>
      </c>
      <c r="G322" s="18" t="e">
        <f t="shared" ref="G322:G353" si="63">C322*D322*F322</f>
        <v>#REF!</v>
      </c>
      <c r="H322" s="24">
        <v>600</v>
      </c>
      <c r="I322" s="24">
        <f t="shared" ref="I322:I353" si="64">H322*D322</f>
        <v>0</v>
      </c>
      <c r="J322" s="24">
        <v>0</v>
      </c>
      <c r="K322" s="24">
        <v>36</v>
      </c>
      <c r="L322" s="24">
        <f>ROUNDUP((D322:D322/1.5),0)*78.5</f>
        <v>0</v>
      </c>
      <c r="M322" s="31">
        <f>ROUNDUP((D322:D322/1.5),0)*0.36</f>
        <v>0</v>
      </c>
      <c r="N322" s="24">
        <f t="shared" ref="N322:N353" si="65">IF(D322:D322=0,0,IF(J322:J322=0,0,IF(D322:D322&lt;J322:J322,D322:D322,J322:J322)))</f>
        <v>0</v>
      </c>
      <c r="O322" s="18" t="e">
        <f>N322:N322*F322:F322*#REF!</f>
        <v>#REF!</v>
      </c>
      <c r="P322" s="25"/>
    </row>
    <row r="323" spans="1:16" ht="16.95" hidden="1" customHeight="1">
      <c r="A323" s="19"/>
      <c r="B323" s="12" t="s">
        <v>359</v>
      </c>
      <c r="C323" s="16" t="e">
        <f>IF($C$3=100,#REF!,#REF!)</f>
        <v>#REF!</v>
      </c>
      <c r="D323" s="10">
        <v>0</v>
      </c>
      <c r="E323" s="12" t="str">
        <f t="shared" ref="E323:E328" si="66">IF($B$3=1,"шт.","pcs")</f>
        <v>шт.</v>
      </c>
      <c r="F323" s="10">
        <f t="shared" si="62"/>
        <v>1</v>
      </c>
      <c r="G323" s="16" t="e">
        <f t="shared" si="63"/>
        <v>#REF!</v>
      </c>
      <c r="H323" s="10">
        <v>100</v>
      </c>
      <c r="I323" s="10">
        <f t="shared" si="64"/>
        <v>0</v>
      </c>
      <c r="J323" s="10">
        <v>0</v>
      </c>
      <c r="K323" s="10">
        <v>20</v>
      </c>
      <c r="L323" s="10">
        <f>D323:D323*20</f>
        <v>0</v>
      </c>
      <c r="M323" s="32">
        <f>D323:D323*0.36</f>
        <v>0</v>
      </c>
      <c r="N323" s="10">
        <f t="shared" si="65"/>
        <v>0</v>
      </c>
      <c r="O323" s="16" t="e">
        <f>N323:N323*F323:F323*#REF!</f>
        <v>#REF!</v>
      </c>
      <c r="P323" s="21"/>
    </row>
    <row r="324" spans="1:16" ht="16.95" hidden="1" customHeight="1">
      <c r="A324" s="22"/>
      <c r="B324" s="15" t="s">
        <v>360</v>
      </c>
      <c r="C324" s="18" t="e">
        <f>IF($C$3=100,#REF!,#REF!)</f>
        <v>#REF!</v>
      </c>
      <c r="D324" s="24">
        <v>0</v>
      </c>
      <c r="E324" s="15" t="str">
        <f t="shared" si="66"/>
        <v>шт.</v>
      </c>
      <c r="F324" s="24">
        <f t="shared" si="62"/>
        <v>1</v>
      </c>
      <c r="G324" s="18" t="e">
        <f t="shared" si="63"/>
        <v>#REF!</v>
      </c>
      <c r="H324" s="24">
        <v>100</v>
      </c>
      <c r="I324" s="24">
        <f t="shared" si="64"/>
        <v>0</v>
      </c>
      <c r="J324" s="24">
        <v>0</v>
      </c>
      <c r="K324" s="24">
        <v>20</v>
      </c>
      <c r="L324" s="24">
        <f>D324:D324*20</f>
        <v>0</v>
      </c>
      <c r="M324" s="31"/>
      <c r="N324" s="24">
        <f t="shared" si="65"/>
        <v>0</v>
      </c>
      <c r="O324" s="18" t="e">
        <f>N324:N324*F324:F324*#REF!</f>
        <v>#REF!</v>
      </c>
      <c r="P324" s="25"/>
    </row>
    <row r="325" spans="1:16" ht="16.95" hidden="1" customHeight="1">
      <c r="A325" s="19"/>
      <c r="B325" s="12" t="s">
        <v>361</v>
      </c>
      <c r="C325" s="16" t="e">
        <f>IF($C$3=100,#REF!,#REF!)</f>
        <v>#REF!</v>
      </c>
      <c r="D325" s="10">
        <v>0</v>
      </c>
      <c r="E325" s="12" t="str">
        <f t="shared" si="66"/>
        <v>шт.</v>
      </c>
      <c r="F325" s="10">
        <f t="shared" si="62"/>
        <v>1</v>
      </c>
      <c r="G325" s="16" t="e">
        <f t="shared" si="63"/>
        <v>#REF!</v>
      </c>
      <c r="H325" s="10">
        <v>100</v>
      </c>
      <c r="I325" s="10">
        <f t="shared" si="64"/>
        <v>0</v>
      </c>
      <c r="J325" s="10">
        <v>0</v>
      </c>
      <c r="K325" s="10">
        <v>20</v>
      </c>
      <c r="L325" s="10">
        <f>D325:D325*20</f>
        <v>0</v>
      </c>
      <c r="M325" s="32"/>
      <c r="N325" s="10">
        <f t="shared" si="65"/>
        <v>0</v>
      </c>
      <c r="O325" s="16" t="e">
        <f>N325:N325*F325:F325*#REF!</f>
        <v>#REF!</v>
      </c>
      <c r="P325" s="21"/>
    </row>
    <row r="326" spans="1:16" ht="16.95" hidden="1" customHeight="1">
      <c r="A326" s="22"/>
      <c r="B326" s="15" t="s">
        <v>362</v>
      </c>
      <c r="C326" s="18" t="e">
        <f>IF($C$3=100,#REF!,#REF!)</f>
        <v>#REF!</v>
      </c>
      <c r="D326" s="24">
        <v>0</v>
      </c>
      <c r="E326" s="15" t="str">
        <f t="shared" si="66"/>
        <v>шт.</v>
      </c>
      <c r="F326" s="24">
        <f t="shared" si="62"/>
        <v>1</v>
      </c>
      <c r="G326" s="18" t="e">
        <f t="shared" si="63"/>
        <v>#REF!</v>
      </c>
      <c r="H326" s="24">
        <v>100</v>
      </c>
      <c r="I326" s="24">
        <f t="shared" si="64"/>
        <v>0</v>
      </c>
      <c r="J326" s="24">
        <v>0</v>
      </c>
      <c r="K326" s="24">
        <v>20</v>
      </c>
      <c r="L326" s="24">
        <f>D326:D326*20</f>
        <v>0</v>
      </c>
      <c r="M326" s="31"/>
      <c r="N326" s="24">
        <f t="shared" si="65"/>
        <v>0</v>
      </c>
      <c r="O326" s="18" t="e">
        <f>N326:N326*F326:F326*#REF!</f>
        <v>#REF!</v>
      </c>
      <c r="P326" s="25"/>
    </row>
    <row r="327" spans="1:16" ht="16.95" hidden="1" customHeight="1">
      <c r="A327" s="19"/>
      <c r="B327" s="12" t="s">
        <v>363</v>
      </c>
      <c r="C327" s="16" t="e">
        <f>IF($C$3=100,#REF!,#REF!)</f>
        <v>#REF!</v>
      </c>
      <c r="D327" s="10">
        <v>0</v>
      </c>
      <c r="E327" s="12" t="str">
        <f t="shared" si="66"/>
        <v>шт.</v>
      </c>
      <c r="F327" s="10">
        <f t="shared" si="62"/>
        <v>1</v>
      </c>
      <c r="G327" s="16" t="e">
        <f t="shared" si="63"/>
        <v>#REF!</v>
      </c>
      <c r="H327" s="10">
        <v>100</v>
      </c>
      <c r="I327" s="10">
        <f t="shared" si="64"/>
        <v>0</v>
      </c>
      <c r="J327" s="10">
        <v>0</v>
      </c>
      <c r="K327" s="10">
        <v>20</v>
      </c>
      <c r="L327" s="10">
        <f>D327:D327*20</f>
        <v>0</v>
      </c>
      <c r="M327" s="32"/>
      <c r="N327" s="10">
        <f t="shared" si="65"/>
        <v>0</v>
      </c>
      <c r="O327" s="16" t="e">
        <f>N327:N327*F327:F327*#REF!</f>
        <v>#REF!</v>
      </c>
      <c r="P327" s="21"/>
    </row>
    <row r="328" spans="1:16" ht="16.95" hidden="1" customHeight="1">
      <c r="A328" s="22"/>
      <c r="B328" s="15" t="s">
        <v>364</v>
      </c>
      <c r="C328" s="18" t="e">
        <f>IF($C$3=100,#REF!,#REF!)</f>
        <v>#REF!</v>
      </c>
      <c r="D328" s="24">
        <v>0</v>
      </c>
      <c r="E328" s="15" t="str">
        <f t="shared" si="66"/>
        <v>шт.</v>
      </c>
      <c r="F328" s="24">
        <f t="shared" si="62"/>
        <v>1</v>
      </c>
      <c r="G328" s="18" t="e">
        <f t="shared" si="63"/>
        <v>#REF!</v>
      </c>
      <c r="H328" s="24">
        <v>0</v>
      </c>
      <c r="I328" s="24">
        <f t="shared" si="64"/>
        <v>0</v>
      </c>
      <c r="J328" s="24">
        <v>0</v>
      </c>
      <c r="K328" s="17"/>
      <c r="L328" s="17"/>
      <c r="M328" s="31"/>
      <c r="N328" s="24">
        <f t="shared" si="65"/>
        <v>0</v>
      </c>
      <c r="O328" s="18" t="e">
        <f>N328:N328*F328:F328*#REF!</f>
        <v>#REF!</v>
      </c>
      <c r="P328" s="25"/>
    </row>
    <row r="329" spans="1:16" ht="16.95" hidden="1" customHeight="1">
      <c r="A329" s="19"/>
      <c r="B329" s="12" t="s">
        <v>365</v>
      </c>
      <c r="C329" s="16" t="e">
        <f>IF($C$3=100,#REF!,#REF!)</f>
        <v>#REF!</v>
      </c>
      <c r="D329" s="10">
        <v>0</v>
      </c>
      <c r="E329" s="12" t="str">
        <f>IF($B$3=1,"м²","sq. m.")</f>
        <v>м²</v>
      </c>
      <c r="F329" s="10">
        <f t="shared" si="62"/>
        <v>1</v>
      </c>
      <c r="G329" s="16" t="e">
        <f t="shared" si="63"/>
        <v>#REF!</v>
      </c>
      <c r="H329" s="10">
        <v>600</v>
      </c>
      <c r="I329" s="10">
        <f t="shared" si="64"/>
        <v>0</v>
      </c>
      <c r="J329" s="10">
        <v>0</v>
      </c>
      <c r="K329" s="10">
        <v>26</v>
      </c>
      <c r="L329" s="10">
        <f>ROUNDUP((D329:D329/2),0)*86</f>
        <v>0</v>
      </c>
      <c r="M329" s="32">
        <f>ROUNDUP((D329:D329/2),0)*0.3</f>
        <v>0</v>
      </c>
      <c r="N329" s="10">
        <f t="shared" si="65"/>
        <v>0</v>
      </c>
      <c r="O329" s="16" t="e">
        <f>N329:N329*F329:F329*#REF!</f>
        <v>#REF!</v>
      </c>
      <c r="P329" s="21"/>
    </row>
    <row r="330" spans="1:16" ht="16.95" hidden="1" customHeight="1">
      <c r="A330" s="22"/>
      <c r="B330" s="15" t="s">
        <v>366</v>
      </c>
      <c r="C330" s="18" t="e">
        <f>IF($C$3=100,#REF!,#REF!)</f>
        <v>#REF!</v>
      </c>
      <c r="D330" s="24">
        <v>0</v>
      </c>
      <c r="E330" s="15" t="str">
        <f>IF($B$3=1,"м²","sq. m.")</f>
        <v>м²</v>
      </c>
      <c r="F330" s="24">
        <f t="shared" si="62"/>
        <v>1</v>
      </c>
      <c r="G330" s="18" t="e">
        <f t="shared" si="63"/>
        <v>#REF!</v>
      </c>
      <c r="H330" s="24">
        <v>800</v>
      </c>
      <c r="I330" s="24">
        <f t="shared" si="64"/>
        <v>0</v>
      </c>
      <c r="J330" s="24">
        <v>0</v>
      </c>
      <c r="K330" s="24">
        <v>30</v>
      </c>
      <c r="L330" s="24">
        <f>ROUNDUP((D330:D330/2.5),0)*118</f>
        <v>0</v>
      </c>
      <c r="M330" s="31">
        <f>ROUNDUP((D330:D330/2.5),0)*0.42</f>
        <v>0</v>
      </c>
      <c r="N330" s="24">
        <f t="shared" si="65"/>
        <v>0</v>
      </c>
      <c r="O330" s="18" t="e">
        <f>N330:N330*F330:F330*#REF!</f>
        <v>#REF!</v>
      </c>
      <c r="P330" s="25"/>
    </row>
    <row r="331" spans="1:16" ht="16.95" hidden="1" customHeight="1">
      <c r="A331" s="19"/>
      <c r="B331" s="12" t="s">
        <v>367</v>
      </c>
      <c r="C331" s="16" t="e">
        <f>IF($C$3=100,#REF!,#REF!)</f>
        <v>#REF!</v>
      </c>
      <c r="D331" s="10">
        <v>0</v>
      </c>
      <c r="E331" s="12" t="str">
        <f>IF($B$3=1,"м²","sq. m.")</f>
        <v>м²</v>
      </c>
      <c r="F331" s="10">
        <f t="shared" si="62"/>
        <v>1</v>
      </c>
      <c r="G331" s="16" t="e">
        <f t="shared" si="63"/>
        <v>#REF!</v>
      </c>
      <c r="H331" s="10">
        <v>900</v>
      </c>
      <c r="I331" s="10">
        <f t="shared" si="64"/>
        <v>0</v>
      </c>
      <c r="J331" s="10">
        <v>0</v>
      </c>
      <c r="K331" s="10">
        <v>40</v>
      </c>
      <c r="L331" s="10">
        <f>ROUNDUP((D331:D331/4.5),0)*190</f>
        <v>0</v>
      </c>
      <c r="M331" s="32">
        <f>ROUNDUP((D331:D331/4.5),0)*0.64</f>
        <v>0</v>
      </c>
      <c r="N331" s="10">
        <f t="shared" si="65"/>
        <v>0</v>
      </c>
      <c r="O331" s="16" t="e">
        <f>N331:N331*F331:F331*#REF!</f>
        <v>#REF!</v>
      </c>
      <c r="P331" s="21"/>
    </row>
    <row r="332" spans="1:16" ht="16.95" hidden="1" customHeight="1">
      <c r="A332" s="22"/>
      <c r="B332" s="15" t="s">
        <v>368</v>
      </c>
      <c r="C332" s="18" t="e">
        <f>IF($C$3=100,#REF!,#REF!)</f>
        <v>#REF!</v>
      </c>
      <c r="D332" s="24">
        <v>0</v>
      </c>
      <c r="E332" s="15" t="str">
        <f>IF($B$3=1,"м²","sq. m.")</f>
        <v>м²</v>
      </c>
      <c r="F332" s="24">
        <f t="shared" si="62"/>
        <v>1</v>
      </c>
      <c r="G332" s="18" t="e">
        <f t="shared" si="63"/>
        <v>#REF!</v>
      </c>
      <c r="H332" s="24">
        <v>300</v>
      </c>
      <c r="I332" s="24">
        <f t="shared" si="64"/>
        <v>0</v>
      </c>
      <c r="J332" s="24">
        <v>0</v>
      </c>
      <c r="K332" s="24">
        <v>11</v>
      </c>
      <c r="L332" s="24">
        <f>ROUNDUP((D332:D332/4),0)*86</f>
        <v>0</v>
      </c>
      <c r="M332" s="31">
        <f>ROUNDUP((D332:D332/4),0)*0.6</f>
        <v>0</v>
      </c>
      <c r="N332" s="24">
        <f t="shared" si="65"/>
        <v>0</v>
      </c>
      <c r="O332" s="18" t="e">
        <f>N332:N332*F332:F332*#REF!</f>
        <v>#REF!</v>
      </c>
      <c r="P332" s="25"/>
    </row>
    <row r="333" spans="1:16" ht="34.049999999999997" hidden="1" customHeight="1">
      <c r="A333" s="19"/>
      <c r="B333" s="20" t="s">
        <v>369</v>
      </c>
      <c r="C333" s="16" t="e">
        <f>IF($C$3=100,#REF!,#REF!)</f>
        <v>#REF!</v>
      </c>
      <c r="D333" s="10">
        <v>0</v>
      </c>
      <c r="E333" s="12" t="str">
        <f>IF($B$3=1,"компл.","set")</f>
        <v>компл.</v>
      </c>
      <c r="F333" s="10">
        <f t="shared" si="62"/>
        <v>1</v>
      </c>
      <c r="G333" s="16" t="e">
        <f t="shared" si="63"/>
        <v>#REF!</v>
      </c>
      <c r="H333" s="10">
        <v>6500</v>
      </c>
      <c r="I333" s="10">
        <f t="shared" si="64"/>
        <v>0</v>
      </c>
      <c r="J333" s="10">
        <v>1</v>
      </c>
      <c r="K333" s="10">
        <v>637.5</v>
      </c>
      <c r="L333" s="10">
        <f>D333:D333*1151</f>
        <v>0</v>
      </c>
      <c r="M333" s="9"/>
      <c r="N333" s="10">
        <f t="shared" si="65"/>
        <v>0</v>
      </c>
      <c r="O333" s="16" t="e">
        <f>N333:N333*F333:F333*#REF!</f>
        <v>#REF!</v>
      </c>
      <c r="P333" s="21"/>
    </row>
    <row r="334" spans="1:16" ht="34.049999999999997" hidden="1" customHeight="1">
      <c r="A334" s="22"/>
      <c r="B334" s="23" t="s">
        <v>370</v>
      </c>
      <c r="C334" s="18" t="e">
        <f>IF($C$3=100,#REF!,#REF!)</f>
        <v>#REF!</v>
      </c>
      <c r="D334" s="24">
        <v>0</v>
      </c>
      <c r="E334" s="15" t="str">
        <f>IF($B$3=1,"компл.","set")</f>
        <v>компл.</v>
      </c>
      <c r="F334" s="24">
        <f t="shared" si="62"/>
        <v>1</v>
      </c>
      <c r="G334" s="18" t="e">
        <f t="shared" si="63"/>
        <v>#REF!</v>
      </c>
      <c r="H334" s="24">
        <v>4160</v>
      </c>
      <c r="I334" s="24">
        <f t="shared" si="64"/>
        <v>0</v>
      </c>
      <c r="J334" s="24">
        <v>1</v>
      </c>
      <c r="K334" s="24">
        <v>408</v>
      </c>
      <c r="L334" s="24">
        <f>D334:D334*701.6</f>
        <v>0</v>
      </c>
      <c r="M334" s="17"/>
      <c r="N334" s="24">
        <f t="shared" si="65"/>
        <v>0</v>
      </c>
      <c r="O334" s="18" t="e">
        <f>N334:N334*F334:F334*#REF!</f>
        <v>#REF!</v>
      </c>
      <c r="P334" s="25"/>
    </row>
    <row r="335" spans="1:16" ht="34.049999999999997" hidden="1" customHeight="1">
      <c r="A335" s="19"/>
      <c r="B335" s="20" t="s">
        <v>371</v>
      </c>
      <c r="C335" s="16" t="e">
        <f>IF($C$3=100,#REF!,#REF!)</f>
        <v>#REF!</v>
      </c>
      <c r="D335" s="10">
        <v>0</v>
      </c>
      <c r="E335" s="12" t="str">
        <f>IF($B$3=1,"компл.","set")</f>
        <v>компл.</v>
      </c>
      <c r="F335" s="10">
        <f t="shared" si="62"/>
        <v>1</v>
      </c>
      <c r="G335" s="16" t="e">
        <f t="shared" si="63"/>
        <v>#REF!</v>
      </c>
      <c r="H335" s="10">
        <v>2340</v>
      </c>
      <c r="I335" s="10">
        <f t="shared" si="64"/>
        <v>0</v>
      </c>
      <c r="J335" s="10">
        <v>2</v>
      </c>
      <c r="K335" s="10">
        <v>229.5</v>
      </c>
      <c r="L335" s="10">
        <f>D335:D335*413</f>
        <v>0</v>
      </c>
      <c r="M335" s="9"/>
      <c r="N335" s="10">
        <f t="shared" si="65"/>
        <v>0</v>
      </c>
      <c r="O335" s="16" t="e">
        <f>N335:N335*F335:F335*#REF!</f>
        <v>#REF!</v>
      </c>
      <c r="P335" s="21"/>
    </row>
    <row r="336" spans="1:16" ht="34.049999999999997" hidden="1" customHeight="1">
      <c r="A336" s="22"/>
      <c r="B336" s="23" t="s">
        <v>372</v>
      </c>
      <c r="C336" s="18" t="e">
        <f>IF($C$3=100,#REF!,#REF!)</f>
        <v>#REF!</v>
      </c>
      <c r="D336" s="24">
        <v>0</v>
      </c>
      <c r="E336" s="15" t="str">
        <f>IF($B$3=1,"компл.","set")</f>
        <v>компл.</v>
      </c>
      <c r="F336" s="24">
        <f t="shared" si="62"/>
        <v>1</v>
      </c>
      <c r="G336" s="18" t="e">
        <f t="shared" si="63"/>
        <v>#REF!</v>
      </c>
      <c r="H336" s="24">
        <v>1040</v>
      </c>
      <c r="I336" s="24">
        <f t="shared" si="64"/>
        <v>0</v>
      </c>
      <c r="J336" s="24">
        <v>3</v>
      </c>
      <c r="K336" s="24">
        <v>102</v>
      </c>
      <c r="L336" s="24">
        <f>D336:D336*175.4</f>
        <v>0</v>
      </c>
      <c r="M336" s="17"/>
      <c r="N336" s="24">
        <f t="shared" si="65"/>
        <v>0</v>
      </c>
      <c r="O336" s="18" t="e">
        <f>N336:N336*F336:F336*#REF!</f>
        <v>#REF!</v>
      </c>
      <c r="P336" s="25"/>
    </row>
    <row r="337" spans="1:16" ht="16.95" hidden="1" customHeight="1">
      <c r="A337" s="19"/>
      <c r="B337" s="12" t="s">
        <v>373</v>
      </c>
      <c r="C337" s="16" t="e">
        <f>IF($C$3=100,#REF!,#REF!)</f>
        <v>#REF!</v>
      </c>
      <c r="D337" s="10">
        <v>0</v>
      </c>
      <c r="E337" s="12" t="str">
        <f t="shared" ref="E337:E353" si="67">IF($B$3=1,"шт.","pcs")</f>
        <v>шт.</v>
      </c>
      <c r="F337" s="10">
        <f t="shared" si="62"/>
        <v>1</v>
      </c>
      <c r="G337" s="16" t="e">
        <f t="shared" si="63"/>
        <v>#REF!</v>
      </c>
      <c r="H337" s="10">
        <v>400</v>
      </c>
      <c r="I337" s="10">
        <f t="shared" si="64"/>
        <v>0</v>
      </c>
      <c r="J337" s="10">
        <v>0</v>
      </c>
      <c r="K337" s="9"/>
      <c r="L337" s="9"/>
      <c r="M337" s="9"/>
      <c r="N337" s="10">
        <f t="shared" si="65"/>
        <v>0</v>
      </c>
      <c r="O337" s="16" t="e">
        <f>N337:N337*F337:F337*#REF!</f>
        <v>#REF!</v>
      </c>
      <c r="P337" s="21"/>
    </row>
    <row r="338" spans="1:16" ht="16.95" hidden="1" customHeight="1">
      <c r="A338" s="17"/>
      <c r="B338" s="15" t="s">
        <v>374</v>
      </c>
      <c r="C338" s="18" t="e">
        <f>IF($C$3=100,#REF!,#REF!)</f>
        <v>#REF!</v>
      </c>
      <c r="D338" s="24">
        <v>0</v>
      </c>
      <c r="E338" s="15" t="str">
        <f t="shared" si="67"/>
        <v>шт.</v>
      </c>
      <c r="F338" s="24">
        <f t="shared" si="62"/>
        <v>1</v>
      </c>
      <c r="G338" s="18" t="e">
        <f t="shared" si="63"/>
        <v>#REF!</v>
      </c>
      <c r="H338" s="24">
        <v>200</v>
      </c>
      <c r="I338" s="24">
        <f t="shared" si="64"/>
        <v>0</v>
      </c>
      <c r="J338" s="24">
        <v>8</v>
      </c>
      <c r="K338" s="24">
        <v>15</v>
      </c>
      <c r="L338" s="24">
        <f>ROUNDUP((D338:D338/4),0)*118</f>
        <v>0</v>
      </c>
      <c r="M338" s="24">
        <f>ROUNDUP((D338:D338/4),0)*0.692</f>
        <v>0</v>
      </c>
      <c r="N338" s="24">
        <f t="shared" si="65"/>
        <v>0</v>
      </c>
      <c r="O338" s="18" t="e">
        <f>N338:N338*F338:F338*#REF!</f>
        <v>#REF!</v>
      </c>
      <c r="P338" s="25"/>
    </row>
    <row r="339" spans="1:16" ht="16.95" hidden="1" customHeight="1">
      <c r="A339" s="19"/>
      <c r="B339" s="12" t="s">
        <v>375</v>
      </c>
      <c r="C339" s="16" t="e">
        <f>IF($C$3=100,#REF!,#REF!)</f>
        <v>#REF!</v>
      </c>
      <c r="D339" s="10">
        <v>0</v>
      </c>
      <c r="E339" s="12" t="str">
        <f t="shared" si="67"/>
        <v>шт.</v>
      </c>
      <c r="F339" s="10">
        <f t="shared" si="62"/>
        <v>1</v>
      </c>
      <c r="G339" s="16" t="e">
        <f t="shared" si="63"/>
        <v>#REF!</v>
      </c>
      <c r="H339" s="10">
        <v>260</v>
      </c>
      <c r="I339" s="10">
        <f t="shared" si="64"/>
        <v>0</v>
      </c>
      <c r="J339" s="10">
        <v>25</v>
      </c>
      <c r="K339" s="10">
        <v>25.5</v>
      </c>
      <c r="L339" s="10">
        <f>ROUNDUP((D339:D339/2),0)*87.7</f>
        <v>0</v>
      </c>
      <c r="M339" s="10">
        <f>ROUNDUP((D339:D339/2),0)*0.454</f>
        <v>0</v>
      </c>
      <c r="N339" s="10">
        <f t="shared" si="65"/>
        <v>0</v>
      </c>
      <c r="O339" s="16" t="e">
        <f>N339:N339*F339:F339*#REF!</f>
        <v>#REF!</v>
      </c>
      <c r="P339" s="21"/>
    </row>
    <row r="340" spans="1:16" ht="16.95" hidden="1" customHeight="1">
      <c r="A340" s="22"/>
      <c r="B340" s="15" t="s">
        <v>376</v>
      </c>
      <c r="C340" s="18" t="e">
        <f>IF($C$3=100,#REF!,#REF!)</f>
        <v>#REF!</v>
      </c>
      <c r="D340" s="24">
        <v>0</v>
      </c>
      <c r="E340" s="15" t="str">
        <f t="shared" si="67"/>
        <v>шт.</v>
      </c>
      <c r="F340" s="24">
        <f t="shared" si="62"/>
        <v>1</v>
      </c>
      <c r="G340" s="18" t="e">
        <f t="shared" si="63"/>
        <v>#REF!</v>
      </c>
      <c r="H340" s="24">
        <v>0</v>
      </c>
      <c r="I340" s="24">
        <f t="shared" si="64"/>
        <v>0</v>
      </c>
      <c r="J340" s="24">
        <v>7</v>
      </c>
      <c r="K340" s="24">
        <v>28.9</v>
      </c>
      <c r="L340" s="24">
        <f>D340:D340*K340:K340</f>
        <v>0</v>
      </c>
      <c r="M340" s="17"/>
      <c r="N340" s="24">
        <f t="shared" si="65"/>
        <v>0</v>
      </c>
      <c r="O340" s="18" t="e">
        <f>N340:N340*F340:F340*#REF!</f>
        <v>#REF!</v>
      </c>
      <c r="P340" s="25"/>
    </row>
    <row r="341" spans="1:16" ht="16.95" hidden="1" customHeight="1">
      <c r="A341" s="19"/>
      <c r="B341" s="12" t="s">
        <v>377</v>
      </c>
      <c r="C341" s="16" t="e">
        <f>IF($C$3=100,#REF!,#REF!)</f>
        <v>#REF!</v>
      </c>
      <c r="D341" s="10">
        <v>0</v>
      </c>
      <c r="E341" s="12" t="str">
        <f t="shared" si="67"/>
        <v>шт.</v>
      </c>
      <c r="F341" s="10">
        <f t="shared" si="62"/>
        <v>1</v>
      </c>
      <c r="G341" s="16" t="e">
        <f t="shared" si="63"/>
        <v>#REF!</v>
      </c>
      <c r="H341" s="10">
        <v>0</v>
      </c>
      <c r="I341" s="10">
        <f t="shared" si="64"/>
        <v>0</v>
      </c>
      <c r="J341" s="10">
        <v>2</v>
      </c>
      <c r="K341" s="9"/>
      <c r="L341" s="9"/>
      <c r="M341" s="9"/>
      <c r="N341" s="10">
        <f t="shared" si="65"/>
        <v>0</v>
      </c>
      <c r="O341" s="16" t="e">
        <f>N341:N341*F341:F341*#REF!</f>
        <v>#REF!</v>
      </c>
      <c r="P341" s="21"/>
    </row>
    <row r="342" spans="1:16" ht="16.95" hidden="1" customHeight="1">
      <c r="A342" s="22"/>
      <c r="B342" s="15" t="s">
        <v>378</v>
      </c>
      <c r="C342" s="18" t="e">
        <f>IF($C$3=100,#REF!,#REF!)</f>
        <v>#REF!</v>
      </c>
      <c r="D342" s="24">
        <v>0</v>
      </c>
      <c r="E342" s="15" t="str">
        <f t="shared" si="67"/>
        <v>шт.</v>
      </c>
      <c r="F342" s="24">
        <f t="shared" si="62"/>
        <v>1</v>
      </c>
      <c r="G342" s="18" t="e">
        <f t="shared" si="63"/>
        <v>#REF!</v>
      </c>
      <c r="H342" s="24">
        <v>0</v>
      </c>
      <c r="I342" s="24">
        <f t="shared" si="64"/>
        <v>0</v>
      </c>
      <c r="J342" s="24">
        <v>8</v>
      </c>
      <c r="K342" s="17"/>
      <c r="L342" s="17"/>
      <c r="M342" s="17"/>
      <c r="N342" s="24">
        <f t="shared" si="65"/>
        <v>0</v>
      </c>
      <c r="O342" s="18" t="e">
        <f>N342:N342*F342:F342*#REF!</f>
        <v>#REF!</v>
      </c>
      <c r="P342" s="25"/>
    </row>
    <row r="343" spans="1:16" ht="34.049999999999997" hidden="1" customHeight="1">
      <c r="A343" s="19"/>
      <c r="B343" s="12" t="s">
        <v>379</v>
      </c>
      <c r="C343" s="16" t="e">
        <f>IF($C$3=100,#REF!,#REF!)</f>
        <v>#REF!</v>
      </c>
      <c r="D343" s="10">
        <v>0</v>
      </c>
      <c r="E343" s="12" t="str">
        <f t="shared" si="67"/>
        <v>шт.</v>
      </c>
      <c r="F343" s="10">
        <f t="shared" si="62"/>
        <v>1</v>
      </c>
      <c r="G343" s="16" t="e">
        <f t="shared" si="63"/>
        <v>#REF!</v>
      </c>
      <c r="H343" s="10">
        <v>8500</v>
      </c>
      <c r="I343" s="10">
        <f t="shared" si="64"/>
        <v>0</v>
      </c>
      <c r="J343" s="10">
        <v>0</v>
      </c>
      <c r="K343" s="9"/>
      <c r="L343" s="9"/>
      <c r="M343" s="9"/>
      <c r="N343" s="10">
        <f t="shared" si="65"/>
        <v>0</v>
      </c>
      <c r="O343" s="16" t="e">
        <f>N343:N343*F343:F343*#REF!</f>
        <v>#REF!</v>
      </c>
      <c r="P343" s="21"/>
    </row>
    <row r="344" spans="1:16" ht="16.95" hidden="1" customHeight="1">
      <c r="A344" s="22"/>
      <c r="B344" s="15" t="s">
        <v>380</v>
      </c>
      <c r="C344" s="18" t="e">
        <f>IF($C$3=100,#REF!,#REF!)</f>
        <v>#REF!</v>
      </c>
      <c r="D344" s="24">
        <f>D343</f>
        <v>0</v>
      </c>
      <c r="E344" s="15" t="str">
        <f t="shared" si="67"/>
        <v>шт.</v>
      </c>
      <c r="F344" s="24">
        <f t="shared" si="62"/>
        <v>1</v>
      </c>
      <c r="G344" s="18" t="e">
        <f t="shared" si="63"/>
        <v>#REF!</v>
      </c>
      <c r="H344" s="24">
        <v>0</v>
      </c>
      <c r="I344" s="24">
        <f t="shared" si="64"/>
        <v>0</v>
      </c>
      <c r="J344" s="24">
        <v>0</v>
      </c>
      <c r="K344" s="17"/>
      <c r="L344" s="17"/>
      <c r="M344" s="17"/>
      <c r="N344" s="24">
        <f t="shared" si="65"/>
        <v>0</v>
      </c>
      <c r="O344" s="18" t="e">
        <f>N344:N344*F344:F344*#REF!</f>
        <v>#REF!</v>
      </c>
      <c r="P344" s="25"/>
    </row>
    <row r="345" spans="1:16" ht="34.049999999999997" hidden="1" customHeight="1">
      <c r="A345" s="19"/>
      <c r="B345" s="12" t="s">
        <v>381</v>
      </c>
      <c r="C345" s="16" t="e">
        <f>IF($C$3=100,#REF!,#REF!)</f>
        <v>#REF!</v>
      </c>
      <c r="D345" s="10">
        <v>0</v>
      </c>
      <c r="E345" s="12" t="str">
        <f t="shared" si="67"/>
        <v>шт.</v>
      </c>
      <c r="F345" s="10">
        <f t="shared" si="62"/>
        <v>1</v>
      </c>
      <c r="G345" s="16" t="e">
        <f t="shared" si="63"/>
        <v>#REF!</v>
      </c>
      <c r="H345" s="10">
        <v>3200</v>
      </c>
      <c r="I345" s="10">
        <f t="shared" si="64"/>
        <v>0</v>
      </c>
      <c r="J345" s="10">
        <v>0</v>
      </c>
      <c r="K345" s="9"/>
      <c r="L345" s="9"/>
      <c r="M345" s="9"/>
      <c r="N345" s="10">
        <f t="shared" si="65"/>
        <v>0</v>
      </c>
      <c r="O345" s="16" t="e">
        <f>N345:N345*F345:F345*#REF!</f>
        <v>#REF!</v>
      </c>
      <c r="P345" s="21"/>
    </row>
    <row r="346" spans="1:16" ht="16.95" hidden="1" customHeight="1">
      <c r="A346" s="22"/>
      <c r="B346" s="15" t="s">
        <v>382</v>
      </c>
      <c r="C346" s="18" t="e">
        <f>IF($C$3=100,#REF!,#REF!)</f>
        <v>#REF!</v>
      </c>
      <c r="D346" s="24">
        <f>D345</f>
        <v>0</v>
      </c>
      <c r="E346" s="15" t="str">
        <f t="shared" si="67"/>
        <v>шт.</v>
      </c>
      <c r="F346" s="24">
        <f t="shared" si="62"/>
        <v>1</v>
      </c>
      <c r="G346" s="18" t="e">
        <f t="shared" si="63"/>
        <v>#REF!</v>
      </c>
      <c r="H346" s="24">
        <v>0</v>
      </c>
      <c r="I346" s="24">
        <f t="shared" si="64"/>
        <v>0</v>
      </c>
      <c r="J346" s="24">
        <v>0</v>
      </c>
      <c r="K346" s="17"/>
      <c r="L346" s="17"/>
      <c r="M346" s="17"/>
      <c r="N346" s="24">
        <f t="shared" si="65"/>
        <v>0</v>
      </c>
      <c r="O346" s="18" t="e">
        <f>N346:N346*F346:F346*#REF!</f>
        <v>#REF!</v>
      </c>
      <c r="P346" s="25"/>
    </row>
    <row r="347" spans="1:16" ht="34.049999999999997" hidden="1" customHeight="1">
      <c r="A347" s="19"/>
      <c r="B347" s="12" t="s">
        <v>383</v>
      </c>
      <c r="C347" s="16" t="e">
        <f>IF($C$3=100,#REF!,#REF!)</f>
        <v>#REF!</v>
      </c>
      <c r="D347" s="10">
        <v>0</v>
      </c>
      <c r="E347" s="12" t="str">
        <f t="shared" si="67"/>
        <v>шт.</v>
      </c>
      <c r="F347" s="10">
        <f t="shared" si="62"/>
        <v>1</v>
      </c>
      <c r="G347" s="16" t="e">
        <f t="shared" si="63"/>
        <v>#REF!</v>
      </c>
      <c r="H347" s="10">
        <v>3000</v>
      </c>
      <c r="I347" s="10">
        <f t="shared" si="64"/>
        <v>0</v>
      </c>
      <c r="J347" s="10">
        <v>0</v>
      </c>
      <c r="K347" s="9"/>
      <c r="L347" s="9"/>
      <c r="M347" s="9"/>
      <c r="N347" s="10">
        <f t="shared" si="65"/>
        <v>0</v>
      </c>
      <c r="O347" s="16" t="e">
        <f>N347:N347*F347:F347*#REF!</f>
        <v>#REF!</v>
      </c>
      <c r="P347" s="21"/>
    </row>
    <row r="348" spans="1:16" ht="16.95" hidden="1" customHeight="1">
      <c r="A348" s="22"/>
      <c r="B348" s="15" t="s">
        <v>382</v>
      </c>
      <c r="C348" s="18" t="e">
        <f>IF($C$3=100,#REF!,#REF!)</f>
        <v>#REF!</v>
      </c>
      <c r="D348" s="24">
        <f>D347</f>
        <v>0</v>
      </c>
      <c r="E348" s="15" t="str">
        <f t="shared" si="67"/>
        <v>шт.</v>
      </c>
      <c r="F348" s="24">
        <f t="shared" si="62"/>
        <v>1</v>
      </c>
      <c r="G348" s="18" t="e">
        <f t="shared" si="63"/>
        <v>#REF!</v>
      </c>
      <c r="H348" s="24">
        <v>0</v>
      </c>
      <c r="I348" s="24">
        <f t="shared" si="64"/>
        <v>0</v>
      </c>
      <c r="J348" s="24">
        <v>0</v>
      </c>
      <c r="K348" s="17"/>
      <c r="L348" s="17"/>
      <c r="M348" s="17"/>
      <c r="N348" s="24">
        <f t="shared" si="65"/>
        <v>0</v>
      </c>
      <c r="O348" s="18" t="e">
        <f>N348:N348*F348:F348*#REF!</f>
        <v>#REF!</v>
      </c>
      <c r="P348" s="25"/>
    </row>
    <row r="349" spans="1:16" ht="34.049999999999997" hidden="1" customHeight="1">
      <c r="A349" s="19"/>
      <c r="B349" s="12" t="s">
        <v>384</v>
      </c>
      <c r="C349" s="16" t="e">
        <f>IF($C$3=100,#REF!,#REF!)</f>
        <v>#REF!</v>
      </c>
      <c r="D349" s="10">
        <v>0</v>
      </c>
      <c r="E349" s="12" t="str">
        <f t="shared" si="67"/>
        <v>шт.</v>
      </c>
      <c r="F349" s="10">
        <f t="shared" si="62"/>
        <v>1</v>
      </c>
      <c r="G349" s="16" t="e">
        <f t="shared" si="63"/>
        <v>#REF!</v>
      </c>
      <c r="H349" s="10">
        <v>442</v>
      </c>
      <c r="I349" s="10">
        <f t="shared" si="64"/>
        <v>0</v>
      </c>
      <c r="J349" s="10">
        <v>0</v>
      </c>
      <c r="K349" s="9"/>
      <c r="L349" s="9"/>
      <c r="M349" s="9"/>
      <c r="N349" s="10">
        <f t="shared" si="65"/>
        <v>0</v>
      </c>
      <c r="O349" s="16" t="e">
        <f>N349:N349*F349:F349*#REF!</f>
        <v>#REF!</v>
      </c>
      <c r="P349" s="21"/>
    </row>
    <row r="350" spans="1:16" ht="34.049999999999997" hidden="1" customHeight="1">
      <c r="A350" s="22"/>
      <c r="B350" s="15" t="s">
        <v>385</v>
      </c>
      <c r="C350" s="18" t="e">
        <f>IF($C$3=100,#REF!,#REF!)</f>
        <v>#REF!</v>
      </c>
      <c r="D350" s="24">
        <v>0</v>
      </c>
      <c r="E350" s="15" t="str">
        <f t="shared" si="67"/>
        <v>шт.</v>
      </c>
      <c r="F350" s="24">
        <f t="shared" si="62"/>
        <v>1</v>
      </c>
      <c r="G350" s="18" t="e">
        <f t="shared" si="63"/>
        <v>#REF!</v>
      </c>
      <c r="H350" s="24">
        <v>1700</v>
      </c>
      <c r="I350" s="24">
        <f t="shared" si="64"/>
        <v>0</v>
      </c>
      <c r="J350" s="24">
        <v>2</v>
      </c>
      <c r="K350" s="17"/>
      <c r="L350" s="17"/>
      <c r="M350" s="17"/>
      <c r="N350" s="24">
        <f t="shared" si="65"/>
        <v>0</v>
      </c>
      <c r="O350" s="18" t="e">
        <f>N350:N350*F350:F350*#REF!</f>
        <v>#REF!</v>
      </c>
      <c r="P350" s="25"/>
    </row>
    <row r="351" spans="1:16" ht="16.95" hidden="1" customHeight="1">
      <c r="A351" s="19"/>
      <c r="B351" s="12" t="s">
        <v>386</v>
      </c>
      <c r="C351" s="16" t="e">
        <f>IF($C$3=100,#REF!,#REF!)</f>
        <v>#REF!</v>
      </c>
      <c r="D351" s="10">
        <f>D350</f>
        <v>0</v>
      </c>
      <c r="E351" s="12" t="str">
        <f t="shared" si="67"/>
        <v>шт.</v>
      </c>
      <c r="F351" s="10">
        <f t="shared" si="62"/>
        <v>1</v>
      </c>
      <c r="G351" s="16" t="e">
        <f t="shared" si="63"/>
        <v>#REF!</v>
      </c>
      <c r="H351" s="10">
        <v>0</v>
      </c>
      <c r="I351" s="10">
        <f t="shared" si="64"/>
        <v>0</v>
      </c>
      <c r="J351" s="10">
        <v>2</v>
      </c>
      <c r="K351" s="9"/>
      <c r="L351" s="9"/>
      <c r="M351" s="9"/>
      <c r="N351" s="10">
        <f t="shared" si="65"/>
        <v>0</v>
      </c>
      <c r="O351" s="16" t="e">
        <f>N351:N351*F351:F351*#REF!</f>
        <v>#REF!</v>
      </c>
      <c r="P351" s="21"/>
    </row>
    <row r="352" spans="1:16" ht="34.049999999999997" hidden="1" customHeight="1">
      <c r="A352" s="22"/>
      <c r="B352" s="15" t="s">
        <v>387</v>
      </c>
      <c r="C352" s="18" t="e">
        <f>IF($C$3=100,#REF!,#REF!)</f>
        <v>#REF!</v>
      </c>
      <c r="D352" s="24">
        <v>0</v>
      </c>
      <c r="E352" s="15" t="str">
        <f t="shared" si="67"/>
        <v>шт.</v>
      </c>
      <c r="F352" s="24">
        <f t="shared" si="62"/>
        <v>1</v>
      </c>
      <c r="G352" s="18" t="e">
        <f t="shared" si="63"/>
        <v>#REF!</v>
      </c>
      <c r="H352" s="24">
        <v>2550</v>
      </c>
      <c r="I352" s="24">
        <f t="shared" si="64"/>
        <v>0</v>
      </c>
      <c r="J352" s="24">
        <v>1</v>
      </c>
      <c r="K352" s="17"/>
      <c r="L352" s="17"/>
      <c r="M352" s="17"/>
      <c r="N352" s="24">
        <f t="shared" si="65"/>
        <v>0</v>
      </c>
      <c r="O352" s="18" t="e">
        <f>N352:N352*F352:F352*#REF!</f>
        <v>#REF!</v>
      </c>
      <c r="P352" s="25"/>
    </row>
    <row r="353" spans="1:16" ht="34.049999999999997" hidden="1" customHeight="1">
      <c r="A353" s="19"/>
      <c r="B353" s="12" t="s">
        <v>388</v>
      </c>
      <c r="C353" s="16" t="e">
        <f>IF($C$3=100,#REF!,#REF!)</f>
        <v>#REF!</v>
      </c>
      <c r="D353" s="10">
        <v>0</v>
      </c>
      <c r="E353" s="12" t="str">
        <f t="shared" si="67"/>
        <v>шт.</v>
      </c>
      <c r="F353" s="10">
        <f t="shared" si="62"/>
        <v>1</v>
      </c>
      <c r="G353" s="16" t="e">
        <f t="shared" si="63"/>
        <v>#REF!</v>
      </c>
      <c r="H353" s="10">
        <v>300</v>
      </c>
      <c r="I353" s="10">
        <f t="shared" si="64"/>
        <v>0</v>
      </c>
      <c r="J353" s="10">
        <v>2</v>
      </c>
      <c r="K353" s="9"/>
      <c r="L353" s="9"/>
      <c r="M353" s="9"/>
      <c r="N353" s="10">
        <f t="shared" si="65"/>
        <v>0</v>
      </c>
      <c r="O353" s="16" t="e">
        <f>N353:N353*F353:F353*#REF!</f>
        <v>#REF!</v>
      </c>
      <c r="P353" s="21"/>
    </row>
    <row r="354" spans="1:16" ht="34.049999999999997" hidden="1" customHeight="1">
      <c r="A354" s="22"/>
      <c r="B354" s="15" t="s">
        <v>389</v>
      </c>
      <c r="C354" s="18" t="e">
        <f>IF($C$3=100,#REF!,#REF!)</f>
        <v>#REF!</v>
      </c>
      <c r="D354" s="24">
        <v>0</v>
      </c>
      <c r="E354" s="15" t="str">
        <f>IF($B$3=1,"секция","door")</f>
        <v>секция</v>
      </c>
      <c r="F354" s="24">
        <f t="shared" ref="F354:F385" si="68">1+($F$3-1)/2</f>
        <v>1</v>
      </c>
      <c r="G354" s="18" t="e">
        <f t="shared" ref="G354:G385" si="69">C354*D354*F354</f>
        <v>#REF!</v>
      </c>
      <c r="H354" s="24">
        <v>0</v>
      </c>
      <c r="I354" s="24">
        <f t="shared" ref="I354:I385" si="70">H354*D354</f>
        <v>0</v>
      </c>
      <c r="J354" s="24">
        <v>5</v>
      </c>
      <c r="K354" s="17"/>
      <c r="L354" s="17"/>
      <c r="M354" s="17"/>
      <c r="N354" s="24">
        <f t="shared" ref="N354:N385" si="71">IF(D354:D354=0,0,IF(J354:J354=0,0,IF(D354:D354&lt;J354:J354,D354:D354,J354:J354)))</f>
        <v>0</v>
      </c>
      <c r="O354" s="18" t="e">
        <f>N354:N354*F354:F354*#REF!</f>
        <v>#REF!</v>
      </c>
      <c r="P354" s="15" t="s">
        <v>390</v>
      </c>
    </row>
    <row r="355" spans="1:16" ht="34.049999999999997" hidden="1" customHeight="1">
      <c r="A355" s="19"/>
      <c r="B355" s="12" t="s">
        <v>391</v>
      </c>
      <c r="C355" s="16" t="e">
        <f>IF($C$3=100,#REF!,#REF!)</f>
        <v>#REF!</v>
      </c>
      <c r="D355" s="10">
        <v>0</v>
      </c>
      <c r="E355" s="12" t="str">
        <f t="shared" ref="E355:E369" si="72">IF($B$3=1,"шт.","pcs")</f>
        <v>шт.</v>
      </c>
      <c r="F355" s="10">
        <f t="shared" si="68"/>
        <v>1</v>
      </c>
      <c r="G355" s="16" t="e">
        <f t="shared" si="69"/>
        <v>#REF!</v>
      </c>
      <c r="H355" s="10">
        <v>0</v>
      </c>
      <c r="I355" s="10">
        <f t="shared" si="70"/>
        <v>0</v>
      </c>
      <c r="J355" s="10">
        <v>0</v>
      </c>
      <c r="K355" s="9"/>
      <c r="L355" s="9"/>
      <c r="M355" s="9"/>
      <c r="N355" s="10">
        <f t="shared" si="71"/>
        <v>0</v>
      </c>
      <c r="O355" s="16" t="e">
        <f>N355:N355*F355:F355*#REF!</f>
        <v>#REF!</v>
      </c>
      <c r="P355" s="21"/>
    </row>
    <row r="356" spans="1:16" ht="16.95" hidden="1" customHeight="1">
      <c r="A356" s="22"/>
      <c r="B356" s="15" t="s">
        <v>392</v>
      </c>
      <c r="C356" s="18" t="e">
        <f>IF($C$3=100,#REF!,#REF!)</f>
        <v>#REF!</v>
      </c>
      <c r="D356" s="24">
        <v>0</v>
      </c>
      <c r="E356" s="15" t="str">
        <f t="shared" si="72"/>
        <v>шт.</v>
      </c>
      <c r="F356" s="24">
        <f t="shared" si="68"/>
        <v>1</v>
      </c>
      <c r="G356" s="18" t="e">
        <f t="shared" si="69"/>
        <v>#REF!</v>
      </c>
      <c r="H356" s="24">
        <v>0</v>
      </c>
      <c r="I356" s="24">
        <f t="shared" si="70"/>
        <v>0</v>
      </c>
      <c r="J356" s="24">
        <v>0</v>
      </c>
      <c r="K356" s="17"/>
      <c r="L356" s="17"/>
      <c r="M356" s="17"/>
      <c r="N356" s="24">
        <f t="shared" si="71"/>
        <v>0</v>
      </c>
      <c r="O356" s="18" t="e">
        <f>N356:N356*F356:F356*#REF!</f>
        <v>#REF!</v>
      </c>
      <c r="P356" s="25"/>
    </row>
    <row r="357" spans="1:16" ht="34.049999999999997" hidden="1" customHeight="1">
      <c r="A357" s="19"/>
      <c r="B357" s="12" t="s">
        <v>393</v>
      </c>
      <c r="C357" s="16" t="e">
        <f>IF($C$3=100,#REF!,#REF!)</f>
        <v>#REF!</v>
      </c>
      <c r="D357" s="10">
        <v>0</v>
      </c>
      <c r="E357" s="12" t="str">
        <f t="shared" si="72"/>
        <v>шт.</v>
      </c>
      <c r="F357" s="10">
        <f t="shared" si="68"/>
        <v>1</v>
      </c>
      <c r="G357" s="16" t="e">
        <f t="shared" si="69"/>
        <v>#REF!</v>
      </c>
      <c r="H357" s="10">
        <v>0</v>
      </c>
      <c r="I357" s="10">
        <f t="shared" si="70"/>
        <v>0</v>
      </c>
      <c r="J357" s="10">
        <v>0</v>
      </c>
      <c r="K357" s="9"/>
      <c r="L357" s="9"/>
      <c r="M357" s="9"/>
      <c r="N357" s="10">
        <f t="shared" si="71"/>
        <v>0</v>
      </c>
      <c r="O357" s="16" t="e">
        <f>N357:N357*F357:F357*#REF!</f>
        <v>#REF!</v>
      </c>
      <c r="P357" s="21"/>
    </row>
    <row r="358" spans="1:16" ht="34.049999999999997" hidden="1" customHeight="1">
      <c r="A358" s="22"/>
      <c r="B358" s="15" t="s">
        <v>394</v>
      </c>
      <c r="C358" s="18" t="e">
        <f>IF($C$3=100,#REF!,#REF!)</f>
        <v>#REF!</v>
      </c>
      <c r="D358" s="24">
        <v>0</v>
      </c>
      <c r="E358" s="15" t="str">
        <f t="shared" si="72"/>
        <v>шт.</v>
      </c>
      <c r="F358" s="24">
        <f t="shared" si="68"/>
        <v>1</v>
      </c>
      <c r="G358" s="18" t="e">
        <f t="shared" si="69"/>
        <v>#REF!</v>
      </c>
      <c r="H358" s="24">
        <v>0</v>
      </c>
      <c r="I358" s="24">
        <f t="shared" si="70"/>
        <v>0</v>
      </c>
      <c r="J358" s="24">
        <v>0</v>
      </c>
      <c r="K358" s="17"/>
      <c r="L358" s="17"/>
      <c r="M358" s="17"/>
      <c r="N358" s="24">
        <f t="shared" si="71"/>
        <v>0</v>
      </c>
      <c r="O358" s="18" t="e">
        <f>N358:N358*F358:F358*#REF!</f>
        <v>#REF!</v>
      </c>
      <c r="P358" s="25"/>
    </row>
    <row r="359" spans="1:16" ht="34.049999999999997" hidden="1" customHeight="1">
      <c r="A359" s="19"/>
      <c r="B359" s="12" t="s">
        <v>395</v>
      </c>
      <c r="C359" s="16" t="e">
        <f>IF($C$3=100,#REF!,#REF!)</f>
        <v>#REF!</v>
      </c>
      <c r="D359" s="10">
        <v>0</v>
      </c>
      <c r="E359" s="12" t="str">
        <f t="shared" si="72"/>
        <v>шт.</v>
      </c>
      <c r="F359" s="10">
        <f t="shared" si="68"/>
        <v>1</v>
      </c>
      <c r="G359" s="16" t="e">
        <f t="shared" si="69"/>
        <v>#REF!</v>
      </c>
      <c r="H359" s="10">
        <v>0</v>
      </c>
      <c r="I359" s="10">
        <f t="shared" si="70"/>
        <v>0</v>
      </c>
      <c r="J359" s="10">
        <v>0</v>
      </c>
      <c r="K359" s="9"/>
      <c r="L359" s="9"/>
      <c r="M359" s="9"/>
      <c r="N359" s="10">
        <f t="shared" si="71"/>
        <v>0</v>
      </c>
      <c r="O359" s="16" t="e">
        <f>N359:N359*F359:F359*#REF!</f>
        <v>#REF!</v>
      </c>
      <c r="P359" s="21"/>
    </row>
    <row r="360" spans="1:16" ht="34.049999999999997" hidden="1" customHeight="1">
      <c r="A360" s="22"/>
      <c r="B360" s="15" t="s">
        <v>396</v>
      </c>
      <c r="C360" s="18" t="e">
        <f>IF($C$3=100,#REF!,#REF!)</f>
        <v>#REF!</v>
      </c>
      <c r="D360" s="24">
        <v>0</v>
      </c>
      <c r="E360" s="15" t="str">
        <f t="shared" si="72"/>
        <v>шт.</v>
      </c>
      <c r="F360" s="24">
        <f t="shared" si="68"/>
        <v>1</v>
      </c>
      <c r="G360" s="18" t="e">
        <f t="shared" si="69"/>
        <v>#REF!</v>
      </c>
      <c r="H360" s="24">
        <v>0</v>
      </c>
      <c r="I360" s="24">
        <f t="shared" si="70"/>
        <v>0</v>
      </c>
      <c r="J360" s="24">
        <v>0</v>
      </c>
      <c r="K360" s="17"/>
      <c r="L360" s="17"/>
      <c r="M360" s="17"/>
      <c r="N360" s="24">
        <f t="shared" si="71"/>
        <v>0</v>
      </c>
      <c r="O360" s="18" t="e">
        <f>N360:N360*F360:F360*#REF!</f>
        <v>#REF!</v>
      </c>
      <c r="P360" s="25"/>
    </row>
    <row r="361" spans="1:16" ht="34.049999999999997" hidden="1" customHeight="1">
      <c r="A361" s="19"/>
      <c r="B361" s="12" t="s">
        <v>397</v>
      </c>
      <c r="C361" s="16" t="e">
        <f>IF($C$3=100,#REF!,#REF!)</f>
        <v>#REF!</v>
      </c>
      <c r="D361" s="10">
        <v>0</v>
      </c>
      <c r="E361" s="12" t="str">
        <f t="shared" si="72"/>
        <v>шт.</v>
      </c>
      <c r="F361" s="10">
        <f t="shared" si="68"/>
        <v>1</v>
      </c>
      <c r="G361" s="16" t="e">
        <f t="shared" si="69"/>
        <v>#REF!</v>
      </c>
      <c r="H361" s="10">
        <v>0</v>
      </c>
      <c r="I361" s="10">
        <f t="shared" si="70"/>
        <v>0</v>
      </c>
      <c r="J361" s="10">
        <v>0</v>
      </c>
      <c r="K361" s="9"/>
      <c r="L361" s="9"/>
      <c r="M361" s="9"/>
      <c r="N361" s="10">
        <f t="shared" si="71"/>
        <v>0</v>
      </c>
      <c r="O361" s="16" t="e">
        <f>N361:N361*F361:F361*#REF!</f>
        <v>#REF!</v>
      </c>
      <c r="P361" s="21"/>
    </row>
    <row r="362" spans="1:16" ht="34.049999999999997" hidden="1" customHeight="1">
      <c r="A362" s="22"/>
      <c r="B362" s="15" t="s">
        <v>398</v>
      </c>
      <c r="C362" s="18" t="e">
        <f>IF($C$3=100,#REF!,#REF!)</f>
        <v>#REF!</v>
      </c>
      <c r="D362" s="24">
        <v>0</v>
      </c>
      <c r="E362" s="15" t="str">
        <f t="shared" si="72"/>
        <v>шт.</v>
      </c>
      <c r="F362" s="24">
        <f t="shared" si="68"/>
        <v>1</v>
      </c>
      <c r="G362" s="18" t="e">
        <f t="shared" si="69"/>
        <v>#REF!</v>
      </c>
      <c r="H362" s="24">
        <v>0</v>
      </c>
      <c r="I362" s="24">
        <f t="shared" si="70"/>
        <v>0</v>
      </c>
      <c r="J362" s="24">
        <v>2</v>
      </c>
      <c r="K362" s="17"/>
      <c r="L362" s="17"/>
      <c r="M362" s="17"/>
      <c r="N362" s="24">
        <f t="shared" si="71"/>
        <v>0</v>
      </c>
      <c r="O362" s="18" t="e">
        <f>N362:N362*F362:F362*#REF!</f>
        <v>#REF!</v>
      </c>
      <c r="P362" s="25"/>
    </row>
    <row r="363" spans="1:16" ht="34.049999999999997" hidden="1" customHeight="1">
      <c r="A363" s="19"/>
      <c r="B363" s="12" t="s">
        <v>399</v>
      </c>
      <c r="C363" s="16" t="e">
        <f>IF($C$3=100,#REF!,#REF!)</f>
        <v>#REF!</v>
      </c>
      <c r="D363" s="10">
        <v>0</v>
      </c>
      <c r="E363" s="12" t="str">
        <f t="shared" si="72"/>
        <v>шт.</v>
      </c>
      <c r="F363" s="10">
        <f t="shared" si="68"/>
        <v>1</v>
      </c>
      <c r="G363" s="16" t="e">
        <f t="shared" si="69"/>
        <v>#REF!</v>
      </c>
      <c r="H363" s="10">
        <v>0</v>
      </c>
      <c r="I363" s="10">
        <f t="shared" si="70"/>
        <v>0</v>
      </c>
      <c r="J363" s="10">
        <v>2</v>
      </c>
      <c r="K363" s="9"/>
      <c r="L363" s="9"/>
      <c r="M363" s="9"/>
      <c r="N363" s="10">
        <f t="shared" si="71"/>
        <v>0</v>
      </c>
      <c r="O363" s="16" t="e">
        <f>N363:N363*F363:F363*#REF!</f>
        <v>#REF!</v>
      </c>
      <c r="P363" s="21"/>
    </row>
    <row r="364" spans="1:16" ht="34.049999999999997" hidden="1" customHeight="1">
      <c r="A364" s="22"/>
      <c r="B364" s="15" t="s">
        <v>400</v>
      </c>
      <c r="C364" s="18" t="e">
        <f>IF($C$3=100,#REF!,#REF!)</f>
        <v>#REF!</v>
      </c>
      <c r="D364" s="24">
        <v>0</v>
      </c>
      <c r="E364" s="15" t="str">
        <f t="shared" si="72"/>
        <v>шт.</v>
      </c>
      <c r="F364" s="24">
        <f t="shared" si="68"/>
        <v>1</v>
      </c>
      <c r="G364" s="18" t="e">
        <f t="shared" si="69"/>
        <v>#REF!</v>
      </c>
      <c r="H364" s="24">
        <v>0</v>
      </c>
      <c r="I364" s="24">
        <f t="shared" si="70"/>
        <v>0</v>
      </c>
      <c r="J364" s="24">
        <v>0</v>
      </c>
      <c r="K364" s="17"/>
      <c r="L364" s="17"/>
      <c r="M364" s="17"/>
      <c r="N364" s="24">
        <f t="shared" si="71"/>
        <v>0</v>
      </c>
      <c r="O364" s="18" t="e">
        <f>N364:N364*F364:F364*#REF!</f>
        <v>#REF!</v>
      </c>
      <c r="P364" s="25"/>
    </row>
    <row r="365" spans="1:16" ht="34.049999999999997" hidden="1" customHeight="1">
      <c r="A365" s="19"/>
      <c r="B365" s="12" t="s">
        <v>401</v>
      </c>
      <c r="C365" s="16" t="e">
        <f>IF($C$3=100,#REF!,#REF!)</f>
        <v>#REF!</v>
      </c>
      <c r="D365" s="10">
        <v>0</v>
      </c>
      <c r="E365" s="12" t="str">
        <f t="shared" si="72"/>
        <v>шт.</v>
      </c>
      <c r="F365" s="10">
        <f t="shared" si="68"/>
        <v>1</v>
      </c>
      <c r="G365" s="16" t="e">
        <f t="shared" si="69"/>
        <v>#REF!</v>
      </c>
      <c r="H365" s="10">
        <v>0</v>
      </c>
      <c r="I365" s="10">
        <f t="shared" si="70"/>
        <v>0</v>
      </c>
      <c r="J365" s="10">
        <v>0</v>
      </c>
      <c r="K365" s="9"/>
      <c r="L365" s="9"/>
      <c r="M365" s="9"/>
      <c r="N365" s="10">
        <f t="shared" si="71"/>
        <v>0</v>
      </c>
      <c r="O365" s="16" t="e">
        <f>N365:N365*F365:F365*#REF!</f>
        <v>#REF!</v>
      </c>
      <c r="P365" s="21"/>
    </row>
    <row r="366" spans="1:16" ht="34.049999999999997" hidden="1" customHeight="1">
      <c r="A366" s="22"/>
      <c r="B366" s="15" t="s">
        <v>402</v>
      </c>
      <c r="C366" s="18" t="e">
        <f>IF($C$3=100,#REF!,#REF!)</f>
        <v>#REF!</v>
      </c>
      <c r="D366" s="24">
        <v>0</v>
      </c>
      <c r="E366" s="15" t="str">
        <f t="shared" si="72"/>
        <v>шт.</v>
      </c>
      <c r="F366" s="24">
        <f t="shared" si="68"/>
        <v>1</v>
      </c>
      <c r="G366" s="18" t="e">
        <f t="shared" si="69"/>
        <v>#REF!</v>
      </c>
      <c r="H366" s="24">
        <v>0</v>
      </c>
      <c r="I366" s="24">
        <f t="shared" si="70"/>
        <v>0</v>
      </c>
      <c r="J366" s="24">
        <v>0</v>
      </c>
      <c r="K366" s="17"/>
      <c r="L366" s="17"/>
      <c r="M366" s="17"/>
      <c r="N366" s="24">
        <f t="shared" si="71"/>
        <v>0</v>
      </c>
      <c r="O366" s="18" t="e">
        <f>N366:N366*F366:F366*#REF!</f>
        <v>#REF!</v>
      </c>
      <c r="P366" s="25"/>
    </row>
    <row r="367" spans="1:16" ht="34.049999999999997" hidden="1" customHeight="1">
      <c r="A367" s="9"/>
      <c r="B367" s="12" t="s">
        <v>403</v>
      </c>
      <c r="C367" s="16" t="e">
        <f>IF($C$3=100,#REF!,#REF!)</f>
        <v>#REF!</v>
      </c>
      <c r="D367" s="10">
        <v>0</v>
      </c>
      <c r="E367" s="12" t="str">
        <f t="shared" si="72"/>
        <v>шт.</v>
      </c>
      <c r="F367" s="10">
        <f t="shared" si="68"/>
        <v>1</v>
      </c>
      <c r="G367" s="16" t="e">
        <f t="shared" si="69"/>
        <v>#REF!</v>
      </c>
      <c r="H367" s="10">
        <v>0</v>
      </c>
      <c r="I367" s="10">
        <f t="shared" si="70"/>
        <v>0</v>
      </c>
      <c r="J367" s="10">
        <v>0</v>
      </c>
      <c r="K367" s="9"/>
      <c r="L367" s="9"/>
      <c r="M367" s="9"/>
      <c r="N367" s="10">
        <f t="shared" si="71"/>
        <v>0</v>
      </c>
      <c r="O367" s="16" t="e">
        <f>N367:N367*F367:F367*#REF!</f>
        <v>#REF!</v>
      </c>
      <c r="P367" s="21"/>
    </row>
    <row r="368" spans="1:16" ht="16.95" hidden="1" customHeight="1">
      <c r="A368" s="22"/>
      <c r="B368" s="15" t="s">
        <v>404</v>
      </c>
      <c r="C368" s="18" t="e">
        <f>IF($C$3=100,#REF!,#REF!)</f>
        <v>#REF!</v>
      </c>
      <c r="D368" s="24">
        <v>0</v>
      </c>
      <c r="E368" s="15" t="str">
        <f t="shared" si="72"/>
        <v>шт.</v>
      </c>
      <c r="F368" s="24">
        <f t="shared" si="68"/>
        <v>1</v>
      </c>
      <c r="G368" s="18" t="e">
        <f t="shared" si="69"/>
        <v>#REF!</v>
      </c>
      <c r="H368" s="24">
        <v>30</v>
      </c>
      <c r="I368" s="24">
        <f t="shared" si="70"/>
        <v>0</v>
      </c>
      <c r="J368" s="24">
        <v>5</v>
      </c>
      <c r="K368" s="17"/>
      <c r="L368" s="17"/>
      <c r="M368" s="17"/>
      <c r="N368" s="24">
        <f t="shared" si="71"/>
        <v>0</v>
      </c>
      <c r="O368" s="18" t="e">
        <f>N368:N368*F368:F368*#REF!</f>
        <v>#REF!</v>
      </c>
      <c r="P368" s="25"/>
    </row>
    <row r="369" spans="1:16" ht="16.95" hidden="1" customHeight="1">
      <c r="A369" s="19"/>
      <c r="B369" s="12" t="s">
        <v>405</v>
      </c>
      <c r="C369" s="16" t="e">
        <f>IF($C$3=100,#REF!,#REF!)</f>
        <v>#REF!</v>
      </c>
      <c r="D369" s="10">
        <v>0</v>
      </c>
      <c r="E369" s="12" t="str">
        <f t="shared" si="72"/>
        <v>шт.</v>
      </c>
      <c r="F369" s="10">
        <f t="shared" si="68"/>
        <v>1</v>
      </c>
      <c r="G369" s="16" t="e">
        <f t="shared" si="69"/>
        <v>#REF!</v>
      </c>
      <c r="H369" s="10">
        <v>30</v>
      </c>
      <c r="I369" s="10">
        <f t="shared" si="70"/>
        <v>0</v>
      </c>
      <c r="J369" s="10">
        <v>2</v>
      </c>
      <c r="K369" s="9"/>
      <c r="L369" s="9"/>
      <c r="M369" s="9"/>
      <c r="N369" s="10">
        <f t="shared" si="71"/>
        <v>0</v>
      </c>
      <c r="O369" s="16" t="e">
        <f>N369:N369*F369:F369*#REF!</f>
        <v>#REF!</v>
      </c>
      <c r="P369" s="21"/>
    </row>
    <row r="370" spans="1:16" ht="16.95" hidden="1" customHeight="1">
      <c r="A370" s="22"/>
      <c r="B370" s="15" t="s">
        <v>406</v>
      </c>
      <c r="C370" s="18" t="e">
        <f>IF($C$3=100,#REF!,#REF!)</f>
        <v>#REF!</v>
      </c>
      <c r="D370" s="24">
        <v>0</v>
      </c>
      <c r="E370" s="15" t="str">
        <f>IF($B$3=1,"компл.","set")</f>
        <v>компл.</v>
      </c>
      <c r="F370" s="24">
        <f t="shared" si="68"/>
        <v>1</v>
      </c>
      <c r="G370" s="18" t="e">
        <f t="shared" si="69"/>
        <v>#REF!</v>
      </c>
      <c r="H370" s="24">
        <v>100</v>
      </c>
      <c r="I370" s="24">
        <f t="shared" si="70"/>
        <v>0</v>
      </c>
      <c r="J370" s="24">
        <v>1</v>
      </c>
      <c r="K370" s="24">
        <v>24.6</v>
      </c>
      <c r="L370" s="24">
        <f>D370:D370*K370:K370</f>
        <v>0</v>
      </c>
      <c r="M370" s="17"/>
      <c r="N370" s="24">
        <f t="shared" si="71"/>
        <v>0</v>
      </c>
      <c r="O370" s="18" t="e">
        <f>N370:N370*F370:F370*#REF!</f>
        <v>#REF!</v>
      </c>
      <c r="P370" s="25"/>
    </row>
    <row r="371" spans="1:16" ht="16.95" hidden="1" customHeight="1">
      <c r="A371" s="19"/>
      <c r="B371" s="12" t="s">
        <v>407</v>
      </c>
      <c r="C371" s="16" t="e">
        <f>IF($C$3=100,#REF!,#REF!)</f>
        <v>#REF!</v>
      </c>
      <c r="D371" s="10">
        <v>0</v>
      </c>
      <c r="E371" s="12" t="str">
        <f>IF($B$3=1,"компл.","set")</f>
        <v>компл.</v>
      </c>
      <c r="F371" s="10">
        <f t="shared" si="68"/>
        <v>1</v>
      </c>
      <c r="G371" s="16" t="e">
        <f t="shared" si="69"/>
        <v>#REF!</v>
      </c>
      <c r="H371" s="10">
        <v>100</v>
      </c>
      <c r="I371" s="10">
        <f t="shared" si="70"/>
        <v>0</v>
      </c>
      <c r="J371" s="10">
        <v>0</v>
      </c>
      <c r="K371" s="9"/>
      <c r="L371" s="9"/>
      <c r="M371" s="9"/>
      <c r="N371" s="10">
        <f t="shared" si="71"/>
        <v>0</v>
      </c>
      <c r="O371" s="16" t="e">
        <f>N371:N371*F371:F371*#REF!</f>
        <v>#REF!</v>
      </c>
      <c r="P371" s="21"/>
    </row>
    <row r="372" spans="1:16" ht="16.95" hidden="1" customHeight="1">
      <c r="A372" s="22"/>
      <c r="B372" s="15" t="s">
        <v>408</v>
      </c>
      <c r="C372" s="18" t="e">
        <f>IF($C$3=100,#REF!,#REF!)</f>
        <v>#REF!</v>
      </c>
      <c r="D372" s="24">
        <v>0</v>
      </c>
      <c r="E372" s="15" t="str">
        <f>IF($B$3=1,"компл.","set")</f>
        <v>компл.</v>
      </c>
      <c r="F372" s="24">
        <f t="shared" si="68"/>
        <v>1</v>
      </c>
      <c r="G372" s="18" t="e">
        <f t="shared" si="69"/>
        <v>#REF!</v>
      </c>
      <c r="H372" s="24">
        <v>100</v>
      </c>
      <c r="I372" s="24">
        <f t="shared" si="70"/>
        <v>0</v>
      </c>
      <c r="J372" s="24">
        <v>0</v>
      </c>
      <c r="K372" s="17"/>
      <c r="L372" s="17"/>
      <c r="M372" s="17"/>
      <c r="N372" s="24">
        <f t="shared" si="71"/>
        <v>0</v>
      </c>
      <c r="O372" s="18" t="e">
        <f>N372:N372*F372:F372*#REF!</f>
        <v>#REF!</v>
      </c>
      <c r="P372" s="25"/>
    </row>
    <row r="373" spans="1:16" ht="16.95" hidden="1" customHeight="1">
      <c r="A373" s="19"/>
      <c r="B373" s="12" t="s">
        <v>409</v>
      </c>
      <c r="C373" s="16" t="e">
        <f>IF($C$3=100,#REF!,#REF!)</f>
        <v>#REF!</v>
      </c>
      <c r="D373" s="10">
        <v>0</v>
      </c>
      <c r="E373" s="12" t="str">
        <f>IF($B$3=1,"компл.","set")</f>
        <v>компл.</v>
      </c>
      <c r="F373" s="10">
        <f t="shared" si="68"/>
        <v>1</v>
      </c>
      <c r="G373" s="16" t="e">
        <f t="shared" si="69"/>
        <v>#REF!</v>
      </c>
      <c r="H373" s="10">
        <v>100</v>
      </c>
      <c r="I373" s="10">
        <f t="shared" si="70"/>
        <v>0</v>
      </c>
      <c r="J373" s="10">
        <v>0</v>
      </c>
      <c r="K373" s="9"/>
      <c r="L373" s="9"/>
      <c r="M373" s="9"/>
      <c r="N373" s="10">
        <f t="shared" si="71"/>
        <v>0</v>
      </c>
      <c r="O373" s="16" t="e">
        <f>N373:N373*F373:F373*#REF!</f>
        <v>#REF!</v>
      </c>
      <c r="P373" s="21"/>
    </row>
    <row r="374" spans="1:16" ht="16.95" hidden="1" customHeight="1">
      <c r="A374" s="22"/>
      <c r="B374" s="15" t="s">
        <v>410</v>
      </c>
      <c r="C374" s="18" t="e">
        <f>IF($C$3=100,#REF!,#REF!)</f>
        <v>#REF!</v>
      </c>
      <c r="D374" s="24">
        <v>0</v>
      </c>
      <c r="E374" s="15" t="str">
        <f>IF($B$3=1,"компл.","set")</f>
        <v>компл.</v>
      </c>
      <c r="F374" s="24">
        <f t="shared" si="68"/>
        <v>1</v>
      </c>
      <c r="G374" s="18" t="e">
        <f t="shared" si="69"/>
        <v>#REF!</v>
      </c>
      <c r="H374" s="24">
        <v>100</v>
      </c>
      <c r="I374" s="24">
        <f t="shared" si="70"/>
        <v>0</v>
      </c>
      <c r="J374" s="24">
        <v>0</v>
      </c>
      <c r="K374" s="17"/>
      <c r="L374" s="17"/>
      <c r="M374" s="17"/>
      <c r="N374" s="24">
        <f t="shared" si="71"/>
        <v>0</v>
      </c>
      <c r="O374" s="18" t="e">
        <f>N374:N374*F374:F374*#REF!</f>
        <v>#REF!</v>
      </c>
      <c r="P374" s="25"/>
    </row>
    <row r="375" spans="1:16" ht="16.95" hidden="1" customHeight="1">
      <c r="A375" s="19"/>
      <c r="B375" s="12" t="s">
        <v>411</v>
      </c>
      <c r="C375" s="16" t="e">
        <f>IF($C$3=100,#REF!,#REF!)</f>
        <v>#REF!</v>
      </c>
      <c r="D375" s="10">
        <v>0</v>
      </c>
      <c r="E375" s="12" t="str">
        <f>IF($B$3=1,"шт.","pcs")</f>
        <v>шт.</v>
      </c>
      <c r="F375" s="10">
        <f t="shared" si="68"/>
        <v>1</v>
      </c>
      <c r="G375" s="16" t="e">
        <f t="shared" si="69"/>
        <v>#REF!</v>
      </c>
      <c r="H375" s="10">
        <v>100</v>
      </c>
      <c r="I375" s="10">
        <f t="shared" si="70"/>
        <v>0</v>
      </c>
      <c r="J375" s="10">
        <v>1</v>
      </c>
      <c r="K375" s="9"/>
      <c r="L375" s="9"/>
      <c r="M375" s="9"/>
      <c r="N375" s="10">
        <f t="shared" si="71"/>
        <v>0</v>
      </c>
      <c r="O375" s="16" t="e">
        <f>N375:N375*F375:F375*#REF!</f>
        <v>#REF!</v>
      </c>
      <c r="P375" s="21"/>
    </row>
    <row r="376" spans="1:16" ht="16.95" hidden="1" customHeight="1">
      <c r="A376" s="22"/>
      <c r="B376" s="15" t="s">
        <v>412</v>
      </c>
      <c r="C376" s="18" t="e">
        <f>IF($C$3=100,#REF!,#REF!)</f>
        <v>#REF!</v>
      </c>
      <c r="D376" s="24">
        <v>0</v>
      </c>
      <c r="E376" s="15" t="str">
        <f>IF($B$3=1,"шт.","pcs")</f>
        <v>шт.</v>
      </c>
      <c r="F376" s="24">
        <f t="shared" si="68"/>
        <v>1</v>
      </c>
      <c r="G376" s="18" t="e">
        <f t="shared" si="69"/>
        <v>#REF!</v>
      </c>
      <c r="H376" s="24">
        <v>100</v>
      </c>
      <c r="I376" s="24">
        <f t="shared" si="70"/>
        <v>0</v>
      </c>
      <c r="J376" s="24">
        <v>0</v>
      </c>
      <c r="K376" s="17"/>
      <c r="L376" s="17"/>
      <c r="M376" s="17"/>
      <c r="N376" s="24">
        <f t="shared" si="71"/>
        <v>0</v>
      </c>
      <c r="O376" s="18" t="e">
        <f>N376:N376*F376:F376*#REF!</f>
        <v>#REF!</v>
      </c>
      <c r="P376" s="25"/>
    </row>
    <row r="377" spans="1:16" ht="16.95" hidden="1" customHeight="1">
      <c r="A377" s="19"/>
      <c r="B377" s="12" t="s">
        <v>413</v>
      </c>
      <c r="C377" s="16" t="e">
        <f>IF($C$3=100,#REF!,#REF!)</f>
        <v>#REF!</v>
      </c>
      <c r="D377" s="10">
        <v>0</v>
      </c>
      <c r="E377" s="12" t="str">
        <f>IF($B$3=1,"шт.","pcs")</f>
        <v>шт.</v>
      </c>
      <c r="F377" s="10">
        <f t="shared" si="68"/>
        <v>1</v>
      </c>
      <c r="G377" s="16" t="e">
        <f t="shared" si="69"/>
        <v>#REF!</v>
      </c>
      <c r="H377" s="10">
        <v>0</v>
      </c>
      <c r="I377" s="10">
        <f t="shared" si="70"/>
        <v>0</v>
      </c>
      <c r="J377" s="10">
        <v>0</v>
      </c>
      <c r="K377" s="9"/>
      <c r="L377" s="9"/>
      <c r="M377" s="9"/>
      <c r="N377" s="10">
        <f t="shared" si="71"/>
        <v>0</v>
      </c>
      <c r="O377" s="16" t="e">
        <f>N377:N377*F377:F377*#REF!</f>
        <v>#REF!</v>
      </c>
      <c r="P377" s="21"/>
    </row>
    <row r="378" spans="1:16" ht="16.95" hidden="1" customHeight="1">
      <c r="A378" s="22"/>
      <c r="B378" s="15" t="s">
        <v>414</v>
      </c>
      <c r="C378" s="18" t="e">
        <f>IF($C$3=100,#REF!,#REF!)</f>
        <v>#REF!</v>
      </c>
      <c r="D378" s="24">
        <v>0</v>
      </c>
      <c r="E378" s="15" t="str">
        <f>IF($B$3=1,"шт.","pcs")</f>
        <v>шт.</v>
      </c>
      <c r="F378" s="24">
        <f t="shared" si="68"/>
        <v>1</v>
      </c>
      <c r="G378" s="18" t="e">
        <f t="shared" si="69"/>
        <v>#REF!</v>
      </c>
      <c r="H378" s="24">
        <v>500</v>
      </c>
      <c r="I378" s="24">
        <f t="shared" si="70"/>
        <v>0</v>
      </c>
      <c r="J378" s="24">
        <v>0</v>
      </c>
      <c r="K378" s="17"/>
      <c r="L378" s="17"/>
      <c r="M378" s="17"/>
      <c r="N378" s="24">
        <f t="shared" si="71"/>
        <v>0</v>
      </c>
      <c r="O378" s="18" t="e">
        <f>N378:N378*F378:F378*#REF!</f>
        <v>#REF!</v>
      </c>
      <c r="P378" s="25"/>
    </row>
    <row r="379" spans="1:16" ht="16.95" hidden="1" customHeight="1">
      <c r="A379" s="19"/>
      <c r="B379" s="12" t="s">
        <v>415</v>
      </c>
      <c r="C379" s="16" t="e">
        <f>IF($C$3=100,#REF!,#REF!)</f>
        <v>#REF!</v>
      </c>
      <c r="D379" s="10">
        <v>0</v>
      </c>
      <c r="E379" s="12" t="str">
        <f>IF($B$3=1,"шт.","pcs")</f>
        <v>шт.</v>
      </c>
      <c r="F379" s="10">
        <f t="shared" si="68"/>
        <v>1</v>
      </c>
      <c r="G379" s="16" t="e">
        <f t="shared" si="69"/>
        <v>#REF!</v>
      </c>
      <c r="H379" s="10">
        <v>100</v>
      </c>
      <c r="I379" s="10">
        <f t="shared" si="70"/>
        <v>0</v>
      </c>
      <c r="J379" s="10">
        <v>2</v>
      </c>
      <c r="K379" s="9"/>
      <c r="L379" s="9"/>
      <c r="M379" s="9"/>
      <c r="N379" s="10">
        <f t="shared" si="71"/>
        <v>0</v>
      </c>
      <c r="O379" s="16" t="e">
        <f>N379:N379*F379:F379*#REF!</f>
        <v>#REF!</v>
      </c>
      <c r="P379" s="21"/>
    </row>
    <row r="380" spans="1:16" ht="16.95" hidden="1" customHeight="1">
      <c r="A380" s="22"/>
      <c r="B380" s="15" t="s">
        <v>416</v>
      </c>
      <c r="C380" s="18" t="e">
        <f>IF($C$3=100,#REF!,#REF!)</f>
        <v>#REF!</v>
      </c>
      <c r="D380" s="24">
        <v>0</v>
      </c>
      <c r="E380" s="15" t="str">
        <f>IF($B$3=1,"компл.","set")</f>
        <v>компл.</v>
      </c>
      <c r="F380" s="24">
        <f t="shared" si="68"/>
        <v>1</v>
      </c>
      <c r="G380" s="18" t="e">
        <f t="shared" si="69"/>
        <v>#REF!</v>
      </c>
      <c r="H380" s="24">
        <v>100</v>
      </c>
      <c r="I380" s="24">
        <f t="shared" si="70"/>
        <v>0</v>
      </c>
      <c r="J380" s="24">
        <v>2</v>
      </c>
      <c r="K380" s="17"/>
      <c r="L380" s="17"/>
      <c r="M380" s="17"/>
      <c r="N380" s="24">
        <f t="shared" si="71"/>
        <v>0</v>
      </c>
      <c r="O380" s="18" t="e">
        <f>N380:N380*F380:F380*#REF!</f>
        <v>#REF!</v>
      </c>
      <c r="P380" s="25"/>
    </row>
    <row r="381" spans="1:16" ht="16.95" hidden="1" customHeight="1">
      <c r="A381" s="19"/>
      <c r="B381" s="12" t="s">
        <v>256</v>
      </c>
      <c r="C381" s="16" t="e">
        <f>IF($C$3=100,#REF!,#REF!)</f>
        <v>#REF!</v>
      </c>
      <c r="D381" s="10">
        <v>0</v>
      </c>
      <c r="E381" s="12" t="str">
        <f t="shared" ref="E381:E391" si="73">IF($B$3=1,"шт.","pcs")</f>
        <v>шт.</v>
      </c>
      <c r="F381" s="10">
        <f t="shared" si="68"/>
        <v>1</v>
      </c>
      <c r="G381" s="16" t="e">
        <f t="shared" si="69"/>
        <v>#REF!</v>
      </c>
      <c r="H381" s="10">
        <v>0</v>
      </c>
      <c r="I381" s="10">
        <f t="shared" si="70"/>
        <v>0</v>
      </c>
      <c r="J381" s="10">
        <v>1</v>
      </c>
      <c r="K381" s="9"/>
      <c r="L381" s="9"/>
      <c r="M381" s="9"/>
      <c r="N381" s="10">
        <f t="shared" si="71"/>
        <v>0</v>
      </c>
      <c r="O381" s="16" t="e">
        <f>N381:N381*F381:F381*#REF!</f>
        <v>#REF!</v>
      </c>
      <c r="P381" s="21"/>
    </row>
    <row r="382" spans="1:16" ht="16.95" hidden="1" customHeight="1">
      <c r="A382" s="22"/>
      <c r="B382" s="15" t="s">
        <v>417</v>
      </c>
      <c r="C382" s="18" t="e">
        <f>IF($C$3=100,#REF!,#REF!)</f>
        <v>#REF!</v>
      </c>
      <c r="D382" s="24">
        <v>0</v>
      </c>
      <c r="E382" s="15" t="str">
        <f t="shared" si="73"/>
        <v>шт.</v>
      </c>
      <c r="F382" s="24">
        <f t="shared" si="68"/>
        <v>1</v>
      </c>
      <c r="G382" s="18" t="e">
        <f t="shared" si="69"/>
        <v>#REF!</v>
      </c>
      <c r="H382" s="24">
        <v>100</v>
      </c>
      <c r="I382" s="24">
        <f t="shared" si="70"/>
        <v>0</v>
      </c>
      <c r="J382" s="24">
        <v>0</v>
      </c>
      <c r="K382" s="17"/>
      <c r="L382" s="17"/>
      <c r="M382" s="17"/>
      <c r="N382" s="24">
        <f t="shared" si="71"/>
        <v>0</v>
      </c>
      <c r="O382" s="18" t="e">
        <f>N382:N382*F382:F382*#REF!</f>
        <v>#REF!</v>
      </c>
      <c r="P382" s="25"/>
    </row>
    <row r="383" spans="1:16" ht="16.95" hidden="1" customHeight="1">
      <c r="A383" s="19"/>
      <c r="B383" s="12" t="s">
        <v>418</v>
      </c>
      <c r="C383" s="16" t="e">
        <f>IF($C$3=100,#REF!,#REF!)</f>
        <v>#REF!</v>
      </c>
      <c r="D383" s="10">
        <f>D382</f>
        <v>0</v>
      </c>
      <c r="E383" s="12" t="str">
        <f t="shared" si="73"/>
        <v>шт.</v>
      </c>
      <c r="F383" s="10">
        <f t="shared" si="68"/>
        <v>1</v>
      </c>
      <c r="G383" s="16" t="e">
        <f t="shared" si="69"/>
        <v>#REF!</v>
      </c>
      <c r="H383" s="10">
        <v>100</v>
      </c>
      <c r="I383" s="10">
        <f t="shared" si="70"/>
        <v>0</v>
      </c>
      <c r="J383" s="10">
        <v>0</v>
      </c>
      <c r="K383" s="9"/>
      <c r="L383" s="9"/>
      <c r="M383" s="9"/>
      <c r="N383" s="10">
        <f t="shared" si="71"/>
        <v>0</v>
      </c>
      <c r="O383" s="16" t="e">
        <f>N383:N383*F383:F383*#REF!</f>
        <v>#REF!</v>
      </c>
      <c r="P383" s="21"/>
    </row>
    <row r="384" spans="1:16" ht="16.95" hidden="1" customHeight="1">
      <c r="A384" s="22"/>
      <c r="B384" s="15" t="s">
        <v>419</v>
      </c>
      <c r="C384" s="18" t="e">
        <f>IF($C$3=100,#REF!,#REF!)</f>
        <v>#REF!</v>
      </c>
      <c r="D384" s="24">
        <v>0</v>
      </c>
      <c r="E384" s="15" t="str">
        <f t="shared" si="73"/>
        <v>шт.</v>
      </c>
      <c r="F384" s="24">
        <f t="shared" si="68"/>
        <v>1</v>
      </c>
      <c r="G384" s="18" t="e">
        <f t="shared" si="69"/>
        <v>#REF!</v>
      </c>
      <c r="H384" s="24">
        <v>100</v>
      </c>
      <c r="I384" s="24">
        <f t="shared" si="70"/>
        <v>0</v>
      </c>
      <c r="J384" s="24">
        <v>0</v>
      </c>
      <c r="K384" s="17"/>
      <c r="L384" s="17"/>
      <c r="M384" s="17"/>
      <c r="N384" s="24">
        <f t="shared" si="71"/>
        <v>0</v>
      </c>
      <c r="O384" s="18" t="e">
        <f>N384:N384*F384:F384*#REF!</f>
        <v>#REF!</v>
      </c>
      <c r="P384" s="25"/>
    </row>
    <row r="385" spans="1:16" ht="16.95" hidden="1" customHeight="1">
      <c r="A385" s="19"/>
      <c r="B385" s="12" t="s">
        <v>420</v>
      </c>
      <c r="C385" s="16" t="e">
        <f>IF($C$3=100,#REF!,#REF!)</f>
        <v>#REF!</v>
      </c>
      <c r="D385" s="10">
        <v>0</v>
      </c>
      <c r="E385" s="12" t="str">
        <f t="shared" si="73"/>
        <v>шт.</v>
      </c>
      <c r="F385" s="10">
        <f t="shared" si="68"/>
        <v>1</v>
      </c>
      <c r="G385" s="16" t="e">
        <f t="shared" si="69"/>
        <v>#REF!</v>
      </c>
      <c r="H385" s="10">
        <v>100</v>
      </c>
      <c r="I385" s="10">
        <f t="shared" si="70"/>
        <v>0</v>
      </c>
      <c r="J385" s="10">
        <v>0</v>
      </c>
      <c r="K385" s="9"/>
      <c r="L385" s="9"/>
      <c r="M385" s="9"/>
      <c r="N385" s="10">
        <f t="shared" si="71"/>
        <v>0</v>
      </c>
      <c r="O385" s="16" t="e">
        <f>N385:N385*F385:F385*#REF!</f>
        <v>#REF!</v>
      </c>
      <c r="P385" s="21"/>
    </row>
    <row r="386" spans="1:16" ht="16.95" hidden="1" customHeight="1">
      <c r="A386" s="22"/>
      <c r="B386" s="15" t="s">
        <v>421</v>
      </c>
      <c r="C386" s="18" t="e">
        <f>IF($C$3=100,#REF!,#REF!)</f>
        <v>#REF!</v>
      </c>
      <c r="D386" s="24">
        <v>0</v>
      </c>
      <c r="E386" s="15" t="str">
        <f t="shared" si="73"/>
        <v>шт.</v>
      </c>
      <c r="F386" s="24">
        <f t="shared" ref="F386:F393" si="74">1+($F$3-1)/2</f>
        <v>1</v>
      </c>
      <c r="G386" s="18" t="e">
        <f t="shared" ref="G386:G393" si="75">C386*D386*F386</f>
        <v>#REF!</v>
      </c>
      <c r="H386" s="24">
        <v>100</v>
      </c>
      <c r="I386" s="24">
        <f t="shared" ref="I386:I394" si="76">H386*D386</f>
        <v>0</v>
      </c>
      <c r="J386" s="24">
        <v>0</v>
      </c>
      <c r="K386" s="17"/>
      <c r="L386" s="17"/>
      <c r="M386" s="17"/>
      <c r="N386" s="24">
        <f t="shared" ref="N386:N393" si="77">IF(D386:D386=0,0,IF(J386:J386=0,0,IF(D386:D386&lt;J386:J386,D386:D386,J386:J386)))</f>
        <v>0</v>
      </c>
      <c r="O386" s="18" t="e">
        <f>N386:N386*F386:F386*#REF!</f>
        <v>#REF!</v>
      </c>
      <c r="P386" s="25"/>
    </row>
    <row r="387" spans="1:16" ht="16.95" hidden="1" customHeight="1">
      <c r="A387" s="19"/>
      <c r="B387" s="12" t="s">
        <v>422</v>
      </c>
      <c r="C387" s="16" t="e">
        <f>IF($C$3=100,#REF!,#REF!)</f>
        <v>#REF!</v>
      </c>
      <c r="D387" s="10">
        <v>0</v>
      </c>
      <c r="E387" s="12" t="str">
        <f t="shared" si="73"/>
        <v>шт.</v>
      </c>
      <c r="F387" s="10">
        <f t="shared" si="74"/>
        <v>1</v>
      </c>
      <c r="G387" s="16" t="e">
        <f t="shared" si="75"/>
        <v>#REF!</v>
      </c>
      <c r="H387" s="10">
        <v>100</v>
      </c>
      <c r="I387" s="10">
        <f t="shared" si="76"/>
        <v>0</v>
      </c>
      <c r="J387" s="10">
        <v>0</v>
      </c>
      <c r="K387" s="9"/>
      <c r="L387" s="9"/>
      <c r="M387" s="9"/>
      <c r="N387" s="10">
        <f t="shared" si="77"/>
        <v>0</v>
      </c>
      <c r="O387" s="16" t="e">
        <f>N387:N387*F387:F387*#REF!</f>
        <v>#REF!</v>
      </c>
      <c r="P387" s="21"/>
    </row>
    <row r="388" spans="1:16" ht="16.95" hidden="1" customHeight="1">
      <c r="A388" s="22"/>
      <c r="B388" s="15" t="s">
        <v>423</v>
      </c>
      <c r="C388" s="18" t="e">
        <f>IF($C$3=100,#REF!,#REF!)</f>
        <v>#REF!</v>
      </c>
      <c r="D388" s="24">
        <v>0</v>
      </c>
      <c r="E388" s="15" t="str">
        <f t="shared" si="73"/>
        <v>шт.</v>
      </c>
      <c r="F388" s="24">
        <f t="shared" si="74"/>
        <v>1</v>
      </c>
      <c r="G388" s="18" t="e">
        <f t="shared" si="75"/>
        <v>#REF!</v>
      </c>
      <c r="H388" s="24">
        <v>100</v>
      </c>
      <c r="I388" s="24">
        <f t="shared" si="76"/>
        <v>0</v>
      </c>
      <c r="J388" s="24">
        <v>0</v>
      </c>
      <c r="K388" s="17"/>
      <c r="L388" s="17"/>
      <c r="M388" s="17"/>
      <c r="N388" s="24">
        <f t="shared" si="77"/>
        <v>0</v>
      </c>
      <c r="O388" s="18" t="e">
        <f>N388:N388*F388:F388*#REF!</f>
        <v>#REF!</v>
      </c>
      <c r="P388" s="25"/>
    </row>
    <row r="389" spans="1:16" ht="16.95" hidden="1" customHeight="1">
      <c r="A389" s="19"/>
      <c r="B389" s="12" t="s">
        <v>424</v>
      </c>
      <c r="C389" s="16" t="e">
        <f>IF($C$3=100,#REF!,#REF!)</f>
        <v>#REF!</v>
      </c>
      <c r="D389" s="10">
        <v>0</v>
      </c>
      <c r="E389" s="12" t="str">
        <f t="shared" si="73"/>
        <v>шт.</v>
      </c>
      <c r="F389" s="10">
        <f t="shared" si="74"/>
        <v>1</v>
      </c>
      <c r="G389" s="16" t="e">
        <f t="shared" si="75"/>
        <v>#REF!</v>
      </c>
      <c r="H389" s="10">
        <v>100</v>
      </c>
      <c r="I389" s="10">
        <f t="shared" si="76"/>
        <v>0</v>
      </c>
      <c r="J389" s="10">
        <v>1</v>
      </c>
      <c r="K389" s="9"/>
      <c r="L389" s="9"/>
      <c r="M389" s="9"/>
      <c r="N389" s="10">
        <f t="shared" si="77"/>
        <v>0</v>
      </c>
      <c r="O389" s="16" t="e">
        <f>N389:N389*F389:F389*#REF!</f>
        <v>#REF!</v>
      </c>
      <c r="P389" s="21"/>
    </row>
    <row r="390" spans="1:16" ht="16.95" hidden="1" customHeight="1">
      <c r="A390" s="22"/>
      <c r="B390" s="15" t="s">
        <v>425</v>
      </c>
      <c r="C390" s="18" t="e">
        <f>IF($C$3=100,#REF!,#REF!)</f>
        <v>#REF!</v>
      </c>
      <c r="D390" s="24">
        <v>0</v>
      </c>
      <c r="E390" s="15" t="str">
        <f t="shared" si="73"/>
        <v>шт.</v>
      </c>
      <c r="F390" s="24">
        <f t="shared" si="74"/>
        <v>1</v>
      </c>
      <c r="G390" s="18" t="e">
        <f t="shared" si="75"/>
        <v>#REF!</v>
      </c>
      <c r="H390" s="24">
        <v>0</v>
      </c>
      <c r="I390" s="24">
        <f t="shared" si="76"/>
        <v>0</v>
      </c>
      <c r="J390" s="24">
        <v>0</v>
      </c>
      <c r="K390" s="17"/>
      <c r="L390" s="17"/>
      <c r="M390" s="17"/>
      <c r="N390" s="24">
        <f t="shared" si="77"/>
        <v>0</v>
      </c>
      <c r="O390" s="18" t="e">
        <f>N390:N390*F390:F390*#REF!</f>
        <v>#REF!</v>
      </c>
      <c r="P390" s="25"/>
    </row>
    <row r="391" spans="1:16" ht="16.95" hidden="1" customHeight="1">
      <c r="A391" s="19"/>
      <c r="B391" s="12" t="s">
        <v>426</v>
      </c>
      <c r="C391" s="16" t="e">
        <f>IF($C$3=100,#REF!,#REF!)</f>
        <v>#REF!</v>
      </c>
      <c r="D391" s="10">
        <v>0</v>
      </c>
      <c r="E391" s="12" t="str">
        <f t="shared" si="73"/>
        <v>шт.</v>
      </c>
      <c r="F391" s="10">
        <f t="shared" si="74"/>
        <v>1</v>
      </c>
      <c r="G391" s="16" t="e">
        <f t="shared" si="75"/>
        <v>#REF!</v>
      </c>
      <c r="H391" s="10">
        <v>0</v>
      </c>
      <c r="I391" s="10">
        <f t="shared" si="76"/>
        <v>0</v>
      </c>
      <c r="J391" s="10">
        <v>1</v>
      </c>
      <c r="K391" s="9"/>
      <c r="L391" s="9"/>
      <c r="M391" s="9"/>
      <c r="N391" s="10">
        <f t="shared" si="77"/>
        <v>0</v>
      </c>
      <c r="O391" s="16" t="e">
        <f>N391:N391*F391:F391*#REF!</f>
        <v>#REF!</v>
      </c>
      <c r="P391" s="21"/>
    </row>
    <row r="392" spans="1:16" ht="16.95" hidden="1" customHeight="1">
      <c r="A392" s="22"/>
      <c r="B392" s="15" t="s">
        <v>293</v>
      </c>
      <c r="C392" s="18" t="e">
        <f>IF($C$3=100,#REF!,#REF!)</f>
        <v>#REF!</v>
      </c>
      <c r="D392" s="24">
        <v>0</v>
      </c>
      <c r="E392" s="15" t="str">
        <f>IF($B$3=1,"компл.","set")</f>
        <v>компл.</v>
      </c>
      <c r="F392" s="24">
        <f t="shared" si="74"/>
        <v>1</v>
      </c>
      <c r="G392" s="18" t="e">
        <f t="shared" si="75"/>
        <v>#REF!</v>
      </c>
      <c r="H392" s="24">
        <v>0</v>
      </c>
      <c r="I392" s="24">
        <f t="shared" si="76"/>
        <v>0</v>
      </c>
      <c r="J392" s="24">
        <v>6</v>
      </c>
      <c r="K392" s="17"/>
      <c r="L392" s="17"/>
      <c r="M392" s="17"/>
      <c r="N392" s="24">
        <f t="shared" si="77"/>
        <v>0</v>
      </c>
      <c r="O392" s="18" t="e">
        <f>N392:N392*F392:F392*#REF!</f>
        <v>#REF!</v>
      </c>
      <c r="P392" s="25"/>
    </row>
    <row r="393" spans="1:16" ht="16.95" hidden="1" customHeight="1">
      <c r="A393" s="19"/>
      <c r="B393" s="12" t="s">
        <v>295</v>
      </c>
      <c r="C393" s="16" t="e">
        <f>IF($C$3=100,#REF!,#REF!)</f>
        <v>#REF!</v>
      </c>
      <c r="D393" s="10">
        <v>0</v>
      </c>
      <c r="E393" s="12" t="str">
        <f>IF($B$3=1,"компл.","set")</f>
        <v>компл.</v>
      </c>
      <c r="F393" s="10">
        <f t="shared" si="74"/>
        <v>1</v>
      </c>
      <c r="G393" s="16" t="e">
        <f t="shared" si="75"/>
        <v>#REF!</v>
      </c>
      <c r="H393" s="10">
        <v>0</v>
      </c>
      <c r="I393" s="10">
        <f t="shared" si="76"/>
        <v>0</v>
      </c>
      <c r="J393" s="10">
        <v>6</v>
      </c>
      <c r="K393" s="9"/>
      <c r="L393" s="9"/>
      <c r="M393" s="9"/>
      <c r="N393" s="10">
        <f t="shared" si="77"/>
        <v>0</v>
      </c>
      <c r="O393" s="16" t="e">
        <f>N393:N393*F393:F393*#REF!</f>
        <v>#REF!</v>
      </c>
      <c r="P393" s="21"/>
    </row>
    <row r="394" spans="1:16" ht="16.05" hidden="1" customHeight="1">
      <c r="A394" s="22"/>
      <c r="B394" s="17"/>
      <c r="C394" s="18"/>
      <c r="D394" s="17"/>
      <c r="E394" s="17"/>
      <c r="F394" s="17"/>
      <c r="G394" s="18" t="e">
        <f>SUM(G321:G393)</f>
        <v>#REF!</v>
      </c>
      <c r="H394" s="17"/>
      <c r="I394" s="24">
        <f t="shared" si="76"/>
        <v>0</v>
      </c>
      <c r="J394" s="17"/>
      <c r="K394" s="17"/>
      <c r="L394" s="24">
        <f>SUM(L322:L393)</f>
        <v>0</v>
      </c>
      <c r="M394" s="33">
        <f>SUM(M322:M393)</f>
        <v>0</v>
      </c>
      <c r="N394" s="17"/>
      <c r="O394" s="18" t="e">
        <f>SUM(O321:O393)</f>
        <v>#REF!</v>
      </c>
      <c r="P394" s="25"/>
    </row>
    <row r="395" spans="1:16" ht="16.05" hidden="1" customHeight="1">
      <c r="A395" s="19"/>
      <c r="B395" s="9"/>
      <c r="C395" s="16"/>
      <c r="D395" s="9"/>
      <c r="E395" s="9"/>
      <c r="F395" s="9"/>
      <c r="G395" s="16"/>
      <c r="H395" s="9"/>
      <c r="I395" s="9"/>
      <c r="J395" s="9"/>
      <c r="K395" s="9"/>
      <c r="L395" s="9"/>
      <c r="M395" s="9"/>
      <c r="N395" s="9"/>
      <c r="O395" s="16"/>
      <c r="P395" s="21"/>
    </row>
    <row r="396" spans="1:16" ht="16.95" customHeight="1">
      <c r="A396" s="14" t="str">
        <f>IF($B$3=1,"Электрообеспечение","Power supply")</f>
        <v>Электрообеспечение</v>
      </c>
      <c r="B396" s="13"/>
      <c r="C396" s="13"/>
      <c r="D396" s="13"/>
      <c r="E396" s="13"/>
      <c r="F396" s="13"/>
      <c r="G396" s="13"/>
      <c r="H396" s="17"/>
      <c r="I396" s="24">
        <f t="shared" ref="I396:I427" si="78">H396*D396</f>
        <v>0</v>
      </c>
      <c r="J396" s="17"/>
      <c r="K396" s="17"/>
      <c r="L396" s="17"/>
      <c r="M396" s="17"/>
      <c r="N396" s="17"/>
      <c r="O396" s="18"/>
      <c r="P396" s="13"/>
    </row>
    <row r="397" spans="1:16" ht="16.95" customHeight="1">
      <c r="A397" s="7"/>
      <c r="B397" s="3" t="s">
        <v>427</v>
      </c>
      <c r="C397" s="5">
        <v>2500</v>
      </c>
      <c r="D397" s="5">
        <v>1</v>
      </c>
      <c r="E397" s="3" t="str">
        <f t="shared" ref="E397:E443" si="79">IF($B$3=1,"шт.","pcs")</f>
        <v>шт.</v>
      </c>
      <c r="F397" s="5">
        <f t="shared" ref="F397:F423" si="80">1+($F$3-1)/2</f>
        <v>1</v>
      </c>
      <c r="G397" s="5">
        <f t="shared" ref="G397:G428" si="81">C397*D397*F397</f>
        <v>2500</v>
      </c>
      <c r="H397" s="9"/>
      <c r="I397" s="10">
        <f t="shared" si="78"/>
        <v>0</v>
      </c>
      <c r="J397" s="10">
        <v>1</v>
      </c>
      <c r="K397" s="9"/>
      <c r="L397" s="9"/>
      <c r="M397" s="9"/>
      <c r="N397" s="10">
        <f t="shared" ref="N397:N428" si="82">IF(D397:D397=0,0,IF(J397:J397=0,0,IF(D397:D397&lt;J397:J397,D397:D397,J397:J397)))</f>
        <v>1</v>
      </c>
      <c r="O397" s="16" t="e">
        <f>N397:N397*F397:F397*#REF!</f>
        <v>#REF!</v>
      </c>
      <c r="P397" s="7"/>
    </row>
    <row r="398" spans="1:16" ht="16.95" customHeight="1">
      <c r="A398" s="13"/>
      <c r="B398" s="14" t="s">
        <v>428</v>
      </c>
      <c r="C398" s="26">
        <v>5000</v>
      </c>
      <c r="D398" s="26">
        <v>2</v>
      </c>
      <c r="E398" s="14" t="str">
        <f t="shared" si="79"/>
        <v>шт.</v>
      </c>
      <c r="F398" s="26">
        <f t="shared" si="80"/>
        <v>1</v>
      </c>
      <c r="G398" s="26">
        <f t="shared" si="81"/>
        <v>10000</v>
      </c>
      <c r="H398" s="17"/>
      <c r="I398" s="24">
        <f t="shared" si="78"/>
        <v>0</v>
      </c>
      <c r="J398" s="24">
        <v>1</v>
      </c>
      <c r="K398" s="17"/>
      <c r="L398" s="17"/>
      <c r="M398" s="17"/>
      <c r="N398" s="24">
        <f t="shared" si="82"/>
        <v>1</v>
      </c>
      <c r="O398" s="18" t="e">
        <f>N398:N398*F398:F398*#REF!</f>
        <v>#REF!</v>
      </c>
      <c r="P398" s="13"/>
    </row>
    <row r="399" spans="1:16" ht="34.049999999999997" customHeight="1">
      <c r="A399" s="7"/>
      <c r="B399" s="3" t="s">
        <v>429</v>
      </c>
      <c r="C399" s="5">
        <v>5000</v>
      </c>
      <c r="D399" s="5">
        <v>1</v>
      </c>
      <c r="E399" s="3" t="str">
        <f t="shared" si="79"/>
        <v>шт.</v>
      </c>
      <c r="F399" s="5">
        <f t="shared" si="80"/>
        <v>1</v>
      </c>
      <c r="G399" s="5">
        <f t="shared" si="81"/>
        <v>5000</v>
      </c>
      <c r="H399" s="9"/>
      <c r="I399" s="10">
        <f t="shared" si="78"/>
        <v>0</v>
      </c>
      <c r="J399" s="10">
        <v>1</v>
      </c>
      <c r="K399" s="9"/>
      <c r="L399" s="9"/>
      <c r="M399" s="9"/>
      <c r="N399" s="10">
        <f t="shared" si="82"/>
        <v>1</v>
      </c>
      <c r="O399" s="16" t="e">
        <f>N399:N399*F399:F399*#REF!</f>
        <v>#REF!</v>
      </c>
      <c r="P399" s="7"/>
    </row>
    <row r="400" spans="1:16" ht="16.95" hidden="1" customHeight="1">
      <c r="A400" s="17"/>
      <c r="B400" s="15" t="s">
        <v>430</v>
      </c>
      <c r="C400" s="18" t="e">
        <f>IF($C$3=100,#REF!,#REF!)</f>
        <v>#REF!</v>
      </c>
      <c r="D400" s="24">
        <v>0</v>
      </c>
      <c r="E400" s="15" t="str">
        <f t="shared" si="79"/>
        <v>шт.</v>
      </c>
      <c r="F400" s="24">
        <f t="shared" si="80"/>
        <v>1</v>
      </c>
      <c r="G400" s="18" t="e">
        <f t="shared" si="81"/>
        <v>#REF!</v>
      </c>
      <c r="H400" s="17"/>
      <c r="I400" s="24">
        <f t="shared" si="78"/>
        <v>0</v>
      </c>
      <c r="J400" s="24">
        <v>2</v>
      </c>
      <c r="K400" s="17"/>
      <c r="L400" s="17"/>
      <c r="M400" s="17"/>
      <c r="N400" s="24">
        <f t="shared" si="82"/>
        <v>0</v>
      </c>
      <c r="O400" s="18" t="e">
        <f>N400:N400*F400:F400*#REF!</f>
        <v>#REF!</v>
      </c>
      <c r="P400" s="25"/>
    </row>
    <row r="401" spans="1:16" ht="16.95" customHeight="1">
      <c r="A401" s="7"/>
      <c r="B401" s="3" t="s">
        <v>431</v>
      </c>
      <c r="C401" s="5">
        <v>650</v>
      </c>
      <c r="D401" s="5">
        <v>3</v>
      </c>
      <c r="E401" s="3" t="str">
        <f t="shared" si="79"/>
        <v>шт.</v>
      </c>
      <c r="F401" s="5">
        <f t="shared" si="80"/>
        <v>1</v>
      </c>
      <c r="G401" s="5">
        <f t="shared" si="81"/>
        <v>1950</v>
      </c>
      <c r="H401" s="9"/>
      <c r="I401" s="10">
        <f t="shared" si="78"/>
        <v>0</v>
      </c>
      <c r="J401" s="10">
        <v>7</v>
      </c>
      <c r="K401" s="9"/>
      <c r="L401" s="9"/>
      <c r="M401" s="9"/>
      <c r="N401" s="10">
        <f t="shared" si="82"/>
        <v>3</v>
      </c>
      <c r="O401" s="16" t="e">
        <f>N401:N401*F401:F401*#REF!</f>
        <v>#REF!</v>
      </c>
      <c r="P401" s="7"/>
    </row>
    <row r="402" spans="1:16" ht="16.95" hidden="1" customHeight="1">
      <c r="A402" s="17"/>
      <c r="B402" s="15" t="s">
        <v>432</v>
      </c>
      <c r="C402" s="18" t="e">
        <f>IF($C$3=100,#REF!,#REF!)</f>
        <v>#REF!</v>
      </c>
      <c r="D402" s="24">
        <v>0</v>
      </c>
      <c r="E402" s="15" t="str">
        <f t="shared" si="79"/>
        <v>шт.</v>
      </c>
      <c r="F402" s="24">
        <f t="shared" si="80"/>
        <v>1</v>
      </c>
      <c r="G402" s="18" t="e">
        <f t="shared" si="81"/>
        <v>#REF!</v>
      </c>
      <c r="H402" s="17"/>
      <c r="I402" s="24">
        <f t="shared" si="78"/>
        <v>0</v>
      </c>
      <c r="J402" s="24">
        <v>2</v>
      </c>
      <c r="K402" s="17"/>
      <c r="L402" s="17"/>
      <c r="M402" s="17"/>
      <c r="N402" s="24">
        <f t="shared" si="82"/>
        <v>0</v>
      </c>
      <c r="O402" s="18" t="e">
        <f>N402:N402*F402:F402*#REF!</f>
        <v>#REF!</v>
      </c>
      <c r="P402" s="25"/>
    </row>
    <row r="403" spans="1:16" ht="51" customHeight="1">
      <c r="A403" s="7"/>
      <c r="B403" s="3" t="s">
        <v>433</v>
      </c>
      <c r="C403" s="5">
        <v>5000</v>
      </c>
      <c r="D403" s="5">
        <v>2</v>
      </c>
      <c r="E403" s="3" t="str">
        <f t="shared" si="79"/>
        <v>шт.</v>
      </c>
      <c r="F403" s="5">
        <f t="shared" si="80"/>
        <v>1</v>
      </c>
      <c r="G403" s="5">
        <f t="shared" si="81"/>
        <v>10000</v>
      </c>
      <c r="H403" s="9"/>
      <c r="I403" s="10">
        <f t="shared" si="78"/>
        <v>0</v>
      </c>
      <c r="J403" s="10">
        <v>2</v>
      </c>
      <c r="K403" s="9"/>
      <c r="L403" s="9"/>
      <c r="M403" s="10">
        <f>D403:D403*0.204</f>
        <v>0.40799999999999997</v>
      </c>
      <c r="N403" s="10">
        <f t="shared" si="82"/>
        <v>2</v>
      </c>
      <c r="O403" s="16" t="e">
        <f>N403:N403*F403:F403*#REF!</f>
        <v>#REF!</v>
      </c>
      <c r="P403" s="7"/>
    </row>
    <row r="404" spans="1:16" ht="16.95" hidden="1" customHeight="1">
      <c r="A404" s="17"/>
      <c r="B404" s="15" t="s">
        <v>434</v>
      </c>
      <c r="C404" s="18" t="e">
        <f>IF($C$3=100,#REF!,#REF!)</f>
        <v>#REF!</v>
      </c>
      <c r="D404" s="24">
        <v>0</v>
      </c>
      <c r="E404" s="15" t="str">
        <f t="shared" si="79"/>
        <v>шт.</v>
      </c>
      <c r="F404" s="24">
        <f t="shared" si="80"/>
        <v>1</v>
      </c>
      <c r="G404" s="18" t="e">
        <f t="shared" si="81"/>
        <v>#REF!</v>
      </c>
      <c r="H404" s="17"/>
      <c r="I404" s="24">
        <f t="shared" si="78"/>
        <v>0</v>
      </c>
      <c r="J404" s="24">
        <v>7</v>
      </c>
      <c r="K404" s="17"/>
      <c r="L404" s="17"/>
      <c r="M404" s="17"/>
      <c r="N404" s="24">
        <f t="shared" si="82"/>
        <v>0</v>
      </c>
      <c r="O404" s="18" t="e">
        <f>N404:N404*F404:F404*#REF!</f>
        <v>#REF!</v>
      </c>
      <c r="P404" s="25"/>
    </row>
    <row r="405" spans="1:16" ht="16.95" customHeight="1">
      <c r="A405" s="7"/>
      <c r="B405" s="3" t="s">
        <v>435</v>
      </c>
      <c r="C405" s="5">
        <v>500</v>
      </c>
      <c r="D405" s="5">
        <v>4</v>
      </c>
      <c r="E405" s="3" t="str">
        <f t="shared" si="79"/>
        <v>шт.</v>
      </c>
      <c r="F405" s="5">
        <f t="shared" si="80"/>
        <v>1</v>
      </c>
      <c r="G405" s="5">
        <f t="shared" si="81"/>
        <v>2000</v>
      </c>
      <c r="H405" s="9"/>
      <c r="I405" s="10">
        <f t="shared" si="78"/>
        <v>0</v>
      </c>
      <c r="J405" s="10">
        <v>25</v>
      </c>
      <c r="K405" s="9"/>
      <c r="L405" s="9"/>
      <c r="M405" s="9"/>
      <c r="N405" s="10">
        <f t="shared" si="82"/>
        <v>4</v>
      </c>
      <c r="O405" s="16" t="e">
        <f>N405:N405*F405:F405*#REF!</f>
        <v>#REF!</v>
      </c>
      <c r="P405" s="7"/>
    </row>
    <row r="406" spans="1:16" ht="16.95" hidden="1" customHeight="1">
      <c r="A406" s="17"/>
      <c r="B406" s="15" t="s">
        <v>436</v>
      </c>
      <c r="C406" s="18" t="e">
        <f>IF($C$3=100,#REF!,#REF!)</f>
        <v>#REF!</v>
      </c>
      <c r="D406" s="24">
        <v>0</v>
      </c>
      <c r="E406" s="15" t="str">
        <f t="shared" si="79"/>
        <v>шт.</v>
      </c>
      <c r="F406" s="24">
        <f t="shared" si="80"/>
        <v>1</v>
      </c>
      <c r="G406" s="18" t="e">
        <f t="shared" si="81"/>
        <v>#REF!</v>
      </c>
      <c r="H406" s="17"/>
      <c r="I406" s="24">
        <f t="shared" si="78"/>
        <v>0</v>
      </c>
      <c r="J406" s="24">
        <v>2</v>
      </c>
      <c r="K406" s="17"/>
      <c r="L406" s="17"/>
      <c r="M406" s="17"/>
      <c r="N406" s="24">
        <f t="shared" si="82"/>
        <v>0</v>
      </c>
      <c r="O406" s="18" t="e">
        <f>N406:N406*F406:F406*#REF!</f>
        <v>#REF!</v>
      </c>
      <c r="P406" s="25"/>
    </row>
    <row r="407" spans="1:16" ht="34.049999999999997" customHeight="1">
      <c r="A407" s="7"/>
      <c r="B407" s="3" t="s">
        <v>437</v>
      </c>
      <c r="C407" s="5">
        <v>3000</v>
      </c>
      <c r="D407" s="5">
        <v>3</v>
      </c>
      <c r="E407" s="3" t="str">
        <f t="shared" si="79"/>
        <v>шт.</v>
      </c>
      <c r="F407" s="5">
        <f t="shared" si="80"/>
        <v>1</v>
      </c>
      <c r="G407" s="5">
        <f t="shared" si="81"/>
        <v>9000</v>
      </c>
      <c r="H407" s="9"/>
      <c r="I407" s="10">
        <f t="shared" si="78"/>
        <v>0</v>
      </c>
      <c r="J407" s="10">
        <v>3</v>
      </c>
      <c r="K407" s="9"/>
      <c r="L407" s="9"/>
      <c r="M407" s="10">
        <f>D407:D407*0.063</f>
        <v>0.189</v>
      </c>
      <c r="N407" s="10">
        <f t="shared" si="82"/>
        <v>3</v>
      </c>
      <c r="O407" s="16" t="e">
        <f>N407:N407*F407:F407*#REF!</f>
        <v>#REF!</v>
      </c>
      <c r="P407" s="7"/>
    </row>
    <row r="408" spans="1:16" ht="16.95" hidden="1" customHeight="1">
      <c r="A408" s="17"/>
      <c r="B408" s="15" t="s">
        <v>438</v>
      </c>
      <c r="C408" s="18" t="e">
        <f>IF($C$3=100,#REF!,#REF!)</f>
        <v>#REF!</v>
      </c>
      <c r="D408" s="24">
        <v>0</v>
      </c>
      <c r="E408" s="15" t="str">
        <f t="shared" si="79"/>
        <v>шт.</v>
      </c>
      <c r="F408" s="24">
        <f t="shared" si="80"/>
        <v>1</v>
      </c>
      <c r="G408" s="18" t="e">
        <f t="shared" si="81"/>
        <v>#REF!</v>
      </c>
      <c r="H408" s="17"/>
      <c r="I408" s="24">
        <f t="shared" si="78"/>
        <v>0</v>
      </c>
      <c r="J408" s="24">
        <v>2</v>
      </c>
      <c r="K408" s="17"/>
      <c r="L408" s="17"/>
      <c r="M408" s="17"/>
      <c r="N408" s="24">
        <f t="shared" si="82"/>
        <v>0</v>
      </c>
      <c r="O408" s="18" t="e">
        <f>N408:N408*F408:F408*#REF!</f>
        <v>#REF!</v>
      </c>
      <c r="P408" s="25"/>
    </row>
    <row r="409" spans="1:16" ht="16.95" hidden="1" customHeight="1">
      <c r="A409" s="9"/>
      <c r="B409" s="12" t="s">
        <v>439</v>
      </c>
      <c r="C409" s="16" t="e">
        <f>IF($C$3=100,#REF!,#REF!)</f>
        <v>#REF!</v>
      </c>
      <c r="D409" s="10">
        <v>0</v>
      </c>
      <c r="E409" s="12" t="str">
        <f t="shared" si="79"/>
        <v>шт.</v>
      </c>
      <c r="F409" s="10">
        <f t="shared" si="80"/>
        <v>1</v>
      </c>
      <c r="G409" s="16" t="e">
        <f t="shared" si="81"/>
        <v>#REF!</v>
      </c>
      <c r="H409" s="9"/>
      <c r="I409" s="10">
        <f t="shared" si="78"/>
        <v>0</v>
      </c>
      <c r="J409" s="10">
        <v>18</v>
      </c>
      <c r="K409" s="9"/>
      <c r="L409" s="9"/>
      <c r="M409" s="9"/>
      <c r="N409" s="10">
        <f t="shared" si="82"/>
        <v>0</v>
      </c>
      <c r="O409" s="16" t="e">
        <f>N409:N409*F409:F409*#REF!</f>
        <v>#REF!</v>
      </c>
      <c r="P409" s="21"/>
    </row>
    <row r="410" spans="1:16" ht="16.95" hidden="1" customHeight="1">
      <c r="A410" s="17"/>
      <c r="B410" s="15" t="s">
        <v>440</v>
      </c>
      <c r="C410" s="18" t="e">
        <f>IF($C$3=100,#REF!,#REF!)</f>
        <v>#REF!</v>
      </c>
      <c r="D410" s="24">
        <v>0</v>
      </c>
      <c r="E410" s="15" t="str">
        <f t="shared" si="79"/>
        <v>шт.</v>
      </c>
      <c r="F410" s="24">
        <f t="shared" si="80"/>
        <v>1</v>
      </c>
      <c r="G410" s="18" t="e">
        <f t="shared" si="81"/>
        <v>#REF!</v>
      </c>
      <c r="H410" s="17"/>
      <c r="I410" s="24">
        <f t="shared" si="78"/>
        <v>0</v>
      </c>
      <c r="J410" s="24">
        <v>2</v>
      </c>
      <c r="K410" s="17"/>
      <c r="L410" s="17"/>
      <c r="M410" s="24">
        <f>D410:D410*0.0274</f>
        <v>0</v>
      </c>
      <c r="N410" s="24">
        <f t="shared" si="82"/>
        <v>0</v>
      </c>
      <c r="O410" s="18" t="e">
        <f>N410:N410*F410:F410*#REF!</f>
        <v>#REF!</v>
      </c>
      <c r="P410" s="25"/>
    </row>
    <row r="411" spans="1:16" ht="34.049999999999997" hidden="1" customHeight="1">
      <c r="A411" s="19"/>
      <c r="B411" s="12" t="s">
        <v>441</v>
      </c>
      <c r="C411" s="16" t="e">
        <f>IF($C$3=100,#REF!,#REF!)</f>
        <v>#REF!</v>
      </c>
      <c r="D411" s="10">
        <v>0</v>
      </c>
      <c r="E411" s="12" t="str">
        <f t="shared" si="79"/>
        <v>шт.</v>
      </c>
      <c r="F411" s="10">
        <f t="shared" si="80"/>
        <v>1</v>
      </c>
      <c r="G411" s="16" t="e">
        <f t="shared" si="81"/>
        <v>#REF!</v>
      </c>
      <c r="H411" s="9"/>
      <c r="I411" s="10">
        <f t="shared" si="78"/>
        <v>0</v>
      </c>
      <c r="J411" s="10">
        <v>5</v>
      </c>
      <c r="K411" s="9"/>
      <c r="L411" s="9"/>
      <c r="M411" s="10">
        <f>D411:D411*0.049</f>
        <v>0</v>
      </c>
      <c r="N411" s="10">
        <f t="shared" si="82"/>
        <v>0</v>
      </c>
      <c r="O411" s="16" t="e">
        <f>N411:N411*F411:F411*#REF!</f>
        <v>#REF!</v>
      </c>
      <c r="P411" s="21"/>
    </row>
    <row r="412" spans="1:16" ht="16.95" hidden="1" customHeight="1">
      <c r="A412" s="22"/>
      <c r="B412" s="15" t="s">
        <v>442</v>
      </c>
      <c r="C412" s="18" t="e">
        <f>IF($C$3=100,#REF!,#REF!)</f>
        <v>#REF!</v>
      </c>
      <c r="D412" s="24">
        <v>0</v>
      </c>
      <c r="E412" s="15" t="str">
        <f t="shared" si="79"/>
        <v>шт.</v>
      </c>
      <c r="F412" s="24">
        <f t="shared" si="80"/>
        <v>1</v>
      </c>
      <c r="G412" s="18" t="e">
        <f t="shared" si="81"/>
        <v>#REF!</v>
      </c>
      <c r="H412" s="17"/>
      <c r="I412" s="24">
        <f t="shared" si="78"/>
        <v>0</v>
      </c>
      <c r="J412" s="24">
        <v>2</v>
      </c>
      <c r="K412" s="17"/>
      <c r="L412" s="17"/>
      <c r="M412" s="17"/>
      <c r="N412" s="24">
        <f t="shared" si="82"/>
        <v>0</v>
      </c>
      <c r="O412" s="18" t="e">
        <f>N412:N412*F412:F412*#REF!</f>
        <v>#REF!</v>
      </c>
      <c r="P412" s="25"/>
    </row>
    <row r="413" spans="1:16" ht="16.95" hidden="1" customHeight="1">
      <c r="A413" s="9"/>
      <c r="B413" s="12" t="s">
        <v>443</v>
      </c>
      <c r="C413" s="16" t="e">
        <f>IF($C$3=100,#REF!,#REF!)</f>
        <v>#REF!</v>
      </c>
      <c r="D413" s="10">
        <v>0</v>
      </c>
      <c r="E413" s="12" t="str">
        <f t="shared" si="79"/>
        <v>шт.</v>
      </c>
      <c r="F413" s="10">
        <f t="shared" si="80"/>
        <v>1</v>
      </c>
      <c r="G413" s="16" t="e">
        <f t="shared" si="81"/>
        <v>#REF!</v>
      </c>
      <c r="H413" s="9"/>
      <c r="I413" s="10">
        <f t="shared" si="78"/>
        <v>0</v>
      </c>
      <c r="J413" s="10">
        <v>1</v>
      </c>
      <c r="K413" s="9"/>
      <c r="L413" s="9"/>
      <c r="M413" s="9"/>
      <c r="N413" s="10">
        <f t="shared" si="82"/>
        <v>0</v>
      </c>
      <c r="O413" s="16" t="e">
        <f>N413:N413*F413:F413*#REF!</f>
        <v>#REF!</v>
      </c>
      <c r="P413" s="21"/>
    </row>
    <row r="414" spans="1:16" ht="16.95" hidden="1" customHeight="1">
      <c r="A414" s="17"/>
      <c r="B414" s="15" t="s">
        <v>444</v>
      </c>
      <c r="C414" s="18" t="e">
        <f>IF($C$3=100,#REF!,#REF!)</f>
        <v>#REF!</v>
      </c>
      <c r="D414" s="24">
        <v>0</v>
      </c>
      <c r="E414" s="15" t="str">
        <f t="shared" si="79"/>
        <v>шт.</v>
      </c>
      <c r="F414" s="24">
        <f t="shared" si="80"/>
        <v>1</v>
      </c>
      <c r="G414" s="18" t="e">
        <f t="shared" si="81"/>
        <v>#REF!</v>
      </c>
      <c r="H414" s="17"/>
      <c r="I414" s="24">
        <f t="shared" si="78"/>
        <v>0</v>
      </c>
      <c r="J414" s="24">
        <v>83</v>
      </c>
      <c r="K414" s="17"/>
      <c r="L414" s="17"/>
      <c r="M414" s="17"/>
      <c r="N414" s="24">
        <f t="shared" si="82"/>
        <v>0</v>
      </c>
      <c r="O414" s="18" t="e">
        <f>N414:N414*F414:F414*#REF!</f>
        <v>#REF!</v>
      </c>
      <c r="P414" s="25"/>
    </row>
    <row r="415" spans="1:16" ht="16.95" hidden="1" customHeight="1">
      <c r="A415" s="9"/>
      <c r="B415" s="12" t="s">
        <v>445</v>
      </c>
      <c r="C415" s="16" t="e">
        <f>IF($C$3=100,#REF!,#REF!)</f>
        <v>#REF!</v>
      </c>
      <c r="D415" s="10">
        <v>0</v>
      </c>
      <c r="E415" s="12" t="str">
        <f t="shared" si="79"/>
        <v>шт.</v>
      </c>
      <c r="F415" s="10">
        <f t="shared" si="80"/>
        <v>1</v>
      </c>
      <c r="G415" s="16" t="e">
        <f t="shared" si="81"/>
        <v>#REF!</v>
      </c>
      <c r="H415" s="9"/>
      <c r="I415" s="10">
        <f t="shared" si="78"/>
        <v>0</v>
      </c>
      <c r="J415" s="10">
        <v>8</v>
      </c>
      <c r="K415" s="9"/>
      <c r="L415" s="9"/>
      <c r="M415" s="10">
        <f>D415:D415*0.0086</f>
        <v>0</v>
      </c>
      <c r="N415" s="10">
        <f t="shared" si="82"/>
        <v>0</v>
      </c>
      <c r="O415" s="16" t="e">
        <f>N415:N415*F415:F415*#REF!</f>
        <v>#REF!</v>
      </c>
      <c r="P415" s="21"/>
    </row>
    <row r="416" spans="1:16" ht="16.95" hidden="1" customHeight="1">
      <c r="A416" s="17"/>
      <c r="B416" s="15" t="s">
        <v>446</v>
      </c>
      <c r="C416" s="18" t="e">
        <f>IF($C$3=100,#REF!,#REF!)</f>
        <v>#REF!</v>
      </c>
      <c r="D416" s="24">
        <v>0</v>
      </c>
      <c r="E416" s="15" t="str">
        <f t="shared" si="79"/>
        <v>шт.</v>
      </c>
      <c r="F416" s="24">
        <f t="shared" si="80"/>
        <v>1</v>
      </c>
      <c r="G416" s="18" t="e">
        <f t="shared" si="81"/>
        <v>#REF!</v>
      </c>
      <c r="H416" s="17"/>
      <c r="I416" s="24">
        <f t="shared" si="78"/>
        <v>0</v>
      </c>
      <c r="J416" s="24">
        <v>5</v>
      </c>
      <c r="K416" s="17"/>
      <c r="L416" s="17"/>
      <c r="M416" s="24">
        <f>D416:D416*0.0086</f>
        <v>0</v>
      </c>
      <c r="N416" s="24">
        <f t="shared" si="82"/>
        <v>0</v>
      </c>
      <c r="O416" s="18" t="e">
        <f>N416:N416*F416:F416*#REF!</f>
        <v>#REF!</v>
      </c>
      <c r="P416" s="25"/>
    </row>
    <row r="417" spans="1:16" ht="16.95" hidden="1" customHeight="1">
      <c r="A417" s="19"/>
      <c r="B417" s="12" t="s">
        <v>447</v>
      </c>
      <c r="C417" s="16" t="e">
        <f>IF($C$3=100,#REF!,#REF!)</f>
        <v>#REF!</v>
      </c>
      <c r="D417" s="10">
        <v>0</v>
      </c>
      <c r="E417" s="12" t="str">
        <f t="shared" si="79"/>
        <v>шт.</v>
      </c>
      <c r="F417" s="10">
        <f t="shared" si="80"/>
        <v>1</v>
      </c>
      <c r="G417" s="16" t="e">
        <f t="shared" si="81"/>
        <v>#REF!</v>
      </c>
      <c r="H417" s="9"/>
      <c r="I417" s="10">
        <f t="shared" si="78"/>
        <v>0</v>
      </c>
      <c r="J417" s="10">
        <v>2</v>
      </c>
      <c r="K417" s="9"/>
      <c r="L417" s="9"/>
      <c r="M417" s="9"/>
      <c r="N417" s="10">
        <f t="shared" si="82"/>
        <v>0</v>
      </c>
      <c r="O417" s="16" t="e">
        <f>N417:N417*F417:F417*#REF!</f>
        <v>#REF!</v>
      </c>
      <c r="P417" s="21"/>
    </row>
    <row r="418" spans="1:16" ht="16.95" hidden="1" customHeight="1">
      <c r="A418" s="17"/>
      <c r="B418" s="15" t="s">
        <v>448</v>
      </c>
      <c r="C418" s="18" t="e">
        <f>IF($C$3=100,#REF!,#REF!)</f>
        <v>#REF!</v>
      </c>
      <c r="D418" s="24">
        <v>0</v>
      </c>
      <c r="E418" s="15" t="str">
        <f t="shared" si="79"/>
        <v>шт.</v>
      </c>
      <c r="F418" s="24">
        <f t="shared" si="80"/>
        <v>1</v>
      </c>
      <c r="G418" s="18" t="e">
        <f t="shared" si="81"/>
        <v>#REF!</v>
      </c>
      <c r="H418" s="17"/>
      <c r="I418" s="24">
        <f t="shared" si="78"/>
        <v>0</v>
      </c>
      <c r="J418" s="24">
        <v>76</v>
      </c>
      <c r="K418" s="17"/>
      <c r="L418" s="17"/>
      <c r="M418" s="17"/>
      <c r="N418" s="24">
        <f t="shared" si="82"/>
        <v>0</v>
      </c>
      <c r="O418" s="18" t="e">
        <f>N418:N418*F418:F418*#REF!</f>
        <v>#REF!</v>
      </c>
      <c r="P418" s="25"/>
    </row>
    <row r="419" spans="1:16" ht="16.95" hidden="1" customHeight="1">
      <c r="A419" s="9"/>
      <c r="B419" s="12" t="s">
        <v>449</v>
      </c>
      <c r="C419" s="16" t="e">
        <f>IF($C$3=100,#REF!,#REF!)</f>
        <v>#REF!</v>
      </c>
      <c r="D419" s="10">
        <v>0</v>
      </c>
      <c r="E419" s="12" t="str">
        <f t="shared" si="79"/>
        <v>шт.</v>
      </c>
      <c r="F419" s="10">
        <f t="shared" si="80"/>
        <v>1</v>
      </c>
      <c r="G419" s="16" t="e">
        <f t="shared" si="81"/>
        <v>#REF!</v>
      </c>
      <c r="H419" s="9"/>
      <c r="I419" s="10">
        <f t="shared" si="78"/>
        <v>0</v>
      </c>
      <c r="J419" s="10">
        <v>12</v>
      </c>
      <c r="K419" s="9"/>
      <c r="L419" s="9"/>
      <c r="M419" s="9"/>
      <c r="N419" s="10">
        <f t="shared" si="82"/>
        <v>0</v>
      </c>
      <c r="O419" s="16" t="e">
        <f>N419:N419*F419:F419*#REF!</f>
        <v>#REF!</v>
      </c>
      <c r="P419" s="21"/>
    </row>
    <row r="420" spans="1:16" ht="16.95" hidden="1" customHeight="1">
      <c r="A420" s="17"/>
      <c r="B420" s="15" t="s">
        <v>450</v>
      </c>
      <c r="C420" s="18" t="e">
        <f>IF($C$3=100,#REF!,#REF!)</f>
        <v>#REF!</v>
      </c>
      <c r="D420" s="24">
        <v>0</v>
      </c>
      <c r="E420" s="15" t="str">
        <f t="shared" si="79"/>
        <v>шт.</v>
      </c>
      <c r="F420" s="24">
        <f t="shared" si="80"/>
        <v>1</v>
      </c>
      <c r="G420" s="18" t="e">
        <f t="shared" si="81"/>
        <v>#REF!</v>
      </c>
      <c r="H420" s="17"/>
      <c r="I420" s="24">
        <f t="shared" si="78"/>
        <v>0</v>
      </c>
      <c r="J420" s="24">
        <v>42</v>
      </c>
      <c r="K420" s="17"/>
      <c r="L420" s="17"/>
      <c r="M420" s="17"/>
      <c r="N420" s="24">
        <f t="shared" si="82"/>
        <v>0</v>
      </c>
      <c r="O420" s="18" t="e">
        <f>N420:N420*F420:F420*#REF!</f>
        <v>#REF!</v>
      </c>
      <c r="P420" s="25"/>
    </row>
    <row r="421" spans="1:16" ht="16.95" hidden="1" customHeight="1">
      <c r="A421" s="19"/>
      <c r="B421" s="12" t="s">
        <v>451</v>
      </c>
      <c r="C421" s="16" t="e">
        <f>IF($C$3=100,#REF!,#REF!)</f>
        <v>#REF!</v>
      </c>
      <c r="D421" s="10">
        <v>0</v>
      </c>
      <c r="E421" s="12" t="str">
        <f t="shared" si="79"/>
        <v>шт.</v>
      </c>
      <c r="F421" s="10">
        <f t="shared" si="80"/>
        <v>1</v>
      </c>
      <c r="G421" s="16" t="e">
        <f t="shared" si="81"/>
        <v>#REF!</v>
      </c>
      <c r="H421" s="9"/>
      <c r="I421" s="10">
        <f t="shared" si="78"/>
        <v>0</v>
      </c>
      <c r="J421" s="10">
        <v>240</v>
      </c>
      <c r="K421" s="9"/>
      <c r="L421" s="9"/>
      <c r="M421" s="9"/>
      <c r="N421" s="10">
        <f t="shared" si="82"/>
        <v>0</v>
      </c>
      <c r="O421" s="16" t="e">
        <f>N421:N421*F421:F421*#REF!</f>
        <v>#REF!</v>
      </c>
      <c r="P421" s="21"/>
    </row>
    <row r="422" spans="1:16" ht="16.95" hidden="1" customHeight="1">
      <c r="A422" s="22"/>
      <c r="B422" s="15" t="s">
        <v>452</v>
      </c>
      <c r="C422" s="18" t="e">
        <f>IF($C$3=100,#REF!,#REF!)</f>
        <v>#REF!</v>
      </c>
      <c r="D422" s="24">
        <v>0</v>
      </c>
      <c r="E422" s="15" t="str">
        <f t="shared" si="79"/>
        <v>шт.</v>
      </c>
      <c r="F422" s="24">
        <f t="shared" si="80"/>
        <v>1</v>
      </c>
      <c r="G422" s="18" t="e">
        <f t="shared" si="81"/>
        <v>#REF!</v>
      </c>
      <c r="H422" s="17"/>
      <c r="I422" s="24">
        <f t="shared" si="78"/>
        <v>0</v>
      </c>
      <c r="J422" s="24">
        <v>41</v>
      </c>
      <c r="K422" s="17"/>
      <c r="L422" s="17"/>
      <c r="M422" s="17"/>
      <c r="N422" s="24">
        <f t="shared" si="82"/>
        <v>0</v>
      </c>
      <c r="O422" s="18" t="e">
        <f>N422:N422*F422:F422*#REF!</f>
        <v>#REF!</v>
      </c>
      <c r="P422" s="25"/>
    </row>
    <row r="423" spans="1:16" ht="16.95" hidden="1" customHeight="1">
      <c r="A423" s="19"/>
      <c r="B423" s="12" t="s">
        <v>453</v>
      </c>
      <c r="C423" s="16" t="e">
        <f>IF($C$3=100,#REF!,#REF!)</f>
        <v>#REF!</v>
      </c>
      <c r="D423" s="10">
        <v>0</v>
      </c>
      <c r="E423" s="12" t="str">
        <f t="shared" si="79"/>
        <v>шт.</v>
      </c>
      <c r="F423" s="10">
        <f t="shared" si="80"/>
        <v>1</v>
      </c>
      <c r="G423" s="16" t="e">
        <f t="shared" si="81"/>
        <v>#REF!</v>
      </c>
      <c r="H423" s="9"/>
      <c r="I423" s="10">
        <f t="shared" si="78"/>
        <v>0</v>
      </c>
      <c r="J423" s="10">
        <v>39</v>
      </c>
      <c r="K423" s="9"/>
      <c r="L423" s="9"/>
      <c r="M423" s="9"/>
      <c r="N423" s="10">
        <f t="shared" si="82"/>
        <v>0</v>
      </c>
      <c r="O423" s="16" t="e">
        <f>N423:N423*F423:F423*#REF!</f>
        <v>#REF!</v>
      </c>
      <c r="P423" s="21"/>
    </row>
    <row r="424" spans="1:16" ht="16.95" hidden="1" customHeight="1">
      <c r="A424" s="22"/>
      <c r="B424" s="15" t="s">
        <v>454</v>
      </c>
      <c r="C424" s="18" t="e">
        <f>IF($C$3=100,#REF!,#REF!)</f>
        <v>#REF!</v>
      </c>
      <c r="D424" s="24">
        <v>0</v>
      </c>
      <c r="E424" s="15" t="str">
        <f t="shared" si="79"/>
        <v>шт.</v>
      </c>
      <c r="F424" s="22">
        <f t="shared" ref="F424:F429" si="83">$F$3</f>
        <v>1</v>
      </c>
      <c r="G424" s="18" t="e">
        <f t="shared" si="81"/>
        <v>#REF!</v>
      </c>
      <c r="H424" s="17"/>
      <c r="I424" s="24">
        <f t="shared" si="78"/>
        <v>0</v>
      </c>
      <c r="J424" s="24">
        <v>0</v>
      </c>
      <c r="K424" s="17"/>
      <c r="L424" s="17"/>
      <c r="M424" s="17"/>
      <c r="N424" s="24">
        <f t="shared" si="82"/>
        <v>0</v>
      </c>
      <c r="O424" s="18" t="e">
        <f>N424:N424*F424:F424*#REF!</f>
        <v>#REF!</v>
      </c>
      <c r="P424" s="25"/>
    </row>
    <row r="425" spans="1:16" ht="16.95" hidden="1" customHeight="1">
      <c r="A425" s="19"/>
      <c r="B425" s="12" t="s">
        <v>455</v>
      </c>
      <c r="C425" s="16" t="e">
        <f>IF($C$3=100,#REF!,#REF!)</f>
        <v>#REF!</v>
      </c>
      <c r="D425" s="10">
        <v>0</v>
      </c>
      <c r="E425" s="12" t="str">
        <f t="shared" si="79"/>
        <v>шт.</v>
      </c>
      <c r="F425" s="19">
        <f t="shared" si="83"/>
        <v>1</v>
      </c>
      <c r="G425" s="16" t="e">
        <f t="shared" si="81"/>
        <v>#REF!</v>
      </c>
      <c r="H425" s="9"/>
      <c r="I425" s="10">
        <f t="shared" si="78"/>
        <v>0</v>
      </c>
      <c r="J425" s="10">
        <v>0</v>
      </c>
      <c r="K425" s="9"/>
      <c r="L425" s="9"/>
      <c r="M425" s="9"/>
      <c r="N425" s="10">
        <f t="shared" si="82"/>
        <v>0</v>
      </c>
      <c r="O425" s="16" t="e">
        <f>N425:N425*F425:F425*#REF!</f>
        <v>#REF!</v>
      </c>
      <c r="P425" s="21"/>
    </row>
    <row r="426" spans="1:16" ht="16.95" hidden="1" customHeight="1">
      <c r="A426" s="22"/>
      <c r="B426" s="15" t="s">
        <v>456</v>
      </c>
      <c r="C426" s="18" t="e">
        <f>IF($C$3=100,#REF!,#REF!)</f>
        <v>#REF!</v>
      </c>
      <c r="D426" s="24">
        <v>0</v>
      </c>
      <c r="E426" s="15" t="str">
        <f t="shared" si="79"/>
        <v>шт.</v>
      </c>
      <c r="F426" s="22">
        <f t="shared" si="83"/>
        <v>1</v>
      </c>
      <c r="G426" s="18" t="e">
        <f t="shared" si="81"/>
        <v>#REF!</v>
      </c>
      <c r="H426" s="17"/>
      <c r="I426" s="24">
        <f t="shared" si="78"/>
        <v>0</v>
      </c>
      <c r="J426" s="24">
        <v>0</v>
      </c>
      <c r="K426" s="17"/>
      <c r="L426" s="17"/>
      <c r="M426" s="17"/>
      <c r="N426" s="24">
        <f t="shared" si="82"/>
        <v>0</v>
      </c>
      <c r="O426" s="18" t="e">
        <f>N426:N426*F426:F426*#REF!</f>
        <v>#REF!</v>
      </c>
      <c r="P426" s="25"/>
    </row>
    <row r="427" spans="1:16" ht="16.95" hidden="1" customHeight="1">
      <c r="A427" s="19"/>
      <c r="B427" s="12" t="s">
        <v>457</v>
      </c>
      <c r="C427" s="16" t="e">
        <f>IF($C$3=100,#REF!,#REF!)</f>
        <v>#REF!</v>
      </c>
      <c r="D427" s="10">
        <v>0</v>
      </c>
      <c r="E427" s="12" t="str">
        <f t="shared" si="79"/>
        <v>шт.</v>
      </c>
      <c r="F427" s="19">
        <f t="shared" si="83"/>
        <v>1</v>
      </c>
      <c r="G427" s="16" t="e">
        <f t="shared" si="81"/>
        <v>#REF!</v>
      </c>
      <c r="H427" s="9"/>
      <c r="I427" s="10">
        <f t="shared" si="78"/>
        <v>0</v>
      </c>
      <c r="J427" s="10">
        <v>0</v>
      </c>
      <c r="K427" s="9"/>
      <c r="L427" s="9"/>
      <c r="M427" s="9"/>
      <c r="N427" s="10">
        <f t="shared" si="82"/>
        <v>0</v>
      </c>
      <c r="O427" s="16" t="e">
        <f>N427:N427*F427:F427*#REF!</f>
        <v>#REF!</v>
      </c>
      <c r="P427" s="21"/>
    </row>
    <row r="428" spans="1:16" ht="16.95" hidden="1" customHeight="1">
      <c r="A428" s="22"/>
      <c r="B428" s="15" t="s">
        <v>458</v>
      </c>
      <c r="C428" s="18" t="e">
        <f>IF($C$3=100,#REF!,#REF!)</f>
        <v>#REF!</v>
      </c>
      <c r="D428" s="24">
        <v>0</v>
      </c>
      <c r="E428" s="15" t="str">
        <f t="shared" si="79"/>
        <v>шт.</v>
      </c>
      <c r="F428" s="22">
        <f t="shared" si="83"/>
        <v>1</v>
      </c>
      <c r="G428" s="18" t="e">
        <f t="shared" si="81"/>
        <v>#REF!</v>
      </c>
      <c r="H428" s="17"/>
      <c r="I428" s="24">
        <f t="shared" ref="I428:I447" si="84">H428*D428</f>
        <v>0</v>
      </c>
      <c r="J428" s="24">
        <v>0</v>
      </c>
      <c r="K428" s="17"/>
      <c r="L428" s="17"/>
      <c r="M428" s="17"/>
      <c r="N428" s="24">
        <f t="shared" si="82"/>
        <v>0</v>
      </c>
      <c r="O428" s="18" t="e">
        <f>N428:N428*F428:F428*#REF!</f>
        <v>#REF!</v>
      </c>
      <c r="P428" s="25"/>
    </row>
    <row r="429" spans="1:16" ht="16.95" hidden="1" customHeight="1">
      <c r="A429" s="19"/>
      <c r="B429" s="12" t="s">
        <v>459</v>
      </c>
      <c r="C429" s="16" t="e">
        <f>IF($C$3=100,#REF!,#REF!)</f>
        <v>#REF!</v>
      </c>
      <c r="D429" s="10">
        <v>0</v>
      </c>
      <c r="E429" s="12" t="str">
        <f t="shared" si="79"/>
        <v>шт.</v>
      </c>
      <c r="F429" s="19">
        <f t="shared" si="83"/>
        <v>1</v>
      </c>
      <c r="G429" s="16" t="e">
        <f t="shared" ref="G429:G446" si="85">C429*D429*F429</f>
        <v>#REF!</v>
      </c>
      <c r="H429" s="9"/>
      <c r="I429" s="10">
        <f t="shared" si="84"/>
        <v>0</v>
      </c>
      <c r="J429" s="10">
        <v>0</v>
      </c>
      <c r="K429" s="9"/>
      <c r="L429" s="9"/>
      <c r="M429" s="9"/>
      <c r="N429" s="10">
        <f t="shared" ref="N429:N446" si="86">IF(D429:D429=0,0,IF(J429:J429=0,0,IF(D429:D429&lt;J429:J429,D429:D429,J429:J429)))</f>
        <v>0</v>
      </c>
      <c r="O429" s="16" t="e">
        <f>N429:N429*F429:F429*#REF!</f>
        <v>#REF!</v>
      </c>
      <c r="P429" s="21"/>
    </row>
    <row r="430" spans="1:16" ht="16.95" hidden="1" customHeight="1">
      <c r="A430" s="22"/>
      <c r="B430" s="15" t="s">
        <v>460</v>
      </c>
      <c r="C430" s="18" t="e">
        <f>IF($C$3=100,#REF!,#REF!)</f>
        <v>#REF!</v>
      </c>
      <c r="D430" s="24">
        <v>0</v>
      </c>
      <c r="E430" s="15" t="str">
        <f t="shared" si="79"/>
        <v>шт.</v>
      </c>
      <c r="F430" s="24">
        <f t="shared" ref="F430:F435" si="87">1+($F$3-1)/2</f>
        <v>1</v>
      </c>
      <c r="G430" s="18" t="e">
        <f t="shared" si="85"/>
        <v>#REF!</v>
      </c>
      <c r="H430" s="17"/>
      <c r="I430" s="24">
        <f t="shared" si="84"/>
        <v>0</v>
      </c>
      <c r="J430" s="24">
        <v>1</v>
      </c>
      <c r="K430" s="17"/>
      <c r="L430" s="17"/>
      <c r="M430" s="17"/>
      <c r="N430" s="24">
        <f t="shared" si="86"/>
        <v>0</v>
      </c>
      <c r="O430" s="18" t="e">
        <f>N430:N430*F430:F430*#REF!</f>
        <v>#REF!</v>
      </c>
      <c r="P430" s="25"/>
    </row>
    <row r="431" spans="1:16" ht="16.95" hidden="1" customHeight="1">
      <c r="A431" s="19"/>
      <c r="B431" s="12" t="s">
        <v>461</v>
      </c>
      <c r="C431" s="16" t="e">
        <f>IF($C$3=100,#REF!,#REF!)</f>
        <v>#REF!</v>
      </c>
      <c r="D431" s="10">
        <v>0</v>
      </c>
      <c r="E431" s="12" t="str">
        <f t="shared" si="79"/>
        <v>шт.</v>
      </c>
      <c r="F431" s="10">
        <f t="shared" si="87"/>
        <v>1</v>
      </c>
      <c r="G431" s="16" t="e">
        <f t="shared" si="85"/>
        <v>#REF!</v>
      </c>
      <c r="H431" s="9"/>
      <c r="I431" s="10">
        <f t="shared" si="84"/>
        <v>0</v>
      </c>
      <c r="J431" s="10">
        <v>1</v>
      </c>
      <c r="K431" s="9"/>
      <c r="L431" s="9"/>
      <c r="M431" s="10">
        <f>D431:D431*0.639</f>
        <v>0</v>
      </c>
      <c r="N431" s="10">
        <f t="shared" si="86"/>
        <v>0</v>
      </c>
      <c r="O431" s="16" t="e">
        <f>N431:N431*F431:F431*#REF!</f>
        <v>#REF!</v>
      </c>
      <c r="P431" s="21"/>
    </row>
    <row r="432" spans="1:16" ht="16.95" hidden="1" customHeight="1">
      <c r="A432" s="22"/>
      <c r="B432" s="15" t="s">
        <v>462</v>
      </c>
      <c r="C432" s="18" t="e">
        <f>IF($C$3=100,#REF!,#REF!)</f>
        <v>#REF!</v>
      </c>
      <c r="D432" s="24">
        <v>0</v>
      </c>
      <c r="E432" s="15" t="str">
        <f t="shared" si="79"/>
        <v>шт.</v>
      </c>
      <c r="F432" s="24">
        <f t="shared" si="87"/>
        <v>1</v>
      </c>
      <c r="G432" s="18" t="e">
        <f t="shared" si="85"/>
        <v>#REF!</v>
      </c>
      <c r="H432" s="17"/>
      <c r="I432" s="24">
        <f t="shared" si="84"/>
        <v>0</v>
      </c>
      <c r="J432" s="24">
        <v>1</v>
      </c>
      <c r="K432" s="17"/>
      <c r="L432" s="17"/>
      <c r="M432" s="24">
        <f>D432:D432*0.65</f>
        <v>0</v>
      </c>
      <c r="N432" s="24">
        <f t="shared" si="86"/>
        <v>0</v>
      </c>
      <c r="O432" s="18" t="e">
        <f>N432:N432*F432:F432*#REF!</f>
        <v>#REF!</v>
      </c>
      <c r="P432" s="25"/>
    </row>
    <row r="433" spans="1:16" ht="16.95" hidden="1" customHeight="1">
      <c r="A433" s="19"/>
      <c r="B433" s="12" t="s">
        <v>463</v>
      </c>
      <c r="C433" s="16" t="e">
        <f>IF($C$3=100,#REF!,#REF!)</f>
        <v>#REF!</v>
      </c>
      <c r="D433" s="10">
        <v>0</v>
      </c>
      <c r="E433" s="12" t="str">
        <f t="shared" si="79"/>
        <v>шт.</v>
      </c>
      <c r="F433" s="10">
        <f t="shared" si="87"/>
        <v>1</v>
      </c>
      <c r="G433" s="16" t="e">
        <f t="shared" si="85"/>
        <v>#REF!</v>
      </c>
      <c r="H433" s="9"/>
      <c r="I433" s="10">
        <f t="shared" si="84"/>
        <v>0</v>
      </c>
      <c r="J433" s="10">
        <v>1</v>
      </c>
      <c r="K433" s="9"/>
      <c r="L433" s="9"/>
      <c r="M433" s="10">
        <f>D433:D433*0.392</f>
        <v>0</v>
      </c>
      <c r="N433" s="10">
        <f t="shared" si="86"/>
        <v>0</v>
      </c>
      <c r="O433" s="16" t="e">
        <f>N433:N433*F433:F433*#REF!</f>
        <v>#REF!</v>
      </c>
      <c r="P433" s="21"/>
    </row>
    <row r="434" spans="1:16" ht="16.95" hidden="1" customHeight="1">
      <c r="A434" s="22"/>
      <c r="B434" s="15" t="s">
        <v>464</v>
      </c>
      <c r="C434" s="18" t="e">
        <f>IF($C$3=100,#REF!,#REF!)</f>
        <v>#REF!</v>
      </c>
      <c r="D434" s="24">
        <v>0</v>
      </c>
      <c r="E434" s="15" t="str">
        <f t="shared" si="79"/>
        <v>шт.</v>
      </c>
      <c r="F434" s="24">
        <f t="shared" si="87"/>
        <v>1</v>
      </c>
      <c r="G434" s="18" t="e">
        <f t="shared" si="85"/>
        <v>#REF!</v>
      </c>
      <c r="H434" s="17"/>
      <c r="I434" s="24">
        <f t="shared" si="84"/>
        <v>0</v>
      </c>
      <c r="J434" s="24">
        <v>1</v>
      </c>
      <c r="K434" s="17"/>
      <c r="L434" s="17"/>
      <c r="M434" s="24">
        <f>D434:D434*0.159</f>
        <v>0</v>
      </c>
      <c r="N434" s="24">
        <f t="shared" si="86"/>
        <v>0</v>
      </c>
      <c r="O434" s="18" t="e">
        <f>N434:N434*F434:F434*#REF!</f>
        <v>#REF!</v>
      </c>
      <c r="P434" s="25"/>
    </row>
    <row r="435" spans="1:16" ht="16.95" hidden="1" customHeight="1">
      <c r="A435" s="19"/>
      <c r="B435" s="12" t="s">
        <v>465</v>
      </c>
      <c r="C435" s="16" t="e">
        <f>IF($C$3=100,#REF!,#REF!)</f>
        <v>#REF!</v>
      </c>
      <c r="D435" s="10">
        <v>0</v>
      </c>
      <c r="E435" s="12" t="str">
        <f t="shared" si="79"/>
        <v>шт.</v>
      </c>
      <c r="F435" s="10">
        <f t="shared" si="87"/>
        <v>1</v>
      </c>
      <c r="G435" s="16" t="e">
        <f t="shared" si="85"/>
        <v>#REF!</v>
      </c>
      <c r="H435" s="9"/>
      <c r="I435" s="10">
        <f t="shared" si="84"/>
        <v>0</v>
      </c>
      <c r="J435" s="10">
        <v>1</v>
      </c>
      <c r="K435" s="9"/>
      <c r="L435" s="9"/>
      <c r="M435" s="9"/>
      <c r="N435" s="10">
        <f t="shared" si="86"/>
        <v>0</v>
      </c>
      <c r="O435" s="16" t="e">
        <f>N435:N435*F435:F435*#REF!</f>
        <v>#REF!</v>
      </c>
      <c r="P435" s="21"/>
    </row>
    <row r="436" spans="1:16" ht="16.95" hidden="1" customHeight="1">
      <c r="A436" s="22"/>
      <c r="B436" s="15" t="s">
        <v>466</v>
      </c>
      <c r="C436" s="18" t="e">
        <f>IF($C$3=100,#REF!,#REF!)</f>
        <v>#REF!</v>
      </c>
      <c r="D436" s="24">
        <v>0</v>
      </c>
      <c r="E436" s="15" t="str">
        <f t="shared" si="79"/>
        <v>шт.</v>
      </c>
      <c r="F436" s="24">
        <v>1</v>
      </c>
      <c r="G436" s="18" t="e">
        <f t="shared" si="85"/>
        <v>#REF!</v>
      </c>
      <c r="H436" s="17"/>
      <c r="I436" s="24">
        <f t="shared" si="84"/>
        <v>0</v>
      </c>
      <c r="J436" s="24">
        <v>1</v>
      </c>
      <c r="K436" s="17"/>
      <c r="L436" s="17"/>
      <c r="M436" s="17"/>
      <c r="N436" s="24">
        <f t="shared" si="86"/>
        <v>0</v>
      </c>
      <c r="O436" s="18" t="e">
        <f>N436:N436*F436:F436*#REF!</f>
        <v>#REF!</v>
      </c>
      <c r="P436" s="25"/>
    </row>
    <row r="437" spans="1:16" ht="16.95" hidden="1" customHeight="1">
      <c r="A437" s="19"/>
      <c r="B437" s="12" t="s">
        <v>467</v>
      </c>
      <c r="C437" s="16" t="e">
        <f>IF($C$3=100,#REF!,#REF!)</f>
        <v>#REF!</v>
      </c>
      <c r="D437" s="10">
        <v>0</v>
      </c>
      <c r="E437" s="12" t="str">
        <f t="shared" si="79"/>
        <v>шт.</v>
      </c>
      <c r="F437" s="10">
        <f t="shared" ref="F437:F446" si="88">1+($F$3-1)/2</f>
        <v>1</v>
      </c>
      <c r="G437" s="16" t="e">
        <f t="shared" si="85"/>
        <v>#REF!</v>
      </c>
      <c r="H437" s="10">
        <v>4000</v>
      </c>
      <c r="I437" s="10">
        <f t="shared" si="84"/>
        <v>0</v>
      </c>
      <c r="J437" s="10">
        <v>22</v>
      </c>
      <c r="K437" s="9"/>
      <c r="L437" s="9"/>
      <c r="M437" s="9"/>
      <c r="N437" s="10">
        <f t="shared" si="86"/>
        <v>0</v>
      </c>
      <c r="O437" s="16" t="e">
        <f>N437:N437*F437:F437*#REF!</f>
        <v>#REF!</v>
      </c>
      <c r="P437" s="21"/>
    </row>
    <row r="438" spans="1:16" ht="16.95" hidden="1" customHeight="1">
      <c r="A438" s="22"/>
      <c r="B438" s="15" t="s">
        <v>468</v>
      </c>
      <c r="C438" s="18" t="e">
        <f>IF($C$3=100,#REF!,#REF!)</f>
        <v>#REF!</v>
      </c>
      <c r="D438" s="24">
        <v>0</v>
      </c>
      <c r="E438" s="15" t="str">
        <f t="shared" si="79"/>
        <v>шт.</v>
      </c>
      <c r="F438" s="24">
        <f t="shared" si="88"/>
        <v>1</v>
      </c>
      <c r="G438" s="18" t="e">
        <f t="shared" si="85"/>
        <v>#REF!</v>
      </c>
      <c r="H438" s="24">
        <v>9000</v>
      </c>
      <c r="I438" s="24">
        <f t="shared" si="84"/>
        <v>0</v>
      </c>
      <c r="J438" s="24">
        <v>10</v>
      </c>
      <c r="K438" s="17"/>
      <c r="L438" s="17"/>
      <c r="M438" s="17"/>
      <c r="N438" s="24">
        <f t="shared" si="86"/>
        <v>0</v>
      </c>
      <c r="O438" s="18" t="e">
        <f>N438:N438*F438:F438*#REF!</f>
        <v>#REF!</v>
      </c>
      <c r="P438" s="25"/>
    </row>
    <row r="439" spans="1:16" ht="16.95" hidden="1" customHeight="1">
      <c r="A439" s="19"/>
      <c r="B439" s="12" t="s">
        <v>469</v>
      </c>
      <c r="C439" s="16" t="e">
        <f>IF($C$3=100,#REF!,#REF!)</f>
        <v>#REF!</v>
      </c>
      <c r="D439" s="10">
        <v>0</v>
      </c>
      <c r="E439" s="12" t="str">
        <f t="shared" si="79"/>
        <v>шт.</v>
      </c>
      <c r="F439" s="10">
        <f t="shared" si="88"/>
        <v>1</v>
      </c>
      <c r="G439" s="16" t="e">
        <f t="shared" si="85"/>
        <v>#REF!</v>
      </c>
      <c r="H439" s="10">
        <v>9000</v>
      </c>
      <c r="I439" s="10">
        <f t="shared" si="84"/>
        <v>0</v>
      </c>
      <c r="J439" s="10">
        <v>10</v>
      </c>
      <c r="K439" s="9"/>
      <c r="L439" s="9"/>
      <c r="M439" s="9"/>
      <c r="N439" s="10">
        <f t="shared" si="86"/>
        <v>0</v>
      </c>
      <c r="O439" s="16" t="e">
        <f>N439:N439*F439:F439*#REF!</f>
        <v>#REF!</v>
      </c>
      <c r="P439" s="21"/>
    </row>
    <row r="440" spans="1:16" ht="16.95" hidden="1" customHeight="1">
      <c r="A440" s="22"/>
      <c r="B440" s="15" t="s">
        <v>470</v>
      </c>
      <c r="C440" s="18" t="e">
        <f>IF($C$3=100,#REF!,#REF!)</f>
        <v>#REF!</v>
      </c>
      <c r="D440" s="24">
        <v>0</v>
      </c>
      <c r="E440" s="15" t="str">
        <f t="shared" si="79"/>
        <v>шт.</v>
      </c>
      <c r="F440" s="24">
        <f t="shared" si="88"/>
        <v>1</v>
      </c>
      <c r="G440" s="18" t="e">
        <f t="shared" si="85"/>
        <v>#REF!</v>
      </c>
      <c r="H440" s="24">
        <v>3000</v>
      </c>
      <c r="I440" s="24">
        <f t="shared" si="84"/>
        <v>0</v>
      </c>
      <c r="J440" s="24">
        <v>9</v>
      </c>
      <c r="K440" s="17"/>
      <c r="L440" s="17"/>
      <c r="M440" s="17"/>
      <c r="N440" s="24">
        <f t="shared" si="86"/>
        <v>0</v>
      </c>
      <c r="O440" s="18" t="e">
        <f>N440:N440*F440:F440*#REF!</f>
        <v>#REF!</v>
      </c>
      <c r="P440" s="25"/>
    </row>
    <row r="441" spans="1:16" ht="16.95" customHeight="1">
      <c r="A441" s="7"/>
      <c r="B441" s="3" t="s">
        <v>471</v>
      </c>
      <c r="C441" s="5">
        <v>500</v>
      </c>
      <c r="D441" s="5">
        <v>30</v>
      </c>
      <c r="E441" s="3" t="str">
        <f t="shared" si="79"/>
        <v>шт.</v>
      </c>
      <c r="F441" s="5">
        <f t="shared" si="88"/>
        <v>1</v>
      </c>
      <c r="G441" s="5">
        <f t="shared" si="85"/>
        <v>15000</v>
      </c>
      <c r="H441" s="9"/>
      <c r="I441" s="10">
        <f t="shared" si="84"/>
        <v>0</v>
      </c>
      <c r="J441" s="10">
        <v>30</v>
      </c>
      <c r="K441" s="9"/>
      <c r="L441" s="9"/>
      <c r="M441" s="10">
        <f>D441:D441*0.0298</f>
        <v>0.89400000000000002</v>
      </c>
      <c r="N441" s="10">
        <f t="shared" si="86"/>
        <v>30</v>
      </c>
      <c r="O441" s="16" t="e">
        <f>N441:N441*F441:F441*#REF!</f>
        <v>#REF!</v>
      </c>
      <c r="P441" s="7"/>
    </row>
    <row r="442" spans="1:16" ht="16.95" hidden="1" customHeight="1">
      <c r="A442" s="22"/>
      <c r="B442" s="15" t="s">
        <v>472</v>
      </c>
      <c r="C442" s="18" t="e">
        <f>IF($C$3=100,#REF!,#REF!)</f>
        <v>#REF!</v>
      </c>
      <c r="D442" s="24">
        <v>0</v>
      </c>
      <c r="E442" s="15" t="str">
        <f t="shared" si="79"/>
        <v>шт.</v>
      </c>
      <c r="F442" s="24">
        <f t="shared" si="88"/>
        <v>1</v>
      </c>
      <c r="G442" s="18" t="e">
        <f t="shared" si="85"/>
        <v>#REF!</v>
      </c>
      <c r="H442" s="17"/>
      <c r="I442" s="24">
        <f t="shared" si="84"/>
        <v>0</v>
      </c>
      <c r="J442" s="24">
        <v>30</v>
      </c>
      <c r="K442" s="17"/>
      <c r="L442" s="17"/>
      <c r="M442" s="24">
        <f>D442:D442*0.0143</f>
        <v>0</v>
      </c>
      <c r="N442" s="24">
        <f t="shared" si="86"/>
        <v>0</v>
      </c>
      <c r="O442" s="18" t="e">
        <f>N442:N442*F442:F442*#REF!</f>
        <v>#REF!</v>
      </c>
      <c r="P442" s="25"/>
    </row>
    <row r="443" spans="1:16" ht="16.95" hidden="1" customHeight="1">
      <c r="A443" s="9"/>
      <c r="B443" s="12" t="s">
        <v>473</v>
      </c>
      <c r="C443" s="16" t="e">
        <f>IF($C$3=100,#REF!,#REF!)</f>
        <v>#REF!</v>
      </c>
      <c r="D443" s="10">
        <v>0</v>
      </c>
      <c r="E443" s="12" t="str">
        <f t="shared" si="79"/>
        <v>шт.</v>
      </c>
      <c r="F443" s="10">
        <f t="shared" si="88"/>
        <v>1</v>
      </c>
      <c r="G443" s="16" t="e">
        <f t="shared" si="85"/>
        <v>#REF!</v>
      </c>
      <c r="H443" s="9"/>
      <c r="I443" s="10">
        <f t="shared" si="84"/>
        <v>0</v>
      </c>
      <c r="J443" s="10">
        <v>30</v>
      </c>
      <c r="K443" s="9"/>
      <c r="L443" s="9"/>
      <c r="M443" s="10">
        <f>D443:D443*0.003</f>
        <v>0</v>
      </c>
      <c r="N443" s="10">
        <f t="shared" si="86"/>
        <v>0</v>
      </c>
      <c r="O443" s="16" t="e">
        <f>N443:N443*F443:F443*#REF!</f>
        <v>#REF!</v>
      </c>
      <c r="P443" s="21"/>
    </row>
    <row r="444" spans="1:16" ht="16.95" hidden="1" customHeight="1">
      <c r="A444" s="22"/>
      <c r="B444" s="15" t="s">
        <v>474</v>
      </c>
      <c r="C444" s="18" t="e">
        <f>IF($C$3=100,#REF!,#REF!)</f>
        <v>#REF!</v>
      </c>
      <c r="D444" s="24">
        <v>0</v>
      </c>
      <c r="E444" s="15" t="str">
        <f>IF($B$3=1,"компл.","set")</f>
        <v>компл.</v>
      </c>
      <c r="F444" s="24">
        <f t="shared" si="88"/>
        <v>1</v>
      </c>
      <c r="G444" s="18" t="e">
        <f t="shared" si="85"/>
        <v>#REF!</v>
      </c>
      <c r="H444" s="17"/>
      <c r="I444" s="24">
        <f t="shared" si="84"/>
        <v>0</v>
      </c>
      <c r="J444" s="24">
        <v>10</v>
      </c>
      <c r="K444" s="17"/>
      <c r="L444" s="17"/>
      <c r="M444" s="17"/>
      <c r="N444" s="24">
        <f t="shared" si="86"/>
        <v>0</v>
      </c>
      <c r="O444" s="18" t="e">
        <f>N444:N444*F444:F444*#REF!</f>
        <v>#REF!</v>
      </c>
      <c r="P444" s="25"/>
    </row>
    <row r="445" spans="1:16" ht="16.95" hidden="1" customHeight="1">
      <c r="A445" s="19"/>
      <c r="B445" s="12" t="s">
        <v>475</v>
      </c>
      <c r="C445" s="16" t="e">
        <f>IF($C$3=100,#REF!,#REF!)</f>
        <v>#REF!</v>
      </c>
      <c r="D445" s="10">
        <v>0</v>
      </c>
      <c r="E445" s="12" t="str">
        <f>IF($B$3=1,"компл.","set")</f>
        <v>компл.</v>
      </c>
      <c r="F445" s="10">
        <f t="shared" si="88"/>
        <v>1</v>
      </c>
      <c r="G445" s="16" t="e">
        <f t="shared" si="85"/>
        <v>#REF!</v>
      </c>
      <c r="H445" s="9"/>
      <c r="I445" s="10">
        <f t="shared" si="84"/>
        <v>0</v>
      </c>
      <c r="J445" s="10">
        <v>10</v>
      </c>
      <c r="K445" s="9"/>
      <c r="L445" s="9"/>
      <c r="M445" s="9"/>
      <c r="N445" s="10">
        <f t="shared" si="86"/>
        <v>0</v>
      </c>
      <c r="O445" s="16" t="e">
        <f>N445:N445*F445:F445*#REF!</f>
        <v>#REF!</v>
      </c>
      <c r="P445" s="21"/>
    </row>
    <row r="446" spans="1:16" ht="16.95" customHeight="1">
      <c r="A446" s="13"/>
      <c r="B446" s="14" t="s">
        <v>476</v>
      </c>
      <c r="C446" s="26">
        <v>250</v>
      </c>
      <c r="D446" s="26">
        <v>20</v>
      </c>
      <c r="E446" s="14" t="str">
        <f>IF($B$3=1,"шт.","pcs")</f>
        <v>шт.</v>
      </c>
      <c r="F446" s="26">
        <f t="shared" si="88"/>
        <v>1</v>
      </c>
      <c r="G446" s="26">
        <f t="shared" si="85"/>
        <v>5000</v>
      </c>
      <c r="H446" s="17"/>
      <c r="I446" s="24">
        <f t="shared" si="84"/>
        <v>0</v>
      </c>
      <c r="J446" s="24">
        <v>30</v>
      </c>
      <c r="K446" s="17"/>
      <c r="L446" s="17"/>
      <c r="M446" s="17"/>
      <c r="N446" s="24">
        <f t="shared" si="86"/>
        <v>20</v>
      </c>
      <c r="O446" s="18" t="e">
        <f>N446:N446*F446:F446*#REF!</f>
        <v>#REF!</v>
      </c>
      <c r="P446" s="13"/>
    </row>
    <row r="447" spans="1:16" ht="16.05" customHeight="1">
      <c r="A447" s="7"/>
      <c r="B447" s="7"/>
      <c r="C447" s="7"/>
      <c r="D447" s="7"/>
      <c r="E447" s="7"/>
      <c r="F447" s="7"/>
      <c r="G447" s="27">
        <f>G446+G441+G407+G405+G403+G401+G399+G398+G397</f>
        <v>60450</v>
      </c>
      <c r="H447" s="9"/>
      <c r="I447" s="10">
        <f t="shared" si="84"/>
        <v>0</v>
      </c>
      <c r="J447" s="9"/>
      <c r="K447" s="9"/>
      <c r="L447" s="9"/>
      <c r="M447" s="10">
        <f>SUM(M397:M446)</f>
        <v>1.4910000000000001</v>
      </c>
      <c r="N447" s="9"/>
      <c r="O447" s="16" t="e">
        <f>SUM(O396:O446)</f>
        <v>#REF!</v>
      </c>
      <c r="P447" s="7"/>
    </row>
    <row r="448" spans="1:16" ht="16.05" customHeight="1">
      <c r="A448" s="13"/>
      <c r="B448" s="13"/>
      <c r="C448" s="13"/>
      <c r="D448" s="13"/>
      <c r="E448" s="13"/>
      <c r="F448" s="13"/>
      <c r="G448" s="13"/>
      <c r="H448" s="17"/>
      <c r="I448" s="17"/>
      <c r="J448" s="17"/>
      <c r="K448" s="17"/>
      <c r="L448" s="17"/>
      <c r="M448" s="17"/>
      <c r="N448" s="17"/>
      <c r="O448" s="18"/>
      <c r="P448" s="13"/>
    </row>
    <row r="449" spans="1:16" ht="16.95" hidden="1" customHeight="1">
      <c r="A449" s="12" t="str">
        <f>IF($B$3=1,"Мебель и Бэкстейдж","Furniture and backstage")</f>
        <v>Мебель и Бэкстейдж</v>
      </c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6"/>
      <c r="P449" s="21"/>
    </row>
    <row r="450" spans="1:16" ht="16.95" hidden="1" customHeight="1">
      <c r="A450" s="22"/>
      <c r="B450" s="15" t="s">
        <v>477</v>
      </c>
      <c r="C450" s="18" t="e">
        <f>IF($C$3=100,#REF!,#REF!)</f>
        <v>#REF!</v>
      </c>
      <c r="D450" s="24">
        <v>0</v>
      </c>
      <c r="E450" s="15" t="str">
        <f t="shared" ref="E450:E464" si="89">IF($B$3=1,"шт.","pcs")</f>
        <v>шт.</v>
      </c>
      <c r="F450" s="24">
        <f t="shared" ref="F450:F464" si="90">1+($F$3-1)/2</f>
        <v>1</v>
      </c>
      <c r="G450" s="18" t="e">
        <f t="shared" ref="G450:G464" si="91">C450*D450*F450</f>
        <v>#REF!</v>
      </c>
      <c r="H450" s="24">
        <v>0</v>
      </c>
      <c r="I450" s="24">
        <f t="shared" ref="I450:I465" si="92">H450*D450</f>
        <v>0</v>
      </c>
      <c r="J450" s="24">
        <v>92</v>
      </c>
      <c r="K450" s="17"/>
      <c r="L450" s="17"/>
      <c r="M450" s="24">
        <f>D450:D450*0.0189</f>
        <v>0</v>
      </c>
      <c r="N450" s="24">
        <f t="shared" ref="N450:N464" si="93">IF(D450:D450=0,0,IF(J450:J450=0,0,IF(D450:D450&lt;J450:J450,D450:D450,J450:J450)))</f>
        <v>0</v>
      </c>
      <c r="O450" s="18" t="e">
        <f>N450:N450*F450:F450*#REF!</f>
        <v>#REF!</v>
      </c>
      <c r="P450" s="25"/>
    </row>
    <row r="451" spans="1:16" ht="16.95" hidden="1" customHeight="1">
      <c r="A451" s="19"/>
      <c r="B451" s="12" t="s">
        <v>478</v>
      </c>
      <c r="C451" s="16" t="e">
        <f>IF($C$3=100,#REF!,#REF!)</f>
        <v>#REF!</v>
      </c>
      <c r="D451" s="10">
        <v>0</v>
      </c>
      <c r="E451" s="12" t="str">
        <f t="shared" si="89"/>
        <v>шт.</v>
      </c>
      <c r="F451" s="10">
        <f t="shared" si="90"/>
        <v>1</v>
      </c>
      <c r="G451" s="16" t="e">
        <f t="shared" si="91"/>
        <v>#REF!</v>
      </c>
      <c r="H451" s="10">
        <v>0</v>
      </c>
      <c r="I451" s="10">
        <f t="shared" si="92"/>
        <v>0</v>
      </c>
      <c r="J451" s="10">
        <v>19</v>
      </c>
      <c r="K451" s="9"/>
      <c r="L451" s="9"/>
      <c r="M451" s="10">
        <f>D451:D451*0.666</f>
        <v>0</v>
      </c>
      <c r="N451" s="10">
        <f t="shared" si="93"/>
        <v>0</v>
      </c>
      <c r="O451" s="16" t="e">
        <f>N451:N451*F451:F451*#REF!</f>
        <v>#REF!</v>
      </c>
      <c r="P451" s="21"/>
    </row>
    <row r="452" spans="1:16" ht="16.95" hidden="1" customHeight="1">
      <c r="A452" s="17"/>
      <c r="B452" s="15" t="s">
        <v>479</v>
      </c>
      <c r="C452" s="18" t="e">
        <f>IF($C$3=100,#REF!,#REF!)</f>
        <v>#REF!</v>
      </c>
      <c r="D452" s="24">
        <v>0</v>
      </c>
      <c r="E452" s="15" t="str">
        <f t="shared" si="89"/>
        <v>шт.</v>
      </c>
      <c r="F452" s="24">
        <f t="shared" si="90"/>
        <v>1</v>
      </c>
      <c r="G452" s="18" t="e">
        <f t="shared" si="91"/>
        <v>#REF!</v>
      </c>
      <c r="H452" s="24">
        <v>0</v>
      </c>
      <c r="I452" s="24">
        <f t="shared" si="92"/>
        <v>0</v>
      </c>
      <c r="J452" s="24">
        <v>0</v>
      </c>
      <c r="K452" s="17"/>
      <c r="L452" s="17"/>
      <c r="M452" s="24">
        <f>D452:D452*1.08</f>
        <v>0</v>
      </c>
      <c r="N452" s="24">
        <f t="shared" si="93"/>
        <v>0</v>
      </c>
      <c r="O452" s="18" t="e">
        <f>N452:N452*F452:F452*#REF!</f>
        <v>#REF!</v>
      </c>
      <c r="P452" s="25"/>
    </row>
    <row r="453" spans="1:16" ht="16.95" hidden="1" customHeight="1">
      <c r="A453" s="19"/>
      <c r="B453" s="12" t="s">
        <v>480</v>
      </c>
      <c r="C453" s="16" t="e">
        <f>IF($C$3=100,#REF!,#REF!)</f>
        <v>#REF!</v>
      </c>
      <c r="D453" s="10">
        <v>0</v>
      </c>
      <c r="E453" s="12" t="str">
        <f t="shared" si="89"/>
        <v>шт.</v>
      </c>
      <c r="F453" s="10">
        <f t="shared" si="90"/>
        <v>1</v>
      </c>
      <c r="G453" s="16" t="e">
        <f t="shared" si="91"/>
        <v>#REF!</v>
      </c>
      <c r="H453" s="10">
        <v>0</v>
      </c>
      <c r="I453" s="10">
        <f t="shared" si="92"/>
        <v>0</v>
      </c>
      <c r="J453" s="10">
        <v>16</v>
      </c>
      <c r="K453" s="9"/>
      <c r="L453" s="9"/>
      <c r="M453" s="10">
        <f>D453:D453*0.45</f>
        <v>0</v>
      </c>
      <c r="N453" s="10">
        <f t="shared" si="93"/>
        <v>0</v>
      </c>
      <c r="O453" s="16" t="e">
        <f>N453:N453*F453:F453*#REF!</f>
        <v>#REF!</v>
      </c>
      <c r="P453" s="21"/>
    </row>
    <row r="454" spans="1:16" ht="16.95" hidden="1" customHeight="1">
      <c r="A454" s="17"/>
      <c r="B454" s="15" t="s">
        <v>481</v>
      </c>
      <c r="C454" s="18" t="e">
        <f>IF($C$3=100,#REF!,#REF!)</f>
        <v>#REF!</v>
      </c>
      <c r="D454" s="24">
        <v>0</v>
      </c>
      <c r="E454" s="15" t="str">
        <f t="shared" si="89"/>
        <v>шт.</v>
      </c>
      <c r="F454" s="24">
        <f t="shared" si="90"/>
        <v>1</v>
      </c>
      <c r="G454" s="18" t="e">
        <f t="shared" si="91"/>
        <v>#REF!</v>
      </c>
      <c r="H454" s="24">
        <v>0</v>
      </c>
      <c r="I454" s="24">
        <f t="shared" si="92"/>
        <v>0</v>
      </c>
      <c r="J454" s="24">
        <v>1</v>
      </c>
      <c r="K454" s="17"/>
      <c r="L454" s="17"/>
      <c r="M454" s="24">
        <f>D454:D454*0.223</f>
        <v>0</v>
      </c>
      <c r="N454" s="24">
        <f t="shared" si="93"/>
        <v>0</v>
      </c>
      <c r="O454" s="18" t="e">
        <f>N454:N454*F454:F454*#REF!</f>
        <v>#REF!</v>
      </c>
      <c r="P454" s="25"/>
    </row>
    <row r="455" spans="1:16" ht="16.95" hidden="1" customHeight="1">
      <c r="A455" s="9"/>
      <c r="B455" s="12" t="s">
        <v>482</v>
      </c>
      <c r="C455" s="16" t="e">
        <f>IF($C$3=100,#REF!,#REF!)</f>
        <v>#REF!</v>
      </c>
      <c r="D455" s="10">
        <v>0</v>
      </c>
      <c r="E455" s="12" t="str">
        <f t="shared" si="89"/>
        <v>шт.</v>
      </c>
      <c r="F455" s="10">
        <f t="shared" si="90"/>
        <v>1</v>
      </c>
      <c r="G455" s="16" t="e">
        <f t="shared" si="91"/>
        <v>#REF!</v>
      </c>
      <c r="H455" s="10">
        <v>0</v>
      </c>
      <c r="I455" s="10">
        <f t="shared" si="92"/>
        <v>0</v>
      </c>
      <c r="J455" s="10">
        <v>1000</v>
      </c>
      <c r="K455" s="9"/>
      <c r="L455" s="9"/>
      <c r="M455" s="12" t="s">
        <v>195</v>
      </c>
      <c r="N455" s="10">
        <f t="shared" si="93"/>
        <v>0</v>
      </c>
      <c r="O455" s="16" t="e">
        <f>N455:N455*F455:F455*#REF!</f>
        <v>#REF!</v>
      </c>
      <c r="P455" s="21"/>
    </row>
    <row r="456" spans="1:16" ht="16.95" hidden="1" customHeight="1">
      <c r="A456" s="17"/>
      <c r="B456" s="15" t="s">
        <v>483</v>
      </c>
      <c r="C456" s="18" t="e">
        <f>IF($C$3=100,#REF!,#REF!)</f>
        <v>#REF!</v>
      </c>
      <c r="D456" s="24">
        <v>0</v>
      </c>
      <c r="E456" s="15" t="str">
        <f t="shared" si="89"/>
        <v>шт.</v>
      </c>
      <c r="F456" s="24">
        <f t="shared" si="90"/>
        <v>1</v>
      </c>
      <c r="G456" s="18" t="e">
        <f t="shared" si="91"/>
        <v>#REF!</v>
      </c>
      <c r="H456" s="24">
        <v>0</v>
      </c>
      <c r="I456" s="24">
        <f t="shared" si="92"/>
        <v>0</v>
      </c>
      <c r="J456" s="24">
        <v>500</v>
      </c>
      <c r="K456" s="17"/>
      <c r="L456" s="17"/>
      <c r="M456" s="17"/>
      <c r="N456" s="24">
        <f t="shared" si="93"/>
        <v>0</v>
      </c>
      <c r="O456" s="18" t="e">
        <f>N456:N456*F456:F456*#REF!</f>
        <v>#REF!</v>
      </c>
      <c r="P456" s="25"/>
    </row>
    <row r="457" spans="1:16" ht="16.95" hidden="1" customHeight="1">
      <c r="A457" s="9"/>
      <c r="B457" s="12" t="s">
        <v>484</v>
      </c>
      <c r="C457" s="16" t="e">
        <f>IF($C$3=100,#REF!,#REF!)</f>
        <v>#REF!</v>
      </c>
      <c r="D457" s="10">
        <v>0</v>
      </c>
      <c r="E457" s="12" t="str">
        <f t="shared" si="89"/>
        <v>шт.</v>
      </c>
      <c r="F457" s="10">
        <f t="shared" si="90"/>
        <v>1</v>
      </c>
      <c r="G457" s="16" t="e">
        <f t="shared" si="91"/>
        <v>#REF!</v>
      </c>
      <c r="H457" s="10">
        <v>0</v>
      </c>
      <c r="I457" s="10">
        <f t="shared" si="92"/>
        <v>0</v>
      </c>
      <c r="J457" s="10">
        <v>4</v>
      </c>
      <c r="K457" s="9"/>
      <c r="L457" s="9"/>
      <c r="M457" s="9"/>
      <c r="N457" s="10">
        <f t="shared" si="93"/>
        <v>0</v>
      </c>
      <c r="O457" s="16" t="e">
        <f>N457:N457*F457:F457*#REF!</f>
        <v>#REF!</v>
      </c>
      <c r="P457" s="21"/>
    </row>
    <row r="458" spans="1:16" ht="16.95" hidden="1" customHeight="1">
      <c r="A458" s="17"/>
      <c r="B458" s="15" t="s">
        <v>485</v>
      </c>
      <c r="C458" s="18" t="e">
        <f>IF($C$3=100,#REF!,#REF!)</f>
        <v>#REF!</v>
      </c>
      <c r="D458" s="24">
        <v>0</v>
      </c>
      <c r="E458" s="15" t="str">
        <f t="shared" si="89"/>
        <v>шт.</v>
      </c>
      <c r="F458" s="24">
        <f t="shared" si="90"/>
        <v>1</v>
      </c>
      <c r="G458" s="18" t="e">
        <f t="shared" si="91"/>
        <v>#REF!</v>
      </c>
      <c r="H458" s="24">
        <v>0</v>
      </c>
      <c r="I458" s="24">
        <f t="shared" si="92"/>
        <v>0</v>
      </c>
      <c r="J458" s="24">
        <v>4</v>
      </c>
      <c r="K458" s="17"/>
      <c r="L458" s="17"/>
      <c r="M458" s="17"/>
      <c r="N458" s="24">
        <f t="shared" si="93"/>
        <v>0</v>
      </c>
      <c r="O458" s="18" t="e">
        <f>N458:N458*F458:F458*#REF!</f>
        <v>#REF!</v>
      </c>
      <c r="P458" s="25"/>
    </row>
    <row r="459" spans="1:16" ht="16.95" hidden="1" customHeight="1">
      <c r="A459" s="19"/>
      <c r="B459" s="12" t="s">
        <v>486</v>
      </c>
      <c r="C459" s="16" t="e">
        <f>IF($C$3=100,#REF!,#REF!)</f>
        <v>#REF!</v>
      </c>
      <c r="D459" s="10">
        <v>0</v>
      </c>
      <c r="E459" s="12" t="str">
        <f t="shared" si="89"/>
        <v>шт.</v>
      </c>
      <c r="F459" s="10">
        <f t="shared" si="90"/>
        <v>1</v>
      </c>
      <c r="G459" s="16" t="e">
        <f t="shared" si="91"/>
        <v>#REF!</v>
      </c>
      <c r="H459" s="10">
        <v>0</v>
      </c>
      <c r="I459" s="10">
        <f t="shared" si="92"/>
        <v>0</v>
      </c>
      <c r="J459" s="10">
        <v>2</v>
      </c>
      <c r="K459" s="9"/>
      <c r="L459" s="9"/>
      <c r="M459" s="10">
        <f>D459:D459*0.141</f>
        <v>0</v>
      </c>
      <c r="N459" s="10">
        <f t="shared" si="93"/>
        <v>0</v>
      </c>
      <c r="O459" s="16" t="e">
        <f>N459:N459*F459:F459*#REF!</f>
        <v>#REF!</v>
      </c>
      <c r="P459" s="21"/>
    </row>
    <row r="460" spans="1:16" ht="16.95" hidden="1" customHeight="1">
      <c r="A460" s="22"/>
      <c r="B460" s="15" t="s">
        <v>487</v>
      </c>
      <c r="C460" s="18" t="e">
        <f>IF($C$3=100,#REF!,#REF!)</f>
        <v>#REF!</v>
      </c>
      <c r="D460" s="24">
        <v>0</v>
      </c>
      <c r="E460" s="15" t="str">
        <f t="shared" si="89"/>
        <v>шт.</v>
      </c>
      <c r="F460" s="24">
        <f t="shared" si="90"/>
        <v>1</v>
      </c>
      <c r="G460" s="18" t="e">
        <f t="shared" si="91"/>
        <v>#REF!</v>
      </c>
      <c r="H460" s="24">
        <v>0</v>
      </c>
      <c r="I460" s="24">
        <f t="shared" si="92"/>
        <v>0</v>
      </c>
      <c r="J460" s="24">
        <v>15</v>
      </c>
      <c r="K460" s="17"/>
      <c r="L460" s="17"/>
      <c r="M460" s="24">
        <f>D460:D460*0.0162</f>
        <v>0</v>
      </c>
      <c r="N460" s="24">
        <f t="shared" si="93"/>
        <v>0</v>
      </c>
      <c r="O460" s="18" t="e">
        <f>N460:N460*F460:F460*#REF!</f>
        <v>#REF!</v>
      </c>
      <c r="P460" s="25"/>
    </row>
    <row r="461" spans="1:16" ht="16.95" hidden="1" customHeight="1">
      <c r="A461" s="19"/>
      <c r="B461" s="12" t="s">
        <v>488</v>
      </c>
      <c r="C461" s="16" t="e">
        <f>IF($C$3=100,#REF!,#REF!)</f>
        <v>#REF!</v>
      </c>
      <c r="D461" s="10">
        <v>0</v>
      </c>
      <c r="E461" s="12" t="str">
        <f t="shared" si="89"/>
        <v>шт.</v>
      </c>
      <c r="F461" s="10">
        <f t="shared" si="90"/>
        <v>1</v>
      </c>
      <c r="G461" s="16" t="e">
        <f t="shared" si="91"/>
        <v>#REF!</v>
      </c>
      <c r="H461" s="10">
        <v>0</v>
      </c>
      <c r="I461" s="10">
        <f t="shared" si="92"/>
        <v>0</v>
      </c>
      <c r="J461" s="10">
        <v>0</v>
      </c>
      <c r="K461" s="9"/>
      <c r="L461" s="9"/>
      <c r="M461" s="9"/>
      <c r="N461" s="10">
        <f t="shared" si="93"/>
        <v>0</v>
      </c>
      <c r="O461" s="16" t="e">
        <f>N461:N461*F461:F461*#REF!</f>
        <v>#REF!</v>
      </c>
      <c r="P461" s="21"/>
    </row>
    <row r="462" spans="1:16" ht="16.95" hidden="1" customHeight="1">
      <c r="A462" s="22"/>
      <c r="B462" s="15" t="s">
        <v>489</v>
      </c>
      <c r="C462" s="18" t="e">
        <f>IF($C$3=100,#REF!,#REF!)</f>
        <v>#REF!</v>
      </c>
      <c r="D462" s="24">
        <v>0</v>
      </c>
      <c r="E462" s="15" t="str">
        <f t="shared" si="89"/>
        <v>шт.</v>
      </c>
      <c r="F462" s="24">
        <f t="shared" si="90"/>
        <v>1</v>
      </c>
      <c r="G462" s="18" t="e">
        <f t="shared" si="91"/>
        <v>#REF!</v>
      </c>
      <c r="H462" s="24">
        <v>0</v>
      </c>
      <c r="I462" s="24">
        <f t="shared" si="92"/>
        <v>0</v>
      </c>
      <c r="J462" s="24">
        <v>0</v>
      </c>
      <c r="K462" s="17"/>
      <c r="L462" s="17"/>
      <c r="M462" s="17"/>
      <c r="N462" s="24">
        <f t="shared" si="93"/>
        <v>0</v>
      </c>
      <c r="O462" s="18" t="e">
        <f>N462:N462*F462:F462*#REF!</f>
        <v>#REF!</v>
      </c>
      <c r="P462" s="25"/>
    </row>
    <row r="463" spans="1:16" ht="16.95" hidden="1" customHeight="1">
      <c r="A463" s="19"/>
      <c r="B463" s="12" t="s">
        <v>490</v>
      </c>
      <c r="C463" s="16" t="e">
        <f>IF($C$3=100,#REF!,#REF!)</f>
        <v>#REF!</v>
      </c>
      <c r="D463" s="10">
        <v>0</v>
      </c>
      <c r="E463" s="12" t="str">
        <f t="shared" si="89"/>
        <v>шт.</v>
      </c>
      <c r="F463" s="10">
        <f t="shared" si="90"/>
        <v>1</v>
      </c>
      <c r="G463" s="16" t="e">
        <f t="shared" si="91"/>
        <v>#REF!</v>
      </c>
      <c r="H463" s="10">
        <v>0</v>
      </c>
      <c r="I463" s="10">
        <f t="shared" si="92"/>
        <v>0</v>
      </c>
      <c r="J463" s="10">
        <v>2</v>
      </c>
      <c r="K463" s="9"/>
      <c r="L463" s="9"/>
      <c r="M463" s="10">
        <f>D463:D463*0.0784</f>
        <v>0</v>
      </c>
      <c r="N463" s="10">
        <f t="shared" si="93"/>
        <v>0</v>
      </c>
      <c r="O463" s="16" t="e">
        <f>N463:N463*F463:F463*#REF!</f>
        <v>#REF!</v>
      </c>
      <c r="P463" s="21"/>
    </row>
    <row r="464" spans="1:16" ht="16.95" hidden="1" customHeight="1">
      <c r="A464" s="17"/>
      <c r="B464" s="15" t="s">
        <v>491</v>
      </c>
      <c r="C464" s="18" t="e">
        <f>IF($C$3=100,#REF!,#REF!)</f>
        <v>#REF!</v>
      </c>
      <c r="D464" s="24">
        <v>0</v>
      </c>
      <c r="E464" s="15" t="str">
        <f t="shared" si="89"/>
        <v>шт.</v>
      </c>
      <c r="F464" s="24">
        <f t="shared" si="90"/>
        <v>1</v>
      </c>
      <c r="G464" s="18" t="e">
        <f t="shared" si="91"/>
        <v>#REF!</v>
      </c>
      <c r="H464" s="24">
        <v>0</v>
      </c>
      <c r="I464" s="24">
        <f t="shared" si="92"/>
        <v>0</v>
      </c>
      <c r="J464" s="24">
        <v>20</v>
      </c>
      <c r="K464" s="17"/>
      <c r="L464" s="17"/>
      <c r="M464" s="24">
        <f>D464:D464*0.112</f>
        <v>0</v>
      </c>
      <c r="N464" s="24">
        <f t="shared" si="93"/>
        <v>0</v>
      </c>
      <c r="O464" s="18" t="e">
        <f>N464:N464*F464:F464*#REF!</f>
        <v>#REF!</v>
      </c>
      <c r="P464" s="25"/>
    </row>
    <row r="465" spans="1:16" ht="16.05" hidden="1" customHeight="1">
      <c r="A465" s="9"/>
      <c r="B465" s="9"/>
      <c r="C465" s="16"/>
      <c r="D465" s="9"/>
      <c r="E465" s="9"/>
      <c r="F465" s="9"/>
      <c r="G465" s="16" t="e">
        <f>SUM(G450:G464)</f>
        <v>#REF!</v>
      </c>
      <c r="H465" s="9"/>
      <c r="I465" s="10">
        <f t="shared" si="92"/>
        <v>0</v>
      </c>
      <c r="J465" s="9"/>
      <c r="K465" s="9"/>
      <c r="L465" s="9"/>
      <c r="M465" s="10">
        <f>SUM(M450:M464)</f>
        <v>0</v>
      </c>
      <c r="N465" s="9"/>
      <c r="O465" s="16" t="e">
        <f>SUM(O450:O464)</f>
        <v>#REF!</v>
      </c>
      <c r="P465" s="21"/>
    </row>
    <row r="466" spans="1:16" ht="16.05" hidden="1" customHeight="1">
      <c r="A466" s="22"/>
      <c r="B466" s="22"/>
      <c r="C466" s="18"/>
      <c r="D466" s="17"/>
      <c r="E466" s="17"/>
      <c r="F466" s="17"/>
      <c r="G466" s="29"/>
      <c r="H466" s="17"/>
      <c r="I466" s="17"/>
      <c r="J466" s="17"/>
      <c r="K466" s="17"/>
      <c r="L466" s="17"/>
      <c r="M466" s="17"/>
      <c r="N466" s="17"/>
      <c r="O466" s="18"/>
      <c r="P466" s="25"/>
    </row>
    <row r="467" spans="1:16" ht="16.95" hidden="1" customHeight="1">
      <c r="A467" s="12" t="str">
        <f>IF($B$3=1,"Шатры и ограждения","Tents and fences")</f>
        <v>Шатры и ограждения</v>
      </c>
      <c r="B467" s="19"/>
      <c r="C467" s="16"/>
      <c r="D467" s="9"/>
      <c r="E467" s="9"/>
      <c r="F467" s="9"/>
      <c r="G467" s="28"/>
      <c r="H467" s="9"/>
      <c r="I467" s="10">
        <f t="shared" ref="I467:I473" si="94">H467*D467</f>
        <v>0</v>
      </c>
      <c r="J467" s="9"/>
      <c r="K467" s="9"/>
      <c r="L467" s="9"/>
      <c r="M467" s="9"/>
      <c r="N467" s="9"/>
      <c r="O467" s="16"/>
      <c r="P467" s="21"/>
    </row>
    <row r="468" spans="1:16" ht="16.95" hidden="1" customHeight="1">
      <c r="A468" s="17"/>
      <c r="B468" s="15" t="s">
        <v>492</v>
      </c>
      <c r="C468" s="18" t="e">
        <f>IF($C$3=100,#REF!,#REF!)</f>
        <v>#REF!</v>
      </c>
      <c r="D468" s="24">
        <v>0</v>
      </c>
      <c r="E468" s="15" t="str">
        <f>IF($B$3=1,"шт.","pcs")</f>
        <v>шт.</v>
      </c>
      <c r="F468" s="24">
        <f>1+($F$3-1)/2</f>
        <v>1</v>
      </c>
      <c r="G468" s="18" t="e">
        <f>C468*D468*F468</f>
        <v>#REF!</v>
      </c>
      <c r="H468" s="17"/>
      <c r="I468" s="24">
        <f t="shared" si="94"/>
        <v>0</v>
      </c>
      <c r="J468" s="24">
        <v>0</v>
      </c>
      <c r="K468" s="24">
        <v>90</v>
      </c>
      <c r="L468" s="24">
        <f>D468:D468*K468:K468</f>
        <v>0</v>
      </c>
      <c r="M468" s="24">
        <f>D468:D468*0.328</f>
        <v>0</v>
      </c>
      <c r="N468" s="24">
        <f>IF(D468:D468=0,0,IF(J468:J468=0,0,IF(D468:D468&lt;J468:J468,D468:D468,J468:J468)))</f>
        <v>0</v>
      </c>
      <c r="O468" s="18" t="e">
        <f>N468:N468*F468:F468*#REF!</f>
        <v>#REF!</v>
      </c>
      <c r="P468" s="25"/>
    </row>
    <row r="469" spans="1:16" ht="16.95" hidden="1" customHeight="1">
      <c r="A469" s="19"/>
      <c r="B469" s="12" t="s">
        <v>493</v>
      </c>
      <c r="C469" s="16" t="e">
        <f>IF($C$3=100,#REF!,#REF!)</f>
        <v>#REF!</v>
      </c>
      <c r="D469" s="10">
        <v>0</v>
      </c>
      <c r="E469" s="12" t="str">
        <f>IF($B$3=1,"шт.","pcs")</f>
        <v>шт.</v>
      </c>
      <c r="F469" s="10">
        <f>1+($F$3-1)/2</f>
        <v>1</v>
      </c>
      <c r="G469" s="16" t="e">
        <f>C469*D469*F469</f>
        <v>#REF!</v>
      </c>
      <c r="H469" s="9"/>
      <c r="I469" s="10">
        <f t="shared" si="94"/>
        <v>0</v>
      </c>
      <c r="J469" s="10">
        <v>0</v>
      </c>
      <c r="K469" s="10">
        <v>40</v>
      </c>
      <c r="L469" s="10">
        <f>D469:D469*K469:K469</f>
        <v>0</v>
      </c>
      <c r="M469" s="10">
        <f>D469:D469*0.492</f>
        <v>0</v>
      </c>
      <c r="N469" s="10">
        <f>IF(D469:D469=0,0,IF(J469:J469=0,0,IF(D469:D469&lt;J469:J469,D469:D469,J469:J469)))</f>
        <v>0</v>
      </c>
      <c r="O469" s="16" t="e">
        <f>N469:N469*F469:F469*#REF!</f>
        <v>#REF!</v>
      </c>
      <c r="P469" s="21"/>
    </row>
    <row r="470" spans="1:16" ht="16.95" hidden="1" customHeight="1">
      <c r="A470" s="22"/>
      <c r="B470" s="15" t="s">
        <v>494</v>
      </c>
      <c r="C470" s="18" t="e">
        <f>IF($C$3=100,#REF!,#REF!)</f>
        <v>#REF!</v>
      </c>
      <c r="D470" s="24">
        <v>0</v>
      </c>
      <c r="E470" s="15" t="str">
        <f>IF($B$3=1,"шт.","pcs")</f>
        <v>шт.</v>
      </c>
      <c r="F470" s="24">
        <f>1+($F$3-1)/2</f>
        <v>1</v>
      </c>
      <c r="G470" s="18" t="e">
        <f>C470*D470*F470</f>
        <v>#REF!</v>
      </c>
      <c r="H470" s="17"/>
      <c r="I470" s="24">
        <f t="shared" si="94"/>
        <v>0</v>
      </c>
      <c r="J470" s="24">
        <v>0</v>
      </c>
      <c r="K470" s="24">
        <v>21</v>
      </c>
      <c r="L470" s="24">
        <f>D470:D470*K470:K470</f>
        <v>0</v>
      </c>
      <c r="M470" s="24">
        <f>D470:D470*0.138</f>
        <v>0</v>
      </c>
      <c r="N470" s="24">
        <f>IF(D470:D470=0,0,IF(J470:J470=0,0,IF(D470:D470&lt;J470:J470,D470:D470,J470:J470)))</f>
        <v>0</v>
      </c>
      <c r="O470" s="18" t="e">
        <f>N470:N470*F470:F470*#REF!</f>
        <v>#REF!</v>
      </c>
      <c r="P470" s="25"/>
    </row>
    <row r="471" spans="1:16" ht="16.95" hidden="1" customHeight="1">
      <c r="A471" s="19"/>
      <c r="B471" s="12" t="s">
        <v>495</v>
      </c>
      <c r="C471" s="16" t="e">
        <f>IF($C$3=100,#REF!,#REF!)</f>
        <v>#REF!</v>
      </c>
      <c r="D471" s="10">
        <v>0</v>
      </c>
      <c r="E471" s="12" t="str">
        <f>IF($B$3=1,"шт.","pcs")</f>
        <v>шт.</v>
      </c>
      <c r="F471" s="10">
        <f>1+($F$3-1)/2</f>
        <v>1</v>
      </c>
      <c r="G471" s="16" t="e">
        <f>C471*D471*F471</f>
        <v>#REF!</v>
      </c>
      <c r="H471" s="9"/>
      <c r="I471" s="10">
        <f t="shared" si="94"/>
        <v>0</v>
      </c>
      <c r="J471" s="10">
        <v>0</v>
      </c>
      <c r="K471" s="10">
        <v>23.5</v>
      </c>
      <c r="L471" s="10">
        <f>D471:D471*K471:K471</f>
        <v>0</v>
      </c>
      <c r="M471" s="10">
        <f>D471:D471*0.35</f>
        <v>0</v>
      </c>
      <c r="N471" s="10">
        <f>IF(D471:D471=0,0,IF(J471:J471=0,0,IF(D471:D471&lt;J471:J471,D471:D471,J471:J471)))</f>
        <v>0</v>
      </c>
      <c r="O471" s="16" t="e">
        <f>N471:N471*F471:F471*#REF!</f>
        <v>#REF!</v>
      </c>
      <c r="P471" s="21"/>
    </row>
    <row r="472" spans="1:16" ht="16.95" hidden="1" customHeight="1">
      <c r="A472" s="22"/>
      <c r="B472" s="15" t="s">
        <v>496</v>
      </c>
      <c r="C472" s="18" t="e">
        <f>IF($C$3=100,#REF!,#REF!)</f>
        <v>#REF!</v>
      </c>
      <c r="D472" s="24">
        <v>0</v>
      </c>
      <c r="E472" s="15" t="str">
        <f>IF($B$3=1,"шт.","pcs")</f>
        <v>шт.</v>
      </c>
      <c r="F472" s="24">
        <f>1+($F$3-1)/2</f>
        <v>1</v>
      </c>
      <c r="G472" s="18" t="e">
        <f>C472*D472*F472</f>
        <v>#REF!</v>
      </c>
      <c r="H472" s="17"/>
      <c r="I472" s="24">
        <f t="shared" si="94"/>
        <v>0</v>
      </c>
      <c r="J472" s="24">
        <v>0</v>
      </c>
      <c r="K472" s="24">
        <v>65</v>
      </c>
      <c r="L472" s="24">
        <f>D472:D472*K472:K472</f>
        <v>0</v>
      </c>
      <c r="M472" s="24">
        <f>D472:D472*1.55</f>
        <v>0</v>
      </c>
      <c r="N472" s="24">
        <f>IF(D472:D472=0,0,IF(J472:J472=0,0,IF(D472:D472&lt;J472:J472,D472:D472,J472:J472)))</f>
        <v>0</v>
      </c>
      <c r="O472" s="18" t="e">
        <f>N472:N472*F472:F472*#REF!</f>
        <v>#REF!</v>
      </c>
      <c r="P472" s="25"/>
    </row>
    <row r="473" spans="1:16" ht="16.05" hidden="1" customHeight="1">
      <c r="A473" s="9"/>
      <c r="B473" s="9"/>
      <c r="C473" s="16"/>
      <c r="D473" s="9"/>
      <c r="E473" s="9"/>
      <c r="F473" s="9"/>
      <c r="G473" s="16" t="e">
        <f>SUM(G467:G472)</f>
        <v>#REF!</v>
      </c>
      <c r="H473" s="9"/>
      <c r="I473" s="10">
        <f t="shared" si="94"/>
        <v>0</v>
      </c>
      <c r="J473" s="9"/>
      <c r="K473" s="9"/>
      <c r="L473" s="10">
        <f>SUM(L468:L472)</f>
        <v>0</v>
      </c>
      <c r="M473" s="10">
        <f>SUM(M468:M472)</f>
        <v>0</v>
      </c>
      <c r="N473" s="9"/>
      <c r="O473" s="16" t="e">
        <f>SUM(O467:O472)</f>
        <v>#REF!</v>
      </c>
      <c r="P473" s="21"/>
    </row>
    <row r="474" spans="1:16" ht="16.05" hidden="1" customHeight="1">
      <c r="A474" s="22"/>
      <c r="B474" s="22"/>
      <c r="C474" s="18"/>
      <c r="D474" s="17"/>
      <c r="E474" s="17"/>
      <c r="F474" s="17"/>
      <c r="G474" s="29"/>
      <c r="H474" s="17"/>
      <c r="I474" s="17"/>
      <c r="J474" s="17"/>
      <c r="K474" s="17"/>
      <c r="L474" s="17"/>
      <c r="M474" s="17"/>
      <c r="N474" s="17"/>
      <c r="O474" s="18"/>
      <c r="P474" s="25"/>
    </row>
    <row r="475" spans="1:16" ht="16.95" customHeight="1">
      <c r="A475" s="3" t="str">
        <f>IF($B$3=1,"Затратная часть","Costs")</f>
        <v>Затратная часть</v>
      </c>
      <c r="B475" s="7"/>
      <c r="C475" s="7"/>
      <c r="D475" s="7"/>
      <c r="E475" s="7"/>
      <c r="F475" s="7"/>
      <c r="G475" s="7"/>
      <c r="H475" s="9"/>
      <c r="I475" s="9"/>
      <c r="J475" s="9"/>
      <c r="K475" s="9"/>
      <c r="L475" s="9"/>
      <c r="M475" s="9"/>
      <c r="N475" s="9"/>
      <c r="O475" s="16"/>
      <c r="P475" s="7"/>
    </row>
    <row r="476" spans="1:16" ht="16.95" customHeight="1">
      <c r="A476" s="14" t="str">
        <f>IF($B$3=1,"Оформление","Decor")</f>
        <v>Оформление</v>
      </c>
      <c r="B476" s="14" t="s">
        <v>498</v>
      </c>
      <c r="C476" s="13"/>
      <c r="D476" s="13"/>
      <c r="E476" s="13"/>
      <c r="F476" s="13"/>
      <c r="G476" s="13"/>
      <c r="H476" s="17"/>
      <c r="I476" s="17"/>
      <c r="J476" s="17"/>
      <c r="K476" s="17"/>
      <c r="L476" s="17"/>
      <c r="M476" s="17"/>
      <c r="N476" s="17"/>
      <c r="O476" s="17"/>
      <c r="P476" s="13"/>
    </row>
    <row r="477" spans="1:16" ht="16.95" hidden="1" customHeight="1">
      <c r="A477" s="19"/>
      <c r="B477" s="12" t="s">
        <v>497</v>
      </c>
      <c r="C477" s="34" t="e">
        <f>IF($C$3=100,#REF!,#REF!)</f>
        <v>#REF!</v>
      </c>
      <c r="D477" s="10">
        <v>0</v>
      </c>
      <c r="E477" s="12" t="str">
        <f>IF($B$3=1,"усл","pcs")</f>
        <v>усл</v>
      </c>
      <c r="F477" s="19">
        <v>1</v>
      </c>
      <c r="G477" s="34" t="e">
        <f t="shared" ref="G477:G492" si="95">C477*D477*F477</f>
        <v>#REF!</v>
      </c>
      <c r="H477" s="9"/>
      <c r="I477" s="10">
        <v>0</v>
      </c>
      <c r="J477" s="10">
        <v>0</v>
      </c>
      <c r="K477" s="9"/>
      <c r="L477" s="9"/>
      <c r="M477" s="9"/>
      <c r="N477" s="9"/>
      <c r="O477" s="9"/>
      <c r="P477" s="21"/>
    </row>
    <row r="478" spans="1:16" ht="16.95" customHeight="1">
      <c r="A478" s="13"/>
      <c r="B478" s="14" t="s">
        <v>499</v>
      </c>
      <c r="C478" s="26">
        <v>390</v>
      </c>
      <c r="D478" s="26">
        <v>50</v>
      </c>
      <c r="E478" s="14" t="str">
        <f>IF($B$3=1,"м²","sq. m.")</f>
        <v>м²</v>
      </c>
      <c r="F478" s="26">
        <v>1</v>
      </c>
      <c r="G478" s="26">
        <f t="shared" si="95"/>
        <v>19500</v>
      </c>
      <c r="H478" s="17"/>
      <c r="I478" s="24">
        <f t="shared" ref="I478:I483" si="96">H478*D478</f>
        <v>0</v>
      </c>
      <c r="J478" s="24">
        <v>0</v>
      </c>
      <c r="K478" s="17"/>
      <c r="L478" s="17"/>
      <c r="M478" s="17"/>
      <c r="N478" s="17"/>
      <c r="O478" s="17"/>
      <c r="P478" s="14" t="s">
        <v>26</v>
      </c>
    </row>
    <row r="479" spans="1:16" ht="16.95" hidden="1" customHeight="1">
      <c r="A479" s="9"/>
      <c r="B479" s="12" t="s">
        <v>500</v>
      </c>
      <c r="C479" s="34">
        <v>380</v>
      </c>
      <c r="D479" s="10">
        <v>0</v>
      </c>
      <c r="E479" s="12" t="str">
        <f>IF($B$3=1,"п.м.","l.m.")</f>
        <v>п.м.</v>
      </c>
      <c r="F479" s="10">
        <v>1</v>
      </c>
      <c r="G479" s="34">
        <f t="shared" si="95"/>
        <v>0</v>
      </c>
      <c r="H479" s="9"/>
      <c r="I479" s="10">
        <f t="shared" si="96"/>
        <v>0</v>
      </c>
      <c r="J479" s="10">
        <v>0</v>
      </c>
      <c r="K479" s="9"/>
      <c r="L479" s="9"/>
      <c r="M479" s="9"/>
      <c r="N479" s="9"/>
      <c r="O479" s="9"/>
      <c r="P479" s="21"/>
    </row>
    <row r="480" spans="1:16" ht="16.95" hidden="1" customHeight="1">
      <c r="A480" s="17"/>
      <c r="B480" s="15" t="s">
        <v>501</v>
      </c>
      <c r="C480" s="35" t="e">
        <f>IF($C$3=100,#REF!,#REF!)</f>
        <v>#REF!</v>
      </c>
      <c r="D480" s="24">
        <v>0</v>
      </c>
      <c r="E480" s="15" t="str">
        <f t="shared" ref="E480:E489" si="97">IF($B$3=1,"м²","sq. m.")</f>
        <v>м²</v>
      </c>
      <c r="F480" s="24">
        <v>1</v>
      </c>
      <c r="G480" s="35" t="e">
        <f t="shared" si="95"/>
        <v>#REF!</v>
      </c>
      <c r="H480" s="17"/>
      <c r="I480" s="24">
        <f t="shared" si="96"/>
        <v>0</v>
      </c>
      <c r="J480" s="24">
        <v>0</v>
      </c>
      <c r="K480" s="17"/>
      <c r="L480" s="17"/>
      <c r="M480" s="17"/>
      <c r="N480" s="17"/>
      <c r="O480" s="17"/>
      <c r="P480" s="25"/>
    </row>
    <row r="481" spans="1:16" ht="16.95" customHeight="1">
      <c r="A481" s="7"/>
      <c r="B481" s="3" t="s">
        <v>502</v>
      </c>
      <c r="C481" s="5">
        <v>490</v>
      </c>
      <c r="D481" s="5">
        <v>352</v>
      </c>
      <c r="E481" s="3" t="str">
        <f t="shared" si="97"/>
        <v>м²</v>
      </c>
      <c r="F481" s="5">
        <v>1</v>
      </c>
      <c r="G481" s="5">
        <f t="shared" si="95"/>
        <v>172480</v>
      </c>
      <c r="H481" s="9"/>
      <c r="I481" s="10">
        <f t="shared" si="96"/>
        <v>0</v>
      </c>
      <c r="J481" s="10">
        <v>0</v>
      </c>
      <c r="K481" s="9"/>
      <c r="L481" s="9"/>
      <c r="M481" s="9"/>
      <c r="N481" s="9"/>
      <c r="O481" s="9"/>
      <c r="P481" s="3" t="s">
        <v>503</v>
      </c>
    </row>
    <row r="482" spans="1:16" ht="16.95" hidden="1" customHeight="1">
      <c r="A482" s="22"/>
      <c r="B482" s="15" t="s">
        <v>504</v>
      </c>
      <c r="C482" s="35">
        <v>500</v>
      </c>
      <c r="D482" s="24">
        <v>0</v>
      </c>
      <c r="E482" s="15" t="str">
        <f t="shared" si="97"/>
        <v>м²</v>
      </c>
      <c r="F482" s="24">
        <v>1</v>
      </c>
      <c r="G482" s="35">
        <f t="shared" si="95"/>
        <v>0</v>
      </c>
      <c r="H482" s="17"/>
      <c r="I482" s="24">
        <f t="shared" si="96"/>
        <v>0</v>
      </c>
      <c r="J482" s="24">
        <v>0</v>
      </c>
      <c r="K482" s="17"/>
      <c r="L482" s="17"/>
      <c r="M482" s="17"/>
      <c r="N482" s="17"/>
      <c r="O482" s="17"/>
      <c r="P482" s="25"/>
    </row>
    <row r="483" spans="1:16" ht="34.049999999999997" hidden="1" customHeight="1">
      <c r="A483" s="19"/>
      <c r="B483" s="12" t="s">
        <v>505</v>
      </c>
      <c r="C483" s="34">
        <v>600</v>
      </c>
      <c r="D483" s="10">
        <v>0</v>
      </c>
      <c r="E483" s="12" t="str">
        <f t="shared" si="97"/>
        <v>м²</v>
      </c>
      <c r="F483" s="10">
        <v>1</v>
      </c>
      <c r="G483" s="34">
        <f t="shared" si="95"/>
        <v>0</v>
      </c>
      <c r="H483" s="9"/>
      <c r="I483" s="10">
        <f t="shared" si="96"/>
        <v>0</v>
      </c>
      <c r="J483" s="10">
        <v>0</v>
      </c>
      <c r="K483" s="9"/>
      <c r="L483" s="9"/>
      <c r="M483" s="9"/>
      <c r="N483" s="9"/>
      <c r="O483" s="9"/>
      <c r="P483" s="21"/>
    </row>
    <row r="484" spans="1:16" ht="16.95" customHeight="1">
      <c r="A484" s="13"/>
      <c r="B484" s="14" t="s">
        <v>506</v>
      </c>
      <c r="C484" s="26">
        <v>900</v>
      </c>
      <c r="D484" s="26">
        <v>24</v>
      </c>
      <c r="E484" s="14" t="str">
        <f t="shared" si="97"/>
        <v>м²</v>
      </c>
      <c r="F484" s="26">
        <v>1</v>
      </c>
      <c r="G484" s="26">
        <f t="shared" si="95"/>
        <v>21600</v>
      </c>
      <c r="H484" s="17"/>
      <c r="I484" s="17"/>
      <c r="J484" s="24">
        <v>0</v>
      </c>
      <c r="K484" s="17"/>
      <c r="L484" s="17"/>
      <c r="M484" s="17"/>
      <c r="N484" s="17"/>
      <c r="O484" s="17"/>
      <c r="P484" s="14" t="s">
        <v>507</v>
      </c>
    </row>
    <row r="485" spans="1:16" ht="16.95" hidden="1" customHeight="1">
      <c r="A485" s="19"/>
      <c r="B485" s="12" t="s">
        <v>508</v>
      </c>
      <c r="C485" s="34">
        <v>950</v>
      </c>
      <c r="D485" s="10">
        <v>0</v>
      </c>
      <c r="E485" s="12" t="str">
        <f t="shared" si="97"/>
        <v>м²</v>
      </c>
      <c r="F485" s="10">
        <v>1</v>
      </c>
      <c r="G485" s="34">
        <f t="shared" si="95"/>
        <v>0</v>
      </c>
      <c r="H485" s="9"/>
      <c r="I485" s="10">
        <f t="shared" ref="I485:I493" si="98">H485*D485</f>
        <v>0</v>
      </c>
      <c r="J485" s="10">
        <v>0</v>
      </c>
      <c r="K485" s="9"/>
      <c r="L485" s="9"/>
      <c r="M485" s="9"/>
      <c r="N485" s="9"/>
      <c r="O485" s="9"/>
      <c r="P485" s="21"/>
    </row>
    <row r="486" spans="1:16" ht="16.95" hidden="1" customHeight="1">
      <c r="A486" s="22"/>
      <c r="B486" s="15" t="s">
        <v>509</v>
      </c>
      <c r="C486" s="35">
        <v>750</v>
      </c>
      <c r="D486" s="24">
        <v>0</v>
      </c>
      <c r="E486" s="15" t="str">
        <f t="shared" si="97"/>
        <v>м²</v>
      </c>
      <c r="F486" s="24">
        <v>1</v>
      </c>
      <c r="G486" s="35">
        <f t="shared" si="95"/>
        <v>0</v>
      </c>
      <c r="H486" s="17"/>
      <c r="I486" s="24">
        <f t="shared" si="98"/>
        <v>0</v>
      </c>
      <c r="J486" s="24">
        <v>0</v>
      </c>
      <c r="K486" s="17"/>
      <c r="L486" s="17"/>
      <c r="M486" s="17"/>
      <c r="N486" s="17"/>
      <c r="O486" s="17"/>
      <c r="P486" s="25"/>
    </row>
    <row r="487" spans="1:16" ht="16.95" hidden="1" customHeight="1">
      <c r="A487" s="19"/>
      <c r="B487" s="12" t="s">
        <v>510</v>
      </c>
      <c r="C487" s="34">
        <v>750</v>
      </c>
      <c r="D487" s="10">
        <v>0</v>
      </c>
      <c r="E487" s="12" t="str">
        <f t="shared" si="97"/>
        <v>м²</v>
      </c>
      <c r="F487" s="10">
        <v>1</v>
      </c>
      <c r="G487" s="34">
        <f t="shared" si="95"/>
        <v>0</v>
      </c>
      <c r="H487" s="9"/>
      <c r="I487" s="10">
        <f t="shared" si="98"/>
        <v>0</v>
      </c>
      <c r="J487" s="10">
        <v>0</v>
      </c>
      <c r="K487" s="9"/>
      <c r="L487" s="9"/>
      <c r="M487" s="9"/>
      <c r="N487" s="9"/>
      <c r="O487" s="9"/>
      <c r="P487" s="21"/>
    </row>
    <row r="488" spans="1:16" ht="16.95" hidden="1" customHeight="1">
      <c r="A488" s="22"/>
      <c r="B488" s="15" t="s">
        <v>511</v>
      </c>
      <c r="C488" s="35">
        <v>1900</v>
      </c>
      <c r="D488" s="24">
        <v>0</v>
      </c>
      <c r="E488" s="15" t="str">
        <f t="shared" si="97"/>
        <v>м²</v>
      </c>
      <c r="F488" s="24">
        <v>1</v>
      </c>
      <c r="G488" s="35">
        <f t="shared" si="95"/>
        <v>0</v>
      </c>
      <c r="H488" s="17"/>
      <c r="I488" s="24">
        <f t="shared" si="98"/>
        <v>0</v>
      </c>
      <c r="J488" s="24">
        <v>0</v>
      </c>
      <c r="K488" s="17"/>
      <c r="L488" s="17"/>
      <c r="M488" s="17"/>
      <c r="N488" s="17"/>
      <c r="O488" s="17"/>
      <c r="P488" s="25"/>
    </row>
    <row r="489" spans="1:16" ht="16.95" hidden="1" customHeight="1">
      <c r="A489" s="19"/>
      <c r="B489" s="12" t="s">
        <v>512</v>
      </c>
      <c r="C489" s="34">
        <v>2100</v>
      </c>
      <c r="D489" s="10">
        <v>0</v>
      </c>
      <c r="E489" s="12" t="str">
        <f t="shared" si="97"/>
        <v>м²</v>
      </c>
      <c r="F489" s="10">
        <v>1</v>
      </c>
      <c r="G489" s="34">
        <f t="shared" si="95"/>
        <v>0</v>
      </c>
      <c r="H489" s="9"/>
      <c r="I489" s="10">
        <f t="shared" si="98"/>
        <v>0</v>
      </c>
      <c r="J489" s="10">
        <v>0</v>
      </c>
      <c r="K489" s="9"/>
      <c r="L489" s="9"/>
      <c r="M489" s="9"/>
      <c r="N489" s="9"/>
      <c r="O489" s="9"/>
      <c r="P489" s="21"/>
    </row>
    <row r="490" spans="1:16" ht="16.95" customHeight="1">
      <c r="A490" s="13"/>
      <c r="B490" s="14" t="s">
        <v>513</v>
      </c>
      <c r="C490" s="26">
        <v>14951</v>
      </c>
      <c r="D490" s="26">
        <v>1</v>
      </c>
      <c r="E490" s="14" t="str">
        <f>IF($B$3=1,"компл.","set")</f>
        <v>компл.</v>
      </c>
      <c r="F490" s="26">
        <v>1</v>
      </c>
      <c r="G490" s="26">
        <f t="shared" si="95"/>
        <v>14951</v>
      </c>
      <c r="H490" s="17"/>
      <c r="I490" s="24">
        <f t="shared" si="98"/>
        <v>0</v>
      </c>
      <c r="J490" s="24">
        <v>0</v>
      </c>
      <c r="K490" s="17"/>
      <c r="L490" s="17"/>
      <c r="M490" s="17"/>
      <c r="N490" s="17"/>
      <c r="O490" s="17"/>
      <c r="P490" s="13"/>
    </row>
    <row r="491" spans="1:16" ht="16.95" hidden="1" customHeight="1">
      <c r="A491" s="19"/>
      <c r="B491" s="12" t="s">
        <v>514</v>
      </c>
      <c r="C491" s="34" t="e">
        <f>IF($C$3=100,#REF!,#REF!)</f>
        <v>#REF!</v>
      </c>
      <c r="D491" s="10">
        <v>0</v>
      </c>
      <c r="E491" s="12" t="str">
        <f>IF($B$3=1,"усл","pcs")</f>
        <v>усл</v>
      </c>
      <c r="F491" s="10">
        <v>1</v>
      </c>
      <c r="G491" s="34" t="e">
        <f t="shared" si="95"/>
        <v>#REF!</v>
      </c>
      <c r="H491" s="9"/>
      <c r="I491" s="10">
        <f t="shared" si="98"/>
        <v>0</v>
      </c>
      <c r="J491" s="10">
        <v>0</v>
      </c>
      <c r="K491" s="9"/>
      <c r="L491" s="9"/>
      <c r="M491" s="9"/>
      <c r="N491" s="9"/>
      <c r="O491" s="9"/>
      <c r="P491" s="21"/>
    </row>
    <row r="492" spans="1:16" ht="16.95" customHeight="1">
      <c r="A492" s="13"/>
      <c r="B492" s="14" t="s">
        <v>515</v>
      </c>
      <c r="C492" s="26">
        <v>4272</v>
      </c>
      <c r="D492" s="26">
        <v>1</v>
      </c>
      <c r="E492" s="14" t="str">
        <f>IF($B$3=1,"усл","pcs")</f>
        <v>усл</v>
      </c>
      <c r="F492" s="26">
        <v>1</v>
      </c>
      <c r="G492" s="26">
        <f t="shared" si="95"/>
        <v>4272</v>
      </c>
      <c r="H492" s="17"/>
      <c r="I492" s="24">
        <f t="shared" si="98"/>
        <v>0</v>
      </c>
      <c r="J492" s="24">
        <v>0</v>
      </c>
      <c r="K492" s="17"/>
      <c r="L492" s="17"/>
      <c r="M492" s="17"/>
      <c r="N492" s="17"/>
      <c r="O492" s="17"/>
      <c r="P492" s="13"/>
    </row>
    <row r="493" spans="1:16" ht="16.05" customHeight="1">
      <c r="A493" s="7"/>
      <c r="B493" s="7"/>
      <c r="C493" s="7"/>
      <c r="D493" s="7"/>
      <c r="E493" s="7"/>
      <c r="F493" s="7"/>
      <c r="G493" s="27">
        <f>G478+G481+G484+G490+G492</f>
        <v>232803</v>
      </c>
      <c r="H493" s="9"/>
      <c r="I493" s="10">
        <f t="shared" si="98"/>
        <v>0</v>
      </c>
      <c r="J493" s="9"/>
      <c r="K493" s="9"/>
      <c r="L493" s="9"/>
      <c r="M493" s="9"/>
      <c r="N493" s="9"/>
      <c r="O493" s="9"/>
      <c r="P493" s="7"/>
    </row>
    <row r="494" spans="1:16" ht="16.05" customHeight="1">
      <c r="A494" s="13"/>
      <c r="B494" s="13"/>
      <c r="C494" s="13"/>
      <c r="D494" s="13"/>
      <c r="E494" s="13"/>
      <c r="F494" s="13"/>
      <c r="G494" s="13"/>
      <c r="H494" s="17"/>
      <c r="I494" s="17"/>
      <c r="J494" s="17"/>
      <c r="K494" s="17"/>
      <c r="L494" s="17"/>
      <c r="M494" s="17"/>
      <c r="N494" s="17"/>
      <c r="O494" s="17"/>
      <c r="P494" s="13"/>
    </row>
    <row r="495" spans="1:16" ht="16.95" customHeight="1">
      <c r="A495" s="3" t="str">
        <f>IF($B$3=1,"Технический персонал","Technicians")</f>
        <v>Технический персонал</v>
      </c>
      <c r="B495" s="7"/>
      <c r="C495" s="7"/>
      <c r="D495" s="7"/>
      <c r="E495" s="7"/>
      <c r="F495" s="7"/>
      <c r="G495" s="7"/>
      <c r="H495" s="9"/>
      <c r="I495" s="9"/>
      <c r="J495" s="9"/>
      <c r="K495" s="9"/>
      <c r="L495" s="9"/>
      <c r="M495" s="9"/>
      <c r="N495" s="9"/>
      <c r="O495" s="9"/>
      <c r="P495" s="7"/>
    </row>
    <row r="496" spans="1:16" ht="16.95" customHeight="1">
      <c r="A496" s="13"/>
      <c r="B496" s="14" t="s">
        <v>516</v>
      </c>
      <c r="C496" s="26">
        <v>7000</v>
      </c>
      <c r="D496" s="26">
        <v>6</v>
      </c>
      <c r="E496" s="14" t="str">
        <f t="shared" ref="E496:E524" si="99">IF($B$3=1,"чел\смен","shift")</f>
        <v>чел\смен</v>
      </c>
      <c r="F496" s="26">
        <v>2</v>
      </c>
      <c r="G496" s="26">
        <f t="shared" ref="G496:G525" si="100">C496*D496*F496</f>
        <v>84000</v>
      </c>
      <c r="H496" s="17"/>
      <c r="I496" s="24">
        <f t="shared" ref="I496:I526" si="101">H496*D496</f>
        <v>0</v>
      </c>
      <c r="J496" s="24">
        <v>0</v>
      </c>
      <c r="K496" s="15" t="s">
        <v>517</v>
      </c>
      <c r="L496" s="17"/>
      <c r="M496" s="17"/>
      <c r="N496" s="17"/>
      <c r="O496" s="17"/>
      <c r="P496" s="13"/>
    </row>
    <row r="497" spans="1:16" ht="16.95" customHeight="1">
      <c r="A497" s="7"/>
      <c r="B497" s="3" t="s">
        <v>518</v>
      </c>
      <c r="C497" s="5">
        <v>10000</v>
      </c>
      <c r="D497" s="5">
        <v>1</v>
      </c>
      <c r="E497" s="3" t="str">
        <f t="shared" si="99"/>
        <v>чел\смен</v>
      </c>
      <c r="F497" s="5">
        <v>2</v>
      </c>
      <c r="G497" s="5">
        <f t="shared" si="100"/>
        <v>20000</v>
      </c>
      <c r="H497" s="9"/>
      <c r="I497" s="10">
        <f t="shared" si="101"/>
        <v>0</v>
      </c>
      <c r="J497" s="10">
        <v>0</v>
      </c>
      <c r="K497" s="9"/>
      <c r="L497" s="9"/>
      <c r="M497" s="9"/>
      <c r="N497" s="9"/>
      <c r="O497" s="9"/>
      <c r="P497" s="7"/>
    </row>
    <row r="498" spans="1:16" ht="16.95" customHeight="1">
      <c r="A498" s="13"/>
      <c r="B498" s="14" t="s">
        <v>519</v>
      </c>
      <c r="C498" s="26">
        <v>7000</v>
      </c>
      <c r="D498" s="26">
        <v>6</v>
      </c>
      <c r="E498" s="14" t="str">
        <f t="shared" si="99"/>
        <v>чел\смен</v>
      </c>
      <c r="F498" s="26">
        <v>2</v>
      </c>
      <c r="G498" s="26">
        <f t="shared" si="100"/>
        <v>84000</v>
      </c>
      <c r="H498" s="17"/>
      <c r="I498" s="24">
        <f t="shared" si="101"/>
        <v>0</v>
      </c>
      <c r="J498" s="24">
        <v>0</v>
      </c>
      <c r="K498" s="15" t="s">
        <v>517</v>
      </c>
      <c r="L498" s="17"/>
      <c r="M498" s="17"/>
      <c r="N498" s="17"/>
      <c r="O498" s="17"/>
      <c r="P498" s="13"/>
    </row>
    <row r="499" spans="1:16" ht="16.95" customHeight="1">
      <c r="A499" s="7"/>
      <c r="B499" s="3" t="s">
        <v>520</v>
      </c>
      <c r="C499" s="5">
        <v>10000</v>
      </c>
      <c r="D499" s="5">
        <v>1</v>
      </c>
      <c r="E499" s="3" t="str">
        <f t="shared" si="99"/>
        <v>чел\смен</v>
      </c>
      <c r="F499" s="5">
        <v>2</v>
      </c>
      <c r="G499" s="5">
        <f t="shared" si="100"/>
        <v>20000</v>
      </c>
      <c r="H499" s="9"/>
      <c r="I499" s="10">
        <f t="shared" si="101"/>
        <v>0</v>
      </c>
      <c r="J499" s="10">
        <v>0</v>
      </c>
      <c r="K499" s="9"/>
      <c r="L499" s="9"/>
      <c r="M499" s="9"/>
      <c r="N499" s="9"/>
      <c r="O499" s="9"/>
      <c r="P499" s="7"/>
    </row>
    <row r="500" spans="1:16" ht="16.95" customHeight="1">
      <c r="A500" s="13"/>
      <c r="B500" s="14" t="s">
        <v>521</v>
      </c>
      <c r="C500" s="26">
        <v>8000</v>
      </c>
      <c r="D500" s="26">
        <v>1</v>
      </c>
      <c r="E500" s="14" t="str">
        <f t="shared" si="99"/>
        <v>чел\смен</v>
      </c>
      <c r="F500" s="26">
        <v>2</v>
      </c>
      <c r="G500" s="26">
        <f t="shared" si="100"/>
        <v>16000</v>
      </c>
      <c r="H500" s="17"/>
      <c r="I500" s="24">
        <f t="shared" si="101"/>
        <v>0</v>
      </c>
      <c r="J500" s="24">
        <v>0</v>
      </c>
      <c r="K500" s="17"/>
      <c r="L500" s="17"/>
      <c r="M500" s="17"/>
      <c r="N500" s="17"/>
      <c r="O500" s="17"/>
      <c r="P500" s="13"/>
    </row>
    <row r="501" spans="1:16" ht="16.95" customHeight="1">
      <c r="A501" s="7"/>
      <c r="B501" s="3" t="s">
        <v>522</v>
      </c>
      <c r="C501" s="5">
        <v>6000</v>
      </c>
      <c r="D501" s="5">
        <v>1</v>
      </c>
      <c r="E501" s="3" t="str">
        <f t="shared" si="99"/>
        <v>чел\смен</v>
      </c>
      <c r="F501" s="5">
        <v>2</v>
      </c>
      <c r="G501" s="5">
        <f t="shared" si="100"/>
        <v>12000</v>
      </c>
      <c r="H501" s="9"/>
      <c r="I501" s="10">
        <f t="shared" si="101"/>
        <v>0</v>
      </c>
      <c r="J501" s="10">
        <v>0</v>
      </c>
      <c r="K501" s="9"/>
      <c r="L501" s="9"/>
      <c r="M501" s="9"/>
      <c r="N501" s="9"/>
      <c r="O501" s="9"/>
      <c r="P501" s="7"/>
    </row>
    <row r="502" spans="1:16" ht="16.95" customHeight="1">
      <c r="A502" s="13"/>
      <c r="B502" s="14" t="s">
        <v>523</v>
      </c>
      <c r="C502" s="26">
        <v>5000</v>
      </c>
      <c r="D502" s="26">
        <v>6</v>
      </c>
      <c r="E502" s="14" t="str">
        <f t="shared" si="99"/>
        <v>чел\смен</v>
      </c>
      <c r="F502" s="26">
        <v>2</v>
      </c>
      <c r="G502" s="26">
        <f t="shared" si="100"/>
        <v>60000</v>
      </c>
      <c r="H502" s="17"/>
      <c r="I502" s="24">
        <f t="shared" si="101"/>
        <v>0</v>
      </c>
      <c r="J502" s="24">
        <v>0</v>
      </c>
      <c r="K502" s="17"/>
      <c r="L502" s="17"/>
      <c r="M502" s="17"/>
      <c r="N502" s="17"/>
      <c r="O502" s="17"/>
      <c r="P502" s="13"/>
    </row>
    <row r="503" spans="1:16" ht="16.95" customHeight="1">
      <c r="A503" s="7"/>
      <c r="B503" s="3" t="s">
        <v>524</v>
      </c>
      <c r="C503" s="5">
        <v>7000</v>
      </c>
      <c r="D503" s="5">
        <v>1</v>
      </c>
      <c r="E503" s="3" t="str">
        <f t="shared" si="99"/>
        <v>чел\смен</v>
      </c>
      <c r="F503" s="5">
        <v>2</v>
      </c>
      <c r="G503" s="5">
        <f t="shared" si="100"/>
        <v>14000</v>
      </c>
      <c r="H503" s="9"/>
      <c r="I503" s="10">
        <f t="shared" si="101"/>
        <v>0</v>
      </c>
      <c r="J503" s="10">
        <v>0</v>
      </c>
      <c r="K503" s="9"/>
      <c r="L503" s="9"/>
      <c r="M503" s="9"/>
      <c r="N503" s="9"/>
      <c r="O503" s="9"/>
      <c r="P503" s="7"/>
    </row>
    <row r="504" spans="1:16" ht="16.95" hidden="1" customHeight="1">
      <c r="A504" s="22"/>
      <c r="B504" s="15" t="s">
        <v>525</v>
      </c>
      <c r="C504" s="18" t="e">
        <f>IF($C$3=100,#REF!,#REF!)</f>
        <v>#REF!</v>
      </c>
      <c r="D504" s="24">
        <v>0</v>
      </c>
      <c r="E504" s="15" t="str">
        <f t="shared" si="99"/>
        <v>чел\смен</v>
      </c>
      <c r="F504" s="22">
        <v>2</v>
      </c>
      <c r="G504" s="18" t="e">
        <f t="shared" si="100"/>
        <v>#REF!</v>
      </c>
      <c r="H504" s="17"/>
      <c r="I504" s="24">
        <f t="shared" si="101"/>
        <v>0</v>
      </c>
      <c r="J504" s="24">
        <v>0</v>
      </c>
      <c r="K504" s="17"/>
      <c r="L504" s="17"/>
      <c r="M504" s="17"/>
      <c r="N504" s="17"/>
      <c r="O504" s="17"/>
      <c r="P504" s="25"/>
    </row>
    <row r="505" spans="1:16" ht="16.95" customHeight="1">
      <c r="A505" s="7"/>
      <c r="B505" s="3" t="s">
        <v>526</v>
      </c>
      <c r="C505" s="5">
        <v>15000</v>
      </c>
      <c r="D505" s="5">
        <v>4</v>
      </c>
      <c r="E505" s="3" t="str">
        <f t="shared" si="99"/>
        <v>чел\смен</v>
      </c>
      <c r="F505" s="5">
        <v>2</v>
      </c>
      <c r="G505" s="5">
        <f t="shared" si="100"/>
        <v>120000</v>
      </c>
      <c r="H505" s="9"/>
      <c r="I505" s="10">
        <f t="shared" si="101"/>
        <v>0</v>
      </c>
      <c r="J505" s="10">
        <v>0</v>
      </c>
      <c r="K505" s="9"/>
      <c r="L505" s="9"/>
      <c r="M505" s="9"/>
      <c r="N505" s="9"/>
      <c r="O505" s="9"/>
      <c r="P505" s="7"/>
    </row>
    <row r="506" spans="1:16" ht="16.95" customHeight="1">
      <c r="A506" s="13"/>
      <c r="B506" s="14" t="s">
        <v>527</v>
      </c>
      <c r="C506" s="26">
        <v>15000</v>
      </c>
      <c r="D506" s="26">
        <v>1</v>
      </c>
      <c r="E506" s="14" t="str">
        <f t="shared" si="99"/>
        <v>чел\смен</v>
      </c>
      <c r="F506" s="26">
        <v>2</v>
      </c>
      <c r="G506" s="26">
        <f t="shared" si="100"/>
        <v>30000</v>
      </c>
      <c r="H506" s="17"/>
      <c r="I506" s="24">
        <f t="shared" si="101"/>
        <v>0</v>
      </c>
      <c r="J506" s="24">
        <v>0</v>
      </c>
      <c r="K506" s="17"/>
      <c r="L506" s="17"/>
      <c r="M506" s="17"/>
      <c r="N506" s="17"/>
      <c r="O506" s="17"/>
      <c r="P506" s="13"/>
    </row>
    <row r="507" spans="1:16" ht="16.95" customHeight="1">
      <c r="A507" s="7"/>
      <c r="B507" s="3" t="s">
        <v>528</v>
      </c>
      <c r="C507" s="5">
        <v>5000</v>
      </c>
      <c r="D507" s="5">
        <v>2</v>
      </c>
      <c r="E507" s="3" t="str">
        <f t="shared" si="99"/>
        <v>чел\смен</v>
      </c>
      <c r="F507" s="5">
        <f>F3</f>
        <v>1</v>
      </c>
      <c r="G507" s="5">
        <f t="shared" si="100"/>
        <v>10000</v>
      </c>
      <c r="H507" s="9"/>
      <c r="I507" s="10">
        <f t="shared" si="101"/>
        <v>0</v>
      </c>
      <c r="J507" s="10">
        <v>0</v>
      </c>
      <c r="K507" s="9"/>
      <c r="L507" s="9"/>
      <c r="M507" s="9"/>
      <c r="N507" s="9"/>
      <c r="O507" s="9"/>
      <c r="P507" s="7"/>
    </row>
    <row r="508" spans="1:16" ht="16.95" customHeight="1">
      <c r="A508" s="13"/>
      <c r="B508" s="14" t="s">
        <v>529</v>
      </c>
      <c r="C508" s="26">
        <v>15000</v>
      </c>
      <c r="D508" s="26">
        <v>1</v>
      </c>
      <c r="E508" s="14" t="str">
        <f t="shared" si="99"/>
        <v>чел\смен</v>
      </c>
      <c r="F508" s="26">
        <v>2</v>
      </c>
      <c r="G508" s="26">
        <f t="shared" si="100"/>
        <v>30000</v>
      </c>
      <c r="H508" s="17"/>
      <c r="I508" s="24">
        <f t="shared" si="101"/>
        <v>0</v>
      </c>
      <c r="J508" s="24">
        <v>0</v>
      </c>
      <c r="K508" s="17"/>
      <c r="L508" s="17"/>
      <c r="M508" s="17"/>
      <c r="N508" s="17"/>
      <c r="O508" s="17"/>
      <c r="P508" s="13"/>
    </row>
    <row r="509" spans="1:16" ht="16.95" customHeight="1">
      <c r="A509" s="7"/>
      <c r="B509" s="3" t="s">
        <v>530</v>
      </c>
      <c r="C509" s="5">
        <v>6000</v>
      </c>
      <c r="D509" s="5">
        <v>6</v>
      </c>
      <c r="E509" s="3" t="str">
        <f t="shared" si="99"/>
        <v>чел\смен</v>
      </c>
      <c r="F509" s="5">
        <v>2</v>
      </c>
      <c r="G509" s="5">
        <f t="shared" si="100"/>
        <v>72000</v>
      </c>
      <c r="H509" s="9"/>
      <c r="I509" s="10">
        <f t="shared" si="101"/>
        <v>0</v>
      </c>
      <c r="J509" s="10">
        <v>0</v>
      </c>
      <c r="K509" s="9"/>
      <c r="L509" s="9"/>
      <c r="M509" s="9"/>
      <c r="N509" s="9"/>
      <c r="O509" s="9"/>
      <c r="P509" s="7"/>
    </row>
    <row r="510" spans="1:16" ht="16.95" customHeight="1">
      <c r="A510" s="13"/>
      <c r="B510" s="14" t="s">
        <v>531</v>
      </c>
      <c r="C510" s="26">
        <v>10000</v>
      </c>
      <c r="D510" s="26">
        <v>1</v>
      </c>
      <c r="E510" s="14" t="str">
        <f t="shared" si="99"/>
        <v>чел\смен</v>
      </c>
      <c r="F510" s="26">
        <v>2</v>
      </c>
      <c r="G510" s="26">
        <f t="shared" si="100"/>
        <v>20000</v>
      </c>
      <c r="H510" s="17"/>
      <c r="I510" s="24">
        <f t="shared" si="101"/>
        <v>0</v>
      </c>
      <c r="J510" s="24">
        <v>0</v>
      </c>
      <c r="K510" s="17"/>
      <c r="L510" s="17"/>
      <c r="M510" s="17"/>
      <c r="N510" s="17"/>
      <c r="O510" s="17"/>
      <c r="P510" s="13"/>
    </row>
    <row r="511" spans="1:16" ht="16.95" customHeight="1">
      <c r="A511" s="7"/>
      <c r="B511" s="3" t="s">
        <v>532</v>
      </c>
      <c r="C511" s="5">
        <v>5000</v>
      </c>
      <c r="D511" s="5">
        <v>2</v>
      </c>
      <c r="E511" s="3" t="str">
        <f t="shared" si="99"/>
        <v>чел\смен</v>
      </c>
      <c r="F511" s="5">
        <f>F3</f>
        <v>1</v>
      </c>
      <c r="G511" s="5">
        <f t="shared" si="100"/>
        <v>10000</v>
      </c>
      <c r="H511" s="9"/>
      <c r="I511" s="10">
        <f t="shared" si="101"/>
        <v>0</v>
      </c>
      <c r="J511" s="10">
        <v>0</v>
      </c>
      <c r="K511" s="9"/>
      <c r="L511" s="9"/>
      <c r="M511" s="9"/>
      <c r="N511" s="9"/>
      <c r="O511" s="9"/>
      <c r="P511" s="7"/>
    </row>
    <row r="512" spans="1:16" ht="16.95" customHeight="1">
      <c r="A512" s="13"/>
      <c r="B512" s="14" t="s">
        <v>533</v>
      </c>
      <c r="C512" s="26">
        <v>10000</v>
      </c>
      <c r="D512" s="26">
        <v>1</v>
      </c>
      <c r="E512" s="14" t="str">
        <f t="shared" si="99"/>
        <v>чел\смен</v>
      </c>
      <c r="F512" s="26">
        <v>2</v>
      </c>
      <c r="G512" s="26">
        <f t="shared" si="100"/>
        <v>20000</v>
      </c>
      <c r="H512" s="17"/>
      <c r="I512" s="24">
        <f t="shared" si="101"/>
        <v>0</v>
      </c>
      <c r="J512" s="24">
        <v>0</v>
      </c>
      <c r="K512" s="17"/>
      <c r="L512" s="17"/>
      <c r="M512" s="17"/>
      <c r="N512" s="17"/>
      <c r="O512" s="17"/>
      <c r="P512" s="13"/>
    </row>
    <row r="513" spans="1:16" ht="16.95" hidden="1" customHeight="1">
      <c r="A513" s="19"/>
      <c r="B513" s="12" t="s">
        <v>534</v>
      </c>
      <c r="C513" s="16" t="e">
        <f>IF($C$3=100,#REF!,#REF!)</f>
        <v>#REF!</v>
      </c>
      <c r="D513" s="10">
        <v>0</v>
      </c>
      <c r="E513" s="12" t="str">
        <f t="shared" si="99"/>
        <v>чел\смен</v>
      </c>
      <c r="F513" s="19">
        <v>2</v>
      </c>
      <c r="G513" s="16" t="e">
        <f t="shared" si="100"/>
        <v>#REF!</v>
      </c>
      <c r="H513" s="9"/>
      <c r="I513" s="10">
        <f t="shared" si="101"/>
        <v>0</v>
      </c>
      <c r="J513" s="10">
        <v>0</v>
      </c>
      <c r="K513" s="9"/>
      <c r="L513" s="9"/>
      <c r="M513" s="9"/>
      <c r="N513" s="9"/>
      <c r="O513" s="9"/>
      <c r="P513" s="21"/>
    </row>
    <row r="514" spans="1:16" ht="16.95" hidden="1" customHeight="1">
      <c r="A514" s="22"/>
      <c r="B514" s="15" t="s">
        <v>535</v>
      </c>
      <c r="C514" s="18" t="e">
        <f>IF($C$3=100,#REF!,#REF!)</f>
        <v>#REF!</v>
      </c>
      <c r="D514" s="24">
        <v>0</v>
      </c>
      <c r="E514" s="15" t="str">
        <f t="shared" si="99"/>
        <v>чел\смен</v>
      </c>
      <c r="F514" s="22">
        <v>2</v>
      </c>
      <c r="G514" s="18" t="e">
        <f t="shared" si="100"/>
        <v>#REF!</v>
      </c>
      <c r="H514" s="17"/>
      <c r="I514" s="24">
        <f t="shared" si="101"/>
        <v>0</v>
      </c>
      <c r="J514" s="24">
        <v>0</v>
      </c>
      <c r="K514" s="17"/>
      <c r="L514" s="17"/>
      <c r="M514" s="17"/>
      <c r="N514" s="17"/>
      <c r="O514" s="17"/>
      <c r="P514" s="25"/>
    </row>
    <row r="515" spans="1:16" ht="16.95" hidden="1" customHeight="1">
      <c r="A515" s="19"/>
      <c r="B515" s="12" t="s">
        <v>536</v>
      </c>
      <c r="C515" s="16" t="e">
        <f>IF($C$3=100,#REF!,#REF!)</f>
        <v>#REF!</v>
      </c>
      <c r="D515" s="10">
        <f>IF(D378=0,0,1)</f>
        <v>0</v>
      </c>
      <c r="E515" s="12" t="str">
        <f t="shared" si="99"/>
        <v>чел\смен</v>
      </c>
      <c r="F515" s="19">
        <v>1</v>
      </c>
      <c r="G515" s="16" t="e">
        <f t="shared" si="100"/>
        <v>#REF!</v>
      </c>
      <c r="H515" s="9"/>
      <c r="I515" s="10">
        <f t="shared" si="101"/>
        <v>0</v>
      </c>
      <c r="J515" s="10">
        <v>0</v>
      </c>
      <c r="K515" s="9"/>
      <c r="L515" s="9"/>
      <c r="M515" s="9"/>
      <c r="N515" s="9"/>
      <c r="O515" s="9"/>
      <c r="P515" s="21"/>
    </row>
    <row r="516" spans="1:16" ht="16.95" hidden="1" customHeight="1">
      <c r="A516" s="22"/>
      <c r="B516" s="15" t="s">
        <v>537</v>
      </c>
      <c r="C516" s="18" t="e">
        <f>IF($C$3=100,#REF!,#REF!)</f>
        <v>#REF!</v>
      </c>
      <c r="D516" s="24">
        <v>0</v>
      </c>
      <c r="E516" s="15" t="str">
        <f t="shared" si="99"/>
        <v>чел\смен</v>
      </c>
      <c r="F516" s="22">
        <f>F3</f>
        <v>1</v>
      </c>
      <c r="G516" s="18" t="e">
        <f t="shared" si="100"/>
        <v>#REF!</v>
      </c>
      <c r="H516" s="17"/>
      <c r="I516" s="24">
        <f t="shared" si="101"/>
        <v>0</v>
      </c>
      <c r="J516" s="24">
        <v>0</v>
      </c>
      <c r="K516" s="17"/>
      <c r="L516" s="17"/>
      <c r="M516" s="17"/>
      <c r="N516" s="17"/>
      <c r="O516" s="17"/>
      <c r="P516" s="25"/>
    </row>
    <row r="517" spans="1:16" ht="16.95" hidden="1" customHeight="1">
      <c r="A517" s="19"/>
      <c r="B517" s="12" t="s">
        <v>538</v>
      </c>
      <c r="C517" s="16">
        <v>10000</v>
      </c>
      <c r="D517" s="10">
        <v>0</v>
      </c>
      <c r="E517" s="12" t="str">
        <f t="shared" si="99"/>
        <v>чел\смен</v>
      </c>
      <c r="F517" s="19">
        <f>F3</f>
        <v>1</v>
      </c>
      <c r="G517" s="16">
        <f t="shared" si="100"/>
        <v>0</v>
      </c>
      <c r="H517" s="9"/>
      <c r="I517" s="10">
        <f t="shared" si="101"/>
        <v>0</v>
      </c>
      <c r="J517" s="10">
        <v>0</v>
      </c>
      <c r="K517" s="9"/>
      <c r="L517" s="9"/>
      <c r="M517" s="9"/>
      <c r="N517" s="9"/>
      <c r="O517" s="9"/>
      <c r="P517" s="21"/>
    </row>
    <row r="518" spans="1:16" ht="16.95" hidden="1" customHeight="1">
      <c r="A518" s="22"/>
      <c r="B518" s="15" t="s">
        <v>539</v>
      </c>
      <c r="C518" s="18" t="e">
        <f>IF($C$3=100,#REF!,#REF!)</f>
        <v>#REF!</v>
      </c>
      <c r="D518" s="24">
        <f>D382</f>
        <v>0</v>
      </c>
      <c r="E518" s="15" t="str">
        <f t="shared" si="99"/>
        <v>чел\смен</v>
      </c>
      <c r="F518" s="22">
        <f>$F$3</f>
        <v>1</v>
      </c>
      <c r="G518" s="18" t="e">
        <f t="shared" si="100"/>
        <v>#REF!</v>
      </c>
      <c r="H518" s="17"/>
      <c r="I518" s="24">
        <f t="shared" si="101"/>
        <v>0</v>
      </c>
      <c r="J518" s="24">
        <v>0</v>
      </c>
      <c r="K518" s="17"/>
      <c r="L518" s="17"/>
      <c r="M518" s="17"/>
      <c r="N518" s="17"/>
      <c r="O518" s="17"/>
      <c r="P518" s="25"/>
    </row>
    <row r="519" spans="1:16" ht="16.95" hidden="1" customHeight="1">
      <c r="A519" s="19"/>
      <c r="B519" s="12" t="s">
        <v>540</v>
      </c>
      <c r="C519" s="16" t="e">
        <f>IF($C$3=100,#REF!,#REF!)</f>
        <v>#REF!</v>
      </c>
      <c r="D519" s="10">
        <v>0</v>
      </c>
      <c r="E519" s="12" t="str">
        <f t="shared" si="99"/>
        <v>чел\смен</v>
      </c>
      <c r="F519" s="19">
        <f>$F$3</f>
        <v>1</v>
      </c>
      <c r="G519" s="16" t="e">
        <f t="shared" si="100"/>
        <v>#REF!</v>
      </c>
      <c r="H519" s="9"/>
      <c r="I519" s="10">
        <f t="shared" si="101"/>
        <v>0</v>
      </c>
      <c r="J519" s="10">
        <v>0</v>
      </c>
      <c r="K519" s="9"/>
      <c r="L519" s="9"/>
      <c r="M519" s="9"/>
      <c r="N519" s="9"/>
      <c r="O519" s="9"/>
      <c r="P519" s="21"/>
    </row>
    <row r="520" spans="1:16" ht="16.95" hidden="1" customHeight="1">
      <c r="A520" s="22"/>
      <c r="B520" s="15" t="s">
        <v>541</v>
      </c>
      <c r="C520" s="18" t="e">
        <f>IF($C$3=100,#REF!,#REF!)</f>
        <v>#REF!</v>
      </c>
      <c r="D520" s="24">
        <v>0</v>
      </c>
      <c r="E520" s="15" t="str">
        <f t="shared" si="99"/>
        <v>чел\смен</v>
      </c>
      <c r="F520" s="22">
        <f>$F$3</f>
        <v>1</v>
      </c>
      <c r="G520" s="18" t="e">
        <f t="shared" si="100"/>
        <v>#REF!</v>
      </c>
      <c r="H520" s="17"/>
      <c r="I520" s="24">
        <f t="shared" si="101"/>
        <v>0</v>
      </c>
      <c r="J520" s="24">
        <v>0</v>
      </c>
      <c r="K520" s="17"/>
      <c r="L520" s="17"/>
      <c r="M520" s="17"/>
      <c r="N520" s="17"/>
      <c r="O520" s="17"/>
      <c r="P520" s="25"/>
    </row>
    <row r="521" spans="1:16" ht="16.95" hidden="1" customHeight="1">
      <c r="A521" s="19"/>
      <c r="B521" s="12" t="s">
        <v>542</v>
      </c>
      <c r="C521" s="16" t="e">
        <f>IF($C$3=100,#REF!,#REF!)</f>
        <v>#REF!</v>
      </c>
      <c r="D521" s="10">
        <v>0</v>
      </c>
      <c r="E521" s="12" t="str">
        <f t="shared" si="99"/>
        <v>чел\смен</v>
      </c>
      <c r="F521" s="19">
        <f>$F$3</f>
        <v>1</v>
      </c>
      <c r="G521" s="16" t="e">
        <f t="shared" si="100"/>
        <v>#REF!</v>
      </c>
      <c r="H521" s="9"/>
      <c r="I521" s="10">
        <f t="shared" si="101"/>
        <v>0</v>
      </c>
      <c r="J521" s="10">
        <v>0</v>
      </c>
      <c r="K521" s="9"/>
      <c r="L521" s="9"/>
      <c r="M521" s="9"/>
      <c r="N521" s="9"/>
      <c r="O521" s="9"/>
      <c r="P521" s="21"/>
    </row>
    <row r="522" spans="1:16" ht="16.95" customHeight="1">
      <c r="A522" s="13"/>
      <c r="B522" s="14" t="s">
        <v>543</v>
      </c>
      <c r="C522" s="26">
        <v>7000</v>
      </c>
      <c r="D522" s="26">
        <v>2</v>
      </c>
      <c r="E522" s="14" t="str">
        <f t="shared" si="99"/>
        <v>чел\смен</v>
      </c>
      <c r="F522" s="26">
        <v>2</v>
      </c>
      <c r="G522" s="26">
        <f t="shared" si="100"/>
        <v>28000</v>
      </c>
      <c r="H522" s="17"/>
      <c r="I522" s="24">
        <f t="shared" si="101"/>
        <v>0</v>
      </c>
      <c r="J522" s="24">
        <v>0</v>
      </c>
      <c r="K522" s="17"/>
      <c r="L522" s="17"/>
      <c r="M522" s="17"/>
      <c r="N522" s="17"/>
      <c r="O522" s="17"/>
      <c r="P522" s="13"/>
    </row>
    <row r="523" spans="1:16" ht="16.95" customHeight="1">
      <c r="A523" s="7"/>
      <c r="B523" s="3" t="s">
        <v>544</v>
      </c>
      <c r="C523" s="5">
        <v>10000</v>
      </c>
      <c r="D523" s="5">
        <v>1</v>
      </c>
      <c r="E523" s="3" t="str">
        <f t="shared" si="99"/>
        <v>чел\смен</v>
      </c>
      <c r="F523" s="5">
        <v>2</v>
      </c>
      <c r="G523" s="5">
        <f t="shared" si="100"/>
        <v>20000</v>
      </c>
      <c r="H523" s="9"/>
      <c r="I523" s="10">
        <f t="shared" si="101"/>
        <v>0</v>
      </c>
      <c r="J523" s="10">
        <v>0</v>
      </c>
      <c r="K523" s="9"/>
      <c r="L523" s="9"/>
      <c r="M523" s="9"/>
      <c r="N523" s="9"/>
      <c r="O523" s="9"/>
      <c r="P523" s="7"/>
    </row>
    <row r="524" spans="1:16" ht="16.95" hidden="1" customHeight="1">
      <c r="A524" s="22"/>
      <c r="B524" s="15" t="s">
        <v>545</v>
      </c>
      <c r="C524" s="18" t="e">
        <f>IF($C$3=100,#REF!,#REF!)</f>
        <v>#REF!</v>
      </c>
      <c r="D524" s="24">
        <v>0</v>
      </c>
      <c r="E524" s="15" t="str">
        <f t="shared" si="99"/>
        <v>чел\смен</v>
      </c>
      <c r="F524" s="22">
        <v>2</v>
      </c>
      <c r="G524" s="18" t="e">
        <f t="shared" si="100"/>
        <v>#REF!</v>
      </c>
      <c r="H524" s="17"/>
      <c r="I524" s="24">
        <f t="shared" si="101"/>
        <v>0</v>
      </c>
      <c r="J524" s="24">
        <v>0</v>
      </c>
      <c r="K524" s="17"/>
      <c r="L524" s="17"/>
      <c r="M524" s="17"/>
      <c r="N524" s="17"/>
      <c r="O524" s="17"/>
      <c r="P524" s="25"/>
    </row>
    <row r="525" spans="1:16" ht="24" customHeight="1">
      <c r="A525" s="7"/>
      <c r="B525" s="3" t="s">
        <v>546</v>
      </c>
      <c r="C525" s="5">
        <v>100000</v>
      </c>
      <c r="D525" s="5">
        <v>1</v>
      </c>
      <c r="E525" s="3" t="str">
        <f>IF($B$3=1,"усл","pcs")</f>
        <v>усл</v>
      </c>
      <c r="F525" s="5">
        <f>$F$3</f>
        <v>1</v>
      </c>
      <c r="G525" s="5">
        <f t="shared" si="100"/>
        <v>100000</v>
      </c>
      <c r="H525" s="9"/>
      <c r="I525" s="10">
        <f t="shared" si="101"/>
        <v>0</v>
      </c>
      <c r="J525" s="10">
        <v>3</v>
      </c>
      <c r="K525" s="9"/>
      <c r="L525" s="9"/>
      <c r="M525" s="9"/>
      <c r="N525" s="9"/>
      <c r="O525" s="9"/>
      <c r="P525" s="3" t="s">
        <v>547</v>
      </c>
    </row>
    <row r="526" spans="1:16" ht="16.05" customHeight="1">
      <c r="A526" s="13"/>
      <c r="B526" s="13"/>
      <c r="C526" s="13"/>
      <c r="D526" s="13"/>
      <c r="E526" s="13"/>
      <c r="F526" s="13"/>
      <c r="G526" s="30">
        <f>G525+G523+G522+G512+G511+G510+G509+G508+G507+G506+G505+G503+G502+G501+G500+G499+G498+G497+G496</f>
        <v>770000</v>
      </c>
      <c r="H526" s="17"/>
      <c r="I526" s="24">
        <f t="shared" si="101"/>
        <v>0</v>
      </c>
      <c r="J526" s="17"/>
      <c r="K526" s="17"/>
      <c r="L526" s="17"/>
      <c r="M526" s="17"/>
      <c r="N526" s="17"/>
      <c r="O526" s="17"/>
      <c r="P526" s="13"/>
    </row>
    <row r="527" spans="1:16" ht="16.05" customHeight="1">
      <c r="A527" s="7"/>
      <c r="B527" s="7"/>
      <c r="C527" s="7"/>
      <c r="D527" s="7"/>
      <c r="E527" s="7"/>
      <c r="F527" s="7"/>
      <c r="G527" s="7"/>
      <c r="H527" s="9"/>
      <c r="I527" s="9"/>
      <c r="J527" s="9"/>
      <c r="K527" s="9"/>
      <c r="L527" s="9"/>
      <c r="M527" s="9"/>
      <c r="N527" s="9"/>
      <c r="O527" s="9"/>
      <c r="P527" s="7"/>
    </row>
    <row r="528" spans="1:16" ht="16.95" customHeight="1">
      <c r="A528" s="14" t="str">
        <f>IF($B$3=1,"Транспортные расходы","Transport")</f>
        <v>Транспортные расходы</v>
      </c>
      <c r="B528" s="13"/>
      <c r="C528" s="13"/>
      <c r="D528" s="13"/>
      <c r="E528" s="13"/>
      <c r="F528" s="13"/>
      <c r="G528" s="13"/>
      <c r="H528" s="17"/>
      <c r="I528" s="24">
        <f t="shared" ref="I528:I546" si="102">H528*D528</f>
        <v>0</v>
      </c>
      <c r="J528" s="17"/>
      <c r="K528" s="17"/>
      <c r="L528" s="17"/>
      <c r="M528" s="17"/>
      <c r="N528" s="17"/>
      <c r="O528" s="17"/>
      <c r="P528" s="13"/>
    </row>
    <row r="529" spans="1:16" ht="16.95" hidden="1" customHeight="1">
      <c r="A529" s="19"/>
      <c r="B529" s="12" t="s">
        <v>548</v>
      </c>
      <c r="C529" s="16">
        <f>12000+2*55*0</f>
        <v>12000</v>
      </c>
      <c r="D529" s="10">
        <v>0</v>
      </c>
      <c r="E529" s="12" t="str">
        <f t="shared" ref="E529:E539" si="103">IF($B$3=1,"смена","pcs")</f>
        <v>смена</v>
      </c>
      <c r="F529" s="10">
        <v>2</v>
      </c>
      <c r="G529" s="16">
        <f t="shared" ref="G529:G540" si="104">C529*D529*F529</f>
        <v>0</v>
      </c>
      <c r="H529" s="9"/>
      <c r="I529" s="10">
        <f t="shared" si="102"/>
        <v>0</v>
      </c>
      <c r="J529" s="10">
        <v>0</v>
      </c>
      <c r="K529" s="9"/>
      <c r="L529" s="9"/>
      <c r="M529" s="9"/>
      <c r="N529" s="9"/>
      <c r="O529" s="9"/>
      <c r="P529" s="21"/>
    </row>
    <row r="530" spans="1:16" ht="16.95" customHeight="1">
      <c r="A530" s="13"/>
      <c r="B530" s="14" t="s">
        <v>549</v>
      </c>
      <c r="C530" s="26">
        <v>9000</v>
      </c>
      <c r="D530" s="26">
        <v>4</v>
      </c>
      <c r="E530" s="14" t="str">
        <f t="shared" si="103"/>
        <v>смена</v>
      </c>
      <c r="F530" s="26">
        <v>2</v>
      </c>
      <c r="G530" s="26">
        <f t="shared" si="104"/>
        <v>72000</v>
      </c>
      <c r="H530" s="17"/>
      <c r="I530" s="24">
        <f t="shared" si="102"/>
        <v>0</v>
      </c>
      <c r="J530" s="24">
        <v>0</v>
      </c>
      <c r="K530" s="17"/>
      <c r="L530" s="17"/>
      <c r="M530" s="17"/>
      <c r="N530" s="17"/>
      <c r="O530" s="17"/>
      <c r="P530" s="13"/>
    </row>
    <row r="531" spans="1:16" ht="16.95" customHeight="1">
      <c r="A531" s="7"/>
      <c r="B531" s="3" t="s">
        <v>550</v>
      </c>
      <c r="C531" s="5">
        <v>4000</v>
      </c>
      <c r="D531" s="5">
        <v>2</v>
      </c>
      <c r="E531" s="3" t="str">
        <f t="shared" si="103"/>
        <v>смена</v>
      </c>
      <c r="F531" s="5">
        <v>2</v>
      </c>
      <c r="G531" s="5">
        <f t="shared" si="104"/>
        <v>16000</v>
      </c>
      <c r="H531" s="9"/>
      <c r="I531" s="10">
        <f t="shared" si="102"/>
        <v>0</v>
      </c>
      <c r="J531" s="10">
        <v>0</v>
      </c>
      <c r="K531" s="9"/>
      <c r="L531" s="9"/>
      <c r="M531" s="9"/>
      <c r="N531" s="9"/>
      <c r="O531" s="9"/>
      <c r="P531" s="7"/>
    </row>
    <row r="532" spans="1:16" ht="16.95" customHeight="1">
      <c r="A532" s="13"/>
      <c r="B532" s="14" t="s">
        <v>551</v>
      </c>
      <c r="C532" s="26">
        <v>2200</v>
      </c>
      <c r="D532" s="26">
        <v>2</v>
      </c>
      <c r="E532" s="14" t="str">
        <f t="shared" si="103"/>
        <v>смена</v>
      </c>
      <c r="F532" s="26">
        <v>2</v>
      </c>
      <c r="G532" s="26">
        <f t="shared" si="104"/>
        <v>8800</v>
      </c>
      <c r="H532" s="17"/>
      <c r="I532" s="24">
        <f t="shared" si="102"/>
        <v>0</v>
      </c>
      <c r="J532" s="24">
        <v>0</v>
      </c>
      <c r="K532" s="17"/>
      <c r="L532" s="17"/>
      <c r="M532" s="17"/>
      <c r="N532" s="17"/>
      <c r="O532" s="17"/>
      <c r="P532" s="13"/>
    </row>
    <row r="533" spans="1:16" ht="16.95" hidden="1" customHeight="1">
      <c r="A533" s="19"/>
      <c r="B533" s="12" t="s">
        <v>552</v>
      </c>
      <c r="C533" s="16">
        <f>4400+2*35*0</f>
        <v>4400</v>
      </c>
      <c r="D533" s="10">
        <v>0</v>
      </c>
      <c r="E533" s="12" t="str">
        <f t="shared" si="103"/>
        <v>смена</v>
      </c>
      <c r="F533" s="10">
        <v>2</v>
      </c>
      <c r="G533" s="16">
        <f t="shared" si="104"/>
        <v>0</v>
      </c>
      <c r="H533" s="9"/>
      <c r="I533" s="10">
        <f t="shared" si="102"/>
        <v>0</v>
      </c>
      <c r="J533" s="10">
        <v>0</v>
      </c>
      <c r="K533" s="9"/>
      <c r="L533" s="9"/>
      <c r="M533" s="9"/>
      <c r="N533" s="9"/>
      <c r="O533" s="9"/>
      <c r="P533" s="21"/>
    </row>
    <row r="534" spans="1:16" ht="16.95" customHeight="1">
      <c r="A534" s="13"/>
      <c r="B534" s="14" t="s">
        <v>553</v>
      </c>
      <c r="C534" s="26">
        <v>12000</v>
      </c>
      <c r="D534" s="26">
        <v>2</v>
      </c>
      <c r="E534" s="14" t="str">
        <f t="shared" si="103"/>
        <v>смена</v>
      </c>
      <c r="F534" s="26">
        <v>2</v>
      </c>
      <c r="G534" s="26">
        <f t="shared" si="104"/>
        <v>48000</v>
      </c>
      <c r="H534" s="17"/>
      <c r="I534" s="24">
        <f t="shared" si="102"/>
        <v>0</v>
      </c>
      <c r="J534" s="24">
        <v>0</v>
      </c>
      <c r="K534" s="17"/>
      <c r="L534" s="17"/>
      <c r="M534" s="17"/>
      <c r="N534" s="17"/>
      <c r="O534" s="17"/>
      <c r="P534" s="13"/>
    </row>
    <row r="535" spans="1:16" ht="16.95" customHeight="1">
      <c r="A535" s="7"/>
      <c r="B535" s="3" t="s">
        <v>554</v>
      </c>
      <c r="C535" s="5">
        <v>20000</v>
      </c>
      <c r="D535" s="5">
        <v>1</v>
      </c>
      <c r="E535" s="3" t="str">
        <f t="shared" si="103"/>
        <v>смена</v>
      </c>
      <c r="F535" s="5">
        <v>2</v>
      </c>
      <c r="G535" s="5">
        <f t="shared" si="104"/>
        <v>40000</v>
      </c>
      <c r="H535" s="9"/>
      <c r="I535" s="10">
        <f t="shared" si="102"/>
        <v>0</v>
      </c>
      <c r="J535" s="10">
        <v>0</v>
      </c>
      <c r="K535" s="9"/>
      <c r="L535" s="9"/>
      <c r="M535" s="9"/>
      <c r="N535" s="9"/>
      <c r="O535" s="9"/>
      <c r="P535" s="7"/>
    </row>
    <row r="536" spans="1:16" ht="16.95" hidden="1" customHeight="1">
      <c r="A536" s="22"/>
      <c r="B536" s="15" t="s">
        <v>555</v>
      </c>
      <c r="C536" s="18">
        <v>20000</v>
      </c>
      <c r="D536" s="24">
        <v>0</v>
      </c>
      <c r="E536" s="15" t="str">
        <f t="shared" si="103"/>
        <v>смена</v>
      </c>
      <c r="F536" s="24">
        <v>2</v>
      </c>
      <c r="G536" s="18">
        <f t="shared" si="104"/>
        <v>0</v>
      </c>
      <c r="H536" s="17"/>
      <c r="I536" s="24">
        <f t="shared" si="102"/>
        <v>0</v>
      </c>
      <c r="J536" s="24">
        <v>0</v>
      </c>
      <c r="K536" s="17"/>
      <c r="L536" s="17"/>
      <c r="M536" s="17"/>
      <c r="N536" s="17"/>
      <c r="O536" s="17"/>
      <c r="P536" s="25"/>
    </row>
    <row r="537" spans="1:16" ht="16.95" hidden="1" customHeight="1">
      <c r="A537" s="19"/>
      <c r="B537" s="12" t="s">
        <v>556</v>
      </c>
      <c r="C537" s="16">
        <v>5000</v>
      </c>
      <c r="D537" s="10">
        <v>0</v>
      </c>
      <c r="E537" s="12" t="str">
        <f t="shared" si="103"/>
        <v>смена</v>
      </c>
      <c r="F537" s="10">
        <v>2</v>
      </c>
      <c r="G537" s="16">
        <f t="shared" si="104"/>
        <v>0</v>
      </c>
      <c r="H537" s="9"/>
      <c r="I537" s="10">
        <f t="shared" si="102"/>
        <v>0</v>
      </c>
      <c r="J537" s="10">
        <v>0</v>
      </c>
      <c r="K537" s="9"/>
      <c r="L537" s="9"/>
      <c r="M537" s="9"/>
      <c r="N537" s="9"/>
      <c r="O537" s="9"/>
      <c r="P537" s="21"/>
    </row>
    <row r="538" spans="1:16" ht="16.95" hidden="1" customHeight="1">
      <c r="A538" s="22"/>
      <c r="B538" s="15" t="s">
        <v>557</v>
      </c>
      <c r="C538" s="18">
        <v>15000</v>
      </c>
      <c r="D538" s="24">
        <v>0</v>
      </c>
      <c r="E538" s="15" t="str">
        <f t="shared" si="103"/>
        <v>смена</v>
      </c>
      <c r="F538" s="24">
        <v>2</v>
      </c>
      <c r="G538" s="18">
        <f t="shared" si="104"/>
        <v>0</v>
      </c>
      <c r="H538" s="17"/>
      <c r="I538" s="24">
        <f t="shared" si="102"/>
        <v>0</v>
      </c>
      <c r="J538" s="24">
        <v>0</v>
      </c>
      <c r="K538" s="17"/>
      <c r="L538" s="17"/>
      <c r="M538" s="17"/>
      <c r="N538" s="17"/>
      <c r="O538" s="17"/>
      <c r="P538" s="25"/>
    </row>
    <row r="539" spans="1:16" ht="16.95" hidden="1" customHeight="1">
      <c r="A539" s="19"/>
      <c r="B539" s="12" t="s">
        <v>558</v>
      </c>
      <c r="C539" s="16">
        <f>12000+2*55*0</f>
        <v>12000</v>
      </c>
      <c r="D539" s="10">
        <v>0</v>
      </c>
      <c r="E539" s="12" t="str">
        <f t="shared" si="103"/>
        <v>смена</v>
      </c>
      <c r="F539" s="10">
        <v>2</v>
      </c>
      <c r="G539" s="16">
        <f t="shared" si="104"/>
        <v>0</v>
      </c>
      <c r="H539" s="9"/>
      <c r="I539" s="10">
        <f t="shared" si="102"/>
        <v>0</v>
      </c>
      <c r="J539" s="10">
        <v>0</v>
      </c>
      <c r="K539" s="9"/>
      <c r="L539" s="9"/>
      <c r="M539" s="9"/>
      <c r="N539" s="9"/>
      <c r="O539" s="9"/>
      <c r="P539" s="21"/>
    </row>
    <row r="540" spans="1:16" ht="16.95" customHeight="1">
      <c r="A540" s="13"/>
      <c r="B540" s="14" t="s">
        <v>559</v>
      </c>
      <c r="C540" s="26">
        <v>1320</v>
      </c>
      <c r="D540" s="26">
        <v>20</v>
      </c>
      <c r="E540" s="14" t="str">
        <f>IF($B$3=1,"усл","pcs")</f>
        <v>усл</v>
      </c>
      <c r="F540" s="26">
        <v>2</v>
      </c>
      <c r="G540" s="26">
        <f t="shared" si="104"/>
        <v>52800</v>
      </c>
      <c r="H540" s="17"/>
      <c r="I540" s="24">
        <f t="shared" si="102"/>
        <v>0</v>
      </c>
      <c r="J540" s="24">
        <v>0</v>
      </c>
      <c r="K540" s="17"/>
      <c r="L540" s="17"/>
      <c r="M540" s="17"/>
      <c r="N540" s="17"/>
      <c r="O540" s="17"/>
      <c r="P540" s="13"/>
    </row>
    <row r="541" spans="1:16" ht="16.05" customHeight="1">
      <c r="A541" s="7"/>
      <c r="B541" s="7"/>
      <c r="C541" s="7"/>
      <c r="D541" s="7"/>
      <c r="E541" s="7"/>
      <c r="F541" s="7"/>
      <c r="G541" s="27">
        <f>G540+G535+G534+G532+G531+G530</f>
        <v>237600</v>
      </c>
      <c r="H541" s="9"/>
      <c r="I541" s="10">
        <f t="shared" si="102"/>
        <v>0</v>
      </c>
      <c r="J541" s="9"/>
      <c r="K541" s="9"/>
      <c r="L541" s="9"/>
      <c r="M541" s="9"/>
      <c r="N541" s="9"/>
      <c r="O541" s="9"/>
      <c r="P541" s="7"/>
    </row>
    <row r="542" spans="1:16" ht="16.05" customHeight="1">
      <c r="A542" s="13"/>
      <c r="B542" s="13"/>
      <c r="C542" s="13"/>
      <c r="D542" s="13"/>
      <c r="E542" s="13"/>
      <c r="F542" s="13"/>
      <c r="G542" s="13"/>
      <c r="H542" s="17"/>
      <c r="I542" s="24">
        <f t="shared" si="102"/>
        <v>0</v>
      </c>
      <c r="J542" s="17"/>
      <c r="K542" s="17"/>
      <c r="L542" s="17"/>
      <c r="M542" s="17"/>
      <c r="N542" s="17"/>
      <c r="O542" s="17"/>
      <c r="P542" s="13"/>
    </row>
    <row r="543" spans="1:16" ht="16.95" hidden="1" customHeight="1">
      <c r="A543" s="12" t="str">
        <f>IF($B$3=1,"Командировочные расходы","Travel expenses")</f>
        <v>Командировочные расходы</v>
      </c>
      <c r="B543" s="19"/>
      <c r="C543" s="16"/>
      <c r="D543" s="19"/>
      <c r="E543" s="19"/>
      <c r="F543" s="19"/>
      <c r="G543" s="28"/>
      <c r="H543" s="9"/>
      <c r="I543" s="19">
        <f t="shared" si="102"/>
        <v>0</v>
      </c>
      <c r="J543" s="9"/>
      <c r="K543" s="9"/>
      <c r="L543" s="9"/>
      <c r="M543" s="9"/>
      <c r="N543" s="9"/>
      <c r="O543" s="9"/>
      <c r="P543" s="21"/>
    </row>
    <row r="544" spans="1:16" ht="16.95" hidden="1" customHeight="1">
      <c r="A544" s="22"/>
      <c r="B544" s="15" t="s">
        <v>560</v>
      </c>
      <c r="C544" s="18" t="e">
        <f>IF($C$3=100,#REF!,#REF!)</f>
        <v>#REF!</v>
      </c>
      <c r="D544" s="24">
        <v>0</v>
      </c>
      <c r="E544" s="15" t="str">
        <f>IF($B$3=1,"усл","pcs")</f>
        <v>усл</v>
      </c>
      <c r="F544" s="24">
        <v>1</v>
      </c>
      <c r="G544" s="18" t="e">
        <f>C544*D544*F544</f>
        <v>#REF!</v>
      </c>
      <c r="H544" s="17"/>
      <c r="I544" s="24">
        <f t="shared" si="102"/>
        <v>0</v>
      </c>
      <c r="J544" s="24">
        <v>0</v>
      </c>
      <c r="K544" s="17"/>
      <c r="L544" s="17"/>
      <c r="M544" s="17"/>
      <c r="N544" s="17"/>
      <c r="O544" s="17"/>
      <c r="P544" s="25"/>
    </row>
    <row r="545" spans="1:16" ht="16.95" hidden="1" customHeight="1">
      <c r="A545" s="19"/>
      <c r="B545" s="12" t="s">
        <v>561</v>
      </c>
      <c r="C545" s="16" t="e">
        <f>IF($C$3=100,#REF!,#REF!)</f>
        <v>#REF!</v>
      </c>
      <c r="D545" s="10">
        <v>0</v>
      </c>
      <c r="E545" s="12" t="str">
        <f>IF($B$3=1,"усл","pcs")</f>
        <v>усл</v>
      </c>
      <c r="F545" s="10">
        <v>1</v>
      </c>
      <c r="G545" s="16" t="e">
        <f>C545*D545*F545</f>
        <v>#REF!</v>
      </c>
      <c r="H545" s="9"/>
      <c r="I545" s="10">
        <f t="shared" si="102"/>
        <v>0</v>
      </c>
      <c r="J545" s="10">
        <v>0</v>
      </c>
      <c r="K545" s="9"/>
      <c r="L545" s="9"/>
      <c r="M545" s="9"/>
      <c r="N545" s="9"/>
      <c r="O545" s="9"/>
      <c r="P545" s="21"/>
    </row>
    <row r="546" spans="1:16" ht="16.95" hidden="1" customHeight="1">
      <c r="A546" s="22"/>
      <c r="B546" s="15" t="s">
        <v>562</v>
      </c>
      <c r="C546" s="18" t="e">
        <f>IF($C$3=100,#REF!,#REF!)</f>
        <v>#REF!</v>
      </c>
      <c r="D546" s="24">
        <v>0</v>
      </c>
      <c r="E546" s="15" t="str">
        <f>IF($B$3=1,"усл","pcs")</f>
        <v>усл</v>
      </c>
      <c r="F546" s="24">
        <v>1</v>
      </c>
      <c r="G546" s="18" t="e">
        <f>C546*D546*F546</f>
        <v>#REF!</v>
      </c>
      <c r="H546" s="17"/>
      <c r="I546" s="24">
        <f t="shared" si="102"/>
        <v>0</v>
      </c>
      <c r="J546" s="24">
        <v>0</v>
      </c>
      <c r="K546" s="17"/>
      <c r="L546" s="17"/>
      <c r="M546" s="17"/>
      <c r="N546" s="17"/>
      <c r="O546" s="17"/>
      <c r="P546" s="25"/>
    </row>
    <row r="547" spans="1:16" ht="16.05" hidden="1" customHeight="1">
      <c r="A547" s="19"/>
      <c r="B547" s="19"/>
      <c r="C547" s="16"/>
      <c r="D547" s="19"/>
      <c r="E547" s="19"/>
      <c r="F547" s="19"/>
      <c r="G547" s="16" t="e">
        <f>SUM(G543:G546)</f>
        <v>#REF!</v>
      </c>
      <c r="H547" s="9"/>
      <c r="I547" s="9"/>
      <c r="J547" s="9"/>
      <c r="K547" s="9"/>
      <c r="L547" s="9"/>
      <c r="M547" s="9"/>
      <c r="N547" s="9"/>
      <c r="O547" s="9"/>
      <c r="P547" s="21"/>
    </row>
    <row r="548" spans="1:16" ht="16.05" hidden="1" customHeight="1">
      <c r="A548" s="22"/>
      <c r="B548" s="22"/>
      <c r="C548" s="18"/>
      <c r="D548" s="22"/>
      <c r="E548" s="22"/>
      <c r="F548" s="22"/>
      <c r="G548" s="29"/>
      <c r="H548" s="17"/>
      <c r="I548" s="17"/>
      <c r="J548" s="17"/>
      <c r="K548" s="17"/>
      <c r="L548" s="17"/>
      <c r="M548" s="17"/>
      <c r="N548" s="17"/>
      <c r="O548" s="17"/>
      <c r="P548" s="25"/>
    </row>
    <row r="549" spans="1:16" ht="16.05" customHeight="1">
      <c r="A549" s="7"/>
      <c r="B549" s="7"/>
      <c r="C549" s="7"/>
      <c r="D549" s="7"/>
      <c r="E549" s="7"/>
      <c r="F549" s="7"/>
      <c r="G549" s="36">
        <f>G541+G526+G493+G447+G319+G252+G139+G125+G103</f>
        <v>2508803</v>
      </c>
      <c r="H549" s="9"/>
      <c r="I549" s="9"/>
      <c r="J549" s="9"/>
      <c r="K549" s="9"/>
      <c r="L549" s="9"/>
      <c r="M549" s="9"/>
      <c r="N549" s="9"/>
      <c r="O549" s="9"/>
      <c r="P549" s="7"/>
    </row>
    <row r="550" spans="1:16" ht="16.95" customHeight="1">
      <c r="A550" s="14" t="str">
        <f>IF(F550=0.2,IF($B$3=1,"НДС","VAT"),IF($B$3=1,"Накладные расходы","Tax"))</f>
        <v>Накладные расходы</v>
      </c>
      <c r="B550" s="13"/>
      <c r="C550" s="13"/>
      <c r="D550" s="13"/>
      <c r="E550" s="13"/>
      <c r="F550" s="37">
        <v>0.12</v>
      </c>
      <c r="G550" s="38">
        <f>G549*F550</f>
        <v>301056.36</v>
      </c>
      <c r="H550" s="17"/>
      <c r="I550" s="17"/>
      <c r="J550" s="17"/>
      <c r="K550" s="17"/>
      <c r="L550" s="17"/>
      <c r="M550" s="17"/>
      <c r="N550" s="17"/>
      <c r="O550" s="17"/>
      <c r="P550" s="13"/>
    </row>
    <row r="551" spans="1:16" ht="16.95" customHeight="1">
      <c r="A551" s="3" t="str">
        <f>IF(F550=0.2,IF($B$3=1,"Итого по смете, вкл НДС","Total, including VAT"),IF($B$3=1,"Итого по смете, без НДС","Total, including Tax"))</f>
        <v>Итого по смете, без НДС</v>
      </c>
      <c r="B551" s="7"/>
      <c r="C551" s="7"/>
      <c r="D551" s="7"/>
      <c r="E551" s="7"/>
      <c r="F551" s="7"/>
      <c r="G551" s="39">
        <f>G549+G550</f>
        <v>2809859.36</v>
      </c>
      <c r="H551" s="9"/>
      <c r="I551" s="9"/>
      <c r="J551" s="9"/>
      <c r="K551" s="9"/>
      <c r="L551" s="40">
        <f>(SUM(L5:L492))/2</f>
        <v>6576.2449999999981</v>
      </c>
      <c r="M551" s="41">
        <f>(SUM(M5:M493))/2</f>
        <v>19.850560000000002</v>
      </c>
      <c r="N551" s="9"/>
      <c r="O551" s="16" t="e">
        <f>#REF!*(1+F550)</f>
        <v>#REF!</v>
      </c>
      <c r="P551" s="7"/>
    </row>
    <row r="552" spans="1:16" ht="16.05" customHeight="1">
      <c r="A552" s="13"/>
      <c r="B552" s="13"/>
      <c r="C552" s="13"/>
      <c r="D552" s="13"/>
      <c r="E552" s="13"/>
      <c r="F552" s="13"/>
      <c r="G552" s="13"/>
      <c r="H552" s="17"/>
      <c r="I552" s="17"/>
      <c r="J552" s="17"/>
      <c r="K552" s="17"/>
      <c r="L552" s="17"/>
      <c r="M552" s="17"/>
      <c r="N552" s="17"/>
      <c r="O552" s="17"/>
      <c r="P552" s="13"/>
    </row>
    <row r="553" spans="1:16" ht="16.95" customHeight="1">
      <c r="A553" s="7"/>
      <c r="B553" s="3" t="str">
        <f>IF($B$3=1,"Потребляемая мощность оборудования, кВт:","The power consumption of the equipment, kW:")</f>
        <v>Потребляемая мощность оборудования, кВт:</v>
      </c>
      <c r="C553" s="5">
        <f>SUM(I3:I551)/1000</f>
        <v>148.92099999999999</v>
      </c>
      <c r="D553" s="7"/>
      <c r="E553" s="7"/>
      <c r="F553" s="7"/>
      <c r="G553" s="7"/>
      <c r="H553" s="9"/>
      <c r="I553" s="9"/>
      <c r="J553" s="9"/>
      <c r="K553" s="9"/>
      <c r="L553" s="9"/>
      <c r="M553" s="9"/>
      <c r="N553" s="9"/>
      <c r="O553" s="9"/>
      <c r="P553" s="7"/>
    </row>
    <row r="554" spans="1:16" ht="16.95" customHeight="1">
      <c r="A554" s="13"/>
      <c r="B554" s="14" t="str">
        <f>IF($B$3=1,"Трехфазное подключение, А:","Three-phase connection, A:")</f>
        <v>Трехфазное подключение, А:</v>
      </c>
      <c r="C554" s="26">
        <v>250</v>
      </c>
      <c r="D554" s="13"/>
      <c r="E554" s="13"/>
      <c r="F554" s="13"/>
      <c r="G554" s="13"/>
      <c r="H554" s="17"/>
      <c r="I554" s="17"/>
      <c r="J554" s="17"/>
      <c r="K554" s="17"/>
      <c r="L554" s="17"/>
      <c r="M554" s="17"/>
      <c r="N554" s="17"/>
      <c r="O554" s="17"/>
      <c r="P554" s="13"/>
    </row>
    <row r="555" spans="1:16" ht="16.95" customHeight="1">
      <c r="A555" s="7"/>
      <c r="B555" s="7"/>
      <c r="C555" s="7"/>
      <c r="D555" s="7"/>
      <c r="E555" s="7"/>
      <c r="F555" s="7"/>
      <c r="G555" s="7"/>
      <c r="H555" s="9"/>
      <c r="I555" s="9"/>
      <c r="J555" s="9"/>
      <c r="K555" s="9"/>
      <c r="L555" s="9"/>
      <c r="M555" s="9"/>
      <c r="N555" s="9"/>
      <c r="O555" s="9"/>
      <c r="P555" s="7"/>
    </row>
    <row r="556" spans="1:16" ht="15.75" customHeight="1">
      <c r="A556" s="13"/>
      <c r="B556" s="13"/>
      <c r="C556" s="13"/>
      <c r="D556" s="13"/>
      <c r="E556" s="13"/>
      <c r="F556" s="13"/>
      <c r="G556" s="13"/>
      <c r="H556" s="17"/>
      <c r="I556" s="17"/>
      <c r="J556" s="17"/>
      <c r="K556" s="17"/>
      <c r="L556" s="17"/>
      <c r="M556" s="17"/>
      <c r="N556" s="17"/>
      <c r="O556" s="17"/>
      <c r="P556" s="13"/>
    </row>
    <row r="557" spans="1:16" ht="18" customHeight="1">
      <c r="A557" s="138" t="s">
        <v>563</v>
      </c>
      <c r="B557" s="139"/>
      <c r="C557" s="139"/>
      <c r="D557" s="139"/>
      <c r="E557" s="139"/>
      <c r="F557" s="7"/>
      <c r="G557" s="7"/>
      <c r="H557" s="9"/>
      <c r="I557" s="9"/>
      <c r="J557" s="9"/>
      <c r="K557" s="9"/>
      <c r="L557" s="9"/>
      <c r="M557" s="9"/>
      <c r="N557" s="9"/>
      <c r="O557" s="9"/>
      <c r="P557" s="7"/>
    </row>
    <row r="558" spans="1:16" ht="18" customHeight="1">
      <c r="A558" s="169" t="s">
        <v>564</v>
      </c>
      <c r="B558" s="170"/>
      <c r="C558" s="170"/>
      <c r="D558" s="170"/>
      <c r="E558" s="170"/>
      <c r="F558" s="13"/>
      <c r="G558" s="13"/>
      <c r="H558" s="17"/>
      <c r="I558" s="17"/>
      <c r="J558" s="17"/>
      <c r="K558" s="17"/>
      <c r="L558" s="17"/>
      <c r="M558" s="17"/>
      <c r="N558" s="17"/>
      <c r="O558" s="17"/>
      <c r="P558" s="13"/>
    </row>
    <row r="559" spans="1:16" ht="18" customHeight="1">
      <c r="A559" s="138" t="s">
        <v>565</v>
      </c>
      <c r="B559" s="139"/>
      <c r="C559" s="139"/>
      <c r="D559" s="139"/>
      <c r="E559" s="139"/>
      <c r="F559" s="7"/>
      <c r="G559" s="7"/>
      <c r="H559" s="9"/>
      <c r="I559" s="9"/>
      <c r="J559" s="9"/>
      <c r="K559" s="9"/>
      <c r="L559" s="9"/>
      <c r="M559" s="9"/>
      <c r="N559" s="9"/>
      <c r="O559" s="9"/>
      <c r="P559" s="7"/>
    </row>
  </sheetData>
  <mergeCells count="3">
    <mergeCell ref="A557:E557"/>
    <mergeCell ref="A558:E558"/>
    <mergeCell ref="A559:E559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workbookViewId="0">
      <selection activeCell="A2" sqref="A2"/>
    </sheetView>
  </sheetViews>
  <sheetFormatPr defaultColWidth="10" defaultRowHeight="13.05" customHeight="1"/>
  <cols>
    <col min="1" max="1" width="10" customWidth="1"/>
  </cols>
  <sheetData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workbookViewId="0">
      <selection activeCell="D25" sqref="D25"/>
    </sheetView>
  </sheetViews>
  <sheetFormatPr defaultColWidth="19.5546875" defaultRowHeight="12" customHeight="1"/>
  <cols>
    <col min="1" max="1" width="28.5546875" style="42" customWidth="1"/>
    <col min="2" max="2" width="8.5546875" style="42" customWidth="1"/>
    <col min="3" max="3" width="19.5546875" style="42" customWidth="1"/>
    <col min="4" max="4" width="45" style="42" customWidth="1"/>
    <col min="5" max="6" width="19.5546875" style="42" customWidth="1"/>
    <col min="7" max="16384" width="19.5546875" style="42"/>
  </cols>
  <sheetData>
    <row r="1" spans="1:5" ht="54.15" customHeight="1">
      <c r="A1" s="171" t="s">
        <v>566</v>
      </c>
      <c r="B1" s="172"/>
      <c r="C1" s="172"/>
      <c r="D1" s="172"/>
      <c r="E1" s="43"/>
    </row>
    <row r="2" spans="1:5" ht="16.5" customHeight="1">
      <c r="A2" s="44" t="s">
        <v>567</v>
      </c>
      <c r="B2" s="44" t="s">
        <v>568</v>
      </c>
      <c r="C2" s="44" t="s">
        <v>569</v>
      </c>
      <c r="D2" s="44" t="s">
        <v>5</v>
      </c>
      <c r="E2" s="45"/>
    </row>
    <row r="3" spans="1:5" ht="30.3" customHeight="1">
      <c r="A3" s="46" t="s">
        <v>750</v>
      </c>
      <c r="B3" s="47">
        <v>1</v>
      </c>
      <c r="C3" s="48">
        <v>210</v>
      </c>
      <c r="D3" s="49"/>
      <c r="E3" s="45"/>
    </row>
    <row r="4" spans="1:5" s="115" customFormat="1" ht="40.799999999999997" customHeight="1">
      <c r="A4" s="116" t="s">
        <v>674</v>
      </c>
      <c r="B4" s="117">
        <v>1</v>
      </c>
      <c r="C4" s="118">
        <v>1500</v>
      </c>
      <c r="D4" s="119" t="s">
        <v>571</v>
      </c>
      <c r="E4" s="45"/>
    </row>
    <row r="5" spans="1:5" ht="23.4" customHeight="1">
      <c r="A5" s="50" t="s">
        <v>570</v>
      </c>
      <c r="B5" s="51">
        <v>1</v>
      </c>
      <c r="C5" s="52">
        <v>80</v>
      </c>
      <c r="D5" s="53" t="s">
        <v>571</v>
      </c>
      <c r="E5" s="45"/>
    </row>
    <row r="6" spans="1:5" ht="16.95" customHeight="1">
      <c r="A6" s="54" t="s">
        <v>572</v>
      </c>
      <c r="B6" s="55">
        <v>1</v>
      </c>
      <c r="C6" s="56">
        <v>105</v>
      </c>
      <c r="D6" s="57"/>
      <c r="E6" s="45"/>
    </row>
    <row r="7" spans="1:5" ht="16.350000000000001" customHeight="1">
      <c r="A7" s="54" t="s">
        <v>573</v>
      </c>
      <c r="B7" s="55">
        <v>1</v>
      </c>
      <c r="C7" s="56">
        <v>200</v>
      </c>
      <c r="D7" s="58"/>
      <c r="E7" s="45"/>
    </row>
    <row r="8" spans="1:5" ht="16.95" customHeight="1">
      <c r="A8" s="54" t="s">
        <v>574</v>
      </c>
      <c r="B8" s="55">
        <v>1</v>
      </c>
      <c r="C8" s="56">
        <v>300</v>
      </c>
      <c r="D8" s="57" t="s">
        <v>575</v>
      </c>
      <c r="E8" s="45"/>
    </row>
    <row r="9" spans="1:5" ht="16.350000000000001" customHeight="1">
      <c r="A9" s="54" t="s">
        <v>576</v>
      </c>
      <c r="B9" s="55">
        <v>2</v>
      </c>
      <c r="C9" s="56">
        <v>500</v>
      </c>
      <c r="D9" s="57" t="s">
        <v>577</v>
      </c>
      <c r="E9" s="45"/>
    </row>
    <row r="10" spans="1:5" ht="30.3" customHeight="1">
      <c r="A10" s="59" t="s">
        <v>578</v>
      </c>
      <c r="B10" s="55">
        <v>1</v>
      </c>
      <c r="C10" s="56">
        <v>90</v>
      </c>
      <c r="D10" s="57" t="s">
        <v>579</v>
      </c>
      <c r="E10" s="45"/>
    </row>
    <row r="11" spans="1:5" ht="12" customHeight="1">
      <c r="A11" s="60"/>
      <c r="B11" s="61"/>
      <c r="C11" s="61"/>
      <c r="D11" s="61"/>
      <c r="E11" s="62"/>
    </row>
    <row r="12" spans="1:5" ht="12" customHeight="1">
      <c r="A12" s="63"/>
      <c r="B12" s="64"/>
      <c r="C12" s="64"/>
      <c r="D12" s="64"/>
      <c r="E12" s="62"/>
    </row>
    <row r="13" spans="1:5" ht="12" customHeight="1">
      <c r="A13" s="63"/>
      <c r="B13" s="64"/>
      <c r="C13" s="64"/>
      <c r="D13" s="64"/>
      <c r="E13" s="62"/>
    </row>
    <row r="14" spans="1:5" ht="12" customHeight="1">
      <c r="A14" s="63"/>
      <c r="B14" s="64"/>
      <c r="C14" s="64"/>
      <c r="D14" s="64"/>
      <c r="E14" s="62"/>
    </row>
    <row r="15" spans="1:5" ht="12" customHeight="1">
      <c r="A15" s="65"/>
      <c r="B15" s="66"/>
      <c r="C15" s="66"/>
      <c r="D15" s="66"/>
      <c r="E15" s="67"/>
    </row>
  </sheetData>
  <mergeCells count="1">
    <mergeCell ref="A1:D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topLeftCell="A4" workbookViewId="0">
      <selection activeCell="K4" sqref="K4"/>
    </sheetView>
  </sheetViews>
  <sheetFormatPr defaultRowHeight="13.2"/>
  <cols>
    <col min="1" max="5" width="8.88671875" style="73"/>
    <col min="6" max="6" width="17.109375" style="73" customWidth="1"/>
    <col min="7" max="7" width="19.21875" style="73" customWidth="1"/>
    <col min="8" max="16384" width="8.88671875" style="73"/>
  </cols>
  <sheetData>
    <row r="1" spans="1:19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>
      <c r="A2" s="72"/>
      <c r="B2" s="176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177"/>
      <c r="C3" s="72"/>
      <c r="D3" s="74" t="s">
        <v>595</v>
      </c>
      <c r="E3" s="75"/>
      <c r="F3" s="76"/>
      <c r="G3" s="77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>
      <c r="A4" s="78"/>
      <c r="B4" s="177"/>
      <c r="C4" s="79"/>
      <c r="D4" s="74" t="s">
        <v>596</v>
      </c>
      <c r="E4" s="178"/>
      <c r="F4" s="179"/>
      <c r="G4" s="180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>
      <c r="A5" s="78"/>
      <c r="B5" s="177"/>
      <c r="C5" s="181" t="s">
        <v>597</v>
      </c>
      <c r="D5" s="18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>
      <c r="A6" s="78"/>
      <c r="B6" s="177"/>
      <c r="C6" s="181" t="s">
        <v>598</v>
      </c>
      <c r="D6" s="182"/>
      <c r="E6" s="72"/>
      <c r="F6" s="72"/>
      <c r="G6" s="80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>
      <c r="A7" s="78"/>
      <c r="B7" s="177"/>
      <c r="C7" s="81"/>
      <c r="D7" s="82" t="s">
        <v>599</v>
      </c>
      <c r="E7" s="75" t="s">
        <v>600</v>
      </c>
      <c r="F7" s="83"/>
      <c r="G7" s="83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>
      <c r="A8" s="78"/>
      <c r="B8" s="177"/>
      <c r="C8" s="81"/>
      <c r="D8" s="74" t="s">
        <v>601</v>
      </c>
      <c r="E8" s="183" t="s">
        <v>602</v>
      </c>
      <c r="F8" s="179"/>
      <c r="G8" s="80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>
      <c r="A9" s="78"/>
      <c r="B9" s="84"/>
      <c r="C9" s="81"/>
      <c r="D9" s="79"/>
      <c r="E9" s="79"/>
      <c r="F9" s="80"/>
      <c r="G9" s="80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>
      <c r="A10" s="78"/>
      <c r="B10" s="173" t="s">
        <v>603</v>
      </c>
      <c r="C10" s="174"/>
      <c r="D10" s="174"/>
      <c r="E10" s="174"/>
      <c r="F10" s="175"/>
      <c r="G10" s="85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>
      <c r="A11" s="78"/>
      <c r="B11" s="188" t="s">
        <v>604</v>
      </c>
      <c r="C11" s="189"/>
      <c r="D11" s="189"/>
      <c r="E11" s="189"/>
      <c r="F11" s="189"/>
      <c r="G11" s="190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>
      <c r="A12" s="78"/>
      <c r="B12" s="86" t="s">
        <v>605</v>
      </c>
      <c r="C12" s="87" t="s">
        <v>606</v>
      </c>
      <c r="D12" s="87" t="s">
        <v>607</v>
      </c>
      <c r="E12" s="87" t="s">
        <v>608</v>
      </c>
      <c r="F12" s="88" t="s">
        <v>609</v>
      </c>
      <c r="G12" s="89" t="s">
        <v>610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39.6">
      <c r="A13" s="90"/>
      <c r="B13" s="91" t="s">
        <v>611</v>
      </c>
      <c r="C13" s="92">
        <v>1</v>
      </c>
      <c r="D13" s="92">
        <v>10</v>
      </c>
      <c r="E13" s="92">
        <v>10</v>
      </c>
      <c r="F13" s="93">
        <v>1000</v>
      </c>
      <c r="G13" s="94">
        <f t="shared" ref="G13:G19" si="0">F13*E13*D13*C13</f>
        <v>100000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66">
      <c r="A14" s="90"/>
      <c r="B14" s="91" t="s">
        <v>612</v>
      </c>
      <c r="C14" s="92">
        <v>1</v>
      </c>
      <c r="D14" s="92">
        <v>5</v>
      </c>
      <c r="E14" s="92">
        <v>13</v>
      </c>
      <c r="F14" s="93">
        <v>600</v>
      </c>
      <c r="G14" s="94">
        <f t="shared" si="0"/>
        <v>39000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26.4">
      <c r="A15" s="90"/>
      <c r="B15" s="91" t="s">
        <v>613</v>
      </c>
      <c r="C15" s="92">
        <v>1</v>
      </c>
      <c r="D15" s="92">
        <v>2</v>
      </c>
      <c r="E15" s="92">
        <v>1</v>
      </c>
      <c r="F15" s="93">
        <v>3000</v>
      </c>
      <c r="G15" s="94">
        <f t="shared" si="0"/>
        <v>6000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26.4">
      <c r="A16" s="90"/>
      <c r="B16" s="91" t="s">
        <v>614</v>
      </c>
      <c r="C16" s="92">
        <v>1</v>
      </c>
      <c r="D16" s="92">
        <v>2</v>
      </c>
      <c r="E16" s="92">
        <v>0</v>
      </c>
      <c r="F16" s="93">
        <v>3000</v>
      </c>
      <c r="G16" s="94">
        <f t="shared" si="0"/>
        <v>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52.8">
      <c r="A17" s="78"/>
      <c r="B17" s="91" t="s">
        <v>29</v>
      </c>
      <c r="C17" s="92">
        <v>1</v>
      </c>
      <c r="D17" s="92">
        <v>2</v>
      </c>
      <c r="E17" s="92">
        <v>1</v>
      </c>
      <c r="F17" s="93">
        <v>4000</v>
      </c>
      <c r="G17" s="94">
        <f t="shared" si="0"/>
        <v>8000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26.4">
      <c r="A18" s="78"/>
      <c r="B18" s="91" t="s">
        <v>615</v>
      </c>
      <c r="C18" s="92">
        <v>1</v>
      </c>
      <c r="D18" s="92">
        <v>1</v>
      </c>
      <c r="E18" s="92">
        <v>1</v>
      </c>
      <c r="F18" s="93">
        <v>4000</v>
      </c>
      <c r="G18" s="94">
        <f t="shared" si="0"/>
        <v>4000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26.4">
      <c r="A19" s="78"/>
      <c r="B19" s="91" t="s">
        <v>616</v>
      </c>
      <c r="C19" s="92">
        <v>1</v>
      </c>
      <c r="D19" s="92">
        <v>1</v>
      </c>
      <c r="E19" s="92">
        <v>1</v>
      </c>
      <c r="F19" s="93">
        <v>10000</v>
      </c>
      <c r="G19" s="94">
        <f t="shared" si="0"/>
        <v>10000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>
      <c r="A20" s="95"/>
      <c r="B20" s="96" t="s">
        <v>617</v>
      </c>
      <c r="C20" s="97"/>
      <c r="D20" s="97"/>
      <c r="E20" s="97"/>
      <c r="F20" s="98"/>
      <c r="G20" s="99">
        <f>SUM(G13:G19)</f>
        <v>167000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>
      <c r="A21" s="95"/>
      <c r="B21" s="188" t="s">
        <v>618</v>
      </c>
      <c r="C21" s="189"/>
      <c r="D21" s="189"/>
      <c r="E21" s="189"/>
      <c r="F21" s="189"/>
      <c r="G21" s="190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>
      <c r="A22" s="95"/>
      <c r="B22" s="191" t="s">
        <v>619</v>
      </c>
      <c r="C22" s="192"/>
      <c r="D22" s="87"/>
      <c r="E22" s="87"/>
      <c r="F22" s="88"/>
      <c r="G22" s="8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26.4">
      <c r="A23" s="95"/>
      <c r="B23" s="100" t="s">
        <v>620</v>
      </c>
      <c r="C23" s="92">
        <v>1</v>
      </c>
      <c r="D23" s="92">
        <v>5</v>
      </c>
      <c r="E23" s="92">
        <v>1</v>
      </c>
      <c r="F23" s="93">
        <v>5000</v>
      </c>
      <c r="G23" s="94">
        <f t="shared" ref="G23:G29" si="1">F23*E23*D23*C23</f>
        <v>25000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26.4">
      <c r="A24" s="78"/>
      <c r="B24" s="101" t="s">
        <v>621</v>
      </c>
      <c r="C24" s="92">
        <v>1</v>
      </c>
      <c r="D24" s="92">
        <v>1</v>
      </c>
      <c r="E24" s="92">
        <v>0</v>
      </c>
      <c r="F24" s="93">
        <v>0</v>
      </c>
      <c r="G24" s="94">
        <f>F24*E24*D24*C24</f>
        <v>0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39.6">
      <c r="A25" s="78"/>
      <c r="B25" s="101" t="s">
        <v>622</v>
      </c>
      <c r="C25" s="92">
        <v>1</v>
      </c>
      <c r="D25" s="92">
        <v>1</v>
      </c>
      <c r="E25" s="92">
        <v>3000</v>
      </c>
      <c r="F25" s="93">
        <v>10</v>
      </c>
      <c r="G25" s="94">
        <f t="shared" si="1"/>
        <v>30000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39.6">
      <c r="A26" s="78"/>
      <c r="B26" s="100" t="s">
        <v>623</v>
      </c>
      <c r="C26" s="92">
        <v>1</v>
      </c>
      <c r="D26" s="92">
        <v>1</v>
      </c>
      <c r="E26" s="92">
        <v>3000</v>
      </c>
      <c r="F26" s="93">
        <v>50</v>
      </c>
      <c r="G26" s="94">
        <f>F26*E26*D26*C26</f>
        <v>150000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>
      <c r="A27" s="78"/>
      <c r="B27" s="100" t="s">
        <v>624</v>
      </c>
      <c r="C27" s="92">
        <v>1</v>
      </c>
      <c r="D27" s="92">
        <v>1</v>
      </c>
      <c r="E27" s="92">
        <v>350</v>
      </c>
      <c r="F27" s="93">
        <v>45</v>
      </c>
      <c r="G27" s="94">
        <f t="shared" si="1"/>
        <v>15750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39.6">
      <c r="A28" s="78"/>
      <c r="B28" s="100" t="s">
        <v>625</v>
      </c>
      <c r="C28" s="92">
        <v>1</v>
      </c>
      <c r="D28" s="92">
        <v>1</v>
      </c>
      <c r="E28" s="92">
        <v>15</v>
      </c>
      <c r="F28" s="93">
        <v>500</v>
      </c>
      <c r="G28" s="94">
        <f t="shared" si="1"/>
        <v>7500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26.4">
      <c r="A29" s="78"/>
      <c r="B29" s="101" t="s">
        <v>626</v>
      </c>
      <c r="C29" s="92">
        <v>1</v>
      </c>
      <c r="D29" s="92">
        <v>1</v>
      </c>
      <c r="E29" s="92">
        <v>2</v>
      </c>
      <c r="F29" s="93">
        <v>8000</v>
      </c>
      <c r="G29" s="94">
        <f t="shared" si="1"/>
        <v>16000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>
      <c r="A30" s="78"/>
      <c r="B30" s="96" t="s">
        <v>617</v>
      </c>
      <c r="C30" s="97"/>
      <c r="D30" s="97"/>
      <c r="E30" s="97"/>
      <c r="F30" s="98"/>
      <c r="G30" s="99">
        <f>SUM(G23:G29)</f>
        <v>244250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>
      <c r="A31" s="78"/>
      <c r="B31" s="193" t="s">
        <v>617</v>
      </c>
      <c r="C31" s="194"/>
      <c r="D31" s="194"/>
      <c r="E31" s="194"/>
      <c r="F31" s="194"/>
      <c r="G31" s="102">
        <f>G30+G20</f>
        <v>411250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>
      <c r="A32" s="72"/>
      <c r="B32" s="193" t="s">
        <v>627</v>
      </c>
      <c r="C32" s="194"/>
      <c r="D32" s="194"/>
      <c r="E32" s="194"/>
      <c r="F32" s="194"/>
      <c r="G32" s="102">
        <f>G31*0.1</f>
        <v>41125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>
      <c r="A33" s="72"/>
      <c r="B33" s="193" t="s">
        <v>617</v>
      </c>
      <c r="C33" s="194"/>
      <c r="D33" s="194"/>
      <c r="E33" s="194"/>
      <c r="F33" s="194"/>
      <c r="G33" s="102">
        <f>G32+G31</f>
        <v>452375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>
      <c r="A34" s="72"/>
      <c r="B34" s="184" t="s">
        <v>628</v>
      </c>
      <c r="C34" s="185"/>
      <c r="D34" s="185"/>
      <c r="E34" s="185"/>
      <c r="F34" s="185"/>
      <c r="G34" s="102">
        <f>G33*0.08</f>
        <v>36190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>
      <c r="A35" s="72"/>
      <c r="B35" s="186" t="s">
        <v>629</v>
      </c>
      <c r="C35" s="187"/>
      <c r="D35" s="187"/>
      <c r="E35" s="187"/>
      <c r="F35" s="187"/>
      <c r="G35" s="103">
        <f>G33+G34</f>
        <v>488565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>
      <c r="A36" s="72"/>
      <c r="B36" s="78"/>
      <c r="C36" s="78"/>
      <c r="D36" s="78"/>
      <c r="E36" s="78"/>
      <c r="F36" s="78"/>
      <c r="G36" s="78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>
      <c r="B50" s="72"/>
      <c r="C50" s="72"/>
      <c r="D50" s="72"/>
      <c r="E50" s="72"/>
      <c r="F50" s="72"/>
      <c r="G50" s="72"/>
    </row>
    <row r="51" spans="1:19">
      <c r="B51" s="72"/>
      <c r="C51" s="72"/>
      <c r="D51" s="72"/>
      <c r="E51" s="72"/>
      <c r="F51" s="72"/>
      <c r="G51" s="72"/>
    </row>
    <row r="52" spans="1:19">
      <c r="B52" s="72"/>
      <c r="C52" s="72"/>
      <c r="D52" s="72"/>
      <c r="E52" s="72"/>
      <c r="F52" s="72"/>
      <c r="G52" s="72"/>
    </row>
    <row r="53" spans="1:19">
      <c r="B53" s="72"/>
      <c r="C53" s="72"/>
      <c r="D53" s="72"/>
      <c r="E53" s="72"/>
      <c r="F53" s="72"/>
      <c r="G53" s="72"/>
    </row>
    <row r="54" spans="1:19">
      <c r="B54" s="72"/>
      <c r="C54" s="72"/>
      <c r="D54" s="72"/>
      <c r="E54" s="72"/>
      <c r="F54" s="72"/>
      <c r="G54" s="72"/>
    </row>
  </sheetData>
  <mergeCells count="14">
    <mergeCell ref="B34:F34"/>
    <mergeCell ref="B35:F35"/>
    <mergeCell ref="B11:G11"/>
    <mergeCell ref="B21:G21"/>
    <mergeCell ref="B22:C22"/>
    <mergeCell ref="B31:F31"/>
    <mergeCell ref="B32:F32"/>
    <mergeCell ref="B33:F33"/>
    <mergeCell ref="B10:F10"/>
    <mergeCell ref="B2:B8"/>
    <mergeCell ref="E4:G4"/>
    <mergeCell ref="C5:D5"/>
    <mergeCell ref="C6:D6"/>
    <mergeCell ref="E8:F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XFD16"/>
    </sheetView>
  </sheetViews>
  <sheetFormatPr defaultColWidth="19.5546875" defaultRowHeight="12" customHeight="1"/>
  <cols>
    <col min="1" max="1" width="42.77734375" style="68" customWidth="1"/>
    <col min="2" max="2" width="39.21875" style="68" customWidth="1"/>
    <col min="3" max="3" width="49.33203125" style="68" customWidth="1"/>
    <col min="4" max="5" width="19.5546875" style="68" customWidth="1"/>
    <col min="6" max="16384" width="19.5546875" style="68"/>
  </cols>
  <sheetData>
    <row r="1" spans="1:4" ht="54.15" customHeight="1">
      <c r="A1" s="171" t="s">
        <v>676</v>
      </c>
      <c r="B1" s="172"/>
      <c r="C1" s="172"/>
      <c r="D1" s="43"/>
    </row>
    <row r="2" spans="1:4" ht="16.5" customHeight="1">
      <c r="A2" s="44" t="s">
        <v>567</v>
      </c>
      <c r="B2" s="44" t="s">
        <v>568</v>
      </c>
      <c r="C2" s="44" t="s">
        <v>633</v>
      </c>
      <c r="D2" s="45"/>
    </row>
    <row r="3" spans="1:4" ht="30.3" customHeight="1">
      <c r="A3" s="46" t="s">
        <v>631</v>
      </c>
      <c r="B3" s="47" t="s">
        <v>632</v>
      </c>
      <c r="C3" s="49" t="s">
        <v>635</v>
      </c>
      <c r="D3" s="45"/>
    </row>
    <row r="4" spans="1:4" ht="23.4" customHeight="1">
      <c r="A4" s="50" t="s">
        <v>634</v>
      </c>
      <c r="B4" s="51" t="s">
        <v>648</v>
      </c>
      <c r="C4" s="53" t="s">
        <v>647</v>
      </c>
      <c r="D4" s="45"/>
    </row>
    <row r="5" spans="1:4" ht="16.95" customHeight="1">
      <c r="A5" s="54" t="s">
        <v>636</v>
      </c>
      <c r="B5" s="55" t="s">
        <v>637</v>
      </c>
      <c r="C5" s="57" t="s">
        <v>638</v>
      </c>
      <c r="D5" s="45"/>
    </row>
    <row r="6" spans="1:4" ht="16.350000000000001" customHeight="1">
      <c r="A6" s="54" t="s">
        <v>641</v>
      </c>
      <c r="B6" s="55" t="s">
        <v>639</v>
      </c>
      <c r="C6" s="58" t="s">
        <v>640</v>
      </c>
      <c r="D6" s="45"/>
    </row>
    <row r="7" spans="1:4" ht="16.95" customHeight="1">
      <c r="A7" s="54" t="s">
        <v>642</v>
      </c>
      <c r="B7" s="55" t="s">
        <v>643</v>
      </c>
      <c r="C7" s="57" t="s">
        <v>644</v>
      </c>
      <c r="D7" s="45"/>
    </row>
    <row r="8" spans="1:4" ht="16.95" customHeight="1">
      <c r="A8" s="54" t="s">
        <v>679</v>
      </c>
      <c r="B8" s="55" t="s">
        <v>643</v>
      </c>
      <c r="C8" s="57" t="s">
        <v>680</v>
      </c>
      <c r="D8" s="45"/>
    </row>
    <row r="9" spans="1:4" ht="16.95" customHeight="1">
      <c r="A9" s="54" t="s">
        <v>682</v>
      </c>
      <c r="B9" s="55" t="s">
        <v>683</v>
      </c>
      <c r="C9" s="57" t="s">
        <v>684</v>
      </c>
      <c r="D9" s="45"/>
    </row>
    <row r="10" spans="1:4" ht="16.350000000000001" customHeight="1">
      <c r="A10" s="54" t="s">
        <v>677</v>
      </c>
      <c r="B10" s="55" t="s">
        <v>645</v>
      </c>
      <c r="C10" s="57" t="s">
        <v>678</v>
      </c>
      <c r="D10" s="45"/>
    </row>
    <row r="11" spans="1:4" ht="30.3" customHeight="1">
      <c r="A11" s="59" t="s">
        <v>646</v>
      </c>
      <c r="B11" s="55"/>
      <c r="C11" s="57" t="s">
        <v>685</v>
      </c>
      <c r="D11" s="45"/>
    </row>
    <row r="12" spans="1:4" ht="12" customHeight="1">
      <c r="A12" s="60"/>
      <c r="B12" s="61"/>
      <c r="C12" s="61"/>
      <c r="D12" s="62"/>
    </row>
    <row r="13" spans="1:4" ht="12" customHeight="1">
      <c r="A13" s="63"/>
      <c r="B13" s="64"/>
      <c r="C13" s="64"/>
      <c r="D13" s="62"/>
    </row>
    <row r="14" spans="1:4" ht="12" customHeight="1">
      <c r="A14" s="63"/>
      <c r="B14" s="64"/>
      <c r="C14" s="64"/>
      <c r="D14" s="62"/>
    </row>
    <row r="15" spans="1:4" ht="12" customHeight="1">
      <c r="A15" s="63"/>
      <c r="B15" s="64"/>
      <c r="C15" s="64"/>
      <c r="D15" s="62"/>
    </row>
    <row r="16" spans="1:4" ht="12" customHeight="1">
      <c r="A16" s="65"/>
      <c r="B16" s="66"/>
      <c r="C16" s="66"/>
      <c r="D16" s="67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topLeftCell="A7" workbookViewId="0">
      <selection activeCell="B13" sqref="B13"/>
    </sheetView>
  </sheetViews>
  <sheetFormatPr defaultColWidth="19.5546875" defaultRowHeight="12" customHeight="1"/>
  <cols>
    <col min="1" max="1" width="45.6640625" style="68" customWidth="1"/>
    <col min="2" max="2" width="70" style="112" customWidth="1"/>
    <col min="3" max="4" width="19.5546875" style="68" customWidth="1"/>
    <col min="5" max="16384" width="19.5546875" style="68"/>
  </cols>
  <sheetData>
    <row r="1" spans="1:3" ht="54.15" customHeight="1">
      <c r="A1" s="195" t="s">
        <v>665</v>
      </c>
      <c r="B1" s="172"/>
      <c r="C1" s="43"/>
    </row>
    <row r="2" spans="1:3" ht="16.5" customHeight="1" thickBot="1">
      <c r="A2" s="105" t="s">
        <v>666</v>
      </c>
      <c r="B2" s="134" t="s">
        <v>667</v>
      </c>
      <c r="C2" s="45"/>
    </row>
    <row r="3" spans="1:3" ht="61.8" customHeight="1" thickBot="1">
      <c r="A3" s="107" t="s">
        <v>850</v>
      </c>
      <c r="B3" s="108" t="s">
        <v>858</v>
      </c>
      <c r="C3" s="62"/>
    </row>
    <row r="4" spans="1:3" ht="30.3" customHeight="1" thickBot="1">
      <c r="A4" s="106" t="s">
        <v>856</v>
      </c>
      <c r="B4" s="108" t="s">
        <v>655</v>
      </c>
      <c r="C4" s="62"/>
    </row>
    <row r="5" spans="1:3" ht="52.2" customHeight="1" thickBot="1">
      <c r="A5" s="107" t="s">
        <v>656</v>
      </c>
      <c r="B5" s="108" t="s">
        <v>657</v>
      </c>
      <c r="C5" s="62"/>
    </row>
    <row r="6" spans="1:3" ht="16.95" customHeight="1" thickBot="1">
      <c r="A6" s="107" t="s">
        <v>681</v>
      </c>
      <c r="B6" s="108" t="s">
        <v>658</v>
      </c>
      <c r="C6" s="62"/>
    </row>
    <row r="7" spans="1:3" ht="33" customHeight="1" thickBot="1">
      <c r="A7" s="107" t="s">
        <v>660</v>
      </c>
      <c r="B7" s="109" t="s">
        <v>659</v>
      </c>
      <c r="C7" s="62"/>
    </row>
    <row r="8" spans="1:3" ht="31.8" customHeight="1" thickBot="1">
      <c r="A8" s="107" t="s">
        <v>661</v>
      </c>
      <c r="B8" s="108" t="s">
        <v>753</v>
      </c>
      <c r="C8" s="62"/>
    </row>
    <row r="9" spans="1:3" ht="26.4" customHeight="1" thickBot="1">
      <c r="A9" s="107" t="s">
        <v>662</v>
      </c>
      <c r="B9" s="108" t="s">
        <v>837</v>
      </c>
      <c r="C9" s="62"/>
    </row>
    <row r="10" spans="1:3" ht="30.3" customHeight="1" thickBot="1">
      <c r="A10" s="107" t="s">
        <v>663</v>
      </c>
      <c r="B10" s="108" t="s">
        <v>691</v>
      </c>
      <c r="C10" s="62"/>
    </row>
    <row r="11" spans="1:3" ht="61.8" customHeight="1" thickBot="1">
      <c r="A11" s="107" t="s">
        <v>854</v>
      </c>
      <c r="B11" s="108" t="s">
        <v>664</v>
      </c>
      <c r="C11" s="62"/>
    </row>
    <row r="12" spans="1:3" ht="85.8" customHeight="1" thickBot="1">
      <c r="A12" s="107" t="s">
        <v>855</v>
      </c>
      <c r="B12" s="108" t="s">
        <v>670</v>
      </c>
      <c r="C12" s="62"/>
    </row>
    <row r="13" spans="1:3" ht="81" customHeight="1" thickBot="1">
      <c r="A13" s="107" t="s">
        <v>671</v>
      </c>
      <c r="B13" s="108" t="s">
        <v>686</v>
      </c>
      <c r="C13" s="62"/>
    </row>
    <row r="14" spans="1:3" ht="81" customHeight="1" thickBot="1">
      <c r="A14" s="107" t="s">
        <v>857</v>
      </c>
      <c r="B14" s="108" t="s">
        <v>687</v>
      </c>
      <c r="C14" s="62"/>
    </row>
    <row r="15" spans="1:3" ht="12" customHeight="1">
      <c r="A15" s="63"/>
      <c r="B15" s="110"/>
      <c r="C15" s="62"/>
    </row>
    <row r="16" spans="1:3" ht="12" customHeight="1">
      <c r="A16" s="63"/>
      <c r="B16" s="110"/>
      <c r="C16" s="62"/>
    </row>
    <row r="17" spans="1:3" ht="12" customHeight="1">
      <c r="A17" s="63"/>
      <c r="B17" s="110"/>
      <c r="C17" s="62"/>
    </row>
    <row r="18" spans="1:3" ht="12" customHeight="1">
      <c r="A18" s="63"/>
      <c r="B18" s="110"/>
      <c r="C18" s="62"/>
    </row>
    <row r="19" spans="1:3" ht="12" customHeight="1">
      <c r="A19" s="65"/>
      <c r="B19" s="111"/>
      <c r="C19" s="67"/>
    </row>
  </sheetData>
  <mergeCells count="1">
    <mergeCell ref="A1:B1"/>
  </mergeCells>
  <hyperlinks>
    <hyperlink ref="B4" r:id="rId1"/>
    <hyperlink ref="B5" r:id="rId2"/>
    <hyperlink ref="B6" r:id="rId3"/>
    <hyperlink ref="B7" r:id="rId4"/>
    <hyperlink ref="B10" r:id="rId5"/>
    <hyperlink ref="B11" r:id="rId6"/>
    <hyperlink ref="B12" r:id="rId7"/>
    <hyperlink ref="B13" r:id="rId8"/>
    <hyperlink ref="B14" r:id="rId9"/>
    <hyperlink ref="B8" r:id="rId10"/>
    <hyperlink ref="B9" r:id="rId11"/>
    <hyperlink ref="B3" r:id="rId12"/>
  </hyperlinks>
  <pageMargins left="0.7" right="0.7" top="0.75" bottom="0.75" header="0.3" footer="0.3"/>
  <pageSetup paperSize="9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B38" sqref="B38"/>
    </sheetView>
  </sheetViews>
  <sheetFormatPr defaultColWidth="19.5546875" defaultRowHeight="12" customHeight="1"/>
  <cols>
    <col min="1" max="1" width="3.77734375" style="68" customWidth="1"/>
    <col min="2" max="2" width="70.21875" style="112" customWidth="1"/>
    <col min="3" max="3" width="51" style="68" customWidth="1"/>
    <col min="4" max="4" width="19.5546875" style="68" customWidth="1"/>
    <col min="5" max="16384" width="19.5546875" style="68"/>
  </cols>
  <sheetData>
    <row r="1" spans="1:4" ht="54.15" customHeight="1">
      <c r="A1" s="141" t="s">
        <v>735</v>
      </c>
      <c r="B1" s="142"/>
      <c r="C1" s="196"/>
    </row>
    <row r="2" spans="1:4" ht="16.5" customHeight="1" thickBot="1">
      <c r="A2" s="105" t="s">
        <v>767</v>
      </c>
      <c r="B2" s="105" t="s">
        <v>734</v>
      </c>
      <c r="C2" s="132" t="s">
        <v>733</v>
      </c>
      <c r="D2" s="45"/>
    </row>
    <row r="3" spans="1:4" ht="61.8" customHeight="1" thickBot="1">
      <c r="A3" s="107" t="s">
        <v>768</v>
      </c>
      <c r="B3" s="107" t="s">
        <v>811</v>
      </c>
      <c r="C3" s="133" t="s">
        <v>736</v>
      </c>
      <c r="D3" s="62"/>
    </row>
    <row r="4" spans="1:4" ht="30.3" customHeight="1" thickBot="1">
      <c r="A4" s="107" t="s">
        <v>769</v>
      </c>
      <c r="B4" s="107" t="s">
        <v>812</v>
      </c>
      <c r="C4" s="133" t="s">
        <v>737</v>
      </c>
      <c r="D4" s="62"/>
    </row>
    <row r="5" spans="1:4" ht="52.2" customHeight="1" thickBot="1">
      <c r="A5" s="107" t="s">
        <v>770</v>
      </c>
      <c r="B5" s="107" t="s">
        <v>813</v>
      </c>
      <c r="C5" s="133" t="s">
        <v>738</v>
      </c>
      <c r="D5" s="62"/>
    </row>
    <row r="6" spans="1:4" ht="40.799999999999997" customHeight="1" thickBot="1">
      <c r="A6" s="107" t="s">
        <v>771</v>
      </c>
      <c r="B6" s="107" t="s">
        <v>814</v>
      </c>
      <c r="C6" s="133" t="s">
        <v>739</v>
      </c>
      <c r="D6" s="62"/>
    </row>
    <row r="7" spans="1:4" ht="33" customHeight="1" thickBot="1">
      <c r="A7" s="107" t="s">
        <v>772</v>
      </c>
      <c r="B7" s="107" t="s">
        <v>815</v>
      </c>
      <c r="C7" s="133" t="s">
        <v>740</v>
      </c>
      <c r="D7" s="62"/>
    </row>
    <row r="8" spans="1:4" ht="40.799999999999997" customHeight="1" thickBot="1">
      <c r="A8" s="107" t="s">
        <v>773</v>
      </c>
      <c r="B8" s="107" t="s">
        <v>816</v>
      </c>
      <c r="C8" s="133" t="s">
        <v>741</v>
      </c>
      <c r="D8" s="62"/>
    </row>
    <row r="9" spans="1:4" ht="26.4" customHeight="1" thickBot="1">
      <c r="A9" s="107" t="s">
        <v>774</v>
      </c>
      <c r="B9" s="107" t="s">
        <v>817</v>
      </c>
      <c r="C9" s="133" t="s">
        <v>742</v>
      </c>
      <c r="D9" s="62"/>
    </row>
    <row r="10" spans="1:4" ht="30.3" customHeight="1" thickBot="1">
      <c r="A10" s="107" t="s">
        <v>775</v>
      </c>
      <c r="B10" s="107" t="s">
        <v>822</v>
      </c>
      <c r="C10" s="133" t="s">
        <v>743</v>
      </c>
      <c r="D10" s="62"/>
    </row>
    <row r="11" spans="1:4" ht="46.2" customHeight="1" thickBot="1">
      <c r="A11" s="107" t="s">
        <v>776</v>
      </c>
      <c r="B11" s="107" t="s">
        <v>821</v>
      </c>
      <c r="C11" s="133" t="s">
        <v>744</v>
      </c>
      <c r="D11" s="62"/>
    </row>
    <row r="12" spans="1:4" ht="60" customHeight="1" thickBot="1">
      <c r="A12" s="107" t="s">
        <v>777</v>
      </c>
      <c r="B12" s="107" t="s">
        <v>820</v>
      </c>
      <c r="C12" s="133" t="s">
        <v>745</v>
      </c>
      <c r="D12" s="62"/>
    </row>
    <row r="13" spans="1:4" ht="51" customHeight="1" thickBot="1">
      <c r="A13" s="107" t="s">
        <v>778</v>
      </c>
      <c r="B13" s="107" t="s">
        <v>806</v>
      </c>
      <c r="C13" s="133" t="s">
        <v>746</v>
      </c>
      <c r="D13" s="62"/>
    </row>
    <row r="14" spans="1:4" ht="81" customHeight="1" thickBot="1">
      <c r="A14" s="107" t="s">
        <v>779</v>
      </c>
      <c r="B14" s="107" t="s">
        <v>804</v>
      </c>
      <c r="C14" s="133" t="s">
        <v>747</v>
      </c>
      <c r="D14" s="62"/>
    </row>
    <row r="15" spans="1:4" ht="81" customHeight="1" thickBot="1">
      <c r="A15" s="107" t="s">
        <v>780</v>
      </c>
      <c r="B15" s="107" t="s">
        <v>819</v>
      </c>
      <c r="C15" s="133" t="s">
        <v>748</v>
      </c>
      <c r="D15" s="62"/>
    </row>
    <row r="16" spans="1:4" ht="81" customHeight="1" thickBot="1">
      <c r="A16" s="107" t="s">
        <v>781</v>
      </c>
      <c r="B16" s="107" t="s">
        <v>805</v>
      </c>
      <c r="C16" s="133" t="s">
        <v>749</v>
      </c>
      <c r="D16" s="62"/>
    </row>
    <row r="17" spans="1:4" ht="81" customHeight="1" thickBot="1">
      <c r="A17" s="107" t="s">
        <v>782</v>
      </c>
      <c r="B17" s="107" t="s">
        <v>818</v>
      </c>
      <c r="C17" s="133" t="s">
        <v>751</v>
      </c>
      <c r="D17" s="62"/>
    </row>
    <row r="18" spans="1:4" ht="81" customHeight="1" thickBot="1">
      <c r="A18" s="107" t="s">
        <v>783</v>
      </c>
      <c r="B18" s="107" t="s">
        <v>808</v>
      </c>
      <c r="C18" s="133" t="s">
        <v>752</v>
      </c>
      <c r="D18" s="62"/>
    </row>
    <row r="19" spans="1:4" ht="81" customHeight="1" thickBot="1">
      <c r="A19" s="107" t="s">
        <v>784</v>
      </c>
      <c r="B19" s="107" t="s">
        <v>823</v>
      </c>
      <c r="C19" s="133" t="s">
        <v>754</v>
      </c>
      <c r="D19" s="62"/>
    </row>
    <row r="20" spans="1:4" ht="81" customHeight="1" thickBot="1">
      <c r="A20" s="107" t="s">
        <v>785</v>
      </c>
      <c r="B20" s="107" t="s">
        <v>824</v>
      </c>
      <c r="C20" s="133" t="s">
        <v>755</v>
      </c>
      <c r="D20" s="62"/>
    </row>
    <row r="21" spans="1:4" ht="81" customHeight="1" thickBot="1">
      <c r="A21" s="107" t="s">
        <v>786</v>
      </c>
      <c r="B21" s="107" t="s">
        <v>802</v>
      </c>
      <c r="C21" s="133" t="s">
        <v>756</v>
      </c>
      <c r="D21" s="62"/>
    </row>
    <row r="22" spans="1:4" ht="81" customHeight="1" thickBot="1">
      <c r="A22" s="107" t="s">
        <v>787</v>
      </c>
      <c r="B22" s="107" t="s">
        <v>803</v>
      </c>
      <c r="C22" s="133" t="s">
        <v>757</v>
      </c>
      <c r="D22" s="62"/>
    </row>
    <row r="23" spans="1:4" ht="81" customHeight="1" thickBot="1">
      <c r="A23" s="107" t="s">
        <v>788</v>
      </c>
      <c r="B23" s="107" t="s">
        <v>826</v>
      </c>
      <c r="C23" s="133" t="s">
        <v>758</v>
      </c>
      <c r="D23" s="62"/>
    </row>
    <row r="24" spans="1:4" ht="81" customHeight="1" thickBot="1">
      <c r="A24" s="107" t="s">
        <v>789</v>
      </c>
      <c r="B24" s="107" t="s">
        <v>825</v>
      </c>
      <c r="C24" s="133" t="s">
        <v>759</v>
      </c>
      <c r="D24" s="62"/>
    </row>
    <row r="25" spans="1:4" ht="81" customHeight="1" thickBot="1">
      <c r="A25" s="107" t="s">
        <v>790</v>
      </c>
      <c r="B25" s="107" t="s">
        <v>807</v>
      </c>
      <c r="C25" s="133" t="s">
        <v>760</v>
      </c>
      <c r="D25" s="62"/>
    </row>
    <row r="26" spans="1:4" ht="81" customHeight="1" thickBot="1">
      <c r="A26" s="107" t="s">
        <v>791</v>
      </c>
      <c r="B26" s="107" t="s">
        <v>827</v>
      </c>
      <c r="C26" s="133" t="s">
        <v>761</v>
      </c>
      <c r="D26" s="62"/>
    </row>
    <row r="27" spans="1:4" ht="81" customHeight="1" thickBot="1">
      <c r="A27" s="107" t="s">
        <v>792</v>
      </c>
      <c r="B27" s="107" t="s">
        <v>828</v>
      </c>
      <c r="C27" s="133" t="s">
        <v>762</v>
      </c>
      <c r="D27" s="62"/>
    </row>
    <row r="28" spans="1:4" ht="81" customHeight="1" thickBot="1">
      <c r="A28" s="107" t="s">
        <v>793</v>
      </c>
      <c r="B28" s="107" t="s">
        <v>800</v>
      </c>
      <c r="C28" s="133" t="s">
        <v>763</v>
      </c>
      <c r="D28" s="62"/>
    </row>
    <row r="29" spans="1:4" ht="81" customHeight="1" thickBot="1">
      <c r="A29" s="107" t="s">
        <v>794</v>
      </c>
      <c r="B29" s="107" t="s">
        <v>801</v>
      </c>
      <c r="C29" s="133" t="s">
        <v>764</v>
      </c>
      <c r="D29" s="62"/>
    </row>
    <row r="30" spans="1:4" ht="81" customHeight="1" thickBot="1">
      <c r="A30" s="107" t="s">
        <v>795</v>
      </c>
      <c r="B30" s="107" t="s">
        <v>799</v>
      </c>
      <c r="C30" s="133" t="s">
        <v>765</v>
      </c>
      <c r="D30" s="62"/>
    </row>
    <row r="31" spans="1:4" ht="81" customHeight="1" thickBot="1">
      <c r="A31" s="107" t="s">
        <v>796</v>
      </c>
      <c r="B31" s="107" t="s">
        <v>798</v>
      </c>
      <c r="C31" s="133" t="s">
        <v>766</v>
      </c>
      <c r="D31" s="62"/>
    </row>
    <row r="32" spans="1:4" ht="81" customHeight="1" thickBot="1">
      <c r="A32" s="107" t="s">
        <v>809</v>
      </c>
      <c r="B32" s="107" t="s">
        <v>797</v>
      </c>
      <c r="C32" s="133"/>
      <c r="D32" s="62"/>
    </row>
    <row r="33" spans="1:4" ht="81" customHeight="1" thickBot="1">
      <c r="A33" s="107" t="s">
        <v>810</v>
      </c>
      <c r="B33" s="107" t="s">
        <v>829</v>
      </c>
      <c r="C33" s="133"/>
      <c r="D33" s="62"/>
    </row>
    <row r="34" spans="1:4" ht="81" customHeight="1" thickBot="1">
      <c r="A34" s="107" t="s">
        <v>832</v>
      </c>
      <c r="B34" s="107" t="s">
        <v>834</v>
      </c>
      <c r="C34" s="133" t="s">
        <v>833</v>
      </c>
      <c r="D34" s="62"/>
    </row>
    <row r="35" spans="1:4" ht="81" customHeight="1" thickBot="1">
      <c r="A35" s="107" t="s">
        <v>835</v>
      </c>
      <c r="B35" s="107" t="s">
        <v>845</v>
      </c>
      <c r="C35" s="133" t="s">
        <v>838</v>
      </c>
      <c r="D35" s="62"/>
    </row>
    <row r="36" spans="1:4" ht="81" customHeight="1" thickBot="1">
      <c r="A36" s="107" t="s">
        <v>836</v>
      </c>
      <c r="B36" s="107" t="s">
        <v>846</v>
      </c>
      <c r="C36" s="133" t="s">
        <v>844</v>
      </c>
      <c r="D36" s="62"/>
    </row>
    <row r="37" spans="1:4" ht="81" customHeight="1" thickBot="1">
      <c r="A37" s="107" t="s">
        <v>847</v>
      </c>
      <c r="B37" s="107" t="s">
        <v>848</v>
      </c>
      <c r="C37" s="133" t="s">
        <v>849</v>
      </c>
      <c r="D37" s="62"/>
    </row>
    <row r="38" spans="1:4" ht="81" customHeight="1" thickBot="1">
      <c r="A38" s="107"/>
      <c r="B38" s="107"/>
      <c r="C38" s="133"/>
      <c r="D38" s="62"/>
    </row>
    <row r="39" spans="1:4" ht="81" customHeight="1" thickBot="1">
      <c r="A39" s="107"/>
      <c r="B39" s="107"/>
      <c r="C39" s="133"/>
      <c r="D39" s="62"/>
    </row>
    <row r="40" spans="1:4" ht="12" customHeight="1">
      <c r="A40" s="63"/>
      <c r="B40" s="110"/>
      <c r="C40" s="62"/>
    </row>
    <row r="41" spans="1:4" ht="12" customHeight="1">
      <c r="A41" s="63"/>
      <c r="B41" s="110"/>
      <c r="C41" s="62"/>
    </row>
    <row r="42" spans="1:4" ht="12" customHeight="1">
      <c r="A42" s="63"/>
      <c r="B42" s="110"/>
      <c r="C42" s="62"/>
    </row>
    <row r="43" spans="1:4" ht="12" customHeight="1">
      <c r="A43" s="63"/>
      <c r="B43" s="110"/>
      <c r="C43" s="62"/>
    </row>
    <row r="44" spans="1:4" ht="12" customHeight="1">
      <c r="A44" s="65"/>
      <c r="B44" s="111"/>
      <c r="C44" s="67"/>
    </row>
  </sheetData>
  <mergeCells count="1">
    <mergeCell ref="A1:C1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4" r:id="rId30"/>
    <hyperlink ref="C35" r:id="rId31"/>
    <hyperlink ref="C36" r:id="rId32"/>
    <hyperlink ref="C37" r:id="rId33"/>
  </hyperlinks>
  <pageMargins left="0.7" right="0.7" top="0.75" bottom="0.75" header="0.3" footer="0.3"/>
  <pageSetup paperSize="9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СМЕТА 1-го мероприятия</vt:lpstr>
      <vt:lpstr>крышка техника</vt:lpstr>
      <vt:lpstr>пляж техника_см отдельный файл</vt:lpstr>
      <vt:lpstr>МЕНЮ- фуршет - Tаблиц</vt:lpstr>
      <vt:lpstr>БАР</vt:lpstr>
      <vt:lpstr>Алкогольная карта</vt:lpstr>
      <vt:lpstr>ФОТОГРАФИИ и ПРОМО</vt:lpstr>
      <vt:lpstr>Муз. группы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Dmitriy</cp:lastModifiedBy>
  <dcterms:created xsi:type="dcterms:W3CDTF">2023-09-06T12:09:00Z</dcterms:created>
  <dcterms:modified xsi:type="dcterms:W3CDTF">2024-06-21T15:30:39Z</dcterms:modified>
</cp:coreProperties>
</file>