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/>
  </bookViews>
  <sheets>
    <sheet name="Лист1" sheetId="1" r:id="rId1"/>
  </sheets>
  <definedNames>
    <definedName name="_xlnm.Print_Area" localSheetId="0">Лист1!$A$1:$K$81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4" i="1"/>
  <c r="E61" i="1"/>
  <c r="E60" i="1"/>
  <c r="E59" i="1"/>
  <c r="C64" i="1"/>
  <c r="C63" i="1"/>
  <c r="F60" i="1"/>
  <c r="C54" i="1"/>
  <c r="C50" i="1"/>
  <c r="C18" i="1"/>
  <c r="C26" i="1"/>
  <c r="F61" i="1"/>
  <c r="F59" i="1"/>
  <c r="C38" i="1"/>
  <c r="C34" i="1"/>
  <c r="C35" i="1"/>
  <c r="C39" i="1"/>
  <c r="C53" i="1"/>
  <c r="C49" i="1"/>
  <c r="C31" i="1"/>
  <c r="C45" i="1"/>
  <c r="C68" i="1" l="1"/>
  <c r="C67" i="1"/>
  <c r="C32" i="1"/>
  <c r="C36" i="1" l="1"/>
  <c r="C46" i="1" l="1"/>
  <c r="C55" i="1"/>
  <c r="C71" i="1"/>
  <c r="C51" i="1"/>
  <c r="C40" i="1" l="1"/>
</calcChain>
</file>

<file path=xl/sharedStrings.xml><?xml version="1.0" encoding="utf-8"?>
<sst xmlns="http://schemas.openxmlformats.org/spreadsheetml/2006/main" count="95" uniqueCount="59">
  <si>
    <t>Расчет рентабельности производства бутылированной воды</t>
  </si>
  <si>
    <t>Размер инвестиций:</t>
  </si>
  <si>
    <t>Анализ рынка:</t>
  </si>
  <si>
    <t>Объем рынка бутилированной воды в России в 2019 г. составил 26,3 млрд. литров и увеличился на 28,9%.</t>
  </si>
  <si>
    <t xml:space="preserve">Внутреннее производство составило 29,7 млрд. литров и выросло на 12,2%. </t>
  </si>
  <si>
    <t xml:space="preserve"> выяснилось, что 2019 г. был достаточно положительным для рынка. В частности, по всем показателям наблюдалась поступательная динамика роста. </t>
  </si>
  <si>
    <t>В ходе исследования, проведенного NeoAnalytics на тему “Российский рынок питьевой и минеральной воды: итоги 2019 г., прогноз до 2022 г.",</t>
  </si>
  <si>
    <t>Автаматическая линия производства:</t>
  </si>
  <si>
    <t>Средня стоимость произведенной продукции</t>
  </si>
  <si>
    <t>Средня стоимость за литр газированой воды  составляет 6,33 руб. Сответсвенно минимальная стоимость за литр газированой воды составляет 4,93 руб.</t>
  </si>
  <si>
    <t>руб.</t>
  </si>
  <si>
    <t xml:space="preserve">Стоимость тары и этикетки </t>
  </si>
  <si>
    <t>бут.</t>
  </si>
  <si>
    <t>Производительность линии в литрах</t>
  </si>
  <si>
    <t>литр.</t>
  </si>
  <si>
    <t>Минимальная стоимость произведенной продукции</t>
  </si>
  <si>
    <t>Потенциальная прибыль от производства</t>
  </si>
  <si>
    <t>Дополнительные расходы:</t>
  </si>
  <si>
    <t>Прибыль с реализации средняя за рабочий день</t>
  </si>
  <si>
    <t>Прибыль с реализации минимальная за рабочий день</t>
  </si>
  <si>
    <t>Прочие расходы до 30 000 в месяц</t>
  </si>
  <si>
    <t>Средняя чистая прибыль составит (за 24 рабочих дня)</t>
  </si>
  <si>
    <t>Минимальная чистая прибыль составит (за 24 рабочих дня)</t>
  </si>
  <si>
    <t>Итого:</t>
  </si>
  <si>
    <t>Производительность линии в час ПЭТ 5 л</t>
  </si>
  <si>
    <t xml:space="preserve">Планируемая реализация за  рабочий день </t>
  </si>
  <si>
    <t>Электроэнергия 200 к/вт в час ( тариф до 5 руб к/вт)</t>
  </si>
  <si>
    <t>ПЭТ 0,5 литра</t>
  </si>
  <si>
    <t>ПЭТ 1,5 литра</t>
  </si>
  <si>
    <t>ПЭТ 5 литров</t>
  </si>
  <si>
    <t>Прибыль мин.</t>
  </si>
  <si>
    <t>Прибыль ср.</t>
  </si>
  <si>
    <t xml:space="preserve"> В структуре рынка производства бутилированной воды в России, доля воды минеральной составляет 38,5%, </t>
  </si>
  <si>
    <t>доля воды питьевой, в том числе газированой, составляет 61,5%.</t>
  </si>
  <si>
    <t>Планируемое время работы производства 2 смены по 6 часов (12 часов),6 дней в неделю,с 8 до 14 и с 14 до 20.</t>
  </si>
  <si>
    <t>Средняя стоимость по ЦФО газ.бутилированной в 0.5 ПЭТ составляет 11,83  руб. и 15 рублей за 1,5 литра газ.воды в ПЭТ, 57 руб. за 5л негаз воды в ПЭТ.</t>
  </si>
  <si>
    <t>Стоимость тары с крышкой и этикетки составляет от 3,5 до 5,5 рублей,16 рублей за 5л. с крышкой.</t>
  </si>
  <si>
    <t>Минимальная стоимость малоизвестных брендов частных минизаводов  составляетв 6,50 руб за 0.5 ПЭТ и 10,90 за 1,5 литра газ.воды в ПЭТ, 40 рублей</t>
  </si>
  <si>
    <t>за 5 литров негаз. Воды в ПЭТ.</t>
  </si>
  <si>
    <t>Бурение скважины</t>
  </si>
  <si>
    <t>Насосная станция с установкой и запуском (зимний вариант)</t>
  </si>
  <si>
    <t>Система очистки воды</t>
  </si>
  <si>
    <t>Тара и этикетка</t>
  </si>
  <si>
    <t>Производительность линии в час ПЭТ 0,5 л</t>
  </si>
  <si>
    <t>Производительность линии за 12 часов  ПЭТ 0,5 л</t>
  </si>
  <si>
    <t>2 фуры 0,5 л 2 фуры 1,5 л и 3 фуры 5л.</t>
  </si>
  <si>
    <t>Транспортные расходы (7 фур  в день)</t>
  </si>
  <si>
    <t>Заработная плата до 30 чел. штат (средняя з/п 40 000 руб.)</t>
  </si>
  <si>
    <t>Доставка и сборка линий 4 фуры и день работы наладчика</t>
  </si>
  <si>
    <t>Каркасное утепленное здание 24*48 м  (1152 кв.м.)</t>
  </si>
  <si>
    <t>буриться скважина,обустраивается система очистки воды,строиться здания,завод комплектуется автоматическими линиями,</t>
  </si>
  <si>
    <t xml:space="preserve">Запуск производства в течении 6-12 месяцев.В течении этого времени подбирается участок,проводятся геодезические работы, </t>
  </si>
  <si>
    <t>проводятся пусконалодочные работы,набирается штат, завод комплектуется тарой и необходимыми расходниками,запускаем бренд в реализацию</t>
  </si>
  <si>
    <t>после получения всей необходимой документациии.</t>
  </si>
  <si>
    <t xml:space="preserve">Сбор документации и регистрация бизнеса </t>
  </si>
  <si>
    <t>Производительность линии за 12 часов  ПЭТ 5 л</t>
  </si>
  <si>
    <t>Первую прибыль можно будет вывести уже по окончанию второго года сотрудничества. Предполагаемый срок сотрудничества 10 лет.</t>
  </si>
  <si>
    <t>Вывод: рентабельность проекта составляет от 45,78 %  до 62%. Срок окупаемости инвестиций 4-7 месяцев с начала работы линий.</t>
  </si>
  <si>
    <t>Мелкотарка выпускает либо 0,5 либо 1,5 литра.За расчет взяли 0,5 -прибыл выше.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</si>
</sst>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7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3E3E3"/>
      </left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 style="medium">
        <color rgb="FFE3E3E3"/>
      </left>
      <right style="medium">
        <color rgb="FFE3E3E3"/>
      </right>
      <top/>
      <bottom style="medium">
        <color rgb="FFE3E3E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3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3" fontId="1" fillId="0" borderId="1" xfId="0" applyNumberFormat="1" applyFont="1" applyBorder="1"/>
    <xf numFmtId="3" fontId="1" fillId="0" borderId="0" xfId="0" applyNumberFormat="1" applyFont="1"/>
    <xf numFmtId="2" fontId="1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81"/>
  <sheetViews>
    <sheetView tabSelected="1" view="pageBreakPreview" zoomScale="75" zoomScaleNormal="100" zoomScaleSheetLayoutView="75" workbookViewId="0">
      <selection activeCell="B46" sqref="B46"/>
    </sheetView>
  </sheetViews>
  <sheetFormatPr defaultRowHeight="15" x14ac:dyDescent="0.25"/>
  <cols>
    <col min="1" max="1" width="9.28515625" bestFit="1" customWidth="1"/>
    <col min="2" max="2" width="70.28515625" customWidth="1"/>
    <col min="3" max="3" width="14" bestFit="1" customWidth="1"/>
    <col min="4" max="4" width="7.5703125" bestFit="1" customWidth="1"/>
    <col min="5" max="5" width="15" customWidth="1"/>
    <col min="6" max="6" width="18.140625" bestFit="1" customWidth="1"/>
    <col min="7" max="7" width="11.28515625" bestFit="1" customWidth="1"/>
    <col min="8" max="8" width="16.42578125" bestFit="1" customWidth="1"/>
    <col min="9" max="9" width="14" bestFit="1" customWidth="1"/>
    <col min="11" max="11" width="10.5703125" bestFit="1" customWidth="1"/>
  </cols>
  <sheetData>
    <row r="4" spans="1:13" ht="18.75" x14ac:dyDescent="0.3">
      <c r="A4" s="1"/>
      <c r="B4" s="1" t="s">
        <v>0</v>
      </c>
      <c r="C4" s="1"/>
      <c r="D4" s="1"/>
      <c r="F4" s="1"/>
      <c r="G4" s="1"/>
      <c r="H4" s="1"/>
      <c r="I4" s="1"/>
      <c r="J4" s="1"/>
      <c r="K4" s="1"/>
      <c r="L4" s="1"/>
      <c r="M4" s="1"/>
    </row>
    <row r="5" spans="1:13" ht="18.75" x14ac:dyDescent="0.3">
      <c r="A5" s="1"/>
      <c r="B5" s="1"/>
      <c r="C5" s="1"/>
      <c r="D5" s="1"/>
      <c r="F5" s="1"/>
      <c r="G5" s="1"/>
      <c r="H5" s="1"/>
      <c r="I5" s="1"/>
      <c r="J5" s="1"/>
      <c r="K5" s="1"/>
      <c r="L5" s="1"/>
      <c r="M5" s="1"/>
    </row>
    <row r="6" spans="1:13" ht="18.75" x14ac:dyDescent="0.3">
      <c r="A6" s="1"/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8.75" x14ac:dyDescent="0.3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8.75" x14ac:dyDescent="0.3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x14ac:dyDescent="0.3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.75" x14ac:dyDescent="0.3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.75" x14ac:dyDescent="0.3">
      <c r="A11" s="1" t="s">
        <v>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8.75" x14ac:dyDescent="0.3">
      <c r="A12" s="1" t="s">
        <v>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.75" x14ac:dyDescent="0.3">
      <c r="A13" s="1" t="s">
        <v>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.75" x14ac:dyDescent="0.3">
      <c r="A14" s="1" t="s">
        <v>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8.75" x14ac:dyDescent="0.3">
      <c r="A15" s="1" t="s">
        <v>38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3">
      <c r="A16" s="1" t="s">
        <v>36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.75" x14ac:dyDescent="0.3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.75" x14ac:dyDescent="0.3">
      <c r="A18" s="1"/>
      <c r="B18" s="1" t="s">
        <v>1</v>
      </c>
      <c r="C18" s="9">
        <f>SUM(C19:C26)</f>
        <v>97956213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 x14ac:dyDescent="0.3">
      <c r="A19" s="1"/>
      <c r="B19" s="1" t="s">
        <v>54</v>
      </c>
      <c r="C19" s="9">
        <v>350000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.75" x14ac:dyDescent="0.3">
      <c r="A20" s="1"/>
      <c r="B20" s="2" t="s">
        <v>39</v>
      </c>
      <c r="C20" s="9">
        <v>500000</v>
      </c>
      <c r="D20" s="1"/>
      <c r="E20" s="1"/>
      <c r="F20" s="10"/>
      <c r="G20" s="1"/>
      <c r="H20" s="1"/>
      <c r="I20" s="1"/>
      <c r="J20" s="1"/>
      <c r="K20" s="1"/>
      <c r="L20" s="1"/>
      <c r="M20" s="1"/>
    </row>
    <row r="21" spans="1:13" ht="18.75" x14ac:dyDescent="0.3">
      <c r="A21" s="1"/>
      <c r="B21" s="2" t="s">
        <v>40</v>
      </c>
      <c r="C21" s="9">
        <v>500000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8.75" x14ac:dyDescent="0.3">
      <c r="A22" s="1"/>
      <c r="B22" s="2" t="s">
        <v>41</v>
      </c>
      <c r="C22" s="9">
        <v>800000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.75" x14ac:dyDescent="0.3">
      <c r="A23" s="1"/>
      <c r="B23" s="2" t="s">
        <v>49</v>
      </c>
      <c r="C23" s="9">
        <v>21600000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.75" x14ac:dyDescent="0.3">
      <c r="A24" s="1"/>
      <c r="B24" s="2" t="s">
        <v>7</v>
      </c>
      <c r="C24" s="3">
        <v>72286213</v>
      </c>
      <c r="D24" s="1"/>
      <c r="E24" s="1"/>
      <c r="F24" s="10"/>
      <c r="G24" s="1"/>
      <c r="H24" s="1"/>
      <c r="I24" s="1"/>
      <c r="J24" s="1"/>
      <c r="K24" s="1"/>
      <c r="L24" s="1"/>
      <c r="M24" s="1"/>
    </row>
    <row r="25" spans="1:13" ht="18.75" x14ac:dyDescent="0.3">
      <c r="A25" s="1"/>
      <c r="B25" s="2" t="s">
        <v>48</v>
      </c>
      <c r="C25" s="3">
        <v>600000</v>
      </c>
      <c r="D25" s="1"/>
      <c r="E25" s="1"/>
      <c r="F25" s="10"/>
      <c r="G25" s="1"/>
      <c r="H25" s="1"/>
      <c r="I25" s="1"/>
      <c r="J25" s="1"/>
      <c r="K25" s="1"/>
      <c r="L25" s="1"/>
      <c r="M25" s="1"/>
    </row>
    <row r="26" spans="1:13" ht="18.75" x14ac:dyDescent="0.3">
      <c r="A26" s="1"/>
      <c r="B26" s="2" t="s">
        <v>42</v>
      </c>
      <c r="C26" s="3">
        <f>SUM(C35+C50)</f>
        <v>1320000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.75" x14ac:dyDescent="0.3">
      <c r="A27" s="1"/>
      <c r="B27" s="4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.75" x14ac:dyDescent="0.3">
      <c r="A28" s="1"/>
      <c r="B28" s="4" t="s">
        <v>34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.75" x14ac:dyDescent="0.3">
      <c r="A29" s="1"/>
      <c r="B29" s="4"/>
      <c r="C29" s="5"/>
      <c r="D29" s="4"/>
      <c r="E29" s="1"/>
      <c r="F29" s="1"/>
      <c r="G29" s="1"/>
      <c r="H29" s="1"/>
      <c r="I29" s="1"/>
      <c r="J29" s="1"/>
      <c r="K29" s="1"/>
      <c r="L29" s="1"/>
      <c r="M29" s="1"/>
    </row>
    <row r="30" spans="1:13" ht="18.75" x14ac:dyDescent="0.3">
      <c r="A30" s="1"/>
      <c r="B30" s="2" t="s">
        <v>43</v>
      </c>
      <c r="C30" s="3">
        <v>8500</v>
      </c>
      <c r="D30" s="2" t="s">
        <v>12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18.75" x14ac:dyDescent="0.3">
      <c r="A31" s="1"/>
      <c r="B31" s="2" t="s">
        <v>44</v>
      </c>
      <c r="C31" s="3">
        <f>C30*12</f>
        <v>102000</v>
      </c>
      <c r="D31" s="2" t="s">
        <v>12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ht="18.75" x14ac:dyDescent="0.3">
      <c r="A32" s="1"/>
      <c r="B32" s="2" t="s">
        <v>13</v>
      </c>
      <c r="C32" s="3">
        <f>C31*0.5</f>
        <v>51000</v>
      </c>
      <c r="D32" s="2" t="s">
        <v>14</v>
      </c>
      <c r="E32" s="1"/>
      <c r="F32" s="1"/>
      <c r="G32" s="1"/>
      <c r="H32" s="1"/>
      <c r="I32" s="1"/>
      <c r="J32" s="1"/>
      <c r="K32" s="1"/>
      <c r="L32" s="1"/>
      <c r="M32" s="1"/>
    </row>
    <row r="33" spans="1:13" ht="18.75" x14ac:dyDescent="0.3">
      <c r="A33" s="1"/>
      <c r="B33" s="4"/>
      <c r="C33" s="5"/>
      <c r="D33" s="4"/>
      <c r="E33" s="1"/>
      <c r="F33" s="1"/>
      <c r="G33" s="1"/>
      <c r="H33" s="1"/>
      <c r="I33" s="1"/>
      <c r="J33" s="1"/>
      <c r="K33" s="1"/>
      <c r="L33" s="1"/>
      <c r="M33" s="1"/>
    </row>
    <row r="34" spans="1:13" ht="18.75" x14ac:dyDescent="0.3">
      <c r="A34" s="1"/>
      <c r="B34" s="2" t="s">
        <v>8</v>
      </c>
      <c r="C34" s="3">
        <f>C31*18.5</f>
        <v>1887000</v>
      </c>
      <c r="D34" s="2" t="s">
        <v>10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ht="18.75" x14ac:dyDescent="0.3">
      <c r="A35" s="1"/>
      <c r="B35" s="2" t="s">
        <v>11</v>
      </c>
      <c r="C35" s="3">
        <f>C31*10</f>
        <v>1020000</v>
      </c>
      <c r="D35" s="2" t="s">
        <v>10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ht="18.75" x14ac:dyDescent="0.3">
      <c r="A36" s="1"/>
      <c r="B36" s="2" t="s">
        <v>16</v>
      </c>
      <c r="C36" s="3">
        <f>SUM(C34-C35)</f>
        <v>867000</v>
      </c>
      <c r="D36" s="2" t="s">
        <v>10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ht="18.75" x14ac:dyDescent="0.3">
      <c r="A37" s="1"/>
      <c r="B37" s="4"/>
      <c r="C37" s="5"/>
      <c r="D37" s="4"/>
      <c r="E37" s="1"/>
      <c r="F37" s="1"/>
      <c r="G37" s="1"/>
      <c r="H37" s="1"/>
      <c r="I37" s="1"/>
      <c r="J37" s="1"/>
      <c r="K37" s="1"/>
      <c r="L37" s="1"/>
      <c r="M37" s="1"/>
    </row>
    <row r="38" spans="1:13" ht="19.5" thickBot="1" x14ac:dyDescent="0.35">
      <c r="A38" s="1"/>
      <c r="B38" s="6" t="s">
        <v>15</v>
      </c>
      <c r="C38" s="3">
        <f>SUM(C31*15)</f>
        <v>1530000</v>
      </c>
      <c r="D38" s="2" t="s">
        <v>10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ht="19.5" thickBot="1" x14ac:dyDescent="0.35">
      <c r="A39" s="1"/>
      <c r="B39" s="2" t="s">
        <v>11</v>
      </c>
      <c r="C39" s="3">
        <f>SUM(C31*10)</f>
        <v>1020000</v>
      </c>
      <c r="D39" s="2" t="s">
        <v>10</v>
      </c>
      <c r="E39" s="1"/>
      <c r="F39" s="1"/>
      <c r="G39" s="1"/>
      <c r="H39" s="1"/>
      <c r="I39" s="12"/>
      <c r="J39" s="1"/>
      <c r="K39" s="1"/>
      <c r="L39" s="1"/>
      <c r="M39" s="1"/>
    </row>
    <row r="40" spans="1:13" ht="19.5" thickBot="1" x14ac:dyDescent="0.35">
      <c r="A40" s="1"/>
      <c r="B40" s="2" t="s">
        <v>16</v>
      </c>
      <c r="C40" s="3">
        <f>SUM(C38-C39)</f>
        <v>510000</v>
      </c>
      <c r="D40" s="2" t="s">
        <v>10</v>
      </c>
      <c r="E40" s="1"/>
      <c r="F40" s="1"/>
      <c r="G40" s="1"/>
      <c r="H40" s="1"/>
      <c r="I40" s="13"/>
      <c r="J40" s="1"/>
      <c r="K40" s="1"/>
      <c r="L40" s="1"/>
      <c r="M40" s="1"/>
    </row>
    <row r="41" spans="1:13" ht="19.5" thickBot="1" x14ac:dyDescent="0.35">
      <c r="A41" s="1"/>
      <c r="B41" s="4"/>
      <c r="C41" s="5"/>
      <c r="D41" s="4"/>
      <c r="E41" s="1"/>
      <c r="F41" s="1"/>
      <c r="G41" s="1"/>
      <c r="H41" s="1"/>
      <c r="I41" s="13"/>
      <c r="J41" s="1"/>
      <c r="K41" s="1"/>
      <c r="L41" s="1"/>
      <c r="M41" s="1"/>
    </row>
    <row r="42" spans="1:13" ht="19.5" thickBot="1" x14ac:dyDescent="0.35">
      <c r="A42" s="1"/>
      <c r="B42" s="4" t="s">
        <v>58</v>
      </c>
      <c r="C42" s="5"/>
      <c r="D42" s="4"/>
      <c r="E42" s="1"/>
      <c r="F42" s="1"/>
      <c r="G42" s="1"/>
      <c r="H42" s="1"/>
      <c r="I42" s="14"/>
      <c r="J42" s="1"/>
      <c r="K42" s="1"/>
      <c r="L42" s="1"/>
      <c r="M42" s="1"/>
    </row>
    <row r="43" spans="1:13" ht="19.5" thickBot="1" x14ac:dyDescent="0.35">
      <c r="A43" s="1"/>
      <c r="B43" s="4"/>
      <c r="C43" s="5"/>
      <c r="D43" s="4"/>
      <c r="E43" s="1"/>
      <c r="F43" s="1"/>
      <c r="G43" s="1"/>
      <c r="H43" s="1"/>
      <c r="I43" s="15"/>
      <c r="J43" s="1"/>
      <c r="K43" s="1"/>
      <c r="L43" s="1"/>
      <c r="M43" s="1"/>
    </row>
    <row r="44" spans="1:13" ht="19.5" thickBot="1" x14ac:dyDescent="0.35">
      <c r="A44" s="1"/>
      <c r="B44" s="2" t="s">
        <v>24</v>
      </c>
      <c r="C44" s="3">
        <v>1000</v>
      </c>
      <c r="D44" s="2" t="s">
        <v>12</v>
      </c>
      <c r="E44" s="1"/>
      <c r="F44" s="1"/>
      <c r="G44" s="1"/>
      <c r="H44" s="1"/>
      <c r="I44" s="16"/>
      <c r="J44" s="1"/>
      <c r="K44" s="1"/>
      <c r="L44" s="1"/>
      <c r="M44" s="1"/>
    </row>
    <row r="45" spans="1:13" ht="19.5" thickBot="1" x14ac:dyDescent="0.35">
      <c r="A45" s="1"/>
      <c r="B45" s="2" t="s">
        <v>55</v>
      </c>
      <c r="C45" s="3">
        <f>C44*12</f>
        <v>12000</v>
      </c>
      <c r="D45" s="2" t="s">
        <v>12</v>
      </c>
      <c r="E45" s="1"/>
      <c r="F45" s="1"/>
      <c r="G45" s="1"/>
      <c r="H45" s="1"/>
      <c r="I45" s="13"/>
      <c r="J45" s="1"/>
      <c r="K45" s="1"/>
      <c r="L45" s="1"/>
      <c r="M45" s="1"/>
    </row>
    <row r="46" spans="1:13" ht="19.5" thickBot="1" x14ac:dyDescent="0.35">
      <c r="A46" s="1"/>
      <c r="B46" s="2" t="s">
        <v>13</v>
      </c>
      <c r="C46" s="3">
        <f>C45*5</f>
        <v>60000</v>
      </c>
      <c r="D46" s="2" t="s">
        <v>14</v>
      </c>
      <c r="E46" s="1"/>
      <c r="F46" s="1"/>
      <c r="G46" s="1"/>
      <c r="H46" s="1"/>
      <c r="I46" s="14"/>
      <c r="J46" s="1"/>
      <c r="K46" s="1"/>
      <c r="L46" s="1"/>
      <c r="M46" s="1"/>
    </row>
    <row r="47" spans="1:13" ht="19.5" thickBot="1" x14ac:dyDescent="0.35">
      <c r="A47" s="1"/>
      <c r="B47" s="1"/>
      <c r="C47" s="7"/>
      <c r="D47" s="1"/>
      <c r="E47" s="1"/>
      <c r="F47" s="1"/>
      <c r="G47" s="1"/>
      <c r="H47" s="1"/>
      <c r="I47" s="15"/>
      <c r="J47" s="1"/>
      <c r="K47" s="1"/>
      <c r="L47" s="1"/>
      <c r="M47" s="1"/>
    </row>
    <row r="48" spans="1:13" ht="19.5" thickBot="1" x14ac:dyDescent="0.35">
      <c r="A48" s="1"/>
      <c r="B48" s="1"/>
      <c r="C48" s="7"/>
      <c r="D48" s="1"/>
      <c r="E48" s="1"/>
      <c r="F48" s="1"/>
      <c r="G48" s="1"/>
      <c r="H48" s="1"/>
      <c r="I48" s="16"/>
      <c r="J48" s="1"/>
      <c r="K48" s="1"/>
      <c r="L48" s="1"/>
      <c r="M48" s="1"/>
    </row>
    <row r="49" spans="1:13" ht="19.5" thickBot="1" x14ac:dyDescent="0.35">
      <c r="A49" s="1"/>
      <c r="B49" s="2" t="s">
        <v>8</v>
      </c>
      <c r="C49" s="3">
        <f>SUM(C45*60)</f>
        <v>720000</v>
      </c>
      <c r="D49" s="2" t="s">
        <v>10</v>
      </c>
      <c r="E49" s="1"/>
      <c r="F49" s="1"/>
      <c r="G49" s="1"/>
      <c r="H49" s="1"/>
      <c r="I49" s="13"/>
      <c r="J49" s="1"/>
      <c r="K49" s="1"/>
      <c r="L49" s="1"/>
      <c r="M49" s="1"/>
    </row>
    <row r="50" spans="1:13" ht="19.5" thickBot="1" x14ac:dyDescent="0.35">
      <c r="A50" s="1"/>
      <c r="B50" s="2" t="s">
        <v>11</v>
      </c>
      <c r="C50" s="3">
        <f>SUM(C45*25)</f>
        <v>300000</v>
      </c>
      <c r="D50" s="2" t="s">
        <v>10</v>
      </c>
      <c r="E50" s="1"/>
      <c r="F50" s="1"/>
      <c r="G50" s="1"/>
      <c r="H50" s="1"/>
      <c r="I50" s="14"/>
      <c r="J50" s="1"/>
      <c r="K50" s="1"/>
      <c r="L50" s="1"/>
      <c r="M50" s="1"/>
    </row>
    <row r="51" spans="1:13" ht="18.75" x14ac:dyDescent="0.3">
      <c r="A51" s="1"/>
      <c r="B51" s="2" t="s">
        <v>16</v>
      </c>
      <c r="C51" s="3">
        <f>SUM(C49-C50)</f>
        <v>420000</v>
      </c>
      <c r="D51" s="2" t="s">
        <v>10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ht="18.75" x14ac:dyDescent="0.3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.75" x14ac:dyDescent="0.3">
      <c r="A53" s="1"/>
      <c r="B53" s="2" t="s">
        <v>15</v>
      </c>
      <c r="C53" s="3">
        <f>SUM(C45*57)</f>
        <v>684000</v>
      </c>
      <c r="D53" s="2" t="s">
        <v>10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8.75" x14ac:dyDescent="0.3">
      <c r="A54" s="1"/>
      <c r="B54" s="2" t="s">
        <v>11</v>
      </c>
      <c r="C54" s="3">
        <f>SUM(C45*25)</f>
        <v>300000</v>
      </c>
      <c r="D54" s="2" t="s">
        <v>10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8.75" x14ac:dyDescent="0.3">
      <c r="A55" s="1"/>
      <c r="B55" s="2" t="s">
        <v>16</v>
      </c>
      <c r="C55" s="3">
        <f>SUM(C53-C54)</f>
        <v>384000</v>
      </c>
      <c r="D55" s="2" t="s">
        <v>10</v>
      </c>
      <c r="E55" s="1"/>
      <c r="F55" s="1"/>
      <c r="G55" s="1"/>
      <c r="H55" s="10"/>
      <c r="I55" s="1"/>
      <c r="J55" s="1"/>
      <c r="K55" s="1"/>
      <c r="L55" s="1"/>
      <c r="M55" s="1"/>
    </row>
    <row r="56" spans="1:13" ht="18.75" x14ac:dyDescent="0.3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8.75" x14ac:dyDescent="0.3">
      <c r="A57" s="1"/>
      <c r="B57" s="2" t="s">
        <v>25</v>
      </c>
      <c r="C57" s="3">
        <v>140000</v>
      </c>
      <c r="D57" s="2" t="s">
        <v>14</v>
      </c>
      <c r="E57" s="1" t="s">
        <v>45</v>
      </c>
      <c r="F57" s="1"/>
      <c r="G57" s="1"/>
      <c r="H57" s="1"/>
      <c r="I57" s="1"/>
      <c r="J57" s="1"/>
      <c r="K57" s="1"/>
      <c r="L57" s="1"/>
      <c r="M57" s="1"/>
    </row>
    <row r="58" spans="1:13" ht="18.75" x14ac:dyDescent="0.3">
      <c r="A58" s="1"/>
      <c r="B58" s="2"/>
      <c r="C58" s="3"/>
      <c r="D58" s="2"/>
      <c r="E58" s="1" t="s">
        <v>31</v>
      </c>
      <c r="F58" s="1" t="s">
        <v>30</v>
      </c>
      <c r="G58" s="1"/>
      <c r="H58" s="1"/>
      <c r="I58" s="1"/>
      <c r="J58" s="1"/>
      <c r="K58" s="1"/>
      <c r="L58" s="1"/>
      <c r="M58" s="1"/>
    </row>
    <row r="59" spans="1:13" ht="18.75" x14ac:dyDescent="0.3">
      <c r="A59" s="1"/>
      <c r="B59" s="2" t="s">
        <v>27</v>
      </c>
      <c r="C59" s="3">
        <v>80000</v>
      </c>
      <c r="D59" s="6" t="s">
        <v>12</v>
      </c>
      <c r="E59" s="9">
        <f>SUM((18.5-10)*C59)</f>
        <v>680000</v>
      </c>
      <c r="F59" s="9">
        <f>SUM((15-10)*C59)</f>
        <v>400000</v>
      </c>
      <c r="G59" s="1"/>
      <c r="H59" s="1"/>
      <c r="I59" s="1"/>
      <c r="J59" s="1"/>
      <c r="K59" s="1"/>
      <c r="L59" s="1"/>
      <c r="M59" s="1"/>
    </row>
    <row r="60" spans="1:13" ht="18.75" x14ac:dyDescent="0.3">
      <c r="A60" s="1"/>
      <c r="B60" s="2" t="s">
        <v>28</v>
      </c>
      <c r="C60" s="3">
        <v>26640</v>
      </c>
      <c r="D60" s="6" t="s">
        <v>12</v>
      </c>
      <c r="E60" s="9">
        <f>SUM((27-10)*C60)</f>
        <v>452880</v>
      </c>
      <c r="F60" s="9">
        <f>SUM((25-10)*C60)</f>
        <v>399600</v>
      </c>
      <c r="G60" s="1"/>
      <c r="H60" s="1"/>
      <c r="I60" s="1"/>
      <c r="J60" s="1"/>
      <c r="K60" s="1"/>
      <c r="L60" s="1"/>
      <c r="M60" s="1"/>
    </row>
    <row r="61" spans="1:13" ht="18.75" x14ac:dyDescent="0.3">
      <c r="A61" s="1"/>
      <c r="B61" s="2" t="s">
        <v>29</v>
      </c>
      <c r="C61" s="3">
        <v>12000</v>
      </c>
      <c r="D61" s="6" t="s">
        <v>12</v>
      </c>
      <c r="E61" s="9">
        <f>SUM((60-25)*C61)</f>
        <v>420000</v>
      </c>
      <c r="F61" s="9">
        <f>SUM((57-25)*C61)</f>
        <v>384000</v>
      </c>
      <c r="G61" s="1"/>
      <c r="H61" s="10"/>
      <c r="I61" s="1"/>
      <c r="J61" s="1"/>
      <c r="K61" s="1"/>
      <c r="L61" s="1"/>
      <c r="M61" s="1"/>
    </row>
    <row r="62" spans="1:13" ht="18.75" x14ac:dyDescent="0.3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8.75" x14ac:dyDescent="0.3">
      <c r="A63" s="1"/>
      <c r="B63" s="2" t="s">
        <v>18</v>
      </c>
      <c r="C63" s="3">
        <f>SUM(E59:E61)</f>
        <v>1552880</v>
      </c>
      <c r="D63" s="2" t="s">
        <v>10</v>
      </c>
      <c r="E63" s="1"/>
      <c r="F63" s="1"/>
      <c r="G63" s="1"/>
      <c r="H63" s="11"/>
      <c r="I63" s="1"/>
      <c r="J63" s="1"/>
      <c r="K63" s="1"/>
      <c r="L63" s="1"/>
      <c r="M63" s="1"/>
    </row>
    <row r="64" spans="1:13" ht="18.75" x14ac:dyDescent="0.3">
      <c r="A64" s="1"/>
      <c r="B64" s="2" t="s">
        <v>19</v>
      </c>
      <c r="C64" s="3">
        <f>SUM(F59:F61)</f>
        <v>1183600</v>
      </c>
      <c r="D64" s="2" t="s">
        <v>10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ht="18.75" x14ac:dyDescent="0.3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.75" x14ac:dyDescent="0.3">
      <c r="A66" s="1"/>
      <c r="B66" s="1" t="s">
        <v>17</v>
      </c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.75" x14ac:dyDescent="0.3">
      <c r="A67" s="1"/>
      <c r="B67" s="2" t="s">
        <v>26</v>
      </c>
      <c r="C67" s="3">
        <f>SUM(200*12*5)</f>
        <v>12000</v>
      </c>
      <c r="D67" s="2" t="s">
        <v>10</v>
      </c>
      <c r="E67" s="1"/>
      <c r="F67" s="1"/>
      <c r="G67" s="1"/>
      <c r="H67" s="1"/>
      <c r="I67" s="1"/>
      <c r="J67" s="1"/>
      <c r="K67" s="1"/>
      <c r="L67" s="1"/>
      <c r="M67" s="1"/>
    </row>
    <row r="68" spans="1:13" ht="18.75" x14ac:dyDescent="0.3">
      <c r="A68" s="1"/>
      <c r="B68" s="2" t="s">
        <v>47</v>
      </c>
      <c r="C68" s="3">
        <f>SUM(40000*30/24)</f>
        <v>50000</v>
      </c>
      <c r="D68" s="2" t="s">
        <v>10</v>
      </c>
      <c r="E68" s="1"/>
      <c r="F68" s="1"/>
      <c r="G68" s="1"/>
      <c r="H68" s="1"/>
      <c r="I68" s="1"/>
      <c r="J68" s="1"/>
      <c r="K68" s="1"/>
      <c r="L68" s="1"/>
      <c r="M68" s="1"/>
    </row>
    <row r="69" spans="1:13" ht="18.75" x14ac:dyDescent="0.3">
      <c r="A69" s="1"/>
      <c r="B69" s="2" t="s">
        <v>46</v>
      </c>
      <c r="C69" s="3">
        <v>140000</v>
      </c>
      <c r="D69" s="2" t="s">
        <v>10</v>
      </c>
      <c r="E69" s="1"/>
      <c r="F69" s="1"/>
      <c r="G69" s="1"/>
      <c r="H69" s="1"/>
      <c r="I69" s="1"/>
      <c r="J69" s="1"/>
      <c r="K69" s="1"/>
      <c r="L69" s="1"/>
      <c r="M69" s="1"/>
    </row>
    <row r="70" spans="1:13" ht="18.75" x14ac:dyDescent="0.3">
      <c r="A70" s="1"/>
      <c r="B70" s="6" t="s">
        <v>20</v>
      </c>
      <c r="C70" s="3">
        <v>1000</v>
      </c>
      <c r="D70" s="2" t="s">
        <v>10</v>
      </c>
      <c r="E70" s="1"/>
      <c r="F70" s="1"/>
      <c r="G70" s="1"/>
      <c r="H70" s="1"/>
      <c r="I70" s="1"/>
      <c r="J70" s="1"/>
      <c r="K70" s="1"/>
      <c r="L70" s="1"/>
      <c r="M70" s="1"/>
    </row>
    <row r="71" spans="1:13" ht="18.75" x14ac:dyDescent="0.3">
      <c r="A71" s="1"/>
      <c r="B71" s="8" t="s">
        <v>23</v>
      </c>
      <c r="C71" s="9">
        <f>SUM(C67:C70)</f>
        <v>203000</v>
      </c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3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8.75" x14ac:dyDescent="0.3">
      <c r="A73" s="1"/>
      <c r="B73" s="2" t="s">
        <v>21</v>
      </c>
      <c r="C73" s="9">
        <f>SUM((C63-C71)*24)</f>
        <v>32397120</v>
      </c>
      <c r="D73" s="2" t="s">
        <v>10</v>
      </c>
      <c r="E73" s="1"/>
      <c r="F73" s="1"/>
      <c r="G73" s="1"/>
      <c r="H73" s="1"/>
      <c r="I73" s="1"/>
      <c r="J73" s="1"/>
      <c r="K73" s="10"/>
      <c r="L73" s="1"/>
      <c r="M73" s="1"/>
    </row>
    <row r="74" spans="1:13" ht="18.75" x14ac:dyDescent="0.3">
      <c r="A74" s="1"/>
      <c r="B74" s="2" t="s">
        <v>22</v>
      </c>
      <c r="C74" s="9">
        <f>SUM((C64-C71)*24)</f>
        <v>23534400</v>
      </c>
      <c r="D74" s="2" t="s">
        <v>10</v>
      </c>
      <c r="E74" s="1"/>
      <c r="F74" s="1"/>
      <c r="G74" s="1"/>
      <c r="H74" s="1"/>
      <c r="I74" s="1"/>
      <c r="J74" s="1"/>
      <c r="K74" s="1"/>
      <c r="L74" s="1"/>
      <c r="M74" s="1"/>
    </row>
    <row r="75" spans="1:13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8.75" x14ac:dyDescent="0.3">
      <c r="A76" s="1"/>
      <c r="B76" s="1" t="s">
        <v>51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.75" x14ac:dyDescent="0.3">
      <c r="A77" s="1"/>
      <c r="B77" s="1" t="s">
        <v>50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8.75" x14ac:dyDescent="0.3">
      <c r="A78" s="1"/>
      <c r="B78" s="1" t="s">
        <v>52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8.75" x14ac:dyDescent="0.3">
      <c r="A79" s="1"/>
      <c r="B79" s="1" t="s">
        <v>53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.75" x14ac:dyDescent="0.3">
      <c r="A80" s="1"/>
      <c r="B80" s="1" t="s">
        <v>57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2" ht="18.75" x14ac:dyDescent="0.3">
      <c r="B81" s="1" t="s">
        <v>56</v>
      </c>
    </row>
  </sheetData>
  <pageMargins left="0" right="0" top="0" bottom="0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СЕРГЕЙ</cp:lastModifiedBy>
  <cp:lastPrinted>2021-04-12T17:26:14Z</cp:lastPrinted>
  <dcterms:created xsi:type="dcterms:W3CDTF">2021-04-11T05:13:04Z</dcterms:created>
  <dcterms:modified xsi:type="dcterms:W3CDTF">2023-03-30T06:45:43Z</dcterms:modified>
</cp:coreProperties>
</file>