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codeName="ЭтаКнига" defaultThemeVersion="124226"/>
  <bookViews>
    <workbookView xWindow="-105" yWindow="-105" windowWidth="20730" windowHeight="11760" tabRatio="801" activeTab="4"/>
  </bookViews>
  <sheets>
    <sheet name="Титульный" sheetId="17" r:id="rId1"/>
    <sheet name="Оглавление" sheetId="14" r:id="rId2"/>
    <sheet name="Имена" sheetId="16" r:id="rId3"/>
    <sheet name="Отчет" sheetId="15" r:id="rId4"/>
    <sheet name="Предпосылки" sheetId="1" r:id="rId5"/>
    <sheet name="Сценарии" sheetId="11" r:id="rId6"/>
    <sheet name="Время" sheetId="2" r:id="rId7"/>
    <sheet name="Инвестиции" sheetId="4" r:id="rId8"/>
    <sheet name="Операции" sheetId="3" r:id="rId9"/>
    <sheet name="Налоги" sheetId="5" r:id="rId10"/>
    <sheet name="Финансирование" sheetId="6" r:id="rId11"/>
    <sheet name="Оборотный_капитал" sheetId="8" r:id="rId12"/>
    <sheet name="Оценка" sheetId="10" r:id="rId13"/>
    <sheet name="Отчетность_по_периодам" sheetId="7" r:id="rId14"/>
    <sheet name="Отчетность_по_годам" sheetId="9" r:id="rId15"/>
    <sheet name="Коэффициенты" sheetId="12" r:id="rId16"/>
    <sheet name="Сигналы" sheetId="13" r:id="rId17"/>
  </sheets>
  <definedNames>
    <definedName name="АК_доля">Предпосылки!$D$222</definedName>
    <definedName name="АК_лимит">Предпосылки!$D$202</definedName>
    <definedName name="АК_стоимость">Предпосылки!$D$221</definedName>
    <definedName name="Ед_измерения_денег">Предпосылки!$D$37</definedName>
    <definedName name="Ед_измерения_периода">Предпосылки!$C$46</definedName>
    <definedName name="Ед_измерения_продукции">Предпосылки!$D$38</definedName>
    <definedName name="Ед_измерения_регулярных_платежей">Предпосылки!$D$40</definedName>
    <definedName name="Ед_измерения_цен">Предпосылки!$D$39</definedName>
    <definedName name="ЗК_стоимость">Предпосылки!$D$223</definedName>
    <definedName name="ИК_стоимость">Предпосылки!$D$224</definedName>
    <definedName name="Инвестиции_в_склад_год_инфляции">Предпосылки!$I$100:$P$100</definedName>
    <definedName name="Инвестиции_в_склад_график_оплаты">Предпосылки!$J$90:$CO$95</definedName>
    <definedName name="Инвестиции_в_склад_наименования">Предпосылки!$B$90:$B$95</definedName>
    <definedName name="Инвестиции_в_склад_суммы">Предпосылки!$F$90:$F$95</definedName>
    <definedName name="Инвестиции_в_склад_уровень_инфляции">Предпосылки!$I$101:$P$101</definedName>
    <definedName name="Капексы_год_инфляции">Предпосылки!$I$78:$P$78</definedName>
    <definedName name="Капексы_график_оплаты">Предпосылки!$J$68:$CO$73</definedName>
    <definedName name="Капексы_наименования">Предпосылки!$B$68:$B$73</definedName>
    <definedName name="Капексы_суммы">Предпосылки!$F$68:$F$73</definedName>
    <definedName name="Капексы_уровень_инфляции">Предпосылки!$I$79:$P$79</definedName>
    <definedName name="Кв_в_году">Предпосылки!$D$56</definedName>
    <definedName name="Компания">Предпосылки!$C$7</definedName>
    <definedName name="Конец_инвест">Предпосылки!$C$51</definedName>
    <definedName name="Конец_тек">Предпосылки!$D$51</definedName>
    <definedName name="Лист_время">Время!$B$11</definedName>
    <definedName name="Лист_имена">Имена!$B$5</definedName>
    <definedName name="Лист_инвестиции">Инвестиции!$B$33</definedName>
    <definedName name="Лист_коэффициенты">Коэффициенты!$B$33</definedName>
    <definedName name="Лист_налоги">Налоги!$B$33</definedName>
    <definedName name="Лист_оборотный_капитал">Оборотный_капитал!$B$33</definedName>
    <definedName name="Лист_оглавление">Оглавление!$B$6</definedName>
    <definedName name="Лист_операции">Операции!$B$33</definedName>
    <definedName name="Лист_отчет">Отчет!$B$5</definedName>
    <definedName name="Лист_отчетность_по_годам">Отчетность_по_годам!$B$16</definedName>
    <definedName name="Лист_отчетность_по_периодам_планирования">Отчетность_по_периодам!$B$33</definedName>
    <definedName name="Лист_оценка">Оценка!$B$33</definedName>
    <definedName name="Лист_предпосылки">Предпосылки!$B$4</definedName>
    <definedName name="Лист_сигналы">Сигналы!$B$8</definedName>
    <definedName name="Лист_сценарии">Сценарии!$B$7</definedName>
    <definedName name="Лист_финансирование">Финансирование!$B$35</definedName>
    <definedName name="Мес_в_году">Предпосылки!$D$54</definedName>
    <definedName name="Мес_в_кв">Предпосылки!$D$58</definedName>
    <definedName name="Мес_в_полугод">Предпосылки!$D$57</definedName>
    <definedName name="Налоги_года">Предпосылки!$C$242:$I$242</definedName>
    <definedName name="Начало_инвест">Предпосылки!$C$49</definedName>
    <definedName name="Начало_тек">Предпосылки!$D$49</definedName>
    <definedName name="Начальная_дата">Предпосылки!$C$44</definedName>
    <definedName name="НДС_вложения_в_склад_ставки">Предпосылки!$C$246:$J$246</definedName>
    <definedName name="НДС_выручка_ставки">Предпосылки!$C$243:$J$243</definedName>
    <definedName name="НДС_капекс_ставки">Предпосылки!$C$245:$J$245</definedName>
    <definedName name="НДС_текзатраты_ставки">Предпосылки!$C$244:$J$244</definedName>
    <definedName name="НДФЛ_ставки">Предпосылки!$C$250:$J$250</definedName>
    <definedName name="НнИ_ставки">Предпосылки!$C$249:$J$249</definedName>
    <definedName name="НнП_ставки">Предпосылки!$C$248:$J$248</definedName>
    <definedName name="Оборачиваемость_год">Предпосылки!$D$263:$K$263</definedName>
    <definedName name="Оборачиваемость_дебиторка">Предпосылки!$D$265:$K$265</definedName>
    <definedName name="Оборачиваемость_запасы">Предпосылки!$D$264:$K$264</definedName>
    <definedName name="Оборачиваемость_кредиторка">Предпосылки!$D$266:$K$266</definedName>
    <definedName name="Оборачиваемость_показатели">Предпосылки!$B$264:$C$266</definedName>
    <definedName name="ПМЗ_год_инфляции">Предпосылки!$I$143:$O$143</definedName>
    <definedName name="ПМЗ_наименования">Предпосылки!$B$145:$B$154</definedName>
    <definedName name="ПМЗ_ставки">Предпосылки!$F$145:$F$154</definedName>
    <definedName name="ПМЗ_уровень_инфляции">Предпосылки!$I$144:$P$144</definedName>
    <definedName name="ПНЗ_год_инфляции">Предпосылки!$I$158:$O$158</definedName>
    <definedName name="ПНЗ_наименования">Предпосылки!$B$160:$B$162</definedName>
    <definedName name="ПНЗ_ставки">Предпосылки!$F$160:$F$162</definedName>
    <definedName name="ПНЗ_уровень_инфляции">Предпосылки!$I$159:$P$159</definedName>
    <definedName name="Полугод_в_году">Предпосылки!$D$55</definedName>
    <definedName name="Постоянные_затраты_год_инфляции">Предпосылки!$I$168:$O$168</definedName>
    <definedName name="Постоянные_затраты_наименования">Предпосылки!$B$170:$B$178</definedName>
    <definedName name="Постоянные_затраты_суммы">Предпосылки!$F$170:$F$178</definedName>
    <definedName name="Постоянные_затраты_уровень_инфляции">Предпосылки!$I$169:$P$169</definedName>
    <definedName name="Постпрогноз_NOPAT">Предпосылки!$D$234</definedName>
    <definedName name="Постпрогноз_доля_ЗК">Предпосылки!$D$236</definedName>
    <definedName name="Продажи_год_инфляции">Предпосылки!$I$125:$O$125</definedName>
    <definedName name="Продажи_год_прироста">Предпосылки!$I$110:$O$110</definedName>
    <definedName name="Продажи_наименования">Предпосылки!$B$111:$B$121</definedName>
    <definedName name="Продажи_натуральное_выражение">Предпосылки!$F$111:$F$121</definedName>
    <definedName name="Продажи_уровень_инфляции">Предпосылки!$I$126:$O$126</definedName>
    <definedName name="Продажи_уровень_прироста_продукт1">Предпосылки!$I$111:$O$111</definedName>
    <definedName name="Продажи_уровень_прироста_продукт10">Предпосылки!$I$120:$O$120</definedName>
    <definedName name="Продажи_уровень_прироста_продукт11">Предпосылки!$I$121:$O$121</definedName>
    <definedName name="Продажи_уровень_прироста_продукт2">Предпосылки!$I$112:$O$112</definedName>
    <definedName name="Продажи_уровень_прироста_продукт3">Предпосылки!$I$113:$O$113</definedName>
    <definedName name="Продажи_уровень_прироста_продукт4">Предпосылки!$I$114:$O$114</definedName>
    <definedName name="Продажи_уровень_прироста_продукт5">Предпосылки!$I$115:$O$115</definedName>
    <definedName name="Продажи_уровень_прироста_продукт6">Предпосылки!$I$116:$O$116</definedName>
    <definedName name="Продажи_уровень_прироста_продукт7">Предпосылки!$I$117:$O$117</definedName>
    <definedName name="Продажи_уровень_прироста_продукт8">Предпосылки!$I$118:$O$118</definedName>
    <definedName name="Продажи_уровень_прироста_продукт9">Предпосылки!$I$119:$O$119</definedName>
    <definedName name="Продажи_цены">Предпосылки!$F$127:$F$137</definedName>
    <definedName name="Проект">Предпосылки!$C$8</definedName>
    <definedName name="Сельхозналог_ставки">Предпосылки!$C$247:$J$247</definedName>
    <definedName name="Ставка_дисконтирования_постпрогноз">Предпосылки!$D$235</definedName>
    <definedName name="Ставка_дисконтирования_прогноз">Предпосылки!$D$230</definedName>
    <definedName name="Страховые_взносы_года">Предпосылки!$D$254:$L$254</definedName>
    <definedName name="Страховые_взносы_пониженная_ставка">Предпосылки!$D$257:$L$257</definedName>
    <definedName name="Страховые_взносы_ставка">Предпосылки!$D$256:$L$256</definedName>
    <definedName name="Страховые_взносы_ставка_отсечения">Предпосылки!$D$255:$L$255</definedName>
    <definedName name="Сценарий">Сценарии!$C$11</definedName>
    <definedName name="Сценарий_затраты_на_первоначальный_склад">Сценарии!$D$23:$F$23</definedName>
    <definedName name="Сценарий_капитальные_затраты">Сценарии!$D$22:$F$22</definedName>
    <definedName name="Сценарий_название">Сценарии!$C$10</definedName>
    <definedName name="Сценарий_номера">Сценарии!$D$15:$F$15</definedName>
    <definedName name="Сценарий_объем_продаж">Сценарии!$D$17:$F$17</definedName>
    <definedName name="Сценарий_переменные_материальные_затраты">Сценарии!$D$19:$F$19</definedName>
    <definedName name="Сценарий_переменные_нематериальные_затраты">Сценарии!$D$20:$F$20</definedName>
    <definedName name="Сценарий_постоянные_затраты">Сценарии!$D$21:$F$21</definedName>
    <definedName name="Сценарии_результаты">Сценарии!$F$28:$H$37</definedName>
    <definedName name="Сценарий_цена">Сценарии!$D$18:$F$18</definedName>
    <definedName name="Фазы_название">Предпосылки!$C$48:$D$48</definedName>
    <definedName name="ФОТ_год_инфляции">Предпосылки!$I$192:$O$192</definedName>
    <definedName name="ФОТ_должности">Предпосылки!$B$186:$B$188</definedName>
    <definedName name="ФОТ_единицы_измерения">Предпосылки!$C$186:$C$188</definedName>
    <definedName name="ФОТ_количество_персонала">Предпосылки!$D$186:$J$188</definedName>
    <definedName name="ФОТ_операционный_год">Предпосылки!$D$185:$J$185</definedName>
    <definedName name="ФОТ_ставки_ЗП">Предпосылки!$C$194:$C$196</definedName>
    <definedName name="ФОТ_уровень_инфляции">Предпосылки!$I$193:$P$193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17" l="1"/>
  <c r="I2" i="17"/>
  <c r="B16" i="17" l="1"/>
  <c r="F80" i="6"/>
  <c r="F75" i="6"/>
  <c r="B69" i="6" a="1"/>
  <c r="B69" i="6" s="1"/>
  <c r="F64" i="6" a="1"/>
  <c r="F64" i="6" s="1"/>
  <c r="E108" i="6"/>
  <c r="V108" i="6" s="1"/>
  <c r="F113" i="6"/>
  <c r="F101" i="6"/>
  <c r="I2" i="6"/>
  <c r="B8" i="6" a="1"/>
  <c r="F8" i="6" a="1"/>
  <c r="B13" i="6" a="1"/>
  <c r="F13" i="6" a="1"/>
  <c r="B18" i="6" a="1"/>
  <c r="B29" i="6" s="1"/>
  <c r="F18" i="6" a="1"/>
  <c r="D45" i="6"/>
  <c r="E47" i="6" s="1"/>
  <c r="F45" i="6" s="1"/>
  <c r="F51" i="6"/>
  <c r="F85" i="6"/>
  <c r="E96" i="6"/>
  <c r="CC96" i="6" s="1"/>
  <c r="F120" i="6"/>
  <c r="BN108" i="6" l="1"/>
  <c r="AL108" i="6"/>
  <c r="CH108" i="6"/>
  <c r="BJ108" i="6"/>
  <c r="AD108" i="6"/>
  <c r="CD108" i="6"/>
  <c r="AX108" i="6"/>
  <c r="G108" i="6"/>
  <c r="N108" i="6"/>
  <c r="AH108" i="6"/>
  <c r="BB108" i="6"/>
  <c r="BZ108" i="6"/>
  <c r="BR108" i="6"/>
  <c r="AT108" i="6"/>
  <c r="R108" i="6"/>
  <c r="G96" i="6"/>
  <c r="AA96" i="6"/>
  <c r="BN96" i="6"/>
  <c r="CE96" i="6"/>
  <c r="AO96" i="6"/>
  <c r="BU96" i="6"/>
  <c r="CH96" i="6"/>
  <c r="BA96" i="6"/>
  <c r="BZ96" i="6"/>
  <c r="CK96" i="6"/>
  <c r="BG96" i="6"/>
  <c r="B70" i="6"/>
  <c r="F108" i="6"/>
  <c r="BV108" i="6"/>
  <c r="BF108" i="6"/>
  <c r="AP108" i="6"/>
  <c r="Z108" i="6"/>
  <c r="J108" i="6"/>
  <c r="CC65" i="6"/>
  <c r="BQ65" i="6"/>
  <c r="BE65" i="6"/>
  <c r="AO65" i="6"/>
  <c r="AG65" i="6"/>
  <c r="U65" i="6"/>
  <c r="I65" i="6"/>
  <c r="CC64" i="6"/>
  <c r="BQ64" i="6"/>
  <c r="BE64" i="6"/>
  <c r="AO64" i="6"/>
  <c r="AG64" i="6"/>
  <c r="I64" i="6"/>
  <c r="CJ65" i="6"/>
  <c r="CF65" i="6"/>
  <c r="CB65" i="6"/>
  <c r="BX65" i="6"/>
  <c r="BT65" i="6"/>
  <c r="BP65" i="6"/>
  <c r="BL65" i="6"/>
  <c r="BH65" i="6"/>
  <c r="BD65" i="6"/>
  <c r="AZ65" i="6"/>
  <c r="AV65" i="6"/>
  <c r="AR65" i="6"/>
  <c r="AN65" i="6"/>
  <c r="AJ65" i="6"/>
  <c r="AF65" i="6"/>
  <c r="AB65" i="6"/>
  <c r="X65" i="6"/>
  <c r="T65" i="6"/>
  <c r="P65" i="6"/>
  <c r="L65" i="6"/>
  <c r="H65" i="6"/>
  <c r="CJ64" i="6"/>
  <c r="CF64" i="6"/>
  <c r="CB64" i="6"/>
  <c r="BX64" i="6"/>
  <c r="BT64" i="6"/>
  <c r="BP64" i="6"/>
  <c r="BL64" i="6"/>
  <c r="BH64" i="6"/>
  <c r="BD64" i="6"/>
  <c r="AZ64" i="6"/>
  <c r="AV64" i="6"/>
  <c r="AR64" i="6"/>
  <c r="AN64" i="6"/>
  <c r="AJ64" i="6"/>
  <c r="AF64" i="6"/>
  <c r="AB64" i="6"/>
  <c r="X64" i="6"/>
  <c r="T64" i="6"/>
  <c r="P64" i="6"/>
  <c r="L64" i="6"/>
  <c r="H64" i="6"/>
  <c r="CG65" i="6"/>
  <c r="BU65" i="6"/>
  <c r="BI65" i="6"/>
  <c r="AW65" i="6"/>
  <c r="AK65" i="6"/>
  <c r="Y65" i="6"/>
  <c r="M65" i="6"/>
  <c r="CK64" i="6"/>
  <c r="BY64" i="6"/>
  <c r="BM64" i="6"/>
  <c r="BA64" i="6"/>
  <c r="AS64" i="6"/>
  <c r="AK64" i="6"/>
  <c r="Y64" i="6"/>
  <c r="U64" i="6"/>
  <c r="Q64" i="6"/>
  <c r="CI65" i="6"/>
  <c r="CE65" i="6"/>
  <c r="CA65" i="6"/>
  <c r="BW65" i="6"/>
  <c r="BS65" i="6"/>
  <c r="BO65" i="6"/>
  <c r="BK65" i="6"/>
  <c r="BG65" i="6"/>
  <c r="BC65" i="6"/>
  <c r="AY65" i="6"/>
  <c r="AU65" i="6"/>
  <c r="AQ65" i="6"/>
  <c r="AM65" i="6"/>
  <c r="AI65" i="6"/>
  <c r="AE65" i="6"/>
  <c r="AA65" i="6"/>
  <c r="W65" i="6"/>
  <c r="S65" i="6"/>
  <c r="O65" i="6"/>
  <c r="K65" i="6"/>
  <c r="G65" i="6"/>
  <c r="CI64" i="6"/>
  <c r="CE64" i="6"/>
  <c r="CA64" i="6"/>
  <c r="BW64" i="6"/>
  <c r="BS64" i="6"/>
  <c r="BO64" i="6"/>
  <c r="BK64" i="6"/>
  <c r="BG64" i="6"/>
  <c r="BC64" i="6"/>
  <c r="AY64" i="6"/>
  <c r="AU64" i="6"/>
  <c r="AQ64" i="6"/>
  <c r="AM64" i="6"/>
  <c r="AI64" i="6"/>
  <c r="AE64" i="6"/>
  <c r="AA64" i="6"/>
  <c r="W64" i="6"/>
  <c r="S64" i="6"/>
  <c r="O64" i="6"/>
  <c r="K64" i="6"/>
  <c r="G64" i="6"/>
  <c r="CK65" i="6"/>
  <c r="BY65" i="6"/>
  <c r="BM65" i="6"/>
  <c r="BA65" i="6"/>
  <c r="AS65" i="6"/>
  <c r="AC65" i="6"/>
  <c r="Q65" i="6"/>
  <c r="CG64" i="6"/>
  <c r="BU64" i="6"/>
  <c r="BI64" i="6"/>
  <c r="AW64" i="6"/>
  <c r="AC64" i="6"/>
  <c r="M64" i="6"/>
  <c r="CH65" i="6"/>
  <c r="CD65" i="6"/>
  <c r="BZ65" i="6"/>
  <c r="BV65" i="6"/>
  <c r="BR65" i="6"/>
  <c r="BN65" i="6"/>
  <c r="BJ65" i="6"/>
  <c r="BF65" i="6"/>
  <c r="BB65" i="6"/>
  <c r="AX65" i="6"/>
  <c r="AT65" i="6"/>
  <c r="AP65" i="6"/>
  <c r="AL65" i="6"/>
  <c r="AH65" i="6"/>
  <c r="AD65" i="6"/>
  <c r="Z65" i="6"/>
  <c r="V65" i="6"/>
  <c r="R65" i="6"/>
  <c r="N65" i="6"/>
  <c r="J65" i="6"/>
  <c r="F65" i="6"/>
  <c r="CH64" i="6"/>
  <c r="CD64" i="6"/>
  <c r="BZ64" i="6"/>
  <c r="BV64" i="6"/>
  <c r="BR64" i="6"/>
  <c r="BN64" i="6"/>
  <c r="BJ64" i="6"/>
  <c r="BF64" i="6"/>
  <c r="BB64" i="6"/>
  <c r="AX64" i="6"/>
  <c r="AT64" i="6"/>
  <c r="AP64" i="6"/>
  <c r="AL64" i="6"/>
  <c r="AH64" i="6"/>
  <c r="AD64" i="6"/>
  <c r="Z64" i="6"/>
  <c r="V64" i="6"/>
  <c r="R64" i="6"/>
  <c r="N64" i="6"/>
  <c r="J64" i="6"/>
  <c r="CK108" i="6"/>
  <c r="CG108" i="6"/>
  <c r="CC108" i="6"/>
  <c r="BY108" i="6"/>
  <c r="BU108" i="6"/>
  <c r="BQ108" i="6"/>
  <c r="BM108" i="6"/>
  <c r="BI108" i="6"/>
  <c r="BE108" i="6"/>
  <c r="BA108" i="6"/>
  <c r="AW108" i="6"/>
  <c r="AS108" i="6"/>
  <c r="AO108" i="6"/>
  <c r="AK108" i="6"/>
  <c r="AG108" i="6"/>
  <c r="AC108" i="6"/>
  <c r="Y108" i="6"/>
  <c r="U108" i="6"/>
  <c r="Q108" i="6"/>
  <c r="M108" i="6"/>
  <c r="I108" i="6"/>
  <c r="CJ108" i="6"/>
  <c r="CF108" i="6"/>
  <c r="CB108" i="6"/>
  <c r="BX108" i="6"/>
  <c r="BT108" i="6"/>
  <c r="BP108" i="6"/>
  <c r="BL108" i="6"/>
  <c r="BH108" i="6"/>
  <c r="BD108" i="6"/>
  <c r="AZ108" i="6"/>
  <c r="AV108" i="6"/>
  <c r="AR108" i="6"/>
  <c r="AN108" i="6"/>
  <c r="AJ108" i="6"/>
  <c r="AF108" i="6"/>
  <c r="AB108" i="6"/>
  <c r="X108" i="6"/>
  <c r="T108" i="6"/>
  <c r="P108" i="6"/>
  <c r="L108" i="6"/>
  <c r="H108" i="6"/>
  <c r="CI108" i="6"/>
  <c r="CE108" i="6"/>
  <c r="CA108" i="6"/>
  <c r="BW108" i="6"/>
  <c r="BS108" i="6"/>
  <c r="BO108" i="6"/>
  <c r="BK108" i="6"/>
  <c r="BG108" i="6"/>
  <c r="BC108" i="6"/>
  <c r="AY108" i="6"/>
  <c r="AU108" i="6"/>
  <c r="AQ108" i="6"/>
  <c r="AM108" i="6"/>
  <c r="AI108" i="6"/>
  <c r="AE108" i="6"/>
  <c r="AA108" i="6"/>
  <c r="W108" i="6"/>
  <c r="S108" i="6"/>
  <c r="O108" i="6"/>
  <c r="K108" i="6"/>
  <c r="CI96" i="6"/>
  <c r="CD96" i="6"/>
  <c r="BY96" i="6"/>
  <c r="BS96" i="6"/>
  <c r="BM96" i="6"/>
  <c r="BF96" i="6"/>
  <c r="AX96" i="6"/>
  <c r="AM96" i="6"/>
  <c r="Y96" i="6"/>
  <c r="BW96" i="6"/>
  <c r="BR96" i="6"/>
  <c r="BK96" i="6"/>
  <c r="BC96" i="6"/>
  <c r="AW96" i="6"/>
  <c r="AH96" i="6"/>
  <c r="Q96" i="6"/>
  <c r="CG96" i="6"/>
  <c r="CA96" i="6"/>
  <c r="BV96" i="6"/>
  <c r="BQ96" i="6"/>
  <c r="BI96" i="6"/>
  <c r="BB96" i="6"/>
  <c r="AT96" i="6"/>
  <c r="AG96" i="6"/>
  <c r="H96" i="6"/>
  <c r="K96" i="6"/>
  <c r="S96" i="6"/>
  <c r="Z96" i="6"/>
  <c r="AE96" i="6"/>
  <c r="AK96" i="6"/>
  <c r="AP96" i="6"/>
  <c r="AU96" i="6"/>
  <c r="O96" i="6"/>
  <c r="CJ96" i="6"/>
  <c r="CF96" i="6"/>
  <c r="CB96" i="6"/>
  <c r="BX96" i="6"/>
  <c r="BT96" i="6"/>
  <c r="BO96" i="6"/>
  <c r="BJ96" i="6"/>
  <c r="BE96" i="6"/>
  <c r="AY96" i="6"/>
  <c r="AS96" i="6"/>
  <c r="AL96" i="6"/>
  <c r="AD96" i="6"/>
  <c r="W96" i="6"/>
  <c r="M96" i="6"/>
  <c r="AQ96" i="6"/>
  <c r="AI96" i="6"/>
  <c r="AC96" i="6"/>
  <c r="U96" i="6"/>
  <c r="I96" i="6"/>
  <c r="V96" i="6"/>
  <c r="R96" i="6"/>
  <c r="N96" i="6"/>
  <c r="J96" i="6"/>
  <c r="F96" i="6"/>
  <c r="B8" i="6"/>
  <c r="B9" i="6"/>
  <c r="BP96" i="6"/>
  <c r="BL96" i="6"/>
  <c r="BH96" i="6"/>
  <c r="BD96" i="6"/>
  <c r="AZ96" i="6"/>
  <c r="AV96" i="6"/>
  <c r="AR96" i="6"/>
  <c r="AN96" i="6"/>
  <c r="AJ96" i="6"/>
  <c r="AF96" i="6"/>
  <c r="AB96" i="6"/>
  <c r="X96" i="6"/>
  <c r="T96" i="6"/>
  <c r="P96" i="6"/>
  <c r="L96" i="6"/>
  <c r="B21" i="6"/>
  <c r="B18" i="6"/>
  <c r="B19" i="6"/>
  <c r="B25" i="6"/>
  <c r="B22" i="6"/>
  <c r="B26" i="6"/>
  <c r="B20" i="6"/>
  <c r="B23" i="6"/>
  <c r="B27" i="6"/>
  <c r="B28" i="6"/>
  <c r="B24" i="6"/>
  <c r="D207" i="1"/>
  <c r="D228" i="1" s="1"/>
  <c r="D227" i="1"/>
  <c r="I73" i="1"/>
  <c r="I72" i="1"/>
  <c r="I71" i="1"/>
  <c r="I70" i="1"/>
  <c r="I69" i="1"/>
  <c r="I68" i="1"/>
  <c r="I205" i="1"/>
  <c r="I206" i="1"/>
  <c r="J204" i="1"/>
  <c r="K204" i="1" s="1"/>
  <c r="L204" i="1" s="1"/>
  <c r="M204" i="1" s="1"/>
  <c r="N204" i="1" s="1"/>
  <c r="O204" i="1" s="1"/>
  <c r="P204" i="1" s="1"/>
  <c r="Q204" i="1" s="1"/>
  <c r="R204" i="1" s="1"/>
  <c r="S204" i="1" s="1"/>
  <c r="T204" i="1" s="1"/>
  <c r="U204" i="1" s="1"/>
  <c r="V204" i="1" s="1"/>
  <c r="W204" i="1" s="1"/>
  <c r="X204" i="1" s="1"/>
  <c r="Y204" i="1" s="1"/>
  <c r="Z204" i="1" s="1"/>
  <c r="AA204" i="1" s="1"/>
  <c r="AB204" i="1" s="1"/>
  <c r="AC204" i="1" s="1"/>
  <c r="AD204" i="1" s="1"/>
  <c r="AE204" i="1" s="1"/>
  <c r="AF204" i="1" s="1"/>
  <c r="AG204" i="1" s="1"/>
  <c r="AH204" i="1" s="1"/>
  <c r="AI204" i="1" s="1"/>
  <c r="AJ204" i="1" s="1"/>
  <c r="AK204" i="1" s="1"/>
  <c r="AL204" i="1" s="1"/>
  <c r="AM204" i="1" s="1"/>
  <c r="AN204" i="1" s="1"/>
  <c r="AO204" i="1" s="1"/>
  <c r="AP204" i="1" s="1"/>
  <c r="AQ204" i="1" s="1"/>
  <c r="AR204" i="1" s="1"/>
  <c r="AS204" i="1" s="1"/>
  <c r="AT204" i="1" s="1"/>
  <c r="AU204" i="1" s="1"/>
  <c r="AV204" i="1" s="1"/>
  <c r="AW204" i="1" s="1"/>
  <c r="AX204" i="1" s="1"/>
  <c r="AY204" i="1" s="1"/>
  <c r="AZ204" i="1" s="1"/>
  <c r="BA204" i="1" s="1"/>
  <c r="BB204" i="1" s="1"/>
  <c r="BC204" i="1" s="1"/>
  <c r="BD204" i="1" s="1"/>
  <c r="BE204" i="1" s="1"/>
  <c r="BF204" i="1" s="1"/>
  <c r="BG204" i="1" s="1"/>
  <c r="BH204" i="1" s="1"/>
  <c r="BI204" i="1" s="1"/>
  <c r="BJ204" i="1" s="1"/>
  <c r="BK204" i="1" s="1"/>
  <c r="BL204" i="1" s="1"/>
  <c r="BM204" i="1" s="1"/>
  <c r="BN204" i="1" s="1"/>
  <c r="BO204" i="1" s="1"/>
  <c r="BP204" i="1" s="1"/>
  <c r="BQ204" i="1" s="1"/>
  <c r="BR204" i="1" s="1"/>
  <c r="BS204" i="1" s="1"/>
  <c r="BT204" i="1" s="1"/>
  <c r="BU204" i="1" s="1"/>
  <c r="BV204" i="1" s="1"/>
  <c r="BW204" i="1" s="1"/>
  <c r="BX204" i="1" s="1"/>
  <c r="BY204" i="1" s="1"/>
  <c r="BZ204" i="1" s="1"/>
  <c r="CA204" i="1" s="1"/>
  <c r="CB204" i="1" s="1"/>
  <c r="CC204" i="1" s="1"/>
  <c r="CD204" i="1" s="1"/>
  <c r="CE204" i="1" s="1"/>
  <c r="CF204" i="1" s="1"/>
  <c r="CG204" i="1" s="1"/>
  <c r="CH204" i="1" s="1"/>
  <c r="CI204" i="1" s="1"/>
  <c r="CJ204" i="1" s="1"/>
  <c r="CK204" i="1" s="1"/>
  <c r="CL204" i="1" s="1"/>
  <c r="CM204" i="1" s="1"/>
  <c r="CN204" i="1" s="1"/>
  <c r="CO204" i="1" s="1"/>
  <c r="D229" i="1" l="1"/>
  <c r="F69" i="6" a="1"/>
  <c r="D64" i="6"/>
  <c r="D65" i="6"/>
  <c r="B56" i="9" a="1"/>
  <c r="B56" i="9" s="1"/>
  <c r="B18" i="9" a="1"/>
  <c r="B18" i="9" s="1"/>
  <c r="F69" i="6" l="1"/>
  <c r="F76" i="6" s="1"/>
  <c r="CC70" i="6"/>
  <c r="CC81" i="6" s="1"/>
  <c r="CC87" i="6" s="1"/>
  <c r="CG70" i="6"/>
  <c r="CG81" i="6" s="1"/>
  <c r="CG87" i="6" s="1"/>
  <c r="CK70" i="6"/>
  <c r="CK81" i="6" s="1"/>
  <c r="CK87" i="6" s="1"/>
  <c r="BU70" i="6"/>
  <c r="BU81" i="6" s="1"/>
  <c r="BU87" i="6" s="1"/>
  <c r="AS70" i="6"/>
  <c r="AS81" i="6" s="1"/>
  <c r="AS87" i="6" s="1"/>
  <c r="M70" i="6"/>
  <c r="M81" i="6" s="1"/>
  <c r="M87" i="6" s="1"/>
  <c r="BM69" i="6"/>
  <c r="BM76" i="6" s="1"/>
  <c r="BM86" i="6" s="1"/>
  <c r="AG69" i="6"/>
  <c r="AG76" i="6" s="1"/>
  <c r="AG86" i="6" s="1"/>
  <c r="M69" i="6"/>
  <c r="M76" i="6" s="1"/>
  <c r="M86" i="6" s="1"/>
  <c r="BL70" i="6"/>
  <c r="BL81" i="6" s="1"/>
  <c r="BL87" i="6" s="1"/>
  <c r="AF70" i="6"/>
  <c r="AF81" i="6" s="1"/>
  <c r="AF87" i="6" s="1"/>
  <c r="CF69" i="6"/>
  <c r="CF76" i="6" s="1"/>
  <c r="CF86" i="6" s="1"/>
  <c r="AZ69" i="6"/>
  <c r="AZ76" i="6" s="1"/>
  <c r="AZ86" i="6" s="1"/>
  <c r="T69" i="6"/>
  <c r="T76" i="6" s="1"/>
  <c r="T86" i="6" s="1"/>
  <c r="CE70" i="6"/>
  <c r="CE81" i="6" s="1"/>
  <c r="CE87" i="6" s="1"/>
  <c r="BO70" i="6"/>
  <c r="BO81" i="6" s="1"/>
  <c r="BO87" i="6" s="1"/>
  <c r="AY70" i="6"/>
  <c r="AY81" i="6" s="1"/>
  <c r="AY87" i="6" s="1"/>
  <c r="AI70" i="6"/>
  <c r="AI81" i="6" s="1"/>
  <c r="AI87" i="6" s="1"/>
  <c r="S70" i="6"/>
  <c r="S81" i="6" s="1"/>
  <c r="S87" i="6" s="1"/>
  <c r="CI69" i="6"/>
  <c r="CI76" i="6" s="1"/>
  <c r="CI86" i="6" s="1"/>
  <c r="BS69" i="6"/>
  <c r="BS76" i="6" s="1"/>
  <c r="BS86" i="6" s="1"/>
  <c r="BC69" i="6"/>
  <c r="BC76" i="6" s="1"/>
  <c r="BC86" i="6" s="1"/>
  <c r="AM69" i="6"/>
  <c r="AM76" i="6" s="1"/>
  <c r="AM86" i="6" s="1"/>
  <c r="W69" i="6"/>
  <c r="W76" i="6" s="1"/>
  <c r="W86" i="6" s="1"/>
  <c r="G69" i="6"/>
  <c r="G76" i="6" s="1"/>
  <c r="G86" i="6" s="1"/>
  <c r="AW70" i="6"/>
  <c r="AW81" i="6" s="1"/>
  <c r="AW87" i="6" s="1"/>
  <c r="Q70" i="6"/>
  <c r="Q81" i="6" s="1"/>
  <c r="Q87" i="6" s="1"/>
  <c r="BQ69" i="6"/>
  <c r="BQ76" i="6" s="1"/>
  <c r="BQ86" i="6" s="1"/>
  <c r="AK69" i="6"/>
  <c r="AK76" i="6" s="1"/>
  <c r="AK86" i="6" s="1"/>
  <c r="BX70" i="6"/>
  <c r="BX81" i="6" s="1"/>
  <c r="BX87" i="6" s="1"/>
  <c r="AR70" i="6"/>
  <c r="AR81" i="6" s="1"/>
  <c r="AR87" i="6" s="1"/>
  <c r="L70" i="6"/>
  <c r="L81" i="6" s="1"/>
  <c r="L87" i="6" s="1"/>
  <c r="BL69" i="6"/>
  <c r="BL76" i="6" s="1"/>
  <c r="BL86" i="6" s="1"/>
  <c r="BL114" i="7" s="1"/>
  <c r="AF69" i="6"/>
  <c r="AF76" i="6" s="1"/>
  <c r="AF86" i="6" s="1"/>
  <c r="AF114" i="7" s="1"/>
  <c r="CD70" i="6"/>
  <c r="CD81" i="6" s="1"/>
  <c r="CD87" i="6" s="1"/>
  <c r="BN70" i="6"/>
  <c r="BN81" i="6" s="1"/>
  <c r="BN87" i="6" s="1"/>
  <c r="AX70" i="6"/>
  <c r="AX81" i="6" s="1"/>
  <c r="AX87" i="6" s="1"/>
  <c r="AH70" i="6"/>
  <c r="AH81" i="6" s="1"/>
  <c r="AH87" i="6" s="1"/>
  <c r="R70" i="6"/>
  <c r="R81" i="6" s="1"/>
  <c r="R87" i="6" s="1"/>
  <c r="CH69" i="6"/>
  <c r="CH76" i="6" s="1"/>
  <c r="CH86" i="6" s="1"/>
  <c r="BR69" i="6"/>
  <c r="BR76" i="6" s="1"/>
  <c r="BR86" i="6" s="1"/>
  <c r="BB69" i="6"/>
  <c r="BB76" i="6" s="1"/>
  <c r="BB86" i="6" s="1"/>
  <c r="AL69" i="6"/>
  <c r="AL76" i="6" s="1"/>
  <c r="AL86" i="6" s="1"/>
  <c r="V69" i="6"/>
  <c r="V76" i="6" s="1"/>
  <c r="V86" i="6" s="1"/>
  <c r="BA70" i="6"/>
  <c r="BA81" i="6" s="1"/>
  <c r="BA87" i="6" s="1"/>
  <c r="BU69" i="6"/>
  <c r="BU76" i="6" s="1"/>
  <c r="BU86" i="6" s="1"/>
  <c r="BU114" i="7" s="1"/>
  <c r="Q69" i="6"/>
  <c r="Q76" i="6" s="1"/>
  <c r="Q86" i="6" s="1"/>
  <c r="Q114" i="7" s="1"/>
  <c r="AN70" i="6"/>
  <c r="AN81" i="6" s="1"/>
  <c r="AN87" i="6" s="1"/>
  <c r="BH69" i="6"/>
  <c r="BH76" i="6" s="1"/>
  <c r="BH86" i="6" s="1"/>
  <c r="CI70" i="6"/>
  <c r="CI81" i="6" s="1"/>
  <c r="CI87" i="6" s="1"/>
  <c r="BC70" i="6"/>
  <c r="BC81" i="6" s="1"/>
  <c r="BC87" i="6" s="1"/>
  <c r="W70" i="6"/>
  <c r="W81" i="6" s="1"/>
  <c r="W87" i="6" s="1"/>
  <c r="BW69" i="6"/>
  <c r="BW76" i="6" s="1"/>
  <c r="BW86" i="6" s="1"/>
  <c r="AQ69" i="6"/>
  <c r="AQ76" i="6" s="1"/>
  <c r="AQ86" i="6" s="1"/>
  <c r="K69" i="6"/>
  <c r="K76" i="6" s="1"/>
  <c r="K86" i="6" s="1"/>
  <c r="Y70" i="6"/>
  <c r="Y81" i="6" s="1"/>
  <c r="Y87" i="6" s="1"/>
  <c r="AS69" i="6"/>
  <c r="AS76" i="6" s="1"/>
  <c r="AS86" i="6" s="1"/>
  <c r="AS114" i="7" s="1"/>
  <c r="AZ70" i="6"/>
  <c r="AZ81" i="6" s="1"/>
  <c r="AZ87" i="6" s="1"/>
  <c r="BT69" i="6"/>
  <c r="BT76" i="6" s="1"/>
  <c r="BT86" i="6" s="1"/>
  <c r="CH70" i="6"/>
  <c r="CH81" i="6" s="1"/>
  <c r="CH87" i="6" s="1"/>
  <c r="BB70" i="6"/>
  <c r="BB81" i="6" s="1"/>
  <c r="BB87" i="6" s="1"/>
  <c r="AL70" i="6"/>
  <c r="AL81" i="6" s="1"/>
  <c r="AL87" i="6" s="1"/>
  <c r="V70" i="6"/>
  <c r="V81" i="6" s="1"/>
  <c r="V87" i="6" s="1"/>
  <c r="F70" i="6"/>
  <c r="F81" i="6" s="1"/>
  <c r="F87" i="6" s="1"/>
  <c r="BV69" i="6"/>
  <c r="BV76" i="6" s="1"/>
  <c r="BV86" i="6" s="1"/>
  <c r="AP69" i="6"/>
  <c r="AP76" i="6" s="1"/>
  <c r="AP86" i="6" s="1"/>
  <c r="Z69" i="6"/>
  <c r="Z76" i="6" s="1"/>
  <c r="Z86" i="6" s="1"/>
  <c r="BQ70" i="6"/>
  <c r="BQ81" i="6" s="1"/>
  <c r="BQ87" i="6" s="1"/>
  <c r="AK70" i="6"/>
  <c r="AK81" i="6" s="1"/>
  <c r="AK87" i="6" s="1"/>
  <c r="CK69" i="6"/>
  <c r="CK76" i="6" s="1"/>
  <c r="CK86" i="6" s="1"/>
  <c r="CK114" i="7" s="1"/>
  <c r="BE69" i="6"/>
  <c r="BE76" i="6" s="1"/>
  <c r="BE86" i="6" s="1"/>
  <c r="AC69" i="6"/>
  <c r="AC76" i="6" s="1"/>
  <c r="AC86" i="6" s="1"/>
  <c r="CJ70" i="6"/>
  <c r="CJ81" i="6" s="1"/>
  <c r="CJ87" i="6" s="1"/>
  <c r="BD70" i="6"/>
  <c r="BD81" i="6" s="1"/>
  <c r="BD87" i="6" s="1"/>
  <c r="X70" i="6"/>
  <c r="X81" i="6" s="1"/>
  <c r="X87" i="6" s="1"/>
  <c r="BX69" i="6"/>
  <c r="BX76" i="6" s="1"/>
  <c r="BX86" i="6" s="1"/>
  <c r="AR69" i="6"/>
  <c r="AR76" i="6" s="1"/>
  <c r="AR86" i="6" s="1"/>
  <c r="P69" i="6"/>
  <c r="P76" i="6" s="1"/>
  <c r="P86" i="6" s="1"/>
  <c r="CA70" i="6"/>
  <c r="CA81" i="6" s="1"/>
  <c r="CA87" i="6" s="1"/>
  <c r="BK70" i="6"/>
  <c r="BK81" i="6" s="1"/>
  <c r="BK87" i="6" s="1"/>
  <c r="AU70" i="6"/>
  <c r="AU81" i="6" s="1"/>
  <c r="AU87" i="6" s="1"/>
  <c r="AE70" i="6"/>
  <c r="AE81" i="6" s="1"/>
  <c r="AE87" i="6" s="1"/>
  <c r="O70" i="6"/>
  <c r="O81" i="6" s="1"/>
  <c r="O87" i="6" s="1"/>
  <c r="CE69" i="6"/>
  <c r="CE76" i="6" s="1"/>
  <c r="CE86" i="6" s="1"/>
  <c r="BO69" i="6"/>
  <c r="BO76" i="6" s="1"/>
  <c r="BO86" i="6" s="1"/>
  <c r="BO114" i="7" s="1"/>
  <c r="AY69" i="6"/>
  <c r="AY76" i="6" s="1"/>
  <c r="AY86" i="6" s="1"/>
  <c r="AY114" i="7" s="1"/>
  <c r="AI69" i="6"/>
  <c r="AI76" i="6" s="1"/>
  <c r="AI86" i="6" s="1"/>
  <c r="AI114" i="7" s="1"/>
  <c r="S69" i="6"/>
  <c r="S76" i="6" s="1"/>
  <c r="S86" i="6" s="1"/>
  <c r="S114" i="7" s="1"/>
  <c r="BY70" i="6"/>
  <c r="BY81" i="6" s="1"/>
  <c r="BY87" i="6" s="1"/>
  <c r="AO70" i="6"/>
  <c r="AO81" i="6" s="1"/>
  <c r="AO87" i="6" s="1"/>
  <c r="I70" i="6"/>
  <c r="I81" i="6" s="1"/>
  <c r="I87" i="6" s="1"/>
  <c r="BI69" i="6"/>
  <c r="BI76" i="6" s="1"/>
  <c r="BI86" i="6" s="1"/>
  <c r="Y69" i="6"/>
  <c r="Y76" i="6" s="1"/>
  <c r="Y86" i="6" s="1"/>
  <c r="Y114" i="7" s="1"/>
  <c r="BP70" i="6"/>
  <c r="BP81" i="6" s="1"/>
  <c r="BP87" i="6" s="1"/>
  <c r="AJ70" i="6"/>
  <c r="AJ81" i="6" s="1"/>
  <c r="AJ87" i="6" s="1"/>
  <c r="CJ69" i="6"/>
  <c r="CJ76" i="6" s="1"/>
  <c r="CJ86" i="6" s="1"/>
  <c r="CJ114" i="7" s="1"/>
  <c r="BD69" i="6"/>
  <c r="BD76" i="6" s="1"/>
  <c r="BD86" i="6" s="1"/>
  <c r="BD114" i="7" s="1"/>
  <c r="X69" i="6"/>
  <c r="X76" i="6" s="1"/>
  <c r="X86" i="6" s="1"/>
  <c r="X114" i="7" s="1"/>
  <c r="BZ70" i="6"/>
  <c r="BZ81" i="6" s="1"/>
  <c r="BZ87" i="6" s="1"/>
  <c r="BJ70" i="6"/>
  <c r="BJ81" i="6" s="1"/>
  <c r="BJ87" i="6" s="1"/>
  <c r="AT70" i="6"/>
  <c r="AT81" i="6" s="1"/>
  <c r="AT87" i="6" s="1"/>
  <c r="AD70" i="6"/>
  <c r="AD81" i="6" s="1"/>
  <c r="AD87" i="6" s="1"/>
  <c r="N70" i="6"/>
  <c r="N81" i="6" s="1"/>
  <c r="N87" i="6" s="1"/>
  <c r="CD69" i="6"/>
  <c r="CD76" i="6" s="1"/>
  <c r="CD86" i="6" s="1"/>
  <c r="CD114" i="7" s="1"/>
  <c r="BN69" i="6"/>
  <c r="BN76" i="6" s="1"/>
  <c r="BN86" i="6" s="1"/>
  <c r="BN114" i="7" s="1"/>
  <c r="AX69" i="6"/>
  <c r="AX76" i="6" s="1"/>
  <c r="AX86" i="6" s="1"/>
  <c r="AX114" i="7" s="1"/>
  <c r="AH69" i="6"/>
  <c r="AH76" i="6" s="1"/>
  <c r="AH86" i="6" s="1"/>
  <c r="R69" i="6"/>
  <c r="R76" i="6" s="1"/>
  <c r="R86" i="6" s="1"/>
  <c r="U70" i="6"/>
  <c r="U81" i="6" s="1"/>
  <c r="U87" i="6" s="1"/>
  <c r="AO69" i="6"/>
  <c r="AO76" i="6" s="1"/>
  <c r="AO86" i="6" s="1"/>
  <c r="AO114" i="7" s="1"/>
  <c r="BT70" i="6"/>
  <c r="BT81" i="6" s="1"/>
  <c r="BT87" i="6" s="1"/>
  <c r="H70" i="6"/>
  <c r="H81" i="6" s="1"/>
  <c r="H87" i="6" s="1"/>
  <c r="AB69" i="6"/>
  <c r="AB76" i="6" s="1"/>
  <c r="AB86" i="6" s="1"/>
  <c r="BS70" i="6"/>
  <c r="BS81" i="6" s="1"/>
  <c r="BS87" i="6" s="1"/>
  <c r="AM70" i="6"/>
  <c r="AM81" i="6" s="1"/>
  <c r="AM87" i="6" s="1"/>
  <c r="G70" i="6"/>
  <c r="G81" i="6" s="1"/>
  <c r="G87" i="6" s="1"/>
  <c r="BG69" i="6"/>
  <c r="BG76" i="6" s="1"/>
  <c r="BG86" i="6" s="1"/>
  <c r="AA69" i="6"/>
  <c r="AA76" i="6" s="1"/>
  <c r="AA86" i="6" s="1"/>
  <c r="BE70" i="6"/>
  <c r="BE81" i="6" s="1"/>
  <c r="BE87" i="6" s="1"/>
  <c r="BY69" i="6"/>
  <c r="BY76" i="6" s="1"/>
  <c r="BY86" i="6" s="1"/>
  <c r="BY114" i="7" s="1"/>
  <c r="CF70" i="6"/>
  <c r="CF81" i="6" s="1"/>
  <c r="CF87" i="6" s="1"/>
  <c r="T70" i="6"/>
  <c r="T81" i="6" s="1"/>
  <c r="T87" i="6" s="1"/>
  <c r="AN69" i="6"/>
  <c r="AN76" i="6" s="1"/>
  <c r="AN86" i="6" s="1"/>
  <c r="AN114" i="7" s="1"/>
  <c r="BR70" i="6"/>
  <c r="BR81" i="6" s="1"/>
  <c r="BR87" i="6" s="1"/>
  <c r="BF69" i="6"/>
  <c r="BF76" i="6" s="1"/>
  <c r="BF86" i="6" s="1"/>
  <c r="J69" i="6"/>
  <c r="J76" i="6" s="1"/>
  <c r="J86" i="6" s="1"/>
  <c r="BI70" i="6"/>
  <c r="BI81" i="6" s="1"/>
  <c r="BI87" i="6" s="1"/>
  <c r="AC70" i="6"/>
  <c r="AC81" i="6" s="1"/>
  <c r="AC87" i="6" s="1"/>
  <c r="CC69" i="6"/>
  <c r="CC76" i="6" s="1"/>
  <c r="CC86" i="6" s="1"/>
  <c r="CC114" i="7" s="1"/>
  <c r="AW69" i="6"/>
  <c r="AW76" i="6" s="1"/>
  <c r="AW86" i="6" s="1"/>
  <c r="AW114" i="7" s="1"/>
  <c r="U69" i="6"/>
  <c r="U76" i="6" s="1"/>
  <c r="U86" i="6" s="1"/>
  <c r="CB70" i="6"/>
  <c r="CB81" i="6" s="1"/>
  <c r="CB87" i="6" s="1"/>
  <c r="AV70" i="6"/>
  <c r="AV81" i="6" s="1"/>
  <c r="AV87" i="6" s="1"/>
  <c r="P70" i="6"/>
  <c r="P81" i="6" s="1"/>
  <c r="P87" i="6" s="1"/>
  <c r="BP69" i="6"/>
  <c r="BP76" i="6" s="1"/>
  <c r="BP86" i="6" s="1"/>
  <c r="BP114" i="7" s="1"/>
  <c r="AJ69" i="6"/>
  <c r="AJ76" i="6" s="1"/>
  <c r="AJ86" i="6" s="1"/>
  <c r="H69" i="6"/>
  <c r="H76" i="6" s="1"/>
  <c r="H86" i="6" s="1"/>
  <c r="H114" i="7" s="1"/>
  <c r="BW70" i="6"/>
  <c r="BW81" i="6" s="1"/>
  <c r="BW87" i="6" s="1"/>
  <c r="BG70" i="6"/>
  <c r="BG81" i="6" s="1"/>
  <c r="BG87" i="6" s="1"/>
  <c r="AQ70" i="6"/>
  <c r="AQ81" i="6" s="1"/>
  <c r="AQ87" i="6" s="1"/>
  <c r="AA70" i="6"/>
  <c r="AA81" i="6" s="1"/>
  <c r="AA87" i="6" s="1"/>
  <c r="K70" i="6"/>
  <c r="K81" i="6" s="1"/>
  <c r="K87" i="6" s="1"/>
  <c r="CA69" i="6"/>
  <c r="CA76" i="6" s="1"/>
  <c r="CA86" i="6" s="1"/>
  <c r="CA114" i="7" s="1"/>
  <c r="BK69" i="6"/>
  <c r="BK76" i="6" s="1"/>
  <c r="BK86" i="6" s="1"/>
  <c r="BK114" i="7" s="1"/>
  <c r="AU69" i="6"/>
  <c r="AU76" i="6" s="1"/>
  <c r="AU86" i="6" s="1"/>
  <c r="AU114" i="7" s="1"/>
  <c r="AE69" i="6"/>
  <c r="AE76" i="6" s="1"/>
  <c r="AE86" i="6" s="1"/>
  <c r="AE114" i="7" s="1"/>
  <c r="O69" i="6"/>
  <c r="O76" i="6" s="1"/>
  <c r="O86" i="6" s="1"/>
  <c r="O114" i="7" s="1"/>
  <c r="BM70" i="6"/>
  <c r="BM81" i="6" s="1"/>
  <c r="BM87" i="6" s="1"/>
  <c r="AG70" i="6"/>
  <c r="AG81" i="6" s="1"/>
  <c r="AG87" i="6" s="1"/>
  <c r="CG69" i="6"/>
  <c r="CG76" i="6" s="1"/>
  <c r="CG86" i="6" s="1"/>
  <c r="CG114" i="7" s="1"/>
  <c r="BA69" i="6"/>
  <c r="BA76" i="6" s="1"/>
  <c r="BA86" i="6" s="1"/>
  <c r="BA114" i="7" s="1"/>
  <c r="I69" i="6"/>
  <c r="I76" i="6" s="1"/>
  <c r="I86" i="6" s="1"/>
  <c r="I114" i="7" s="1"/>
  <c r="BH70" i="6"/>
  <c r="BH81" i="6" s="1"/>
  <c r="BH87" i="6" s="1"/>
  <c r="AB70" i="6"/>
  <c r="AB81" i="6" s="1"/>
  <c r="AB87" i="6" s="1"/>
  <c r="CB69" i="6"/>
  <c r="CB76" i="6" s="1"/>
  <c r="CB86" i="6" s="1"/>
  <c r="AV69" i="6"/>
  <c r="AV76" i="6" s="1"/>
  <c r="AV86" i="6" s="1"/>
  <c r="AV114" i="7" s="1"/>
  <c r="L69" i="6"/>
  <c r="L76" i="6" s="1"/>
  <c r="L86" i="6" s="1"/>
  <c r="L114" i="7" s="1"/>
  <c r="BV70" i="6"/>
  <c r="BV81" i="6" s="1"/>
  <c r="BV87" i="6" s="1"/>
  <c r="BF70" i="6"/>
  <c r="BF81" i="6" s="1"/>
  <c r="BF87" i="6" s="1"/>
  <c r="AP70" i="6"/>
  <c r="AP81" i="6" s="1"/>
  <c r="AP87" i="6" s="1"/>
  <c r="Z70" i="6"/>
  <c r="Z81" i="6" s="1"/>
  <c r="Z87" i="6" s="1"/>
  <c r="J70" i="6"/>
  <c r="J81" i="6" s="1"/>
  <c r="BZ69" i="6"/>
  <c r="BZ76" i="6" s="1"/>
  <c r="BZ86" i="6" s="1"/>
  <c r="BZ114" i="7" s="1"/>
  <c r="BJ69" i="6"/>
  <c r="BJ76" i="6" s="1"/>
  <c r="BJ86" i="6" s="1"/>
  <c r="BJ114" i="7" s="1"/>
  <c r="AT69" i="6"/>
  <c r="AT76" i="6" s="1"/>
  <c r="AT86" i="6" s="1"/>
  <c r="AT114" i="7" s="1"/>
  <c r="AD69" i="6"/>
  <c r="AD76" i="6" s="1"/>
  <c r="AD86" i="6" s="1"/>
  <c r="AD114" i="7" s="1"/>
  <c r="N69" i="6"/>
  <c r="N76" i="6" s="1"/>
  <c r="N86" i="6" s="1"/>
  <c r="N114" i="7" s="1"/>
  <c r="B71" i="9"/>
  <c r="B110" i="9"/>
  <c r="B62" i="9"/>
  <c r="B117" i="9"/>
  <c r="B109" i="9"/>
  <c r="B101" i="9"/>
  <c r="B93" i="9"/>
  <c r="B85" i="9"/>
  <c r="B77" i="9"/>
  <c r="B69" i="9"/>
  <c r="B61" i="9"/>
  <c r="B78" i="9"/>
  <c r="B116" i="9"/>
  <c r="B108" i="9"/>
  <c r="B100" i="9"/>
  <c r="B92" i="9"/>
  <c r="B84" i="9"/>
  <c r="B76" i="9"/>
  <c r="B68" i="9"/>
  <c r="B60" i="9"/>
  <c r="B94" i="9"/>
  <c r="B115" i="9"/>
  <c r="B107" i="9"/>
  <c r="B99" i="9"/>
  <c r="B91" i="9"/>
  <c r="B83" i="9"/>
  <c r="B75" i="9"/>
  <c r="B67" i="9"/>
  <c r="B59" i="9"/>
  <c r="B111" i="9"/>
  <c r="B103" i="9"/>
  <c r="B95" i="9"/>
  <c r="B87" i="9"/>
  <c r="B79" i="9"/>
  <c r="B63" i="9"/>
  <c r="B70" i="9"/>
  <c r="B114" i="9"/>
  <c r="B106" i="9"/>
  <c r="B98" i="9"/>
  <c r="B90" i="9"/>
  <c r="B82" i="9"/>
  <c r="B74" i="9"/>
  <c r="B66" i="9"/>
  <c r="B58" i="9"/>
  <c r="B102" i="9"/>
  <c r="B113" i="9"/>
  <c r="B105" i="9"/>
  <c r="B97" i="9"/>
  <c r="B89" i="9"/>
  <c r="B81" i="9"/>
  <c r="B73" i="9"/>
  <c r="B65" i="9"/>
  <c r="B57" i="9"/>
  <c r="B86" i="9"/>
  <c r="B112" i="9"/>
  <c r="B104" i="9"/>
  <c r="B96" i="9"/>
  <c r="B88" i="9"/>
  <c r="B80" i="9"/>
  <c r="B72" i="9"/>
  <c r="B64" i="9"/>
  <c r="B41" i="9"/>
  <c r="B33" i="9"/>
  <c r="B25" i="9"/>
  <c r="B40" i="9"/>
  <c r="B32" i="9"/>
  <c r="B24" i="9"/>
  <c r="B39" i="9"/>
  <c r="B31" i="9"/>
  <c r="B23" i="9"/>
  <c r="B22" i="9"/>
  <c r="B37" i="9"/>
  <c r="B29" i="9"/>
  <c r="B21" i="9"/>
  <c r="B38" i="9"/>
  <c r="B36" i="9"/>
  <c r="B28" i="9"/>
  <c r="B20" i="9"/>
  <c r="B35" i="9"/>
  <c r="B27" i="9"/>
  <c r="B19" i="9"/>
  <c r="B30" i="9"/>
  <c r="B42" i="9"/>
  <c r="B34" i="9"/>
  <c r="B26" i="9"/>
  <c r="BX114" i="7" l="1"/>
  <c r="AH114" i="7"/>
  <c r="BG114" i="7"/>
  <c r="AR114" i="7"/>
  <c r="R114" i="7"/>
  <c r="CE114" i="7"/>
  <c r="AJ114" i="7"/>
  <c r="CB114" i="7"/>
  <c r="U114" i="7"/>
  <c r="BE114" i="7"/>
  <c r="Z114" i="7"/>
  <c r="BT114" i="7"/>
  <c r="K114" i="7"/>
  <c r="AL114" i="7"/>
  <c r="AM114" i="7"/>
  <c r="BM114" i="7"/>
  <c r="D81" i="6"/>
  <c r="J87" i="6"/>
  <c r="D87" i="6" s="1"/>
  <c r="AA114" i="7"/>
  <c r="P114" i="7"/>
  <c r="AP114" i="7"/>
  <c r="AQ114" i="7"/>
  <c r="BB114" i="7"/>
  <c r="BC114" i="7"/>
  <c r="T114" i="7"/>
  <c r="BF114" i="7"/>
  <c r="AB114" i="7"/>
  <c r="BV114" i="7"/>
  <c r="BW114" i="7"/>
  <c r="BH114" i="7"/>
  <c r="BR114" i="7"/>
  <c r="AK114" i="7"/>
  <c r="G114" i="7"/>
  <c r="BS114" i="7"/>
  <c r="AZ114" i="7"/>
  <c r="M114" i="7"/>
  <c r="BI114" i="7"/>
  <c r="AC114" i="7"/>
  <c r="V114" i="7"/>
  <c r="CH114" i="7"/>
  <c r="BQ114" i="7"/>
  <c r="W114" i="7"/>
  <c r="CI114" i="7"/>
  <c r="CF114" i="7"/>
  <c r="AG114" i="7"/>
  <c r="F86" i="6"/>
  <c r="F18" i="12" a="1"/>
  <c r="B18" i="12" a="1"/>
  <c r="B18" i="12" s="1"/>
  <c r="B25" i="12"/>
  <c r="F18" i="7" a="1"/>
  <c r="B18" i="7" a="1"/>
  <c r="B18" i="7" s="1"/>
  <c r="F18" i="10" a="1"/>
  <c r="B18" i="10" a="1"/>
  <c r="B18" i="10" s="1"/>
  <c r="F18" i="8" a="1"/>
  <c r="B18" i="8" a="1"/>
  <c r="B18" i="8" s="1"/>
  <c r="B24" i="8"/>
  <c r="B25" i="8"/>
  <c r="F18" i="5" a="1"/>
  <c r="B18" i="5" a="1"/>
  <c r="B18" i="5" s="1"/>
  <c r="F18" i="3" a="1"/>
  <c r="B18" i="3" a="1"/>
  <c r="B18" i="3" s="1"/>
  <c r="B25" i="3"/>
  <c r="F18" i="4" a="1"/>
  <c r="B18" i="4" a="1"/>
  <c r="B23" i="4" s="1"/>
  <c r="J114" i="7" l="1"/>
  <c r="F114" i="7"/>
  <c r="B25" i="10"/>
  <c r="B24" i="7"/>
  <c r="B25" i="7"/>
  <c r="B24" i="12"/>
  <c r="B23" i="12"/>
  <c r="B22" i="12"/>
  <c r="B29" i="12"/>
  <c r="B21" i="12"/>
  <c r="B28" i="12"/>
  <c r="B20" i="12"/>
  <c r="B27" i="12"/>
  <c r="B19" i="12"/>
  <c r="B26" i="12"/>
  <c r="B23" i="7"/>
  <c r="B22" i="7"/>
  <c r="B29" i="7"/>
  <c r="B21" i="7"/>
  <c r="B28" i="7"/>
  <c r="B20" i="7"/>
  <c r="B27" i="7"/>
  <c r="B19" i="7"/>
  <c r="B26" i="7"/>
  <c r="B24" i="10"/>
  <c r="B23" i="10"/>
  <c r="B22" i="10"/>
  <c r="B29" i="10"/>
  <c r="B21" i="10"/>
  <c r="B28" i="10"/>
  <c r="B20" i="10"/>
  <c r="B27" i="10"/>
  <c r="B19" i="10"/>
  <c r="B26" i="10"/>
  <c r="B23" i="8"/>
  <c r="B22" i="8"/>
  <c r="B29" i="8"/>
  <c r="B21" i="8"/>
  <c r="B28" i="8"/>
  <c r="B20" i="8"/>
  <c r="B27" i="8"/>
  <c r="B19" i="8"/>
  <c r="B26" i="8"/>
  <c r="B24" i="5"/>
  <c r="B23" i="5"/>
  <c r="B22" i="5"/>
  <c r="B29" i="5"/>
  <c r="B21" i="5"/>
  <c r="B25" i="5"/>
  <c r="B28" i="5"/>
  <c r="B20" i="5"/>
  <c r="B27" i="5"/>
  <c r="B19" i="5"/>
  <c r="B26" i="5"/>
  <c r="B24" i="3"/>
  <c r="B23" i="3"/>
  <c r="B22" i="3"/>
  <c r="B29" i="3"/>
  <c r="B21" i="3"/>
  <c r="B28" i="3"/>
  <c r="B20" i="3"/>
  <c r="B27" i="3"/>
  <c r="B19" i="3"/>
  <c r="B26" i="3"/>
  <c r="B22" i="4"/>
  <c r="B29" i="4"/>
  <c r="B21" i="4"/>
  <c r="B28" i="4"/>
  <c r="B20" i="4"/>
  <c r="B27" i="4"/>
  <c r="B19" i="4"/>
  <c r="B26" i="4"/>
  <c r="B18" i="4"/>
  <c r="B25" i="4"/>
  <c r="B24" i="4"/>
  <c r="F139" i="5"/>
  <c r="F132" i="5"/>
  <c r="C121" i="15" l="1"/>
  <c r="G116" i="9"/>
  <c r="B270" i="3" a="1"/>
  <c r="B270" i="3" s="1"/>
  <c r="B251" i="3" a="1"/>
  <c r="B252" i="3" s="1"/>
  <c r="B202" i="3" a="1"/>
  <c r="B203" i="3" s="1"/>
  <c r="B189" i="3" a="1"/>
  <c r="B190" i="3" s="1"/>
  <c r="B170" i="3" a="1"/>
  <c r="B170" i="3" s="1"/>
  <c r="B276" i="3" l="1"/>
  <c r="B275" i="3"/>
  <c r="B274" i="3"/>
  <c r="B277" i="3"/>
  <c r="B273" i="3"/>
  <c r="B272" i="3"/>
  <c r="B271" i="3"/>
  <c r="B278" i="3"/>
  <c r="B257" i="3"/>
  <c r="B259" i="3"/>
  <c r="B258" i="3"/>
  <c r="B255" i="3"/>
  <c r="B254" i="3"/>
  <c r="B251" i="3"/>
  <c r="B253" i="3"/>
  <c r="B256" i="3"/>
  <c r="B207" i="3"/>
  <c r="B205" i="3"/>
  <c r="B210" i="3"/>
  <c r="B209" i="3"/>
  <c r="B208" i="3"/>
  <c r="B204" i="3"/>
  <c r="B202" i="3"/>
  <c r="B206" i="3"/>
  <c r="B211" i="3"/>
  <c r="B197" i="3"/>
  <c r="B196" i="3"/>
  <c r="B194" i="3"/>
  <c r="B193" i="3"/>
  <c r="B192" i="3"/>
  <c r="B191" i="3"/>
  <c r="B189" i="3"/>
  <c r="B195" i="3"/>
  <c r="B198" i="3"/>
  <c r="B176" i="3"/>
  <c r="B175" i="3"/>
  <c r="B174" i="3"/>
  <c r="B173" i="3"/>
  <c r="B172" i="3"/>
  <c r="B179" i="3"/>
  <c r="B171" i="3"/>
  <c r="B177" i="3"/>
  <c r="B178" i="3"/>
  <c r="F151" i="3" a="1"/>
  <c r="B151" i="3" a="1"/>
  <c r="B151" i="3" s="1"/>
  <c r="B136" i="3" a="1"/>
  <c r="B136" i="3" s="1"/>
  <c r="B134" i="3"/>
  <c r="B75" i="3" a="1"/>
  <c r="B76" i="3" s="1"/>
  <c r="B94" i="3" s="1"/>
  <c r="B59" i="3" a="1"/>
  <c r="B59" i="3" s="1"/>
  <c r="B39" i="3" a="1"/>
  <c r="B39" i="3" s="1"/>
  <c r="F100" i="4" a="1"/>
  <c r="S100" i="4" s="1"/>
  <c r="F37" i="4" a="1"/>
  <c r="V37" i="4" s="1"/>
  <c r="B161" i="3" l="1"/>
  <c r="B157" i="3"/>
  <c r="B153" i="3"/>
  <c r="B158" i="3"/>
  <c r="B154" i="3"/>
  <c r="B160" i="3"/>
  <c r="B156" i="3"/>
  <c r="B152" i="3"/>
  <c r="B159" i="3"/>
  <c r="B155" i="3"/>
  <c r="B143" i="3"/>
  <c r="B146" i="3"/>
  <c r="B138" i="3"/>
  <c r="B145" i="3"/>
  <c r="B141" i="3"/>
  <c r="B137" i="3"/>
  <c r="B139" i="3"/>
  <c r="B142" i="3"/>
  <c r="B144" i="3"/>
  <c r="B140" i="3"/>
  <c r="B95" i="3"/>
  <c r="B96" i="3"/>
  <c r="B82" i="3"/>
  <c r="B78" i="3"/>
  <c r="B79" i="3"/>
  <c r="B83" i="3"/>
  <c r="B75" i="3"/>
  <c r="B85" i="3"/>
  <c r="B81" i="3"/>
  <c r="B77" i="3"/>
  <c r="B84" i="3"/>
  <c r="B80" i="3"/>
  <c r="B64" i="3"/>
  <c r="B66" i="3"/>
  <c r="B62" i="3"/>
  <c r="B69" i="3"/>
  <c r="B65" i="3"/>
  <c r="B61" i="3"/>
  <c r="B68" i="3"/>
  <c r="B60" i="3"/>
  <c r="B67" i="3"/>
  <c r="B63" i="3"/>
  <c r="B40" i="3"/>
  <c r="B46" i="3"/>
  <c r="B42" i="3"/>
  <c r="B49" i="3"/>
  <c r="B45" i="3"/>
  <c r="B41" i="3"/>
  <c r="B48" i="3"/>
  <c r="B44" i="3"/>
  <c r="B47" i="3"/>
  <c r="B43" i="3"/>
  <c r="CE105" i="4"/>
  <c r="BW105" i="4"/>
  <c r="BO105" i="4"/>
  <c r="BG105" i="4"/>
  <c r="AY105" i="4"/>
  <c r="AP105" i="4"/>
  <c r="AF105" i="4"/>
  <c r="M105" i="4"/>
  <c r="CC104" i="4"/>
  <c r="BM104" i="4"/>
  <c r="AW104" i="4"/>
  <c r="AD104" i="4"/>
  <c r="H104" i="4"/>
  <c r="BS103" i="4"/>
  <c r="AR103" i="4"/>
  <c r="BL102" i="4"/>
  <c r="BJ100" i="4"/>
  <c r="BZ105" i="4"/>
  <c r="BN105" i="4"/>
  <c r="AX105" i="4"/>
  <c r="AJ105" i="4"/>
  <c r="CJ104" i="4"/>
  <c r="BD104" i="4"/>
  <c r="AB104" i="4"/>
  <c r="CB103" i="4"/>
  <c r="BR103" i="4"/>
  <c r="BG103" i="4"/>
  <c r="CB102" i="4"/>
  <c r="BG102" i="4"/>
  <c r="AL102" i="4"/>
  <c r="P102" i="4"/>
  <c r="CA101" i="4"/>
  <c r="BE101" i="4"/>
  <c r="AA101" i="4"/>
  <c r="CE100" i="4"/>
  <c r="BC100" i="4"/>
  <c r="Z100" i="4"/>
  <c r="CI105" i="4"/>
  <c r="CA105" i="4"/>
  <c r="BS105" i="4"/>
  <c r="BK105" i="4"/>
  <c r="BC105" i="4"/>
  <c r="AU105" i="4"/>
  <c r="AK105" i="4"/>
  <c r="Z105" i="4"/>
  <c r="U105" i="4"/>
  <c r="CK104" i="4"/>
  <c r="BU104" i="4"/>
  <c r="BE104" i="4"/>
  <c r="AN104" i="4"/>
  <c r="S104" i="4"/>
  <c r="CD103" i="4"/>
  <c r="BH103" i="4"/>
  <c r="W103" i="4"/>
  <c r="CH102" i="4"/>
  <c r="AQ102" i="4"/>
  <c r="V102" i="4"/>
  <c r="CF101" i="4"/>
  <c r="BK101" i="4"/>
  <c r="AI101" i="4"/>
  <c r="F101" i="4"/>
  <c r="AH100" i="4"/>
  <c r="CH105" i="4"/>
  <c r="BR105" i="4"/>
  <c r="BB105" i="4"/>
  <c r="AT105" i="4"/>
  <c r="AD105" i="4"/>
  <c r="T105" i="4"/>
  <c r="CB104" i="4"/>
  <c r="BT104" i="4"/>
  <c r="AV104" i="4"/>
  <c r="R104" i="4"/>
  <c r="AM103" i="4"/>
  <c r="CK105" i="4"/>
  <c r="CG105" i="4"/>
  <c r="CC105" i="4"/>
  <c r="BY105" i="4"/>
  <c r="BU105" i="4"/>
  <c r="BQ105" i="4"/>
  <c r="BM105" i="4"/>
  <c r="BI105" i="4"/>
  <c r="BE105" i="4"/>
  <c r="BA105" i="4"/>
  <c r="AW105" i="4"/>
  <c r="AS105" i="4"/>
  <c r="AN105" i="4"/>
  <c r="AH105" i="4"/>
  <c r="AC105" i="4"/>
  <c r="X105" i="4"/>
  <c r="Q105" i="4"/>
  <c r="I105" i="4"/>
  <c r="CG104" i="4"/>
  <c r="BY104" i="4"/>
  <c r="BQ104" i="4"/>
  <c r="BI104" i="4"/>
  <c r="BA104" i="4"/>
  <c r="AS104" i="4"/>
  <c r="AI104" i="4"/>
  <c r="X104" i="4"/>
  <c r="N104" i="4"/>
  <c r="CI103" i="4"/>
  <c r="BX103" i="4"/>
  <c r="BN103" i="4"/>
  <c r="BC103" i="4"/>
  <c r="AH103" i="4"/>
  <c r="L103" i="4"/>
  <c r="BW102" i="4"/>
  <c r="BB102" i="4"/>
  <c r="AF102" i="4"/>
  <c r="K102" i="4"/>
  <c r="BV101" i="4"/>
  <c r="AW101" i="4"/>
  <c r="U101" i="4"/>
  <c r="BY100" i="4"/>
  <c r="AU100" i="4"/>
  <c r="H100" i="4"/>
  <c r="F100" i="4"/>
  <c r="K100" i="4"/>
  <c r="Q100" i="4"/>
  <c r="V100" i="4"/>
  <c r="AA100" i="4"/>
  <c r="AG100" i="4"/>
  <c r="AL100" i="4"/>
  <c r="AQ100" i="4"/>
  <c r="AW100" i="4"/>
  <c r="BB100" i="4"/>
  <c r="BG100" i="4"/>
  <c r="BM100" i="4"/>
  <c r="BR100" i="4"/>
  <c r="BW100" i="4"/>
  <c r="CC100" i="4"/>
  <c r="CH100" i="4"/>
  <c r="G101" i="4"/>
  <c r="M101" i="4"/>
  <c r="R101" i="4"/>
  <c r="W101" i="4"/>
  <c r="AC101" i="4"/>
  <c r="AH101" i="4"/>
  <c r="AM101" i="4"/>
  <c r="AS101" i="4"/>
  <c r="AX101" i="4"/>
  <c r="BC101" i="4"/>
  <c r="BI101" i="4"/>
  <c r="BM101" i="4"/>
  <c r="BQ101" i="4"/>
  <c r="BU101" i="4"/>
  <c r="BY101" i="4"/>
  <c r="CC101" i="4"/>
  <c r="CG101" i="4"/>
  <c r="CK101" i="4"/>
  <c r="I102" i="4"/>
  <c r="M102" i="4"/>
  <c r="Q102" i="4"/>
  <c r="U102" i="4"/>
  <c r="Y102" i="4"/>
  <c r="AC102" i="4"/>
  <c r="AG102" i="4"/>
  <c r="AK102" i="4"/>
  <c r="AO102" i="4"/>
  <c r="AS102" i="4"/>
  <c r="AW102" i="4"/>
  <c r="BA102" i="4"/>
  <c r="BE102" i="4"/>
  <c r="BI102" i="4"/>
  <c r="BM102" i="4"/>
  <c r="BQ102" i="4"/>
  <c r="BU102" i="4"/>
  <c r="BY102" i="4"/>
  <c r="CC102" i="4"/>
  <c r="CG102" i="4"/>
  <c r="CK102" i="4"/>
  <c r="I103" i="4"/>
  <c r="M103" i="4"/>
  <c r="Q103" i="4"/>
  <c r="U103" i="4"/>
  <c r="Y103" i="4"/>
  <c r="AC103" i="4"/>
  <c r="AG103" i="4"/>
  <c r="AK103" i="4"/>
  <c r="AO103" i="4"/>
  <c r="AS103" i="4"/>
  <c r="AW103" i="4"/>
  <c r="BA103" i="4"/>
  <c r="BE103" i="4"/>
  <c r="BI103" i="4"/>
  <c r="BM103" i="4"/>
  <c r="BQ103" i="4"/>
  <c r="BU103" i="4"/>
  <c r="BY103" i="4"/>
  <c r="CC103" i="4"/>
  <c r="CG103" i="4"/>
  <c r="CK103" i="4"/>
  <c r="I104" i="4"/>
  <c r="M104" i="4"/>
  <c r="Q104" i="4"/>
  <c r="U104" i="4"/>
  <c r="Y104" i="4"/>
  <c r="AC104" i="4"/>
  <c r="AG104" i="4"/>
  <c r="AK104" i="4"/>
  <c r="AO104" i="4"/>
  <c r="G100" i="4"/>
  <c r="N100" i="4"/>
  <c r="U100" i="4"/>
  <c r="AC100" i="4"/>
  <c r="AI100" i="4"/>
  <c r="AP100" i="4"/>
  <c r="AX100" i="4"/>
  <c r="BE100" i="4"/>
  <c r="BK100" i="4"/>
  <c r="BS100" i="4"/>
  <c r="BZ100" i="4"/>
  <c r="CG100" i="4"/>
  <c r="I101" i="4"/>
  <c r="O101" i="4"/>
  <c r="V101" i="4"/>
  <c r="AD101" i="4"/>
  <c r="AK101" i="4"/>
  <c r="AQ101" i="4"/>
  <c r="AY101" i="4"/>
  <c r="BF101" i="4"/>
  <c r="BL101" i="4"/>
  <c r="BR101" i="4"/>
  <c r="BW101" i="4"/>
  <c r="CB101" i="4"/>
  <c r="CH101" i="4"/>
  <c r="G102" i="4"/>
  <c r="L102" i="4"/>
  <c r="R102" i="4"/>
  <c r="W102" i="4"/>
  <c r="AB102" i="4"/>
  <c r="AH102" i="4"/>
  <c r="AM102" i="4"/>
  <c r="AR102" i="4"/>
  <c r="AX102" i="4"/>
  <c r="BC102" i="4"/>
  <c r="BH102" i="4"/>
  <c r="BN102" i="4"/>
  <c r="BS102" i="4"/>
  <c r="BX102" i="4"/>
  <c r="CD102" i="4"/>
  <c r="CI102" i="4"/>
  <c r="H103" i="4"/>
  <c r="N103" i="4"/>
  <c r="S103" i="4"/>
  <c r="X103" i="4"/>
  <c r="AD103" i="4"/>
  <c r="AI103" i="4"/>
  <c r="AN103" i="4"/>
  <c r="AT103" i="4"/>
  <c r="AY103" i="4"/>
  <c r="BD103" i="4"/>
  <c r="BJ103" i="4"/>
  <c r="BO103" i="4"/>
  <c r="BT103" i="4"/>
  <c r="BZ103" i="4"/>
  <c r="CE103" i="4"/>
  <c r="CJ103" i="4"/>
  <c r="J104" i="4"/>
  <c r="O104" i="4"/>
  <c r="T104" i="4"/>
  <c r="Z104" i="4"/>
  <c r="AE104" i="4"/>
  <c r="AJ104" i="4"/>
  <c r="AP104" i="4"/>
  <c r="AT104" i="4"/>
  <c r="AX104" i="4"/>
  <c r="BB104" i="4"/>
  <c r="BF104" i="4"/>
  <c r="BJ104" i="4"/>
  <c r="BN104" i="4"/>
  <c r="BR104" i="4"/>
  <c r="BV104" i="4"/>
  <c r="BZ104" i="4"/>
  <c r="CD104" i="4"/>
  <c r="CH104" i="4"/>
  <c r="F105" i="4"/>
  <c r="J105" i="4"/>
  <c r="N105" i="4"/>
  <c r="R105" i="4"/>
  <c r="I100" i="4"/>
  <c r="O100" i="4"/>
  <c r="W100" i="4"/>
  <c r="AD100" i="4"/>
  <c r="AK100" i="4"/>
  <c r="AS100" i="4"/>
  <c r="AY100" i="4"/>
  <c r="BF100" i="4"/>
  <c r="BN100" i="4"/>
  <c r="BU100" i="4"/>
  <c r="CA100" i="4"/>
  <c r="CI100" i="4"/>
  <c r="J101" i="4"/>
  <c r="Q101" i="4"/>
  <c r="Y101" i="4"/>
  <c r="AE101" i="4"/>
  <c r="AL101" i="4"/>
  <c r="AT101" i="4"/>
  <c r="BA101" i="4"/>
  <c r="BG101" i="4"/>
  <c r="BN101" i="4"/>
  <c r="BS101" i="4"/>
  <c r="BX101" i="4"/>
  <c r="CD101" i="4"/>
  <c r="CI101" i="4"/>
  <c r="H102" i="4"/>
  <c r="N102" i="4"/>
  <c r="S102" i="4"/>
  <c r="X102" i="4"/>
  <c r="AD102" i="4"/>
  <c r="AI102" i="4"/>
  <c r="AN102" i="4"/>
  <c r="AT102" i="4"/>
  <c r="AY102" i="4"/>
  <c r="BD102" i="4"/>
  <c r="BJ102" i="4"/>
  <c r="BO102" i="4"/>
  <c r="BT102" i="4"/>
  <c r="BZ102" i="4"/>
  <c r="CE102" i="4"/>
  <c r="CJ102" i="4"/>
  <c r="J103" i="4"/>
  <c r="O103" i="4"/>
  <c r="T103" i="4"/>
  <c r="Z103" i="4"/>
  <c r="AE103" i="4"/>
  <c r="AJ103" i="4"/>
  <c r="AP103" i="4"/>
  <c r="AU103" i="4"/>
  <c r="AZ103" i="4"/>
  <c r="BF103" i="4"/>
  <c r="BK103" i="4"/>
  <c r="BP103" i="4"/>
  <c r="BV103" i="4"/>
  <c r="CA103" i="4"/>
  <c r="CF103" i="4"/>
  <c r="F104" i="4"/>
  <c r="K104" i="4"/>
  <c r="P104" i="4"/>
  <c r="V104" i="4"/>
  <c r="AA104" i="4"/>
  <c r="AF104" i="4"/>
  <c r="AL104" i="4"/>
  <c r="AQ104" i="4"/>
  <c r="AU104" i="4"/>
  <c r="AY104" i="4"/>
  <c r="BC104" i="4"/>
  <c r="BG104" i="4"/>
  <c r="BK104" i="4"/>
  <c r="BO104" i="4"/>
  <c r="BS104" i="4"/>
  <c r="BW104" i="4"/>
  <c r="CA104" i="4"/>
  <c r="CE104" i="4"/>
  <c r="CI104" i="4"/>
  <c r="G105" i="4"/>
  <c r="K105" i="4"/>
  <c r="O105" i="4"/>
  <c r="S105" i="4"/>
  <c r="W105" i="4"/>
  <c r="AA105" i="4"/>
  <c r="AE105" i="4"/>
  <c r="AI105" i="4"/>
  <c r="AM105" i="4"/>
  <c r="AQ105" i="4"/>
  <c r="J100" i="4"/>
  <c r="R100" i="4"/>
  <c r="Y100" i="4"/>
  <c r="AE100" i="4"/>
  <c r="AM100" i="4"/>
  <c r="AT100" i="4"/>
  <c r="BA100" i="4"/>
  <c r="BI100" i="4"/>
  <c r="BO100" i="4"/>
  <c r="BV100" i="4"/>
  <c r="CD100" i="4"/>
  <c r="CK100" i="4"/>
  <c r="K101" i="4"/>
  <c r="S101" i="4"/>
  <c r="Z101" i="4"/>
  <c r="AG101" i="4"/>
  <c r="AO101" i="4"/>
  <c r="AU101" i="4"/>
  <c r="BB101" i="4"/>
  <c r="BJ101" i="4"/>
  <c r="BO101" i="4"/>
  <c r="BT101" i="4"/>
  <c r="BZ101" i="4"/>
  <c r="CE101" i="4"/>
  <c r="CJ101" i="4"/>
  <c r="J102" i="4"/>
  <c r="O102" i="4"/>
  <c r="T102" i="4"/>
  <c r="Z102" i="4"/>
  <c r="AE102" i="4"/>
  <c r="AJ102" i="4"/>
  <c r="AP102" i="4"/>
  <c r="AU102" i="4"/>
  <c r="AZ102" i="4"/>
  <c r="BF102" i="4"/>
  <c r="BK102" i="4"/>
  <c r="BP102" i="4"/>
  <c r="BV102" i="4"/>
  <c r="CA102" i="4"/>
  <c r="CF102" i="4"/>
  <c r="F103" i="4"/>
  <c r="K103" i="4"/>
  <c r="P103" i="4"/>
  <c r="V103" i="4"/>
  <c r="AA103" i="4"/>
  <c r="AF103" i="4"/>
  <c r="AL103" i="4"/>
  <c r="AQ103" i="4"/>
  <c r="AV103" i="4"/>
  <c r="BB103" i="4"/>
  <c r="CD105" i="4"/>
  <c r="BV105" i="4"/>
  <c r="BJ105" i="4"/>
  <c r="BF105" i="4"/>
  <c r="AO105" i="4"/>
  <c r="Y105" i="4"/>
  <c r="L105" i="4"/>
  <c r="BL104" i="4"/>
  <c r="AM104" i="4"/>
  <c r="G104" i="4"/>
  <c r="R103" i="4"/>
  <c r="CJ105" i="4"/>
  <c r="CF105" i="4"/>
  <c r="CB105" i="4"/>
  <c r="BX105" i="4"/>
  <c r="BT105" i="4"/>
  <c r="BP105" i="4"/>
  <c r="BL105" i="4"/>
  <c r="BH105" i="4"/>
  <c r="BD105" i="4"/>
  <c r="AZ105" i="4"/>
  <c r="AV105" i="4"/>
  <c r="AR105" i="4"/>
  <c r="AL105" i="4"/>
  <c r="AG105" i="4"/>
  <c r="AB105" i="4"/>
  <c r="V105" i="4"/>
  <c r="P105" i="4"/>
  <c r="H105" i="4"/>
  <c r="CF104" i="4"/>
  <c r="BX104" i="4"/>
  <c r="BP104" i="4"/>
  <c r="BH104" i="4"/>
  <c r="AZ104" i="4"/>
  <c r="AR104" i="4"/>
  <c r="AH104" i="4"/>
  <c r="W104" i="4"/>
  <c r="L104" i="4"/>
  <c r="CH103" i="4"/>
  <c r="BW103" i="4"/>
  <c r="BL103" i="4"/>
  <c r="AX103" i="4"/>
  <c r="AB103" i="4"/>
  <c r="G103" i="4"/>
  <c r="BR102" i="4"/>
  <c r="AV102" i="4"/>
  <c r="AA102" i="4"/>
  <c r="F102" i="4"/>
  <c r="BP101" i="4"/>
  <c r="AP101" i="4"/>
  <c r="N101" i="4"/>
  <c r="BQ100" i="4"/>
  <c r="AO100" i="4"/>
  <c r="M100" i="4"/>
  <c r="BU42" i="4"/>
  <c r="I42" i="4"/>
  <c r="AC41" i="4"/>
  <c r="AW40" i="4"/>
  <c r="BQ39" i="4"/>
  <c r="F39" i="4"/>
  <c r="Z38" i="4"/>
  <c r="N37" i="4"/>
  <c r="BM42" i="4"/>
  <c r="AG42" i="4"/>
  <c r="CG41" i="4"/>
  <c r="BA41" i="4"/>
  <c r="U41" i="4"/>
  <c r="BU40" i="4"/>
  <c r="AO40" i="4"/>
  <c r="I40" i="4"/>
  <c r="BI39" i="4"/>
  <c r="AC39" i="4"/>
  <c r="CD38" i="4"/>
  <c r="AX38" i="4"/>
  <c r="R38" i="4"/>
  <c r="BR37" i="4"/>
  <c r="AL37" i="4"/>
  <c r="F37" i="4"/>
  <c r="AO42" i="4"/>
  <c r="BI41" i="4"/>
  <c r="CC40" i="4"/>
  <c r="Q40" i="4"/>
  <c r="AK39" i="4"/>
  <c r="BF38" i="4"/>
  <c r="BZ37" i="4"/>
  <c r="AT37" i="4"/>
  <c r="CK42" i="4"/>
  <c r="BE42" i="4"/>
  <c r="Y42" i="4"/>
  <c r="BY41" i="4"/>
  <c r="AS41" i="4"/>
  <c r="M41" i="4"/>
  <c r="BM40" i="4"/>
  <c r="AG40" i="4"/>
  <c r="CG39" i="4"/>
  <c r="BA39" i="4"/>
  <c r="U39" i="4"/>
  <c r="BV38" i="4"/>
  <c r="AP38" i="4"/>
  <c r="J38" i="4"/>
  <c r="BJ37" i="4"/>
  <c r="AD37" i="4"/>
  <c r="CC42" i="4"/>
  <c r="AW42" i="4"/>
  <c r="Q42" i="4"/>
  <c r="BQ41" i="4"/>
  <c r="AK41" i="4"/>
  <c r="CK40" i="4"/>
  <c r="BE40" i="4"/>
  <c r="Y40" i="4"/>
  <c r="BY39" i="4"/>
  <c r="AS39" i="4"/>
  <c r="N39" i="4"/>
  <c r="BN38" i="4"/>
  <c r="AH38" i="4"/>
  <c r="CH37" i="4"/>
  <c r="BB37" i="4"/>
  <c r="G37" i="4"/>
  <c r="K37" i="4"/>
  <c r="O37" i="4"/>
  <c r="S37" i="4"/>
  <c r="W37" i="4"/>
  <c r="AA37" i="4"/>
  <c r="AE37" i="4"/>
  <c r="AI37" i="4"/>
  <c r="AM37" i="4"/>
  <c r="AQ37" i="4"/>
  <c r="AU37" i="4"/>
  <c r="AY37" i="4"/>
  <c r="BC37" i="4"/>
  <c r="BG37" i="4"/>
  <c r="BK37" i="4"/>
  <c r="BO37" i="4"/>
  <c r="BS37" i="4"/>
  <c r="BW37" i="4"/>
  <c r="CA37" i="4"/>
  <c r="CE37" i="4"/>
  <c r="CI37" i="4"/>
  <c r="G38" i="4"/>
  <c r="K38" i="4"/>
  <c r="O38" i="4"/>
  <c r="S38" i="4"/>
  <c r="W38" i="4"/>
  <c r="AA38" i="4"/>
  <c r="AE38" i="4"/>
  <c r="AI38" i="4"/>
  <c r="AM38" i="4"/>
  <c r="AQ38" i="4"/>
  <c r="AU38" i="4"/>
  <c r="AY38" i="4"/>
  <c r="BC38" i="4"/>
  <c r="BG38" i="4"/>
  <c r="BK38" i="4"/>
  <c r="BO38" i="4"/>
  <c r="BS38" i="4"/>
  <c r="BW38" i="4"/>
  <c r="CA38" i="4"/>
  <c r="CE38" i="4"/>
  <c r="CI38" i="4"/>
  <c r="G39" i="4"/>
  <c r="K39" i="4"/>
  <c r="O39" i="4"/>
  <c r="S39" i="4"/>
  <c r="W39" i="4"/>
  <c r="AA39" i="4"/>
  <c r="AE39" i="4"/>
  <c r="AI39" i="4"/>
  <c r="AM39" i="4"/>
  <c r="AQ39" i="4"/>
  <c r="AU39" i="4"/>
  <c r="AY39" i="4"/>
  <c r="BC39" i="4"/>
  <c r="BG39" i="4"/>
  <c r="BK39" i="4"/>
  <c r="BO39" i="4"/>
  <c r="BS39" i="4"/>
  <c r="BW39" i="4"/>
  <c r="CA39" i="4"/>
  <c r="CE39" i="4"/>
  <c r="CI39" i="4"/>
  <c r="G40" i="4"/>
  <c r="K40" i="4"/>
  <c r="O40" i="4"/>
  <c r="S40" i="4"/>
  <c r="W40" i="4"/>
  <c r="AA40" i="4"/>
  <c r="AE40" i="4"/>
  <c r="AI40" i="4"/>
  <c r="AM40" i="4"/>
  <c r="AQ40" i="4"/>
  <c r="AU40" i="4"/>
  <c r="AY40" i="4"/>
  <c r="BC40" i="4"/>
  <c r="BG40" i="4"/>
  <c r="BK40" i="4"/>
  <c r="BO40" i="4"/>
  <c r="BS40" i="4"/>
  <c r="BW40" i="4"/>
  <c r="CA40" i="4"/>
  <c r="CE40" i="4"/>
  <c r="CI40" i="4"/>
  <c r="G41" i="4"/>
  <c r="K41" i="4"/>
  <c r="O41" i="4"/>
  <c r="S41" i="4"/>
  <c r="W41" i="4"/>
  <c r="AA41" i="4"/>
  <c r="AE41" i="4"/>
  <c r="AI41" i="4"/>
  <c r="AM41" i="4"/>
  <c r="AQ41" i="4"/>
  <c r="AU41" i="4"/>
  <c r="AY41" i="4"/>
  <c r="BC41" i="4"/>
  <c r="BG41" i="4"/>
  <c r="BK41" i="4"/>
  <c r="BO41" i="4"/>
  <c r="BS41" i="4"/>
  <c r="BW41" i="4"/>
  <c r="CA41" i="4"/>
  <c r="CE41" i="4"/>
  <c r="CI41" i="4"/>
  <c r="G42" i="4"/>
  <c r="K42" i="4"/>
  <c r="O42" i="4"/>
  <c r="S42" i="4"/>
  <c r="W42" i="4"/>
  <c r="AA42" i="4"/>
  <c r="AE42" i="4"/>
  <c r="AI42" i="4"/>
  <c r="AM42" i="4"/>
  <c r="AQ42" i="4"/>
  <c r="AU42" i="4"/>
  <c r="AY42" i="4"/>
  <c r="BC42" i="4"/>
  <c r="BG42" i="4"/>
  <c r="BK42" i="4"/>
  <c r="BO42" i="4"/>
  <c r="BS42" i="4"/>
  <c r="BW42" i="4"/>
  <c r="CA42" i="4"/>
  <c r="CE42" i="4"/>
  <c r="CI42" i="4"/>
  <c r="H37" i="4"/>
  <c r="L37" i="4"/>
  <c r="P37" i="4"/>
  <c r="T37" i="4"/>
  <c r="X37" i="4"/>
  <c r="AB37" i="4"/>
  <c r="AF37" i="4"/>
  <c r="AJ37" i="4"/>
  <c r="AN37" i="4"/>
  <c r="AR37" i="4"/>
  <c r="AV37" i="4"/>
  <c r="AZ37" i="4"/>
  <c r="BD37" i="4"/>
  <c r="BH37" i="4"/>
  <c r="BL37" i="4"/>
  <c r="BP37" i="4"/>
  <c r="BT37" i="4"/>
  <c r="BX37" i="4"/>
  <c r="CB37" i="4"/>
  <c r="CF37" i="4"/>
  <c r="CJ37" i="4"/>
  <c r="H38" i="4"/>
  <c r="L38" i="4"/>
  <c r="P38" i="4"/>
  <c r="T38" i="4"/>
  <c r="X38" i="4"/>
  <c r="AB38" i="4"/>
  <c r="AF38" i="4"/>
  <c r="AJ38" i="4"/>
  <c r="AN38" i="4"/>
  <c r="AR38" i="4"/>
  <c r="AV38" i="4"/>
  <c r="AZ38" i="4"/>
  <c r="BD38" i="4"/>
  <c r="BH38" i="4"/>
  <c r="BL38" i="4"/>
  <c r="BP38" i="4"/>
  <c r="BT38" i="4"/>
  <c r="BX38" i="4"/>
  <c r="CB38" i="4"/>
  <c r="CF38" i="4"/>
  <c r="CJ38" i="4"/>
  <c r="H39" i="4"/>
  <c r="L39" i="4"/>
  <c r="T39" i="4"/>
  <c r="X39" i="4"/>
  <c r="AB39" i="4"/>
  <c r="AF39" i="4"/>
  <c r="AJ39" i="4"/>
  <c r="AN39" i="4"/>
  <c r="AR39" i="4"/>
  <c r="AV39" i="4"/>
  <c r="AZ39" i="4"/>
  <c r="BD39" i="4"/>
  <c r="BH39" i="4"/>
  <c r="BL39" i="4"/>
  <c r="BP39" i="4"/>
  <c r="BT39" i="4"/>
  <c r="BX39" i="4"/>
  <c r="CB39" i="4"/>
  <c r="CF39" i="4"/>
  <c r="CJ39" i="4"/>
  <c r="H40" i="4"/>
  <c r="L40" i="4"/>
  <c r="P40" i="4"/>
  <c r="T40" i="4"/>
  <c r="X40" i="4"/>
  <c r="AB40" i="4"/>
  <c r="AF40" i="4"/>
  <c r="AJ40" i="4"/>
  <c r="AN40" i="4"/>
  <c r="AR40" i="4"/>
  <c r="AV40" i="4"/>
  <c r="AZ40" i="4"/>
  <c r="BD40" i="4"/>
  <c r="BH40" i="4"/>
  <c r="BL40" i="4"/>
  <c r="BP40" i="4"/>
  <c r="BT40" i="4"/>
  <c r="BX40" i="4"/>
  <c r="CB40" i="4"/>
  <c r="CF40" i="4"/>
  <c r="CJ40" i="4"/>
  <c r="H41" i="4"/>
  <c r="L41" i="4"/>
  <c r="P41" i="4"/>
  <c r="T41" i="4"/>
  <c r="X41" i="4"/>
  <c r="AB41" i="4"/>
  <c r="AF41" i="4"/>
  <c r="AJ41" i="4"/>
  <c r="AN41" i="4"/>
  <c r="AR41" i="4"/>
  <c r="AV41" i="4"/>
  <c r="AZ41" i="4"/>
  <c r="BD41" i="4"/>
  <c r="BH41" i="4"/>
  <c r="BL41" i="4"/>
  <c r="BP41" i="4"/>
  <c r="BT41" i="4"/>
  <c r="BX41" i="4"/>
  <c r="CB41" i="4"/>
  <c r="CF41" i="4"/>
  <c r="CJ41" i="4"/>
  <c r="H42" i="4"/>
  <c r="L42" i="4"/>
  <c r="P42" i="4"/>
  <c r="T42" i="4"/>
  <c r="X42" i="4"/>
  <c r="AB42" i="4"/>
  <c r="AF42" i="4"/>
  <c r="AJ42" i="4"/>
  <c r="AN42" i="4"/>
  <c r="AR42" i="4"/>
  <c r="AV42" i="4"/>
  <c r="AZ42" i="4"/>
  <c r="BD42" i="4"/>
  <c r="BH42" i="4"/>
  <c r="BL42" i="4"/>
  <c r="BP42" i="4"/>
  <c r="BT42" i="4"/>
  <c r="BX42" i="4"/>
  <c r="CB42" i="4"/>
  <c r="CF42" i="4"/>
  <c r="CJ42" i="4"/>
  <c r="CG42" i="4"/>
  <c r="BY42" i="4"/>
  <c r="BQ42" i="4"/>
  <c r="BI42" i="4"/>
  <c r="BA42" i="4"/>
  <c r="AS42" i="4"/>
  <c r="AK42" i="4"/>
  <c r="AC42" i="4"/>
  <c r="U42" i="4"/>
  <c r="M42" i="4"/>
  <c r="CK41" i="4"/>
  <c r="CC41" i="4"/>
  <c r="BU41" i="4"/>
  <c r="BM41" i="4"/>
  <c r="BE41" i="4"/>
  <c r="AW41" i="4"/>
  <c r="AO41" i="4"/>
  <c r="AG41" i="4"/>
  <c r="Y41" i="4"/>
  <c r="Q41" i="4"/>
  <c r="I41" i="4"/>
  <c r="CG40" i="4"/>
  <c r="BY40" i="4"/>
  <c r="BQ40" i="4"/>
  <c r="BI40" i="4"/>
  <c r="BA40" i="4"/>
  <c r="AS40" i="4"/>
  <c r="AK40" i="4"/>
  <c r="AC40" i="4"/>
  <c r="U40" i="4"/>
  <c r="M40" i="4"/>
  <c r="CK39" i="4"/>
  <c r="CC39" i="4"/>
  <c r="BU39" i="4"/>
  <c r="BM39" i="4"/>
  <c r="BE39" i="4"/>
  <c r="AW39" i="4"/>
  <c r="AO39" i="4"/>
  <c r="AG39" i="4"/>
  <c r="Y39" i="4"/>
  <c r="Q39" i="4"/>
  <c r="J39" i="4"/>
  <c r="CH38" i="4"/>
  <c r="BZ38" i="4"/>
  <c r="BR38" i="4"/>
  <c r="BJ38" i="4"/>
  <c r="BB38" i="4"/>
  <c r="AT38" i="4"/>
  <c r="AL38" i="4"/>
  <c r="AD38" i="4"/>
  <c r="V38" i="4"/>
  <c r="N38" i="4"/>
  <c r="F38" i="4"/>
  <c r="CD37" i="4"/>
  <c r="BV37" i="4"/>
  <c r="BN37" i="4"/>
  <c r="BF37" i="4"/>
  <c r="AX37" i="4"/>
  <c r="AP37" i="4"/>
  <c r="AH37" i="4"/>
  <c r="Z37" i="4"/>
  <c r="R37" i="4"/>
  <c r="J37" i="4"/>
  <c r="CH42" i="4"/>
  <c r="BZ42" i="4"/>
  <c r="BR42" i="4"/>
  <c r="BJ42" i="4"/>
  <c r="BB42" i="4"/>
  <c r="AT42" i="4"/>
  <c r="AL42" i="4"/>
  <c r="AD42" i="4"/>
  <c r="V42" i="4"/>
  <c r="N42" i="4"/>
  <c r="F42" i="4"/>
  <c r="CD41" i="4"/>
  <c r="BV41" i="4"/>
  <c r="BN41" i="4"/>
  <c r="BF41" i="4"/>
  <c r="AX41" i="4"/>
  <c r="AP41" i="4"/>
  <c r="AH41" i="4"/>
  <c r="Z41" i="4"/>
  <c r="R41" i="4"/>
  <c r="J41" i="4"/>
  <c r="CH40" i="4"/>
  <c r="BZ40" i="4"/>
  <c r="BR40" i="4"/>
  <c r="BJ40" i="4"/>
  <c r="BB40" i="4"/>
  <c r="AT40" i="4"/>
  <c r="AL40" i="4"/>
  <c r="AD40" i="4"/>
  <c r="V40" i="4"/>
  <c r="N40" i="4"/>
  <c r="F40" i="4"/>
  <c r="CD39" i="4"/>
  <c r="BV39" i="4"/>
  <c r="BN39" i="4"/>
  <c r="BF39" i="4"/>
  <c r="AX39" i="4"/>
  <c r="AP39" i="4"/>
  <c r="AH39" i="4"/>
  <c r="Z39" i="4"/>
  <c r="R39" i="4"/>
  <c r="M39" i="4"/>
  <c r="CK38" i="4"/>
  <c r="CC38" i="4"/>
  <c r="BU38" i="4"/>
  <c r="BM38" i="4"/>
  <c r="BE38" i="4"/>
  <c r="AW38" i="4"/>
  <c r="AO38" i="4"/>
  <c r="AG38" i="4"/>
  <c r="Y38" i="4"/>
  <c r="Q38" i="4"/>
  <c r="I38" i="4"/>
  <c r="CG37" i="4"/>
  <c r="BY37" i="4"/>
  <c r="BQ37" i="4"/>
  <c r="BI37" i="4"/>
  <c r="BA37" i="4"/>
  <c r="AS37" i="4"/>
  <c r="AK37" i="4"/>
  <c r="AC37" i="4"/>
  <c r="U37" i="4"/>
  <c r="M37" i="4"/>
  <c r="CD42" i="4"/>
  <c r="BV42" i="4"/>
  <c r="BN42" i="4"/>
  <c r="BF42" i="4"/>
  <c r="AX42" i="4"/>
  <c r="AP42" i="4"/>
  <c r="AH42" i="4"/>
  <c r="Z42" i="4"/>
  <c r="R42" i="4"/>
  <c r="J42" i="4"/>
  <c r="CH41" i="4"/>
  <c r="BZ41" i="4"/>
  <c r="BR41" i="4"/>
  <c r="BJ41" i="4"/>
  <c r="BB41" i="4"/>
  <c r="AT41" i="4"/>
  <c r="AL41" i="4"/>
  <c r="AD41" i="4"/>
  <c r="V41" i="4"/>
  <c r="N41" i="4"/>
  <c r="F41" i="4"/>
  <c r="CD40" i="4"/>
  <c r="BV40" i="4"/>
  <c r="BN40" i="4"/>
  <c r="BF40" i="4"/>
  <c r="AX40" i="4"/>
  <c r="AP40" i="4"/>
  <c r="AH40" i="4"/>
  <c r="Z40" i="4"/>
  <c r="R40" i="4"/>
  <c r="J40" i="4"/>
  <c r="CH39" i="4"/>
  <c r="BZ39" i="4"/>
  <c r="BR39" i="4"/>
  <c r="BJ39" i="4"/>
  <c r="BB39" i="4"/>
  <c r="AT39" i="4"/>
  <c r="AL39" i="4"/>
  <c r="AD39" i="4"/>
  <c r="V39" i="4"/>
  <c r="P39" i="4"/>
  <c r="I39" i="4"/>
  <c r="CG38" i="4"/>
  <c r="BY38" i="4"/>
  <c r="BQ38" i="4"/>
  <c r="BI38" i="4"/>
  <c r="BA38" i="4"/>
  <c r="AS38" i="4"/>
  <c r="AK38" i="4"/>
  <c r="AC38" i="4"/>
  <c r="U38" i="4"/>
  <c r="M38" i="4"/>
  <c r="CK37" i="4"/>
  <c r="CC37" i="4"/>
  <c r="BU37" i="4"/>
  <c r="BM37" i="4"/>
  <c r="BE37" i="4"/>
  <c r="AW37" i="4"/>
  <c r="AO37" i="4"/>
  <c r="AG37" i="4"/>
  <c r="Y37" i="4"/>
  <c r="Q37" i="4"/>
  <c r="I37" i="4"/>
  <c r="BH101" i="4"/>
  <c r="BD101" i="4"/>
  <c r="AZ101" i="4"/>
  <c r="AV101" i="4"/>
  <c r="AR101" i="4"/>
  <c r="AN101" i="4"/>
  <c r="AJ101" i="4"/>
  <c r="AF101" i="4"/>
  <c r="AB101" i="4"/>
  <c r="X101" i="4"/>
  <c r="T101" i="4"/>
  <c r="P101" i="4"/>
  <c r="L101" i="4"/>
  <c r="H101" i="4"/>
  <c r="CJ100" i="4"/>
  <c r="CF100" i="4"/>
  <c r="CB100" i="4"/>
  <c r="BX100" i="4"/>
  <c r="BT100" i="4"/>
  <c r="BP100" i="4"/>
  <c r="BL100" i="4"/>
  <c r="BH100" i="4"/>
  <c r="BD100" i="4"/>
  <c r="AZ100" i="4"/>
  <c r="AV100" i="4"/>
  <c r="AR100" i="4"/>
  <c r="AN100" i="4"/>
  <c r="AJ100" i="4"/>
  <c r="AF100" i="4"/>
  <c r="AB100" i="4"/>
  <c r="X100" i="4"/>
  <c r="T100" i="4"/>
  <c r="P100" i="4"/>
  <c r="L100" i="4"/>
  <c r="B127" i="1" a="1"/>
  <c r="B127" i="1" s="1"/>
  <c r="F110" i="1"/>
  <c r="C110" i="1"/>
  <c r="B108" i="3" l="1"/>
  <c r="B107" i="3"/>
  <c r="B106" i="3"/>
  <c r="B110" i="3"/>
  <c r="B111" i="3"/>
  <c r="B112" i="3"/>
  <c r="B131" i="3"/>
  <c r="B132" i="3"/>
  <c r="B130" i="3"/>
  <c r="B104" i="3"/>
  <c r="B103" i="3"/>
  <c r="B102" i="3"/>
  <c r="B115" i="3"/>
  <c r="B116" i="3"/>
  <c r="B114" i="3"/>
  <c r="B126" i="3"/>
  <c r="B127" i="3"/>
  <c r="B128" i="3"/>
  <c r="B120" i="3"/>
  <c r="B119" i="3"/>
  <c r="B118" i="3"/>
  <c r="B99" i="3"/>
  <c r="B100" i="3"/>
  <c r="B98" i="3"/>
  <c r="B124" i="3"/>
  <c r="B123" i="3"/>
  <c r="B122" i="3"/>
  <c r="B92" i="3"/>
  <c r="B91" i="3"/>
  <c r="B90" i="3"/>
  <c r="D39" i="4"/>
  <c r="D37" i="4"/>
  <c r="D41" i="4"/>
  <c r="D42" i="4"/>
  <c r="D40" i="4"/>
  <c r="D38" i="4"/>
  <c r="B129" i="1"/>
  <c r="B130" i="1"/>
  <c r="B137" i="1"/>
  <c r="B136" i="1"/>
  <c r="B132" i="1"/>
  <c r="B128" i="1"/>
  <c r="B134" i="1"/>
  <c r="B133" i="1"/>
  <c r="B135" i="1"/>
  <c r="B131" i="1"/>
  <c r="B167" i="9" l="1"/>
  <c r="D96" i="10" l="1"/>
  <c r="D58" i="15" a="1"/>
  <c r="D58" i="15" s="1"/>
  <c r="B67" i="15" a="1"/>
  <c r="B67" i="15" s="1"/>
  <c r="B36" i="11"/>
  <c r="B127" i="4" a="1"/>
  <c r="B130" i="4" s="1"/>
  <c r="B109" i="4" a="1"/>
  <c r="B111" i="4" s="1"/>
  <c r="F65" i="15" l="1"/>
  <c r="D63" i="15"/>
  <c r="E60" i="15"/>
  <c r="E65" i="15"/>
  <c r="F62" i="15"/>
  <c r="D60" i="15"/>
  <c r="F67" i="15"/>
  <c r="D65" i="15"/>
  <c r="E62" i="15"/>
  <c r="F59" i="15"/>
  <c r="E67" i="15"/>
  <c r="F64" i="15"/>
  <c r="D62" i="15"/>
  <c r="E59" i="15"/>
  <c r="D67" i="15"/>
  <c r="E64" i="15"/>
  <c r="F61" i="15"/>
  <c r="D59" i="15"/>
  <c r="F66" i="15"/>
  <c r="D64" i="15"/>
  <c r="E61" i="15"/>
  <c r="F58" i="15"/>
  <c r="E66" i="15"/>
  <c r="F63" i="15"/>
  <c r="D61" i="15"/>
  <c r="E58" i="15"/>
  <c r="D66" i="15"/>
  <c r="E63" i="15"/>
  <c r="F60" i="15"/>
  <c r="B131" i="4"/>
  <c r="B132" i="4"/>
  <c r="B127" i="4"/>
  <c r="B128" i="4"/>
  <c r="B129" i="4"/>
  <c r="B110" i="4"/>
  <c r="B109" i="4"/>
  <c r="B114" i="4"/>
  <c r="B113" i="4"/>
  <c r="B112" i="4"/>
  <c r="B35" i="11"/>
  <c r="H11" i="15"/>
  <c r="F2" i="15"/>
  <c r="E2" i="13" l="1"/>
  <c r="B52" i="12" l="1"/>
  <c r="B51" i="12"/>
  <c r="B50" i="12"/>
  <c r="B49" i="12"/>
  <c r="B48" i="12"/>
  <c r="I2" i="12"/>
  <c r="B213" i="9" a="1"/>
  <c r="B213" i="9" s="1"/>
  <c r="B187" i="9" a="1"/>
  <c r="B187" i="9" s="1"/>
  <c r="B125" i="9" a="1"/>
  <c r="B132" i="9" s="1"/>
  <c r="B214" i="9" l="1"/>
  <c r="B188" i="9"/>
  <c r="B163" i="9"/>
  <c r="B155" i="9"/>
  <c r="B147" i="9"/>
  <c r="B139" i="9"/>
  <c r="B131" i="9"/>
  <c r="B162" i="9"/>
  <c r="B154" i="9"/>
  <c r="B146" i="9"/>
  <c r="B138" i="9"/>
  <c r="B130" i="9"/>
  <c r="B161" i="9"/>
  <c r="B153" i="9"/>
  <c r="B145" i="9"/>
  <c r="B137" i="9"/>
  <c r="B129" i="9"/>
  <c r="B160" i="9"/>
  <c r="B152" i="9"/>
  <c r="B144" i="9"/>
  <c r="B136" i="9"/>
  <c r="B128" i="9"/>
  <c r="B151" i="9"/>
  <c r="B135" i="9"/>
  <c r="B127" i="9"/>
  <c r="B158" i="9"/>
  <c r="B150" i="9"/>
  <c r="B142" i="9"/>
  <c r="B134" i="9"/>
  <c r="B126" i="9"/>
  <c r="B159" i="9"/>
  <c r="B157" i="9"/>
  <c r="B149" i="9"/>
  <c r="B141" i="9"/>
  <c r="B133" i="9"/>
  <c r="B125" i="9"/>
  <c r="B143" i="9"/>
  <c r="B165" i="9"/>
  <c r="B164" i="9"/>
  <c r="B156" i="9"/>
  <c r="B148" i="9"/>
  <c r="B140" i="9"/>
  <c r="F46" i="9"/>
  <c r="E9" i="9"/>
  <c r="B8" i="9" a="1"/>
  <c r="B9" i="9" s="1"/>
  <c r="H2" i="9"/>
  <c r="I2" i="7"/>
  <c r="B90" i="10"/>
  <c r="B89" i="10"/>
  <c r="B60" i="10"/>
  <c r="B59" i="10"/>
  <c r="B8" i="9" l="1"/>
  <c r="I2" i="10"/>
  <c r="I2" i="8"/>
  <c r="I2" i="5" l="1"/>
  <c r="F319" i="3"/>
  <c r="B73" i="3" l="1"/>
  <c r="B8" i="5" a="1"/>
  <c r="B8" i="5" s="1"/>
  <c r="B8" i="8" a="1"/>
  <c r="B8" i="8" s="1"/>
  <c r="B8" i="10" a="1"/>
  <c r="B9" i="10" s="1"/>
  <c r="B8" i="7" a="1"/>
  <c r="B8" i="12" a="1"/>
  <c r="B8" i="3" a="1"/>
  <c r="B9" i="3" s="1"/>
  <c r="I2" i="3"/>
  <c r="D80" i="2"/>
  <c r="B8" i="4" a="1"/>
  <c r="B9" i="4" s="1"/>
  <c r="I2" i="4"/>
  <c r="B8" i="10" l="1"/>
  <c r="B9" i="8"/>
  <c r="B9" i="5"/>
  <c r="B8" i="12"/>
  <c r="B9" i="12"/>
  <c r="B8" i="3"/>
  <c r="B9" i="7"/>
  <c r="B8" i="7"/>
  <c r="B8" i="4"/>
  <c r="B13" i="2" a="1"/>
  <c r="B14" i="2" s="1"/>
  <c r="B14" i="6" s="1"/>
  <c r="E9" i="2"/>
  <c r="E9" i="6" s="1"/>
  <c r="I2" i="2"/>
  <c r="E9" i="7" l="1"/>
  <c r="E9" i="3"/>
  <c r="E9" i="10"/>
  <c r="E9" i="4"/>
  <c r="E9" i="12"/>
  <c r="E9" i="8"/>
  <c r="E9" i="5"/>
  <c r="B13" i="2"/>
  <c r="B13" i="6" s="1"/>
  <c r="C11" i="11"/>
  <c r="F27" i="11" a="1"/>
  <c r="G27" i="11" s="1"/>
  <c r="B10" i="16"/>
  <c r="D114" i="16" s="1"/>
  <c r="B80" i="8" a="1"/>
  <c r="B82" i="8" s="1"/>
  <c r="B37" i="8" a="1"/>
  <c r="B37" i="8" s="1"/>
  <c r="B375" i="3" a="1"/>
  <c r="B377" i="3" s="1"/>
  <c r="B355" i="3" a="1"/>
  <c r="B348" i="3" a="1"/>
  <c r="B350" i="3" s="1"/>
  <c r="B342" i="3" a="1"/>
  <c r="B343" i="3" s="1"/>
  <c r="B336" i="3" a="1"/>
  <c r="B336" i="3" s="1"/>
  <c r="E176" i="1" l="1"/>
  <c r="F176" i="1" s="1"/>
  <c r="E175" i="1"/>
  <c r="F175" i="1" s="1"/>
  <c r="E174" i="1"/>
  <c r="F174" i="1" s="1"/>
  <c r="E177" i="1"/>
  <c r="F177" i="1" s="1"/>
  <c r="E172" i="1"/>
  <c r="F172" i="1" s="1"/>
  <c r="E171" i="1"/>
  <c r="F171" i="1" s="1"/>
  <c r="E150" i="1"/>
  <c r="F150" i="1" s="1"/>
  <c r="E149" i="1"/>
  <c r="F149" i="1" s="1"/>
  <c r="E148" i="1"/>
  <c r="F148" i="1" s="1"/>
  <c r="E147" i="1"/>
  <c r="F147" i="1" s="1"/>
  <c r="E153" i="1"/>
  <c r="F153" i="1" s="1"/>
  <c r="E152" i="1"/>
  <c r="F152" i="1" s="1"/>
  <c r="E151" i="1"/>
  <c r="F151" i="1" s="1"/>
  <c r="E132" i="1"/>
  <c r="F132" i="1" s="1"/>
  <c r="E131" i="1"/>
  <c r="F131" i="1" s="1"/>
  <c r="E133" i="1"/>
  <c r="F133" i="1" s="1"/>
  <c r="E130" i="1"/>
  <c r="F130" i="1" s="1"/>
  <c r="E129" i="1"/>
  <c r="F129" i="1" s="1"/>
  <c r="E128" i="1"/>
  <c r="F128" i="1" s="1"/>
  <c r="E119" i="1"/>
  <c r="F119" i="1" s="1"/>
  <c r="E116" i="1"/>
  <c r="F116" i="1" s="1"/>
  <c r="E112" i="1"/>
  <c r="F112" i="1" s="1"/>
  <c r="E115" i="1"/>
  <c r="F115" i="1" s="1"/>
  <c r="E114" i="1"/>
  <c r="F114" i="1" s="1"/>
  <c r="E113" i="1"/>
  <c r="F113" i="1" s="1"/>
  <c r="B13" i="4" a="1"/>
  <c r="B14" i="4" s="1"/>
  <c r="B13" i="5" a="1"/>
  <c r="B14" i="5" s="1"/>
  <c r="B13" i="8" a="1"/>
  <c r="B14" i="8" s="1"/>
  <c r="B13" i="7" a="1"/>
  <c r="B14" i="7" s="1"/>
  <c r="B13" i="3" a="1"/>
  <c r="B14" i="3" s="1"/>
  <c r="B13" i="10" a="1"/>
  <c r="B14" i="10" s="1"/>
  <c r="B13" i="12" a="1"/>
  <c r="B14" i="12" s="1"/>
  <c r="D110" i="16"/>
  <c r="D111" i="16"/>
  <c r="D112" i="16"/>
  <c r="D113" i="16"/>
  <c r="D98" i="16"/>
  <c r="D106" i="16"/>
  <c r="D109" i="16"/>
  <c r="D99" i="16"/>
  <c r="D107" i="16"/>
  <c r="D101" i="16"/>
  <c r="D102" i="16"/>
  <c r="D103" i="16"/>
  <c r="D104" i="16"/>
  <c r="D105" i="16"/>
  <c r="D100" i="16"/>
  <c r="D108" i="16"/>
  <c r="D96" i="16"/>
  <c r="D14" i="16"/>
  <c r="D22" i="16"/>
  <c r="D30" i="16"/>
  <c r="D38" i="16"/>
  <c r="D46" i="16"/>
  <c r="D51" i="16"/>
  <c r="D59" i="16"/>
  <c r="D67" i="16"/>
  <c r="D75" i="16"/>
  <c r="D83" i="16"/>
  <c r="D91" i="16"/>
  <c r="D15" i="16"/>
  <c r="D23" i="16"/>
  <c r="D31" i="16"/>
  <c r="D39" i="16"/>
  <c r="D47" i="16"/>
  <c r="D52" i="16"/>
  <c r="D60" i="16"/>
  <c r="D68" i="16"/>
  <c r="D76" i="16"/>
  <c r="D84" i="16"/>
  <c r="D16" i="16"/>
  <c r="D32" i="16"/>
  <c r="D48" i="16"/>
  <c r="D61" i="16"/>
  <c r="D77" i="16"/>
  <c r="D93" i="16"/>
  <c r="D17" i="16"/>
  <c r="D33" i="16"/>
  <c r="D62" i="16"/>
  <c r="D78" i="16"/>
  <c r="D94" i="16"/>
  <c r="D18" i="16"/>
  <c r="D34" i="16"/>
  <c r="D63" i="16"/>
  <c r="D79" i="16"/>
  <c r="D95" i="16"/>
  <c r="D27" i="16"/>
  <c r="D35" i="16"/>
  <c r="D64" i="16"/>
  <c r="D88" i="16"/>
  <c r="D20" i="16"/>
  <c r="D28" i="16"/>
  <c r="D36" i="16"/>
  <c r="D44" i="16"/>
  <c r="D49" i="16"/>
  <c r="D57" i="16"/>
  <c r="D65" i="16"/>
  <c r="D73" i="16"/>
  <c r="D81" i="16"/>
  <c r="D89" i="16"/>
  <c r="D97" i="16"/>
  <c r="D13" i="16"/>
  <c r="D21" i="16"/>
  <c r="D29" i="16"/>
  <c r="D37" i="16"/>
  <c r="D45" i="16"/>
  <c r="D50" i="16"/>
  <c r="D58" i="16"/>
  <c r="D66" i="16"/>
  <c r="D74" i="16"/>
  <c r="D82" i="16"/>
  <c r="D90" i="16"/>
  <c r="D92" i="16"/>
  <c r="D24" i="16"/>
  <c r="D40" i="16"/>
  <c r="D53" i="16"/>
  <c r="D69" i="16"/>
  <c r="D85" i="16"/>
  <c r="D25" i="16"/>
  <c r="D41" i="16"/>
  <c r="D54" i="16"/>
  <c r="D70" i="16"/>
  <c r="D86" i="16"/>
  <c r="D26" i="16"/>
  <c r="D42" i="16"/>
  <c r="D55" i="16"/>
  <c r="D71" i="16"/>
  <c r="D87" i="16"/>
  <c r="D19" i="16"/>
  <c r="D43" i="16"/>
  <c r="D56" i="16"/>
  <c r="D72" i="16"/>
  <c r="D80" i="16"/>
  <c r="E95" i="1"/>
  <c r="F95" i="1" s="1"/>
  <c r="E94" i="1"/>
  <c r="F94" i="1" s="1"/>
  <c r="H27" i="11"/>
  <c r="F27" i="11"/>
  <c r="B80" i="8"/>
  <c r="B81" i="8"/>
  <c r="B39" i="8"/>
  <c r="B38" i="8"/>
  <c r="B348" i="3"/>
  <c r="B349" i="3"/>
  <c r="B357" i="3"/>
  <c r="B355" i="3"/>
  <c r="B356" i="3"/>
  <c r="B375" i="3"/>
  <c r="B376" i="3"/>
  <c r="B344" i="3"/>
  <c r="B342" i="3"/>
  <c r="B338" i="3"/>
  <c r="B337" i="3"/>
  <c r="D98" i="10"/>
  <c r="D97" i="10"/>
  <c r="D77" i="10"/>
  <c r="B312" i="3" a="1"/>
  <c r="B313" i="3" s="1"/>
  <c r="B306" i="3" a="1"/>
  <c r="B306" i="3" s="1"/>
  <c r="B294" i="3" a="1"/>
  <c r="B295" i="3" s="1"/>
  <c r="B287" i="3" a="1"/>
  <c r="B287" i="3" s="1"/>
  <c r="B194" i="1" a="1"/>
  <c r="B194" i="1" s="1"/>
  <c r="BP77" i="10" l="1"/>
  <c r="BX77" i="10"/>
  <c r="CF77" i="10"/>
  <c r="BQ77" i="10"/>
  <c r="BY77" i="10"/>
  <c r="CG77" i="10"/>
  <c r="BR77" i="10"/>
  <c r="BZ77" i="10"/>
  <c r="CH77" i="10"/>
  <c r="BS77" i="10"/>
  <c r="CA77" i="10"/>
  <c r="CI77" i="10"/>
  <c r="BT77" i="10"/>
  <c r="CB77" i="10"/>
  <c r="CJ77" i="10"/>
  <c r="BU77" i="10"/>
  <c r="CC77" i="10"/>
  <c r="CK77" i="10"/>
  <c r="BO77" i="10"/>
  <c r="CE77" i="10"/>
  <c r="BN77" i="10"/>
  <c r="BV77" i="10"/>
  <c r="CD77" i="10"/>
  <c r="BW77" i="10"/>
  <c r="B13" i="10"/>
  <c r="B13" i="8"/>
  <c r="B13" i="5"/>
  <c r="B13" i="3"/>
  <c r="B13" i="4"/>
  <c r="B13" i="7"/>
  <c r="B13" i="12"/>
  <c r="B314" i="3"/>
  <c r="B312" i="3"/>
  <c r="B308" i="3"/>
  <c r="B307" i="3"/>
  <c r="B294" i="3"/>
  <c r="B296" i="3"/>
  <c r="B289" i="3"/>
  <c r="B288" i="3"/>
  <c r="B196" i="1"/>
  <c r="B195" i="1"/>
  <c r="D185" i="1"/>
  <c r="E185" i="1" s="1"/>
  <c r="F185" i="1" s="1"/>
  <c r="G185" i="1" s="1"/>
  <c r="H185" i="1" s="1"/>
  <c r="I185" i="1" s="1"/>
  <c r="J185" i="1" s="1"/>
  <c r="E173" i="1"/>
  <c r="F173" i="1" s="1"/>
  <c r="E178" i="1"/>
  <c r="F178" i="1" s="1"/>
  <c r="E170" i="1"/>
  <c r="F170" i="1" s="1"/>
  <c r="B236" i="3" l="1" a="1"/>
  <c r="B238" i="3" s="1"/>
  <c r="B230" i="3" a="1"/>
  <c r="B232" i="3" s="1"/>
  <c r="B218" i="3" a="1"/>
  <c r="B218" i="3" s="1"/>
  <c r="E162" i="1"/>
  <c r="E161" i="1"/>
  <c r="E160" i="1"/>
  <c r="B236" i="3" l="1"/>
  <c r="B237" i="3"/>
  <c r="B230" i="3"/>
  <c r="B231" i="3"/>
  <c r="B220" i="3"/>
  <c r="B219" i="3"/>
  <c r="E154" i="1"/>
  <c r="E146" i="1"/>
  <c r="E145" i="1"/>
  <c r="E134" i="1"/>
  <c r="E135" i="1"/>
  <c r="E136" i="1"/>
  <c r="E137" i="1"/>
  <c r="E127" i="1"/>
  <c r="E117" i="1"/>
  <c r="E118" i="1"/>
  <c r="E120" i="1"/>
  <c r="E121" i="1"/>
  <c r="E111" i="1"/>
  <c r="F57" i="8" l="1"/>
  <c r="F45" i="8"/>
  <c r="F142" i="4" l="1"/>
  <c r="I95" i="1"/>
  <c r="I94" i="1"/>
  <c r="I93" i="1"/>
  <c r="I92" i="1"/>
  <c r="I91" i="1"/>
  <c r="I90" i="1"/>
  <c r="F85" i="4"/>
  <c r="I100" i="1" l="1"/>
  <c r="J100" i="1" s="1"/>
  <c r="K100" i="1" s="1"/>
  <c r="L100" i="1" s="1"/>
  <c r="M100" i="1" s="1"/>
  <c r="N100" i="1" s="1"/>
  <c r="O100" i="1" s="1"/>
  <c r="P100" i="1" s="1"/>
  <c r="I78" i="1"/>
  <c r="J67" i="1"/>
  <c r="J89" i="1"/>
  <c r="K89" i="1" s="1"/>
  <c r="L89" i="1" s="1"/>
  <c r="E93" i="1"/>
  <c r="E92" i="1"/>
  <c r="E91" i="1"/>
  <c r="E90" i="1"/>
  <c r="E69" i="1"/>
  <c r="E70" i="1"/>
  <c r="E71" i="1"/>
  <c r="E72" i="1"/>
  <c r="E73" i="1"/>
  <c r="E68" i="1"/>
  <c r="D37" i="1"/>
  <c r="E50" i="1"/>
  <c r="B16" i="15"/>
  <c r="C10" i="15"/>
  <c r="C9" i="15"/>
  <c r="B100" i="4" a="1"/>
  <c r="B100" i="4" s="1"/>
  <c r="B66" i="4" a="1"/>
  <c r="B67" i="4" s="1"/>
  <c r="B48" i="4" a="1"/>
  <c r="B52" i="4" s="1"/>
  <c r="B37" i="4" a="1"/>
  <c r="B37" i="4" s="1"/>
  <c r="C96" i="1"/>
  <c r="B67" i="6" l="1"/>
  <c r="B111" i="6"/>
  <c r="B35" i="6"/>
  <c r="B99" i="6"/>
  <c r="B43" i="6"/>
  <c r="B55" i="6"/>
  <c r="B118" i="6"/>
  <c r="B49" i="6"/>
  <c r="B207" i="1"/>
  <c r="B206" i="1"/>
  <c r="B205" i="1"/>
  <c r="B137" i="5"/>
  <c r="B116" i="5"/>
  <c r="B124" i="5"/>
  <c r="B130" i="5"/>
  <c r="B75" i="10"/>
  <c r="B111" i="15"/>
  <c r="B28" i="11"/>
  <c r="B48" i="15"/>
  <c r="E48" i="15"/>
  <c r="B33" i="11"/>
  <c r="B96" i="15"/>
  <c r="B30" i="11"/>
  <c r="B69" i="15"/>
  <c r="B29" i="11"/>
  <c r="B192" i="9"/>
  <c r="B219" i="9"/>
  <c r="B123" i="9"/>
  <c r="B218" i="9"/>
  <c r="B54" i="9"/>
  <c r="B33" i="12"/>
  <c r="B193" i="9"/>
  <c r="B45" i="10"/>
  <c r="B57" i="10"/>
  <c r="B136" i="7"/>
  <c r="B87" i="10"/>
  <c r="B33" i="7"/>
  <c r="B56" i="10"/>
  <c r="B100" i="10"/>
  <c r="B37" i="10"/>
  <c r="B67" i="7"/>
  <c r="B86" i="10"/>
  <c r="B64" i="10"/>
  <c r="B16" i="9"/>
  <c r="B202" i="1"/>
  <c r="B72" i="8"/>
  <c r="B66" i="8"/>
  <c r="B55" i="8"/>
  <c r="B50" i="8"/>
  <c r="B43" i="8"/>
  <c r="B78" i="8"/>
  <c r="B62" i="8"/>
  <c r="B55" i="5"/>
  <c r="B49" i="5"/>
  <c r="B334" i="3"/>
  <c r="B42" i="5"/>
  <c r="B155" i="5"/>
  <c r="B96" i="5"/>
  <c r="B353" i="3"/>
  <c r="B62" i="5"/>
  <c r="B103" i="5"/>
  <c r="B90" i="5"/>
  <c r="B346" i="3"/>
  <c r="B160" i="5"/>
  <c r="B330" i="3"/>
  <c r="B82" i="5"/>
  <c r="B340" i="3"/>
  <c r="B200" i="3"/>
  <c r="B74" i="4"/>
  <c r="B249" i="3"/>
  <c r="B125" i="4"/>
  <c r="B107" i="4"/>
  <c r="B37" i="3"/>
  <c r="B83" i="4"/>
  <c r="B57" i="3"/>
  <c r="B187" i="3"/>
  <c r="B64" i="4"/>
  <c r="B149" i="3"/>
  <c r="B216" i="3"/>
  <c r="B268" i="3"/>
  <c r="B168" i="3"/>
  <c r="B140" i="4"/>
  <c r="B46" i="4"/>
  <c r="B136" i="4"/>
  <c r="B228" i="3"/>
  <c r="B241" i="3"/>
  <c r="B234" i="3"/>
  <c r="D100" i="4"/>
  <c r="D105" i="4"/>
  <c r="D104" i="4"/>
  <c r="D102" i="4"/>
  <c r="D101" i="4"/>
  <c r="D103" i="4"/>
  <c r="B255" i="1"/>
  <c r="D40" i="1"/>
  <c r="D39" i="1"/>
  <c r="M89" i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C67" i="1"/>
  <c r="C89" i="1"/>
  <c r="F89" i="1"/>
  <c r="F67" i="1"/>
  <c r="B103" i="4"/>
  <c r="B105" i="4"/>
  <c r="B104" i="4"/>
  <c r="B102" i="4"/>
  <c r="B101" i="4"/>
  <c r="B66" i="4"/>
  <c r="B71" i="4"/>
  <c r="B69" i="4"/>
  <c r="B68" i="4"/>
  <c r="B70" i="4"/>
  <c r="B51" i="4"/>
  <c r="B50" i="4"/>
  <c r="B49" i="4"/>
  <c r="B48" i="4"/>
  <c r="B53" i="4"/>
  <c r="B40" i="4"/>
  <c r="B39" i="4"/>
  <c r="B42" i="4"/>
  <c r="B41" i="4"/>
  <c r="B38" i="4"/>
  <c r="C49" i="1"/>
  <c r="B198" i="9" l="1" a="1"/>
  <c r="B211" i="9" s="1"/>
  <c r="B42" i="15" a="1"/>
  <c r="B42" i="15" s="1"/>
  <c r="B58" i="15" a="1"/>
  <c r="B58" i="15" s="1"/>
  <c r="B184" i="9" a="1"/>
  <c r="B184" i="9" s="1"/>
  <c r="B175" i="9" a="1"/>
  <c r="B177" i="9" s="1"/>
  <c r="I158" i="1"/>
  <c r="J158" i="1" s="1"/>
  <c r="K158" i="1" s="1"/>
  <c r="L158" i="1" s="1"/>
  <c r="M158" i="1" s="1"/>
  <c r="N158" i="1" s="1"/>
  <c r="O158" i="1" s="1"/>
  <c r="P158" i="1" s="1"/>
  <c r="B310" i="3"/>
  <c r="B304" i="3"/>
  <c r="B292" i="3"/>
  <c r="C159" i="1"/>
  <c r="C169" i="1"/>
  <c r="C193" i="1"/>
  <c r="F169" i="1"/>
  <c r="F144" i="1"/>
  <c r="F126" i="1"/>
  <c r="F159" i="1"/>
  <c r="C144" i="1"/>
  <c r="C126" i="1"/>
  <c r="C242" i="1"/>
  <c r="D242" i="1" s="1"/>
  <c r="E242" i="1" s="1"/>
  <c r="F242" i="1" s="1"/>
  <c r="G242" i="1" s="1"/>
  <c r="H242" i="1" s="1"/>
  <c r="I242" i="1" s="1"/>
  <c r="J242" i="1" s="1"/>
  <c r="D263" i="1"/>
  <c r="E263" i="1" s="1"/>
  <c r="F263" i="1" s="1"/>
  <c r="G263" i="1" s="1"/>
  <c r="H263" i="1" s="1"/>
  <c r="I263" i="1" s="1"/>
  <c r="J263" i="1" s="1"/>
  <c r="K263" i="1" s="1"/>
  <c r="J78" i="1"/>
  <c r="K78" i="1" s="1"/>
  <c r="L78" i="1" s="1"/>
  <c r="M78" i="1" s="1"/>
  <c r="N78" i="1" s="1"/>
  <c r="O78" i="1" s="1"/>
  <c r="P78" i="1" s="1"/>
  <c r="I125" i="1"/>
  <c r="J125" i="1" s="1"/>
  <c r="K125" i="1" s="1"/>
  <c r="L125" i="1" s="1"/>
  <c r="M125" i="1" s="1"/>
  <c r="N125" i="1" s="1"/>
  <c r="O125" i="1" s="1"/>
  <c r="I143" i="1"/>
  <c r="J143" i="1" s="1"/>
  <c r="K143" i="1" s="1"/>
  <c r="L143" i="1" s="1"/>
  <c r="M143" i="1" s="1"/>
  <c r="N143" i="1" s="1"/>
  <c r="O143" i="1" s="1"/>
  <c r="P143" i="1" s="1"/>
  <c r="I168" i="1"/>
  <c r="J168" i="1" s="1"/>
  <c r="K168" i="1" s="1"/>
  <c r="L168" i="1" s="1"/>
  <c r="M168" i="1" s="1"/>
  <c r="N168" i="1" s="1"/>
  <c r="O168" i="1" s="1"/>
  <c r="P168" i="1" s="1"/>
  <c r="D254" i="1"/>
  <c r="E254" i="1" s="1"/>
  <c r="F254" i="1" s="1"/>
  <c r="G254" i="1" s="1"/>
  <c r="H254" i="1" s="1"/>
  <c r="I254" i="1" s="1"/>
  <c r="J254" i="1" s="1"/>
  <c r="K254" i="1" s="1"/>
  <c r="I192" i="1"/>
  <c r="J192" i="1" s="1"/>
  <c r="K192" i="1" s="1"/>
  <c r="L192" i="1" s="1"/>
  <c r="M192" i="1" s="1"/>
  <c r="N192" i="1" s="1"/>
  <c r="O192" i="1" s="1"/>
  <c r="P192" i="1" s="1"/>
  <c r="B43" i="15" l="1"/>
  <c r="B185" i="9"/>
  <c r="B63" i="15"/>
  <c r="B59" i="15"/>
  <c r="B66" i="15"/>
  <c r="B64" i="15"/>
  <c r="B62" i="15"/>
  <c r="B61" i="15"/>
  <c r="B65" i="15"/>
  <c r="B60" i="15"/>
  <c r="B199" i="9"/>
  <c r="B198" i="9"/>
  <c r="B210" i="9"/>
  <c r="B208" i="9"/>
  <c r="B205" i="9"/>
  <c r="B202" i="9"/>
  <c r="B206" i="9"/>
  <c r="B201" i="9"/>
  <c r="B207" i="9"/>
  <c r="B204" i="9"/>
  <c r="B209" i="9"/>
  <c r="B203" i="9"/>
  <c r="B175" i="9"/>
  <c r="B181" i="9"/>
  <c r="B183" i="9"/>
  <c r="B180" i="9"/>
  <c r="B182" i="9"/>
  <c r="B176" i="9"/>
  <c r="B179" i="9"/>
  <c r="B178" i="9"/>
  <c r="B45" i="15"/>
  <c r="B44" i="15"/>
  <c r="B46" i="15"/>
  <c r="B200" i="9"/>
  <c r="F57" i="5"/>
  <c r="F70" i="5" l="1"/>
  <c r="F73" i="5" s="1"/>
  <c r="F384" i="3"/>
  <c r="F382" i="3"/>
  <c r="F95" i="7" l="1"/>
  <c r="F364" i="3"/>
  <c r="I110" i="1" l="1"/>
  <c r="F116" i="9" l="1"/>
  <c r="I2" i="1" l="1"/>
  <c r="J2" i="11"/>
  <c r="F8" i="9"/>
  <c r="F9" i="9" s="1"/>
  <c r="F93" i="1"/>
  <c r="F90" i="1"/>
  <c r="F91" i="1"/>
  <c r="F92" i="1"/>
  <c r="F121" i="1"/>
  <c r="F109" i="4" l="1" a="1"/>
  <c r="G109" i="4" s="1"/>
  <c r="G8" i="9"/>
  <c r="G9" i="9" s="1"/>
  <c r="F13" i="9"/>
  <c r="F14" i="9"/>
  <c r="F96" i="1"/>
  <c r="F154" i="1"/>
  <c r="F162" i="1"/>
  <c r="F161" i="1"/>
  <c r="F160" i="1"/>
  <c r="F117" i="1"/>
  <c r="F118" i="1"/>
  <c r="F146" i="1"/>
  <c r="F145" i="1"/>
  <c r="F120" i="1"/>
  <c r="F111" i="1"/>
  <c r="F129" i="7"/>
  <c r="F105" i="5"/>
  <c r="F98" i="5"/>
  <c r="F63" i="7"/>
  <c r="F74" i="8"/>
  <c r="F68" i="8"/>
  <c r="F162" i="5"/>
  <c r="F78" i="4"/>
  <c r="F362" i="3"/>
  <c r="F27" i="2"/>
  <c r="F8" i="2"/>
  <c r="F8" i="6" s="1"/>
  <c r="D226" i="1"/>
  <c r="F134" i="1"/>
  <c r="F135" i="1"/>
  <c r="F136" i="1"/>
  <c r="F137" i="1"/>
  <c r="F127" i="1"/>
  <c r="D79" i="1"/>
  <c r="F69" i="1"/>
  <c r="F70" i="1"/>
  <c r="F71" i="1"/>
  <c r="F72" i="1"/>
  <c r="F73" i="1"/>
  <c r="F68" i="1"/>
  <c r="C51" i="1"/>
  <c r="F27" i="6" l="1"/>
  <c r="F27" i="8"/>
  <c r="F27" i="4"/>
  <c r="F27" i="10"/>
  <c r="F27" i="3"/>
  <c r="F27" i="5"/>
  <c r="F27" i="7"/>
  <c r="F27" i="12"/>
  <c r="AN114" i="4"/>
  <c r="BO109" i="4"/>
  <c r="H114" i="4"/>
  <c r="CK111" i="4"/>
  <c r="BS114" i="4"/>
  <c r="CC110" i="4"/>
  <c r="CF113" i="4"/>
  <c r="O112" i="4"/>
  <c r="AY113" i="4"/>
  <c r="AS111" i="4"/>
  <c r="BX114" i="4"/>
  <c r="L114" i="4"/>
  <c r="AF113" i="4"/>
  <c r="AE112" i="4"/>
  <c r="F111" i="4"/>
  <c r="AT109" i="4"/>
  <c r="AQ114" i="4"/>
  <c r="BK113" i="4"/>
  <c r="BU112" i="4"/>
  <c r="BQ111" i="4"/>
  <c r="BY109" i="4"/>
  <c r="BB114" i="4"/>
  <c r="BV113" i="4"/>
  <c r="CI112" i="4"/>
  <c r="CH111" i="4"/>
  <c r="AT110" i="4"/>
  <c r="CK114" i="4"/>
  <c r="Y114" i="4"/>
  <c r="AS113" i="4"/>
  <c r="AW112" i="4"/>
  <c r="AG111" i="4"/>
  <c r="BU109" i="4"/>
  <c r="CF112" i="4"/>
  <c r="T112" i="4"/>
  <c r="AN111" i="4"/>
  <c r="BH110" i="4"/>
  <c r="CB109" i="4"/>
  <c r="P109" i="4"/>
  <c r="W111" i="4"/>
  <c r="AQ110" i="4"/>
  <c r="BK109" i="4"/>
  <c r="BQ112" i="4"/>
  <c r="X114" i="4"/>
  <c r="BR109" i="4"/>
  <c r="AT112" i="4"/>
  <c r="BG113" i="4"/>
  <c r="CB114" i="4"/>
  <c r="AJ113" i="4"/>
  <c r="N111" i="4"/>
  <c r="AU114" i="4"/>
  <c r="BZ112" i="4"/>
  <c r="AG110" i="4"/>
  <c r="AZ114" i="4"/>
  <c r="BT113" i="4"/>
  <c r="CG112" i="4"/>
  <c r="CE111" i="4"/>
  <c r="AP110" i="4"/>
  <c r="CE114" i="4"/>
  <c r="S114" i="4"/>
  <c r="AM113" i="4"/>
  <c r="AO112" i="4"/>
  <c r="U111" i="4"/>
  <c r="M109" i="4"/>
  <c r="Z114" i="4"/>
  <c r="AT113" i="4"/>
  <c r="AX112" i="4"/>
  <c r="AH111" i="4"/>
  <c r="BV109" i="4"/>
  <c r="BI114" i="4"/>
  <c r="CC113" i="4"/>
  <c r="M113" i="4"/>
  <c r="K112" i="4"/>
  <c r="BI110" i="4"/>
  <c r="Q109" i="4"/>
  <c r="BD112" i="4"/>
  <c r="BX111" i="4"/>
  <c r="L111" i="4"/>
  <c r="AF110" i="4"/>
  <c r="AZ109" i="4"/>
  <c r="BG111" i="4"/>
  <c r="CA110" i="4"/>
  <c r="O110" i="4"/>
  <c r="AI109" i="4"/>
  <c r="R110" i="4"/>
  <c r="AU112" i="4"/>
  <c r="W114" i="4"/>
  <c r="BQ109" i="4"/>
  <c r="BI111" i="4"/>
  <c r="P114" i="4"/>
  <c r="AK112" i="4"/>
  <c r="BB109" i="4"/>
  <c r="BO113" i="4"/>
  <c r="BY111" i="4"/>
  <c r="CF114" i="4"/>
  <c r="T114" i="4"/>
  <c r="AN113" i="4"/>
  <c r="AP112" i="4"/>
  <c r="V111" i="4"/>
  <c r="BJ109" i="4"/>
  <c r="AY114" i="4"/>
  <c r="BS113" i="4"/>
  <c r="CE112" i="4"/>
  <c r="CD111" i="4"/>
  <c r="I110" i="4"/>
  <c r="BF114" i="4"/>
  <c r="BZ113" i="4"/>
  <c r="I113" i="4"/>
  <c r="G112" i="4"/>
  <c r="BB110" i="4"/>
  <c r="J109" i="4"/>
  <c r="AC114" i="4"/>
  <c r="AW113" i="4"/>
  <c r="BB112" i="4"/>
  <c r="AO111" i="4"/>
  <c r="CC109" i="4"/>
  <c r="CJ112" i="4"/>
  <c r="X112" i="4"/>
  <c r="AR111" i="4"/>
  <c r="BL110" i="4"/>
  <c r="CF109" i="4"/>
  <c r="T109" i="4"/>
  <c r="AA111" i="4"/>
  <c r="AU110" i="4"/>
  <c r="AL109" i="4"/>
  <c r="BW113" i="4"/>
  <c r="V109" i="4"/>
  <c r="Z112" i="4"/>
  <c r="BX113" i="4"/>
  <c r="F109" i="4"/>
  <c r="CI111" i="4"/>
  <c r="Z113" i="4"/>
  <c r="BL114" i="4"/>
  <c r="Q113" i="4"/>
  <c r="BN110" i="4"/>
  <c r="AE114" i="4"/>
  <c r="BE112" i="4"/>
  <c r="CG109" i="4"/>
  <c r="AR114" i="4"/>
  <c r="BL113" i="4"/>
  <c r="BV112" i="4"/>
  <c r="BR111" i="4"/>
  <c r="Z110" i="4"/>
  <c r="BW114" i="4"/>
  <c r="K114" i="4"/>
  <c r="AE113" i="4"/>
  <c r="AD112" i="4"/>
  <c r="BU110" i="4"/>
  <c r="CH114" i="4"/>
  <c r="V114" i="4"/>
  <c r="AP113" i="4"/>
  <c r="AS112" i="4"/>
  <c r="Z111" i="4"/>
  <c r="BN109" i="4"/>
  <c r="BE114" i="4"/>
  <c r="BY113" i="4"/>
  <c r="G113" i="4"/>
  <c r="F112" i="4"/>
  <c r="BA110" i="4"/>
  <c r="I109" i="4"/>
  <c r="AZ112" i="4"/>
  <c r="BT111" i="4"/>
  <c r="H111" i="4"/>
  <c r="AB110" i="4"/>
  <c r="AV109" i="4"/>
  <c r="BC111" i="4"/>
  <c r="BW110" i="4"/>
  <c r="K110" i="4"/>
  <c r="AE109" i="4"/>
  <c r="BH113" i="4"/>
  <c r="BJ111" i="4"/>
  <c r="CJ114" i="4"/>
  <c r="AR113" i="4"/>
  <c r="AD111" i="4"/>
  <c r="CI114" i="4"/>
  <c r="AQ113" i="4"/>
  <c r="AC111" i="4"/>
  <c r="AM114" i="4"/>
  <c r="BO112" i="4"/>
  <c r="Q110" i="4"/>
  <c r="AV114" i="4"/>
  <c r="BP113" i="4"/>
  <c r="CA112" i="4"/>
  <c r="BZ111" i="4"/>
  <c r="AH110" i="4"/>
  <c r="CA114" i="4"/>
  <c r="O114" i="4"/>
  <c r="AI113" i="4"/>
  <c r="AI112" i="4"/>
  <c r="M111" i="4"/>
  <c r="BA109" i="4"/>
  <c r="BP114" i="4"/>
  <c r="AJ114" i="4"/>
  <c r="CJ113" i="4"/>
  <c r="BD113" i="4"/>
  <c r="V113" i="4"/>
  <c r="BK112" i="4"/>
  <c r="U112" i="4"/>
  <c r="BB111" i="4"/>
  <c r="BV110" i="4"/>
  <c r="J110" i="4"/>
  <c r="AD109" i="4"/>
  <c r="BO114" i="4"/>
  <c r="AI114" i="4"/>
  <c r="CI113" i="4"/>
  <c r="BC113" i="4"/>
  <c r="U113" i="4"/>
  <c r="BJ112" i="4"/>
  <c r="S112" i="4"/>
  <c r="BA111" i="4"/>
  <c r="BE110" i="4"/>
  <c r="BI109" i="4"/>
  <c r="BV114" i="4"/>
  <c r="AP114" i="4"/>
  <c r="J114" i="4"/>
  <c r="BJ113" i="4"/>
  <c r="AD113" i="4"/>
  <c r="BS112" i="4"/>
  <c r="AC112" i="4"/>
  <c r="BN111" i="4"/>
  <c r="CH110" i="4"/>
  <c r="V110" i="4"/>
  <c r="AP109" i="4"/>
  <c r="BY114" i="4"/>
  <c r="AS114" i="4"/>
  <c r="M114" i="4"/>
  <c r="BM113" i="4"/>
  <c r="AG113" i="4"/>
  <c r="BW112" i="4"/>
  <c r="AG112" i="4"/>
  <c r="BU111" i="4"/>
  <c r="I111" i="4"/>
  <c r="AC110" i="4"/>
  <c r="AW109" i="4"/>
  <c r="T113" i="4"/>
  <c r="BT112" i="4"/>
  <c r="AN112" i="4"/>
  <c r="H112" i="4"/>
  <c r="BH111" i="4"/>
  <c r="AB111" i="4"/>
  <c r="CB110" i="4"/>
  <c r="AV110" i="4"/>
  <c r="P110" i="4"/>
  <c r="BP109" i="4"/>
  <c r="AJ109" i="4"/>
  <c r="BW111" i="4"/>
  <c r="AQ111" i="4"/>
  <c r="K111" i="4"/>
  <c r="BK110" i="4"/>
  <c r="AE110" i="4"/>
  <c r="CE109" i="4"/>
  <c r="AY109" i="4"/>
  <c r="S109" i="4"/>
  <c r="BT114" i="4"/>
  <c r="AA113" i="4"/>
  <c r="CD110" i="4"/>
  <c r="BD114" i="4"/>
  <c r="F113" i="4"/>
  <c r="AX110" i="4"/>
  <c r="BC114" i="4"/>
  <c r="CK112" i="4"/>
  <c r="AW110" i="4"/>
  <c r="G114" i="4"/>
  <c r="Y112" i="4"/>
  <c r="AK109" i="4"/>
  <c r="AF114" i="4"/>
  <c r="AZ113" i="4"/>
  <c r="BF112" i="4"/>
  <c r="AT111" i="4"/>
  <c r="CH109" i="4"/>
  <c r="BK114" i="4"/>
  <c r="CE113" i="4"/>
  <c r="O113" i="4"/>
  <c r="N112" i="4"/>
  <c r="BM110" i="4"/>
  <c r="U109" i="4"/>
  <c r="BH114" i="4"/>
  <c r="AB114" i="4"/>
  <c r="CB113" i="4"/>
  <c r="AV113" i="4"/>
  <c r="K113" i="4"/>
  <c r="BA112" i="4"/>
  <c r="J112" i="4"/>
  <c r="AL111" i="4"/>
  <c r="BF110" i="4"/>
  <c r="BZ109" i="4"/>
  <c r="N109" i="4"/>
  <c r="BG114" i="4"/>
  <c r="AA114" i="4"/>
  <c r="CA113" i="4"/>
  <c r="AU113" i="4"/>
  <c r="J113" i="4"/>
  <c r="AY112" i="4"/>
  <c r="I112" i="4"/>
  <c r="AK111" i="4"/>
  <c r="AO110" i="4"/>
  <c r="AC109" i="4"/>
  <c r="BR114" i="4"/>
  <c r="AL114" i="4"/>
  <c r="F114" i="4"/>
  <c r="BF113" i="4"/>
  <c r="Y113" i="4"/>
  <c r="BN112" i="4"/>
  <c r="W112" i="4"/>
  <c r="BF111" i="4"/>
  <c r="BZ110" i="4"/>
  <c r="N110" i="4"/>
  <c r="AH109" i="4"/>
  <c r="BU114" i="4"/>
  <c r="AO114" i="4"/>
  <c r="I114" i="4"/>
  <c r="BI113" i="4"/>
  <c r="AC113" i="4"/>
  <c r="BR112" i="4"/>
  <c r="AA112" i="4"/>
  <c r="BM111" i="4"/>
  <c r="CG110" i="4"/>
  <c r="U110" i="4"/>
  <c r="AO109" i="4"/>
  <c r="P113" i="4"/>
  <c r="BP112" i="4"/>
  <c r="AJ112" i="4"/>
  <c r="CJ111" i="4"/>
  <c r="BD111" i="4"/>
  <c r="X111" i="4"/>
  <c r="BX110" i="4"/>
  <c r="AR110" i="4"/>
  <c r="L110" i="4"/>
  <c r="BL109" i="4"/>
  <c r="AF109" i="4"/>
  <c r="BS111" i="4"/>
  <c r="AM111" i="4"/>
  <c r="G111" i="4"/>
  <c r="BG110" i="4"/>
  <c r="AA110" i="4"/>
  <c r="CA109" i="4"/>
  <c r="AU109" i="4"/>
  <c r="O109" i="4"/>
  <c r="CK110" i="4"/>
  <c r="Y110" i="4"/>
  <c r="AS109" i="4"/>
  <c r="CD114" i="4"/>
  <c r="BN114" i="4"/>
  <c r="AX114" i="4"/>
  <c r="AH114" i="4"/>
  <c r="R114" i="4"/>
  <c r="CH113" i="4"/>
  <c r="BR113" i="4"/>
  <c r="BB113" i="4"/>
  <c r="AL113" i="4"/>
  <c r="S113" i="4"/>
  <c r="CD112" i="4"/>
  <c r="BI112" i="4"/>
  <c r="AM112" i="4"/>
  <c r="R112" i="4"/>
  <c r="CC111" i="4"/>
  <c r="AX111" i="4"/>
  <c r="R111" i="4"/>
  <c r="BR110" i="4"/>
  <c r="AL110" i="4"/>
  <c r="F110" i="4"/>
  <c r="BF109" i="4"/>
  <c r="Z109" i="4"/>
  <c r="CG114" i="4"/>
  <c r="BQ114" i="4"/>
  <c r="BA114" i="4"/>
  <c r="AK114" i="4"/>
  <c r="U114" i="4"/>
  <c r="CK113" i="4"/>
  <c r="BU113" i="4"/>
  <c r="BE113" i="4"/>
  <c r="AO113" i="4"/>
  <c r="W113" i="4"/>
  <c r="CH112" i="4"/>
  <c r="BM112" i="4"/>
  <c r="AQ112" i="4"/>
  <c r="V112" i="4"/>
  <c r="CG111" i="4"/>
  <c r="BE111" i="4"/>
  <c r="Y111" i="4"/>
  <c r="BY110" i="4"/>
  <c r="AS110" i="4"/>
  <c r="M110" i="4"/>
  <c r="BM109" i="4"/>
  <c r="AG109" i="4"/>
  <c r="AB113" i="4"/>
  <c r="L113" i="4"/>
  <c r="CB112" i="4"/>
  <c r="BL112" i="4"/>
  <c r="AV112" i="4"/>
  <c r="AF112" i="4"/>
  <c r="P112" i="4"/>
  <c r="CF111" i="4"/>
  <c r="BP111" i="4"/>
  <c r="AZ111" i="4"/>
  <c r="AJ111" i="4"/>
  <c r="T111" i="4"/>
  <c r="CJ110" i="4"/>
  <c r="BT110" i="4"/>
  <c r="BD110" i="4"/>
  <c r="AN110" i="4"/>
  <c r="X110" i="4"/>
  <c r="H110" i="4"/>
  <c r="BX109" i="4"/>
  <c r="BH109" i="4"/>
  <c r="AR109" i="4"/>
  <c r="AB109" i="4"/>
  <c r="L109" i="4"/>
  <c r="BO111" i="4"/>
  <c r="AY111" i="4"/>
  <c r="AI111" i="4"/>
  <c r="S111" i="4"/>
  <c r="CI110" i="4"/>
  <c r="BS110" i="4"/>
  <c r="BC110" i="4"/>
  <c r="AM110" i="4"/>
  <c r="W110" i="4"/>
  <c r="G110" i="4"/>
  <c r="BW109" i="4"/>
  <c r="BG109" i="4"/>
  <c r="AQ109" i="4"/>
  <c r="AA109" i="4"/>
  <c r="K109" i="4"/>
  <c r="BZ114" i="4"/>
  <c r="BJ114" i="4"/>
  <c r="AT114" i="4"/>
  <c r="AD114" i="4"/>
  <c r="N114" i="4"/>
  <c r="CD113" i="4"/>
  <c r="BN113" i="4"/>
  <c r="AX113" i="4"/>
  <c r="AH113" i="4"/>
  <c r="N113" i="4"/>
  <c r="BY112" i="4"/>
  <c r="BC112" i="4"/>
  <c r="AH112" i="4"/>
  <c r="M112" i="4"/>
  <c r="BV111" i="4"/>
  <c r="AP111" i="4"/>
  <c r="J111" i="4"/>
  <c r="BJ110" i="4"/>
  <c r="AD110" i="4"/>
  <c r="CD109" i="4"/>
  <c r="AX109" i="4"/>
  <c r="R109" i="4"/>
  <c r="CC114" i="4"/>
  <c r="BM114" i="4"/>
  <c r="AW114" i="4"/>
  <c r="AG114" i="4"/>
  <c r="Q114" i="4"/>
  <c r="CG113" i="4"/>
  <c r="BQ113" i="4"/>
  <c r="BA113" i="4"/>
  <c r="AK113" i="4"/>
  <c r="R113" i="4"/>
  <c r="CC112" i="4"/>
  <c r="BG112" i="4"/>
  <c r="AL112" i="4"/>
  <c r="Q112" i="4"/>
  <c r="CA111" i="4"/>
  <c r="AW111" i="4"/>
  <c r="Q111" i="4"/>
  <c r="BQ110" i="4"/>
  <c r="AK110" i="4"/>
  <c r="CK109" i="4"/>
  <c r="BE109" i="4"/>
  <c r="Y109" i="4"/>
  <c r="X113" i="4"/>
  <c r="H113" i="4"/>
  <c r="BX112" i="4"/>
  <c r="BH112" i="4"/>
  <c r="AR112" i="4"/>
  <c r="AB112" i="4"/>
  <c r="L112" i="4"/>
  <c r="CB111" i="4"/>
  <c r="BL111" i="4"/>
  <c r="AV111" i="4"/>
  <c r="AF111" i="4"/>
  <c r="P111" i="4"/>
  <c r="CF110" i="4"/>
  <c r="BP110" i="4"/>
  <c r="AZ110" i="4"/>
  <c r="AJ110" i="4"/>
  <c r="T110" i="4"/>
  <c r="CJ109" i="4"/>
  <c r="BT109" i="4"/>
  <c r="BD109" i="4"/>
  <c r="AN109" i="4"/>
  <c r="X109" i="4"/>
  <c r="H109" i="4"/>
  <c r="BK111" i="4"/>
  <c r="AU111" i="4"/>
  <c r="AE111" i="4"/>
  <c r="O111" i="4"/>
  <c r="CE110" i="4"/>
  <c r="BO110" i="4"/>
  <c r="AY110" i="4"/>
  <c r="AI110" i="4"/>
  <c r="S110" i="4"/>
  <c r="CI109" i="4"/>
  <c r="BS109" i="4"/>
  <c r="BC109" i="4"/>
  <c r="AM109" i="4"/>
  <c r="W109" i="4"/>
  <c r="D113" i="15"/>
  <c r="F48" i="4" a="1"/>
  <c r="H8" i="9"/>
  <c r="H9" i="9" s="1"/>
  <c r="G13" i="9"/>
  <c r="G14" i="9"/>
  <c r="G27" i="2"/>
  <c r="D230" i="1"/>
  <c r="F9" i="2"/>
  <c r="F9" i="6" s="1"/>
  <c r="D76" i="4"/>
  <c r="G27" i="6" l="1"/>
  <c r="G27" i="8"/>
  <c r="G27" i="5"/>
  <c r="G27" i="4"/>
  <c r="G27" i="10"/>
  <c r="G27" i="3"/>
  <c r="G27" i="12"/>
  <c r="G27" i="7"/>
  <c r="BY115" i="4"/>
  <c r="CA115" i="4"/>
  <c r="CI115" i="4"/>
  <c r="BZ115" i="4"/>
  <c r="BX115" i="4"/>
  <c r="BR115" i="4"/>
  <c r="CE115" i="4"/>
  <c r="BN115" i="4"/>
  <c r="BQ115" i="4"/>
  <c r="BT115" i="4"/>
  <c r="CJ115" i="4"/>
  <c r="BP115" i="4"/>
  <c r="CK115" i="4"/>
  <c r="BO115" i="4"/>
  <c r="CF115" i="4"/>
  <c r="CG115" i="4"/>
  <c r="CB115" i="4"/>
  <c r="BW115" i="4"/>
  <c r="CC115" i="4"/>
  <c r="BV115" i="4"/>
  <c r="CH115" i="4"/>
  <c r="BU115" i="4"/>
  <c r="BS115" i="4"/>
  <c r="CD115" i="4"/>
  <c r="E113" i="15"/>
  <c r="BQ76" i="4"/>
  <c r="BU76" i="4"/>
  <c r="BY76" i="4"/>
  <c r="CC76" i="4"/>
  <c r="CG76" i="4"/>
  <c r="CK76" i="4"/>
  <c r="BN76" i="4"/>
  <c r="BR76" i="4"/>
  <c r="BV76" i="4"/>
  <c r="BZ76" i="4"/>
  <c r="CD76" i="4"/>
  <c r="CH76" i="4"/>
  <c r="BT76" i="4"/>
  <c r="CB76" i="4"/>
  <c r="CJ76" i="4"/>
  <c r="BP76" i="4"/>
  <c r="BX76" i="4"/>
  <c r="CF76" i="4"/>
  <c r="BS76" i="4"/>
  <c r="CI76" i="4"/>
  <c r="BO76" i="4"/>
  <c r="BW76" i="4"/>
  <c r="CE76" i="4"/>
  <c r="CA76" i="4"/>
  <c r="F48" i="4"/>
  <c r="J48" i="4"/>
  <c r="N48" i="4"/>
  <c r="R48" i="4"/>
  <c r="V48" i="4"/>
  <c r="Z48" i="4"/>
  <c r="AD48" i="4"/>
  <c r="AH48" i="4"/>
  <c r="AL48" i="4"/>
  <c r="AP48" i="4"/>
  <c r="AT48" i="4"/>
  <c r="AX48" i="4"/>
  <c r="BB48" i="4"/>
  <c r="BF48" i="4"/>
  <c r="BJ48" i="4"/>
  <c r="BN48" i="4"/>
  <c r="BR48" i="4"/>
  <c r="BV48" i="4"/>
  <c r="BZ48" i="4"/>
  <c r="CD48" i="4"/>
  <c r="CH48" i="4"/>
  <c r="F49" i="4"/>
  <c r="J49" i="4"/>
  <c r="N49" i="4"/>
  <c r="R49" i="4"/>
  <c r="V49" i="4"/>
  <c r="Z49" i="4"/>
  <c r="AD49" i="4"/>
  <c r="AH49" i="4"/>
  <c r="AL49" i="4"/>
  <c r="AP49" i="4"/>
  <c r="AT49" i="4"/>
  <c r="AX49" i="4"/>
  <c r="BB49" i="4"/>
  <c r="BF49" i="4"/>
  <c r="BJ49" i="4"/>
  <c r="BN49" i="4"/>
  <c r="BR49" i="4"/>
  <c r="BV49" i="4"/>
  <c r="BZ49" i="4"/>
  <c r="CD49" i="4"/>
  <c r="CH49" i="4"/>
  <c r="F50" i="4"/>
  <c r="J50" i="4"/>
  <c r="N50" i="4"/>
  <c r="R50" i="4"/>
  <c r="V50" i="4"/>
  <c r="Z50" i="4"/>
  <c r="AD50" i="4"/>
  <c r="AH50" i="4"/>
  <c r="AL50" i="4"/>
  <c r="AP50" i="4"/>
  <c r="AT50" i="4"/>
  <c r="AX50" i="4"/>
  <c r="BB50" i="4"/>
  <c r="BF50" i="4"/>
  <c r="BJ50" i="4"/>
  <c r="BN50" i="4"/>
  <c r="BR50" i="4"/>
  <c r="BV50" i="4"/>
  <c r="BZ50" i="4"/>
  <c r="CD50" i="4"/>
  <c r="CH50" i="4"/>
  <c r="F51" i="4"/>
  <c r="J51" i="4"/>
  <c r="N51" i="4"/>
  <c r="R51" i="4"/>
  <c r="V51" i="4"/>
  <c r="Z51" i="4"/>
  <c r="AD51" i="4"/>
  <c r="AH51" i="4"/>
  <c r="AL51" i="4"/>
  <c r="AP51" i="4"/>
  <c r="AT51" i="4"/>
  <c r="AX51" i="4"/>
  <c r="BB51" i="4"/>
  <c r="BF51" i="4"/>
  <c r="BJ51" i="4"/>
  <c r="BN51" i="4"/>
  <c r="BR51" i="4"/>
  <c r="BV51" i="4"/>
  <c r="BZ51" i="4"/>
  <c r="CD51" i="4"/>
  <c r="CH51" i="4"/>
  <c r="F52" i="4"/>
  <c r="J52" i="4"/>
  <c r="N52" i="4"/>
  <c r="R52" i="4"/>
  <c r="V52" i="4"/>
  <c r="Z52" i="4"/>
  <c r="AD52" i="4"/>
  <c r="AH52" i="4"/>
  <c r="AL52" i="4"/>
  <c r="AP52" i="4"/>
  <c r="AT52" i="4"/>
  <c r="AX52" i="4"/>
  <c r="BB52" i="4"/>
  <c r="BF52" i="4"/>
  <c r="BJ52" i="4"/>
  <c r="BN52" i="4"/>
  <c r="BR52" i="4"/>
  <c r="BV52" i="4"/>
  <c r="BZ52" i="4"/>
  <c r="CD52" i="4"/>
  <c r="CH52" i="4"/>
  <c r="F53" i="4"/>
  <c r="J53" i="4"/>
  <c r="N53" i="4"/>
  <c r="R53" i="4"/>
  <c r="V53" i="4"/>
  <c r="Z53" i="4"/>
  <c r="AD53" i="4"/>
  <c r="AH53" i="4"/>
  <c r="AL53" i="4"/>
  <c r="AP53" i="4"/>
  <c r="AT53" i="4"/>
  <c r="AX53" i="4"/>
  <c r="BB53" i="4"/>
  <c r="BF53" i="4"/>
  <c r="BJ53" i="4"/>
  <c r="BN53" i="4"/>
  <c r="BR53" i="4"/>
  <c r="BV53" i="4"/>
  <c r="BZ53" i="4"/>
  <c r="CD53" i="4"/>
  <c r="CH53" i="4"/>
  <c r="G48" i="4"/>
  <c r="K48" i="4"/>
  <c r="O48" i="4"/>
  <c r="S48" i="4"/>
  <c r="W48" i="4"/>
  <c r="AA48" i="4"/>
  <c r="AE48" i="4"/>
  <c r="AI48" i="4"/>
  <c r="AM48" i="4"/>
  <c r="AQ48" i="4"/>
  <c r="AU48" i="4"/>
  <c r="AY48" i="4"/>
  <c r="BC48" i="4"/>
  <c r="BG48" i="4"/>
  <c r="BK48" i="4"/>
  <c r="BO48" i="4"/>
  <c r="BS48" i="4"/>
  <c r="BW48" i="4"/>
  <c r="CA48" i="4"/>
  <c r="CE48" i="4"/>
  <c r="CI48" i="4"/>
  <c r="G49" i="4"/>
  <c r="K49" i="4"/>
  <c r="O49" i="4"/>
  <c r="S49" i="4"/>
  <c r="W49" i="4"/>
  <c r="AA49" i="4"/>
  <c r="AE49" i="4"/>
  <c r="AI49" i="4"/>
  <c r="AM49" i="4"/>
  <c r="AQ49" i="4"/>
  <c r="AU49" i="4"/>
  <c r="AY49" i="4"/>
  <c r="BC49" i="4"/>
  <c r="BG49" i="4"/>
  <c r="BK49" i="4"/>
  <c r="BO49" i="4"/>
  <c r="BS49" i="4"/>
  <c r="BW49" i="4"/>
  <c r="CA49" i="4"/>
  <c r="CE49" i="4"/>
  <c r="CI49" i="4"/>
  <c r="G50" i="4"/>
  <c r="K50" i="4"/>
  <c r="O50" i="4"/>
  <c r="S50" i="4"/>
  <c r="W50" i="4"/>
  <c r="AA50" i="4"/>
  <c r="AE50" i="4"/>
  <c r="AI50" i="4"/>
  <c r="AM50" i="4"/>
  <c r="AQ50" i="4"/>
  <c r="AU50" i="4"/>
  <c r="AY50" i="4"/>
  <c r="BC50" i="4"/>
  <c r="BG50" i="4"/>
  <c r="BK50" i="4"/>
  <c r="BO50" i="4"/>
  <c r="BS50" i="4"/>
  <c r="BW50" i="4"/>
  <c r="CA50" i="4"/>
  <c r="CE50" i="4"/>
  <c r="CI50" i="4"/>
  <c r="G51" i="4"/>
  <c r="K51" i="4"/>
  <c r="O51" i="4"/>
  <c r="S51" i="4"/>
  <c r="W51" i="4"/>
  <c r="AA51" i="4"/>
  <c r="AE51" i="4"/>
  <c r="AI51" i="4"/>
  <c r="AM51" i="4"/>
  <c r="AQ51" i="4"/>
  <c r="AU51" i="4"/>
  <c r="AY51" i="4"/>
  <c r="BC51" i="4"/>
  <c r="BG51" i="4"/>
  <c r="BK51" i="4"/>
  <c r="BO51" i="4"/>
  <c r="BS51" i="4"/>
  <c r="BW51" i="4"/>
  <c r="CA51" i="4"/>
  <c r="CE51" i="4"/>
  <c r="CI51" i="4"/>
  <c r="G52" i="4"/>
  <c r="K52" i="4"/>
  <c r="O52" i="4"/>
  <c r="S52" i="4"/>
  <c r="W52" i="4"/>
  <c r="AA52" i="4"/>
  <c r="AE52" i="4"/>
  <c r="AI52" i="4"/>
  <c r="AM52" i="4"/>
  <c r="AQ52" i="4"/>
  <c r="AU52" i="4"/>
  <c r="AY52" i="4"/>
  <c r="BC52" i="4"/>
  <c r="BG52" i="4"/>
  <c r="BK52" i="4"/>
  <c r="BO52" i="4"/>
  <c r="BS52" i="4"/>
  <c r="BW52" i="4"/>
  <c r="CA52" i="4"/>
  <c r="CE52" i="4"/>
  <c r="CI52" i="4"/>
  <c r="G53" i="4"/>
  <c r="K53" i="4"/>
  <c r="O53" i="4"/>
  <c r="S53" i="4"/>
  <c r="W53" i="4"/>
  <c r="AA53" i="4"/>
  <c r="AE53" i="4"/>
  <c r="AI53" i="4"/>
  <c r="AM53" i="4"/>
  <c r="AQ53" i="4"/>
  <c r="AU53" i="4"/>
  <c r="AY53" i="4"/>
  <c r="BC53" i="4"/>
  <c r="BG53" i="4"/>
  <c r="BK53" i="4"/>
  <c r="BO53" i="4"/>
  <c r="BS53" i="4"/>
  <c r="BW53" i="4"/>
  <c r="CA53" i="4"/>
  <c r="CE53" i="4"/>
  <c r="CI53" i="4"/>
  <c r="L48" i="4"/>
  <c r="T48" i="4"/>
  <c r="AB48" i="4"/>
  <c r="AJ48" i="4"/>
  <c r="AR48" i="4"/>
  <c r="AZ48" i="4"/>
  <c r="BH48" i="4"/>
  <c r="BP48" i="4"/>
  <c r="BX48" i="4"/>
  <c r="CF48" i="4"/>
  <c r="H49" i="4"/>
  <c r="P49" i="4"/>
  <c r="X49" i="4"/>
  <c r="AF49" i="4"/>
  <c r="AN49" i="4"/>
  <c r="AV49" i="4"/>
  <c r="BD49" i="4"/>
  <c r="BL49" i="4"/>
  <c r="BT49" i="4"/>
  <c r="CB49" i="4"/>
  <c r="CJ49" i="4"/>
  <c r="L50" i="4"/>
  <c r="T50" i="4"/>
  <c r="AB50" i="4"/>
  <c r="AJ50" i="4"/>
  <c r="AR50" i="4"/>
  <c r="AZ50" i="4"/>
  <c r="BH50" i="4"/>
  <c r="BP50" i="4"/>
  <c r="BX50" i="4"/>
  <c r="CF50" i="4"/>
  <c r="H51" i="4"/>
  <c r="P51" i="4"/>
  <c r="X51" i="4"/>
  <c r="AF51" i="4"/>
  <c r="AN51" i="4"/>
  <c r="AV51" i="4"/>
  <c r="BD51" i="4"/>
  <c r="BL51" i="4"/>
  <c r="BT51" i="4"/>
  <c r="CB51" i="4"/>
  <c r="CJ51" i="4"/>
  <c r="L52" i="4"/>
  <c r="T52" i="4"/>
  <c r="AB52" i="4"/>
  <c r="AJ52" i="4"/>
  <c r="AR52" i="4"/>
  <c r="AZ52" i="4"/>
  <c r="BH52" i="4"/>
  <c r="BP52" i="4"/>
  <c r="BX52" i="4"/>
  <c r="CF52" i="4"/>
  <c r="H53" i="4"/>
  <c r="P53" i="4"/>
  <c r="X53" i="4"/>
  <c r="AF53" i="4"/>
  <c r="AN53" i="4"/>
  <c r="AV53" i="4"/>
  <c r="BD53" i="4"/>
  <c r="BL53" i="4"/>
  <c r="BT53" i="4"/>
  <c r="CB53" i="4"/>
  <c r="CJ53" i="4"/>
  <c r="M48" i="4"/>
  <c r="U48" i="4"/>
  <c r="AC48" i="4"/>
  <c r="AK48" i="4"/>
  <c r="AS48" i="4"/>
  <c r="BA48" i="4"/>
  <c r="BI48" i="4"/>
  <c r="BQ48" i="4"/>
  <c r="BY48" i="4"/>
  <c r="CG48" i="4"/>
  <c r="I49" i="4"/>
  <c r="Q49" i="4"/>
  <c r="Y49" i="4"/>
  <c r="AG49" i="4"/>
  <c r="AO49" i="4"/>
  <c r="AW49" i="4"/>
  <c r="BE49" i="4"/>
  <c r="BM49" i="4"/>
  <c r="BU49" i="4"/>
  <c r="CC49" i="4"/>
  <c r="CK49" i="4"/>
  <c r="M50" i="4"/>
  <c r="U50" i="4"/>
  <c r="AC50" i="4"/>
  <c r="AK50" i="4"/>
  <c r="AS50" i="4"/>
  <c r="BA50" i="4"/>
  <c r="BI50" i="4"/>
  <c r="BQ50" i="4"/>
  <c r="BY50" i="4"/>
  <c r="CG50" i="4"/>
  <c r="I51" i="4"/>
  <c r="Q51" i="4"/>
  <c r="Y51" i="4"/>
  <c r="AG51" i="4"/>
  <c r="AO51" i="4"/>
  <c r="AW51" i="4"/>
  <c r="BE51" i="4"/>
  <c r="BM51" i="4"/>
  <c r="BU51" i="4"/>
  <c r="CC51" i="4"/>
  <c r="CK51" i="4"/>
  <c r="M52" i="4"/>
  <c r="U52" i="4"/>
  <c r="AC52" i="4"/>
  <c r="AK52" i="4"/>
  <c r="AS52" i="4"/>
  <c r="BA52" i="4"/>
  <c r="BI52" i="4"/>
  <c r="BQ52" i="4"/>
  <c r="BY52" i="4"/>
  <c r="CG52" i="4"/>
  <c r="I53" i="4"/>
  <c r="Q53" i="4"/>
  <c r="Y53" i="4"/>
  <c r="AG53" i="4"/>
  <c r="AO53" i="4"/>
  <c r="AW53" i="4"/>
  <c r="BE53" i="4"/>
  <c r="BM53" i="4"/>
  <c r="BU53" i="4"/>
  <c r="CC53" i="4"/>
  <c r="CK53" i="4"/>
  <c r="H48" i="4"/>
  <c r="X48" i="4"/>
  <c r="AN48" i="4"/>
  <c r="BD48" i="4"/>
  <c r="BT48" i="4"/>
  <c r="CJ48" i="4"/>
  <c r="T49" i="4"/>
  <c r="AJ49" i="4"/>
  <c r="AZ49" i="4"/>
  <c r="BP49" i="4"/>
  <c r="CF49" i="4"/>
  <c r="P50" i="4"/>
  <c r="AF50" i="4"/>
  <c r="AV50" i="4"/>
  <c r="BL50" i="4"/>
  <c r="CB50" i="4"/>
  <c r="L51" i="4"/>
  <c r="AB51" i="4"/>
  <c r="AR51" i="4"/>
  <c r="BH51" i="4"/>
  <c r="BX51" i="4"/>
  <c r="H52" i="4"/>
  <c r="X52" i="4"/>
  <c r="AN52" i="4"/>
  <c r="BD52" i="4"/>
  <c r="BT52" i="4"/>
  <c r="CJ52" i="4"/>
  <c r="T53" i="4"/>
  <c r="AJ53" i="4"/>
  <c r="AZ53" i="4"/>
  <c r="BP53" i="4"/>
  <c r="CF53" i="4"/>
  <c r="CB48" i="4"/>
  <c r="BX49" i="4"/>
  <c r="AN50" i="4"/>
  <c r="BT50" i="4"/>
  <c r="T51" i="4"/>
  <c r="AZ51" i="4"/>
  <c r="P52" i="4"/>
  <c r="AV52" i="4"/>
  <c r="CB52" i="4"/>
  <c r="AB53" i="4"/>
  <c r="BH53" i="4"/>
  <c r="Q48" i="4"/>
  <c r="AG48" i="4"/>
  <c r="AW48" i="4"/>
  <c r="CC48" i="4"/>
  <c r="M49" i="4"/>
  <c r="AC49" i="4"/>
  <c r="BI49" i="4"/>
  <c r="I50" i="4"/>
  <c r="AO50" i="4"/>
  <c r="BU50" i="4"/>
  <c r="U51" i="4"/>
  <c r="BQ51" i="4"/>
  <c r="BM52" i="4"/>
  <c r="AC53" i="4"/>
  <c r="BI53" i="4"/>
  <c r="I48" i="4"/>
  <c r="Y48" i="4"/>
  <c r="AO48" i="4"/>
  <c r="BE48" i="4"/>
  <c r="BU48" i="4"/>
  <c r="CK48" i="4"/>
  <c r="U49" i="4"/>
  <c r="AK49" i="4"/>
  <c r="BA49" i="4"/>
  <c r="BQ49" i="4"/>
  <c r="CG49" i="4"/>
  <c r="Q50" i="4"/>
  <c r="AG50" i="4"/>
  <c r="AW50" i="4"/>
  <c r="BM50" i="4"/>
  <c r="CC50" i="4"/>
  <c r="M51" i="4"/>
  <c r="AC51" i="4"/>
  <c r="AS51" i="4"/>
  <c r="BI51" i="4"/>
  <c r="BY51" i="4"/>
  <c r="I52" i="4"/>
  <c r="Y52" i="4"/>
  <c r="AO52" i="4"/>
  <c r="BE52" i="4"/>
  <c r="BU52" i="4"/>
  <c r="CK52" i="4"/>
  <c r="U53" i="4"/>
  <c r="AK53" i="4"/>
  <c r="BA53" i="4"/>
  <c r="BQ53" i="4"/>
  <c r="CG53" i="4"/>
  <c r="P48" i="4"/>
  <c r="AF48" i="4"/>
  <c r="AV48" i="4"/>
  <c r="BL48" i="4"/>
  <c r="L49" i="4"/>
  <c r="AB49" i="4"/>
  <c r="AR49" i="4"/>
  <c r="BH49" i="4"/>
  <c r="H50" i="4"/>
  <c r="X50" i="4"/>
  <c r="BD50" i="4"/>
  <c r="CJ50" i="4"/>
  <c r="AJ51" i="4"/>
  <c r="BP51" i="4"/>
  <c r="CF51" i="4"/>
  <c r="AF52" i="4"/>
  <c r="BL52" i="4"/>
  <c r="L53" i="4"/>
  <c r="AR53" i="4"/>
  <c r="BX53" i="4"/>
  <c r="BM48" i="4"/>
  <c r="AS49" i="4"/>
  <c r="BY49" i="4"/>
  <c r="Y50" i="4"/>
  <c r="BE50" i="4"/>
  <c r="CK50" i="4"/>
  <c r="AK51" i="4"/>
  <c r="BA51" i="4"/>
  <c r="CG51" i="4"/>
  <c r="Q52" i="4"/>
  <c r="AG52" i="4"/>
  <c r="AW52" i="4"/>
  <c r="CC52" i="4"/>
  <c r="M53" i="4"/>
  <c r="AS53" i="4"/>
  <c r="BY53" i="4"/>
  <c r="AG115" i="4"/>
  <c r="G8" i="2"/>
  <c r="G8" i="6" s="1"/>
  <c r="F18" i="2"/>
  <c r="F18" i="6" s="1"/>
  <c r="D109" i="4"/>
  <c r="D113" i="4"/>
  <c r="D112" i="4"/>
  <c r="D114" i="4"/>
  <c r="D111" i="4"/>
  <c r="D110" i="4"/>
  <c r="I8" i="9"/>
  <c r="I9" i="9" s="1"/>
  <c r="BE115" i="4"/>
  <c r="BF115" i="4"/>
  <c r="AY115" i="4"/>
  <c r="Y115" i="4"/>
  <c r="BB115" i="4"/>
  <c r="AZ115" i="4"/>
  <c r="BJ115" i="4"/>
  <c r="X115" i="4"/>
  <c r="AA115" i="4"/>
  <c r="R115" i="4"/>
  <c r="AW115" i="4"/>
  <c r="AB115" i="4"/>
  <c r="BA115" i="4"/>
  <c r="AP115" i="4"/>
  <c r="AL115" i="4"/>
  <c r="J115" i="4"/>
  <c r="AJ115" i="4"/>
  <c r="BL115" i="4"/>
  <c r="AX115" i="4"/>
  <c r="O115" i="4"/>
  <c r="N115" i="4"/>
  <c r="T115" i="4"/>
  <c r="L115" i="4"/>
  <c r="G115" i="4"/>
  <c r="BM115" i="4"/>
  <c r="AS115" i="4"/>
  <c r="AE115" i="4"/>
  <c r="AO115" i="4"/>
  <c r="Z115" i="4"/>
  <c r="AD115" i="4"/>
  <c r="P115" i="4"/>
  <c r="BG115" i="4"/>
  <c r="BK115" i="4"/>
  <c r="BC115" i="4"/>
  <c r="AV115" i="4"/>
  <c r="AQ115" i="4"/>
  <c r="Q115" i="4"/>
  <c r="U115" i="4"/>
  <c r="W115" i="4"/>
  <c r="AN115" i="4"/>
  <c r="V115" i="4"/>
  <c r="I115" i="4"/>
  <c r="AI115" i="4"/>
  <c r="AH115" i="4"/>
  <c r="AT115" i="4"/>
  <c r="AR115" i="4"/>
  <c r="M115" i="4"/>
  <c r="AC115" i="4"/>
  <c r="BH115" i="4"/>
  <c r="F115" i="4"/>
  <c r="AM115" i="4"/>
  <c r="S115" i="4"/>
  <c r="BD115" i="4"/>
  <c r="AU115" i="4"/>
  <c r="AK115" i="4"/>
  <c r="AF115" i="4"/>
  <c r="H115" i="4"/>
  <c r="BI115" i="4"/>
  <c r="K115" i="4"/>
  <c r="H14" i="9"/>
  <c r="H13" i="9"/>
  <c r="BG76" i="4"/>
  <c r="BH76" i="4"/>
  <c r="BB76" i="4"/>
  <c r="BJ76" i="4"/>
  <c r="BM76" i="4"/>
  <c r="BI76" i="4"/>
  <c r="BK76" i="4"/>
  <c r="BC76" i="4"/>
  <c r="BD76" i="4"/>
  <c r="BF76" i="4"/>
  <c r="BL76" i="4"/>
  <c r="BE76" i="4"/>
  <c r="AH76" i="4"/>
  <c r="AJ76" i="4"/>
  <c r="AI76" i="4"/>
  <c r="AK76" i="4"/>
  <c r="AS76" i="4"/>
  <c r="BA76" i="4"/>
  <c r="AM76" i="4"/>
  <c r="AU76" i="4"/>
  <c r="AN76" i="4"/>
  <c r="AV76" i="4"/>
  <c r="AQ76" i="4"/>
  <c r="AY76" i="4"/>
  <c r="AL76" i="4"/>
  <c r="AT76" i="4"/>
  <c r="AO76" i="4"/>
  <c r="AW76" i="4"/>
  <c r="AP76" i="4"/>
  <c r="AX76" i="4"/>
  <c r="AR76" i="4"/>
  <c r="AZ76" i="4"/>
  <c r="M76" i="4"/>
  <c r="U76" i="4"/>
  <c r="AC76" i="4"/>
  <c r="N76" i="4"/>
  <c r="V76" i="4"/>
  <c r="AD76" i="4"/>
  <c r="G76" i="4"/>
  <c r="O76" i="4"/>
  <c r="W76" i="4"/>
  <c r="AE76" i="4"/>
  <c r="H76" i="4"/>
  <c r="P76" i="4"/>
  <c r="X76" i="4"/>
  <c r="AF76" i="4"/>
  <c r="I76" i="4"/>
  <c r="Q76" i="4"/>
  <c r="Y76" i="4"/>
  <c r="AG76" i="4"/>
  <c r="J76" i="4"/>
  <c r="R76" i="4"/>
  <c r="Z76" i="4"/>
  <c r="F76" i="4"/>
  <c r="K76" i="4"/>
  <c r="S76" i="4"/>
  <c r="AA76" i="4"/>
  <c r="L76" i="4"/>
  <c r="T76" i="4"/>
  <c r="AB76" i="4"/>
  <c r="H27" i="2"/>
  <c r="D49" i="1"/>
  <c r="H27" i="6" l="1"/>
  <c r="H27" i="8"/>
  <c r="H27" i="5"/>
  <c r="H27" i="3"/>
  <c r="H27" i="4"/>
  <c r="H27" i="12"/>
  <c r="H27" i="10"/>
  <c r="H27" i="7"/>
  <c r="F18" i="4"/>
  <c r="F18" i="5"/>
  <c r="F18" i="8"/>
  <c r="F18" i="3"/>
  <c r="F18" i="7"/>
  <c r="F18" i="10"/>
  <c r="F18" i="12"/>
  <c r="F113" i="15"/>
  <c r="CJ54" i="4"/>
  <c r="BY54" i="4"/>
  <c r="BP54" i="4"/>
  <c r="BW54" i="4"/>
  <c r="CD54" i="4"/>
  <c r="BN54" i="4"/>
  <c r="CB54" i="4"/>
  <c r="BT54" i="4"/>
  <c r="BQ54" i="4"/>
  <c r="CI54" i="4"/>
  <c r="BS54" i="4"/>
  <c r="BZ54" i="4"/>
  <c r="CK54" i="4"/>
  <c r="CF54" i="4"/>
  <c r="CE54" i="4"/>
  <c r="BO54" i="4"/>
  <c r="BV54" i="4"/>
  <c r="BU54" i="4"/>
  <c r="CC54" i="4"/>
  <c r="CG54" i="4"/>
  <c r="BX54" i="4"/>
  <c r="CA54" i="4"/>
  <c r="CH54" i="4"/>
  <c r="BR54" i="4"/>
  <c r="D49" i="4"/>
  <c r="D52" i="4"/>
  <c r="D50" i="4"/>
  <c r="D53" i="4"/>
  <c r="D48" i="4"/>
  <c r="D51" i="4"/>
  <c r="AG54" i="4"/>
  <c r="D115" i="4"/>
  <c r="J8" i="9"/>
  <c r="J9" i="9" s="1"/>
  <c r="K8" i="9" s="1"/>
  <c r="K9" i="9" s="1"/>
  <c r="I14" i="9"/>
  <c r="I13" i="9"/>
  <c r="D51" i="1"/>
  <c r="I27" i="2"/>
  <c r="F13" i="2"/>
  <c r="F13" i="6" s="1"/>
  <c r="F26" i="2"/>
  <c r="F26" i="6" s="1"/>
  <c r="F19" i="2"/>
  <c r="F19" i="6" s="1"/>
  <c r="F21" i="2"/>
  <c r="F21" i="6" s="1"/>
  <c r="G9" i="2"/>
  <c r="G9" i="6" s="1"/>
  <c r="I27" i="6" l="1"/>
  <c r="I27" i="3"/>
  <c r="I27" i="4"/>
  <c r="I27" i="8"/>
  <c r="I27" i="5"/>
  <c r="I27" i="12"/>
  <c r="I27" i="10"/>
  <c r="I27" i="7"/>
  <c r="F26" i="3"/>
  <c r="F26" i="5"/>
  <c r="F26" i="4"/>
  <c r="F26" i="10"/>
  <c r="F26" i="12"/>
  <c r="F26" i="7"/>
  <c r="F26" i="8"/>
  <c r="F21" i="5"/>
  <c r="F23" i="2"/>
  <c r="F23" i="6" s="1"/>
  <c r="F21" i="12"/>
  <c r="F21" i="7"/>
  <c r="F21" i="10"/>
  <c r="F21" i="8"/>
  <c r="F21" i="4"/>
  <c r="F22" i="2"/>
  <c r="F22" i="6" s="1"/>
  <c r="F21" i="3"/>
  <c r="F326" i="3" s="1"/>
  <c r="F19" i="5"/>
  <c r="F19" i="7"/>
  <c r="F19" i="12"/>
  <c r="F19" i="10"/>
  <c r="F19" i="8"/>
  <c r="F19" i="3"/>
  <c r="F19" i="4"/>
  <c r="G113" i="15"/>
  <c r="L8" i="9"/>
  <c r="L9" i="9" s="1"/>
  <c r="K14" i="9"/>
  <c r="K13" i="9"/>
  <c r="H8" i="2"/>
  <c r="H8" i="6" s="1"/>
  <c r="G18" i="2"/>
  <c r="J9" i="15" a="1"/>
  <c r="K12" i="15" s="1"/>
  <c r="D54" i="4"/>
  <c r="E117" i="4"/>
  <c r="J13" i="9"/>
  <c r="J14" i="9"/>
  <c r="F24" i="2"/>
  <c r="F24" i="6" s="1"/>
  <c r="F25" i="2"/>
  <c r="F25" i="6" s="1"/>
  <c r="F14" i="2"/>
  <c r="F14" i="6" s="1"/>
  <c r="J27" i="2"/>
  <c r="F20" i="2"/>
  <c r="F20" i="6" s="1"/>
  <c r="F109" i="6" s="1"/>
  <c r="F114" i="6" s="1"/>
  <c r="J27" i="6" l="1"/>
  <c r="J27" i="4"/>
  <c r="J27" i="3"/>
  <c r="J27" i="8"/>
  <c r="J27" i="5"/>
  <c r="J27" i="12"/>
  <c r="J27" i="7"/>
  <c r="J27" i="10"/>
  <c r="G18" i="6"/>
  <c r="F97" i="6"/>
  <c r="F102" i="6" s="1"/>
  <c r="F121" i="6" s="1"/>
  <c r="F122" i="6" s="1"/>
  <c r="F25" i="10"/>
  <c r="F25" i="5"/>
  <c r="F25" i="3"/>
  <c r="F25" i="4"/>
  <c r="F25" i="12"/>
  <c r="F25" i="7"/>
  <c r="F25" i="8"/>
  <c r="F22" i="12"/>
  <c r="F22" i="10"/>
  <c r="F22" i="7"/>
  <c r="F22" i="8"/>
  <c r="F22" i="3"/>
  <c r="F22" i="4"/>
  <c r="F22" i="5"/>
  <c r="G18" i="12"/>
  <c r="G18" i="7"/>
  <c r="G18" i="8"/>
  <c r="G18" i="10"/>
  <c r="G18" i="4"/>
  <c r="G18" i="5"/>
  <c r="G18" i="3"/>
  <c r="F20" i="12"/>
  <c r="F20" i="10"/>
  <c r="F20" i="7"/>
  <c r="F20" i="8"/>
  <c r="F20" i="5"/>
  <c r="F20" i="4"/>
  <c r="F20" i="3"/>
  <c r="F24" i="5"/>
  <c r="F24" i="4"/>
  <c r="F24" i="10"/>
  <c r="F24" i="7"/>
  <c r="F24" i="12"/>
  <c r="F24" i="8"/>
  <c r="F24" i="3"/>
  <c r="F23" i="5"/>
  <c r="F134" i="5" s="1"/>
  <c r="F92" i="7" s="1"/>
  <c r="F23" i="10"/>
  <c r="F23" i="12"/>
  <c r="F23" i="8"/>
  <c r="F23" i="7"/>
  <c r="F23" i="3"/>
  <c r="F23" i="4"/>
  <c r="H113" i="15"/>
  <c r="I71" i="15"/>
  <c r="H137" i="15" s="1"/>
  <c r="I113" i="15"/>
  <c r="I98" i="15"/>
  <c r="L13" i="9"/>
  <c r="L14" i="9"/>
  <c r="M8" i="9"/>
  <c r="M9" i="9" s="1"/>
  <c r="J9" i="15"/>
  <c r="K11" i="15"/>
  <c r="J11" i="15"/>
  <c r="J10" i="15"/>
  <c r="K9" i="15"/>
  <c r="J12" i="15"/>
  <c r="K10" i="15"/>
  <c r="E11" i="13"/>
  <c r="F11" i="13" s="1"/>
  <c r="K27" i="2"/>
  <c r="F28" i="2"/>
  <c r="F28" i="6" s="1"/>
  <c r="G14" i="2"/>
  <c r="G14" i="6" s="1"/>
  <c r="G13" i="2"/>
  <c r="G13" i="6" s="1"/>
  <c r="G21" i="2"/>
  <c r="G21" i="6" s="1"/>
  <c r="G19" i="2"/>
  <c r="G19" i="6" s="1"/>
  <c r="G26" i="2"/>
  <c r="G26" i="6" s="1"/>
  <c r="H9" i="2"/>
  <c r="H9" i="6" s="1"/>
  <c r="D47" i="10"/>
  <c r="L27" i="2" l="1"/>
  <c r="K27" i="6"/>
  <c r="K27" i="12"/>
  <c r="K27" i="7"/>
  <c r="K27" i="4"/>
  <c r="K27" i="3"/>
  <c r="K27" i="10"/>
  <c r="K27" i="8"/>
  <c r="K27" i="5"/>
  <c r="F123" i="6"/>
  <c r="G120" i="6" s="1"/>
  <c r="F38" i="6"/>
  <c r="F28" i="12"/>
  <c r="F28" i="8"/>
  <c r="F28" i="3"/>
  <c r="F28" i="5"/>
  <c r="F28" i="4"/>
  <c r="F28" i="10"/>
  <c r="F28" i="7"/>
  <c r="G21" i="8"/>
  <c r="G23" i="2"/>
  <c r="G23" i="6" s="1"/>
  <c r="G21" i="12"/>
  <c r="G21" i="10"/>
  <c r="G21" i="7"/>
  <c r="G21" i="5"/>
  <c r="G21" i="3"/>
  <c r="G326" i="3" s="1"/>
  <c r="G22" i="2"/>
  <c r="G22" i="6" s="1"/>
  <c r="G21" i="4"/>
  <c r="G26" i="8"/>
  <c r="G26" i="3"/>
  <c r="G26" i="10"/>
  <c r="G26" i="12"/>
  <c r="G26" i="7"/>
  <c r="G26" i="4"/>
  <c r="G26" i="5"/>
  <c r="G19" i="12"/>
  <c r="G19" i="7"/>
  <c r="G19" i="10"/>
  <c r="G19" i="5"/>
  <c r="G19" i="8"/>
  <c r="G19" i="3"/>
  <c r="G19" i="4"/>
  <c r="J98" i="15"/>
  <c r="J71" i="15"/>
  <c r="I137" i="15" s="1"/>
  <c r="J113" i="15"/>
  <c r="BS47" i="10"/>
  <c r="CA47" i="10"/>
  <c r="CI47" i="10"/>
  <c r="BT47" i="10"/>
  <c r="CB47" i="10"/>
  <c r="CJ47" i="10"/>
  <c r="BZ47" i="10"/>
  <c r="BU47" i="10"/>
  <c r="CC47" i="10"/>
  <c r="CK47" i="10"/>
  <c r="BN47" i="10"/>
  <c r="BV47" i="10"/>
  <c r="CD47" i="10"/>
  <c r="BR47" i="10"/>
  <c r="BO47" i="10"/>
  <c r="BW47" i="10"/>
  <c r="CE47" i="10"/>
  <c r="BP47" i="10"/>
  <c r="BX47" i="10"/>
  <c r="CF47" i="10"/>
  <c r="BQ47" i="10"/>
  <c r="BY47" i="10"/>
  <c r="CG47" i="10"/>
  <c r="CH47" i="10"/>
  <c r="M13" i="9"/>
  <c r="M14" i="9"/>
  <c r="F29" i="2"/>
  <c r="F29" i="6" s="1"/>
  <c r="I8" i="2"/>
  <c r="I8" i="6" s="1"/>
  <c r="H18" i="2"/>
  <c r="H18" i="6" s="1"/>
  <c r="BE47" i="10"/>
  <c r="BM47" i="10"/>
  <c r="BF47" i="10"/>
  <c r="BI47" i="10"/>
  <c r="BJ47" i="10"/>
  <c r="BK47" i="10"/>
  <c r="BB47" i="10"/>
  <c r="BL47" i="10"/>
  <c r="BC47" i="10"/>
  <c r="BD47" i="10"/>
  <c r="BG47" i="10"/>
  <c r="BH47" i="10"/>
  <c r="AI47" i="10"/>
  <c r="AQ47" i="10"/>
  <c r="AY47" i="10"/>
  <c r="AK47" i="10"/>
  <c r="AS47" i="10"/>
  <c r="AL47" i="10"/>
  <c r="AU47" i="10"/>
  <c r="AN47" i="10"/>
  <c r="AV47" i="10"/>
  <c r="AH47" i="10"/>
  <c r="AX47" i="10"/>
  <c r="AJ47" i="10"/>
  <c r="AR47" i="10"/>
  <c r="AZ47" i="10"/>
  <c r="BA47" i="10"/>
  <c r="AT47" i="10"/>
  <c r="AM47" i="10"/>
  <c r="AO47" i="10"/>
  <c r="AW47" i="10"/>
  <c r="AP47" i="10"/>
  <c r="G24" i="2"/>
  <c r="G24" i="6" s="1"/>
  <c r="G25" i="2"/>
  <c r="G25" i="6" s="1"/>
  <c r="G28" i="2"/>
  <c r="G28" i="6" s="1"/>
  <c r="G20" i="2"/>
  <c r="G20" i="6" s="1"/>
  <c r="G109" i="6" s="1"/>
  <c r="M27" i="2"/>
  <c r="G47" i="10"/>
  <c r="I47" i="10"/>
  <c r="K47" i="10"/>
  <c r="M47" i="10"/>
  <c r="O47" i="10"/>
  <c r="Q47" i="10"/>
  <c r="S47" i="10"/>
  <c r="U47" i="10"/>
  <c r="W47" i="10"/>
  <c r="Y47" i="10"/>
  <c r="AA47" i="10"/>
  <c r="AC47" i="10"/>
  <c r="AE47" i="10"/>
  <c r="AG47" i="10"/>
  <c r="H47" i="10"/>
  <c r="J47" i="10"/>
  <c r="L47" i="10"/>
  <c r="N47" i="10"/>
  <c r="P47" i="10"/>
  <c r="R47" i="10"/>
  <c r="T47" i="10"/>
  <c r="V47" i="10"/>
  <c r="X47" i="10"/>
  <c r="Z47" i="10"/>
  <c r="AB47" i="10"/>
  <c r="AD47" i="10"/>
  <c r="AF47" i="10"/>
  <c r="F47" i="10"/>
  <c r="D71" i="15"/>
  <c r="C137" i="15" s="1"/>
  <c r="D98" i="15"/>
  <c r="C74" i="1"/>
  <c r="M27" i="6" l="1"/>
  <c r="M27" i="4"/>
  <c r="M27" i="3"/>
  <c r="M27" i="8"/>
  <c r="M27" i="5"/>
  <c r="M27" i="12"/>
  <c r="M27" i="10"/>
  <c r="M27" i="7"/>
  <c r="L27" i="6"/>
  <c r="L27" i="4"/>
  <c r="L27" i="3"/>
  <c r="L27" i="8"/>
  <c r="L27" i="5"/>
  <c r="L27" i="12"/>
  <c r="L27" i="10"/>
  <c r="L27" i="7"/>
  <c r="G97" i="6"/>
  <c r="G25" i="7"/>
  <c r="G25" i="12"/>
  <c r="G25" i="8"/>
  <c r="G25" i="3"/>
  <c r="G25" i="5"/>
  <c r="G25" i="4"/>
  <c r="G25" i="10"/>
  <c r="F29" i="10"/>
  <c r="F29" i="8"/>
  <c r="F29" i="4"/>
  <c r="F29" i="5"/>
  <c r="F29" i="3"/>
  <c r="F29" i="12"/>
  <c r="F29" i="7"/>
  <c r="G24" i="10"/>
  <c r="G24" i="8"/>
  <c r="G24" i="3"/>
  <c r="G24" i="7"/>
  <c r="G24" i="12"/>
  <c r="G24" i="5"/>
  <c r="G24" i="4"/>
  <c r="G28" i="10"/>
  <c r="G28" i="12"/>
  <c r="G28" i="8"/>
  <c r="G28" i="5"/>
  <c r="G28" i="3"/>
  <c r="G28" i="4"/>
  <c r="G28" i="7"/>
  <c r="G22" i="8"/>
  <c r="G22" i="12"/>
  <c r="G22" i="10"/>
  <c r="G22" i="7"/>
  <c r="G22" i="5"/>
  <c r="G22" i="3"/>
  <c r="G22" i="4"/>
  <c r="G20" i="12"/>
  <c r="G20" i="10"/>
  <c r="G20" i="7"/>
  <c r="G20" i="8"/>
  <c r="G20" i="4"/>
  <c r="G20" i="5"/>
  <c r="G20" i="3"/>
  <c r="H18" i="7"/>
  <c r="H18" i="12"/>
  <c r="H18" i="10"/>
  <c r="H18" i="8"/>
  <c r="H18" i="3"/>
  <c r="H18" i="4"/>
  <c r="H18" i="5"/>
  <c r="G23" i="8"/>
  <c r="G23" i="7"/>
  <c r="G23" i="12"/>
  <c r="G23" i="5"/>
  <c r="G23" i="10"/>
  <c r="G23" i="4"/>
  <c r="G23" i="3"/>
  <c r="K98" i="15"/>
  <c r="K71" i="15"/>
  <c r="J137" i="15" s="1"/>
  <c r="K113" i="15"/>
  <c r="G29" i="2"/>
  <c r="G29" i="6" s="1"/>
  <c r="H13" i="2"/>
  <c r="H13" i="6" s="1"/>
  <c r="N27" i="2"/>
  <c r="H14" i="2"/>
  <c r="H14" i="6" s="1"/>
  <c r="I9" i="2"/>
  <c r="I9" i="6" s="1"/>
  <c r="H19" i="2"/>
  <c r="H19" i="6" s="1"/>
  <c r="H26" i="2"/>
  <c r="H26" i="6" s="1"/>
  <c r="H21" i="2"/>
  <c r="H21" i="6" s="1"/>
  <c r="E98" i="15"/>
  <c r="E71" i="15"/>
  <c r="D137" i="15" s="1"/>
  <c r="N27" i="6" l="1"/>
  <c r="N27" i="10"/>
  <c r="N27" i="5"/>
  <c r="N27" i="4"/>
  <c r="N27" i="3"/>
  <c r="N27" i="8"/>
  <c r="N27" i="7"/>
  <c r="N27" i="12"/>
  <c r="G29" i="10"/>
  <c r="G29" i="8"/>
  <c r="G29" i="5"/>
  <c r="G29" i="3"/>
  <c r="G29" i="4"/>
  <c r="G29" i="12"/>
  <c r="G29" i="7"/>
  <c r="H21" i="5"/>
  <c r="H21" i="4"/>
  <c r="H23" i="2"/>
  <c r="H23" i="6" s="1"/>
  <c r="H21" i="10"/>
  <c r="H21" i="12"/>
  <c r="H21" i="8"/>
  <c r="H21" i="7"/>
  <c r="H21" i="3"/>
  <c r="H326" i="3" s="1"/>
  <c r="H22" i="2"/>
  <c r="H22" i="6" s="1"/>
  <c r="H26" i="7"/>
  <c r="H26" i="12"/>
  <c r="H26" i="10"/>
  <c r="H26" i="8"/>
  <c r="H26" i="3"/>
  <c r="H26" i="4"/>
  <c r="H26" i="5"/>
  <c r="H19" i="5"/>
  <c r="H19" i="4"/>
  <c r="H19" i="10"/>
  <c r="H19" i="7"/>
  <c r="H19" i="8"/>
  <c r="H19" i="12"/>
  <c r="H19" i="3"/>
  <c r="J8" i="2"/>
  <c r="J8" i="6" s="1"/>
  <c r="I18" i="2"/>
  <c r="I18" i="6" s="1"/>
  <c r="H24" i="2"/>
  <c r="H24" i="6" s="1"/>
  <c r="H25" i="2"/>
  <c r="H25" i="6" s="1"/>
  <c r="H20" i="2"/>
  <c r="H20" i="6" s="1"/>
  <c r="H97" i="6" s="1"/>
  <c r="O27" i="2"/>
  <c r="H28" i="2"/>
  <c r="H28" i="6" s="1"/>
  <c r="F98" i="15"/>
  <c r="F71" i="15"/>
  <c r="E137" i="15" s="1"/>
  <c r="O27" i="6" l="1"/>
  <c r="O27" i="8"/>
  <c r="O27" i="5"/>
  <c r="O27" i="10"/>
  <c r="O27" i="4"/>
  <c r="O27" i="3"/>
  <c r="O27" i="12"/>
  <c r="O27" i="7"/>
  <c r="H109" i="6"/>
  <c r="I18" i="7"/>
  <c r="I18" i="12"/>
  <c r="I18" i="10"/>
  <c r="I18" i="8"/>
  <c r="I18" i="5"/>
  <c r="I18" i="4"/>
  <c r="I18" i="3"/>
  <c r="H23" i="5"/>
  <c r="H23" i="4"/>
  <c r="H23" i="10"/>
  <c r="H23" i="12"/>
  <c r="H23" i="7"/>
  <c r="H23" i="8"/>
  <c r="H23" i="3"/>
  <c r="H20" i="12"/>
  <c r="H20" i="10"/>
  <c r="H20" i="7"/>
  <c r="H20" i="8"/>
  <c r="H20" i="5"/>
  <c r="H20" i="4"/>
  <c r="H20" i="3"/>
  <c r="H25" i="10"/>
  <c r="H25" i="5"/>
  <c r="H25" i="4"/>
  <c r="H25" i="12"/>
  <c r="H25" i="7"/>
  <c r="H25" i="8"/>
  <c r="H25" i="3"/>
  <c r="H22" i="12"/>
  <c r="H22" i="10"/>
  <c r="H22" i="8"/>
  <c r="H22" i="7"/>
  <c r="H22" i="5"/>
  <c r="H22" i="4"/>
  <c r="H22" i="3"/>
  <c r="H28" i="8"/>
  <c r="H28" i="5"/>
  <c r="H28" i="3"/>
  <c r="H28" i="4"/>
  <c r="H28" i="10"/>
  <c r="H28" i="12"/>
  <c r="H28" i="7"/>
  <c r="H24" i="7"/>
  <c r="H24" i="8"/>
  <c r="H24" i="5"/>
  <c r="H24" i="12"/>
  <c r="H24" i="10"/>
  <c r="H24" i="3"/>
  <c r="H24" i="4"/>
  <c r="H29" i="2"/>
  <c r="H29" i="6" s="1"/>
  <c r="BG77" i="10"/>
  <c r="BH77" i="10"/>
  <c r="BK77" i="10"/>
  <c r="BB77" i="10"/>
  <c r="BL77" i="10"/>
  <c r="BC77" i="10"/>
  <c r="BM77" i="10"/>
  <c r="BD77" i="10"/>
  <c r="BE77" i="10"/>
  <c r="BF77" i="10"/>
  <c r="BI77" i="10"/>
  <c r="BJ77" i="10"/>
  <c r="AR77" i="10"/>
  <c r="AL77" i="10"/>
  <c r="AS77" i="10"/>
  <c r="AT77" i="10"/>
  <c r="AM77" i="10"/>
  <c r="AU77" i="10"/>
  <c r="AO77" i="10"/>
  <c r="AW77" i="10"/>
  <c r="AH77" i="10"/>
  <c r="AX77" i="10"/>
  <c r="AQ77" i="10"/>
  <c r="AJ77" i="10"/>
  <c r="AZ77" i="10"/>
  <c r="AK77" i="10"/>
  <c r="AN77" i="10"/>
  <c r="AV77" i="10"/>
  <c r="AP77" i="10"/>
  <c r="AI77" i="10"/>
  <c r="AY77" i="10"/>
  <c r="BA77" i="10"/>
  <c r="I13" i="2"/>
  <c r="I13" i="6" s="1"/>
  <c r="P27" i="2"/>
  <c r="I14" i="2"/>
  <c r="I14" i="6" s="1"/>
  <c r="G77" i="10"/>
  <c r="I77" i="10"/>
  <c r="K77" i="10"/>
  <c r="M77" i="10"/>
  <c r="O77" i="10"/>
  <c r="Q77" i="10"/>
  <c r="S77" i="10"/>
  <c r="U77" i="10"/>
  <c r="W77" i="10"/>
  <c r="Y77" i="10"/>
  <c r="AA77" i="10"/>
  <c r="AC77" i="10"/>
  <c r="AE77" i="10"/>
  <c r="AG77" i="10"/>
  <c r="H77" i="10"/>
  <c r="J77" i="10"/>
  <c r="L77" i="10"/>
  <c r="N77" i="10"/>
  <c r="P77" i="10"/>
  <c r="R77" i="10"/>
  <c r="T77" i="10"/>
  <c r="V77" i="10"/>
  <c r="X77" i="10"/>
  <c r="Z77" i="10"/>
  <c r="AB77" i="10"/>
  <c r="AD77" i="10"/>
  <c r="AF77" i="10"/>
  <c r="F77" i="10"/>
  <c r="J9" i="2"/>
  <c r="J9" i="6" s="1"/>
  <c r="I21" i="2"/>
  <c r="I21" i="6" s="1"/>
  <c r="I19" i="2"/>
  <c r="I19" i="6" s="1"/>
  <c r="I26" i="2"/>
  <c r="I26" i="6" s="1"/>
  <c r="G98" i="15"/>
  <c r="G71" i="15"/>
  <c r="F137" i="15" s="1"/>
  <c r="P27" i="6" l="1"/>
  <c r="P27" i="3"/>
  <c r="P27" i="8"/>
  <c r="P27" i="5"/>
  <c r="P27" i="4"/>
  <c r="P27" i="7"/>
  <c r="P27" i="12"/>
  <c r="P27" i="10"/>
  <c r="I21" i="8"/>
  <c r="I21" i="5"/>
  <c r="I21" i="3"/>
  <c r="I326" i="3" s="1"/>
  <c r="I23" i="2"/>
  <c r="I23" i="6" s="1"/>
  <c r="I21" i="4"/>
  <c r="I21" i="10"/>
  <c r="I21" i="7"/>
  <c r="I21" i="12"/>
  <c r="I22" i="2"/>
  <c r="I22" i="6" s="1"/>
  <c r="I26" i="8"/>
  <c r="I26" i="5"/>
  <c r="I26" i="4"/>
  <c r="I26" i="7"/>
  <c r="I26" i="12"/>
  <c r="I26" i="10"/>
  <c r="I26" i="3"/>
  <c r="I19" i="8"/>
  <c r="I19" i="5"/>
  <c r="I19" i="4"/>
  <c r="I19" i="3"/>
  <c r="I19" i="10"/>
  <c r="I19" i="12"/>
  <c r="I19" i="7"/>
  <c r="H29" i="8"/>
  <c r="H29" i="5"/>
  <c r="H29" i="3"/>
  <c r="H29" i="4"/>
  <c r="H29" i="10"/>
  <c r="H29" i="7"/>
  <c r="H29" i="12"/>
  <c r="K8" i="2"/>
  <c r="K8" i="6" s="1"/>
  <c r="J18" i="2"/>
  <c r="J18" i="6" s="1"/>
  <c r="I24" i="2"/>
  <c r="I24" i="6" s="1"/>
  <c r="I25" i="2"/>
  <c r="I25" i="6" s="1"/>
  <c r="I20" i="2"/>
  <c r="I20" i="6" s="1"/>
  <c r="I109" i="6" s="1"/>
  <c r="Q27" i="2"/>
  <c r="I28" i="2"/>
  <c r="I28" i="6" s="1"/>
  <c r="H98" i="15"/>
  <c r="H71" i="15"/>
  <c r="G137" i="15" s="1"/>
  <c r="Q27" i="6" l="1"/>
  <c r="Q27" i="3"/>
  <c r="Q27" i="12"/>
  <c r="Q27" i="8"/>
  <c r="Q27" i="5"/>
  <c r="Q27" i="4"/>
  <c r="Q27" i="10"/>
  <c r="Q27" i="7"/>
  <c r="I97" i="6"/>
  <c r="I20" i="12"/>
  <c r="I20" i="10"/>
  <c r="I20" i="8"/>
  <c r="I20" i="7"/>
  <c r="I20" i="5"/>
  <c r="I20" i="4"/>
  <c r="I20" i="3"/>
  <c r="I28" i="8"/>
  <c r="I28" i="3"/>
  <c r="I28" i="5"/>
  <c r="I28" i="4"/>
  <c r="I28" i="10"/>
  <c r="I28" i="12"/>
  <c r="I28" i="7"/>
  <c r="I24" i="8"/>
  <c r="I24" i="5"/>
  <c r="I24" i="7"/>
  <c r="I24" i="12"/>
  <c r="I24" i="10"/>
  <c r="I24" i="3"/>
  <c r="I24" i="4"/>
  <c r="I23" i="12"/>
  <c r="I23" i="10"/>
  <c r="I23" i="8"/>
  <c r="I23" i="3"/>
  <c r="I23" i="5"/>
  <c r="I23" i="4"/>
  <c r="I23" i="7"/>
  <c r="J18" i="12"/>
  <c r="J18" i="10"/>
  <c r="J18" i="8"/>
  <c r="J18" i="7"/>
  <c r="J18" i="4"/>
  <c r="J18" i="5"/>
  <c r="J18" i="3"/>
  <c r="I25" i="12"/>
  <c r="I25" i="8"/>
  <c r="I25" i="5"/>
  <c r="I25" i="3"/>
  <c r="I25" i="4"/>
  <c r="I25" i="10"/>
  <c r="I25" i="7"/>
  <c r="I22" i="8"/>
  <c r="I22" i="7"/>
  <c r="I22" i="5"/>
  <c r="I22" i="12"/>
  <c r="I22" i="10"/>
  <c r="I22" i="3"/>
  <c r="I22" i="4"/>
  <c r="I29" i="2"/>
  <c r="I29" i="6" s="1"/>
  <c r="J13" i="2"/>
  <c r="J13" i="6" s="1"/>
  <c r="R27" i="2"/>
  <c r="J14" i="2"/>
  <c r="J14" i="6" s="1"/>
  <c r="K9" i="2"/>
  <c r="K9" i="6" s="1"/>
  <c r="J19" i="2"/>
  <c r="J19" i="6" s="1"/>
  <c r="J26" i="2"/>
  <c r="J26" i="6" s="1"/>
  <c r="J21" i="2"/>
  <c r="J21" i="6" s="1"/>
  <c r="R27" i="6" l="1"/>
  <c r="R27" i="4"/>
  <c r="R27" i="3"/>
  <c r="R27" i="12"/>
  <c r="R27" i="8"/>
  <c r="R27" i="5"/>
  <c r="R27" i="7"/>
  <c r="R27" i="10"/>
  <c r="J21" i="12"/>
  <c r="J23" i="2"/>
  <c r="J23" i="6" s="1"/>
  <c r="J21" i="10"/>
  <c r="J21" i="8"/>
  <c r="J21" i="7"/>
  <c r="J21" i="5"/>
  <c r="J22" i="2"/>
  <c r="J22" i="6" s="1"/>
  <c r="J21" i="4"/>
  <c r="J21" i="3"/>
  <c r="J326" i="3" s="1"/>
  <c r="I29" i="12"/>
  <c r="I29" i="8"/>
  <c r="I29" i="3"/>
  <c r="I29" i="5"/>
  <c r="I29" i="4"/>
  <c r="I29" i="10"/>
  <c r="I29" i="7"/>
  <c r="J26" i="10"/>
  <c r="J26" i="3"/>
  <c r="J26" i="5"/>
  <c r="J26" i="4"/>
  <c r="J26" i="7"/>
  <c r="J26" i="12"/>
  <c r="J26" i="8"/>
  <c r="J19" i="12"/>
  <c r="J19" i="7"/>
  <c r="J19" i="10"/>
  <c r="J19" i="8"/>
  <c r="J19" i="3"/>
  <c r="J19" i="4"/>
  <c r="J19" i="5"/>
  <c r="L8" i="2"/>
  <c r="L8" i="6" s="1"/>
  <c r="K18" i="2"/>
  <c r="K18" i="6" s="1"/>
  <c r="J24" i="2"/>
  <c r="J24" i="6" s="1"/>
  <c r="J25" i="2"/>
  <c r="J25" i="6" s="1"/>
  <c r="J28" i="2"/>
  <c r="J28" i="6" s="1"/>
  <c r="J20" i="2"/>
  <c r="J20" i="6" s="1"/>
  <c r="J109" i="6" s="1"/>
  <c r="S27" i="2"/>
  <c r="S27" i="6" l="1"/>
  <c r="S27" i="4"/>
  <c r="S27" i="10"/>
  <c r="S27" i="3"/>
  <c r="S27" i="12"/>
  <c r="S27" i="8"/>
  <c r="S27" i="5"/>
  <c r="S27" i="7"/>
  <c r="J97" i="6"/>
  <c r="K18" i="7"/>
  <c r="K18" i="8"/>
  <c r="K18" i="10"/>
  <c r="K18" i="12"/>
  <c r="K18" i="4"/>
  <c r="K18" i="5"/>
  <c r="K18" i="3"/>
  <c r="J25" i="12"/>
  <c r="J25" i="5"/>
  <c r="J25" i="3"/>
  <c r="J25" i="4"/>
  <c r="J25" i="10"/>
  <c r="J25" i="7"/>
  <c r="J25" i="8"/>
  <c r="J23" i="12"/>
  <c r="J23" i="10"/>
  <c r="J23" i="7"/>
  <c r="J23" i="8"/>
  <c r="J23" i="5"/>
  <c r="J23" i="4"/>
  <c r="J23" i="3"/>
  <c r="J20" i="5"/>
  <c r="J20" i="12"/>
  <c r="J20" i="7"/>
  <c r="J20" i="8"/>
  <c r="J20" i="10"/>
  <c r="J20" i="3"/>
  <c r="J20" i="4"/>
  <c r="J22" i="10"/>
  <c r="J22" i="5"/>
  <c r="J22" i="7"/>
  <c r="J22" i="12"/>
  <c r="J22" i="8"/>
  <c r="J22" i="3"/>
  <c r="J22" i="4"/>
  <c r="J28" i="10"/>
  <c r="J28" i="8"/>
  <c r="J28" i="4"/>
  <c r="J28" i="5"/>
  <c r="J28" i="3"/>
  <c r="J28" i="12"/>
  <c r="J28" i="7"/>
  <c r="J24" i="5"/>
  <c r="J24" i="4"/>
  <c r="J24" i="10"/>
  <c r="J24" i="12"/>
  <c r="J24" i="7"/>
  <c r="J24" i="8"/>
  <c r="J24" i="3"/>
  <c r="J29" i="2"/>
  <c r="J29" i="6" s="1"/>
  <c r="K13" i="2"/>
  <c r="K13" i="6" s="1"/>
  <c r="T27" i="2"/>
  <c r="K14" i="2"/>
  <c r="K14" i="6" s="1"/>
  <c r="L9" i="2"/>
  <c r="L9" i="6" s="1"/>
  <c r="K21" i="2"/>
  <c r="K21" i="6" s="1"/>
  <c r="K19" i="2"/>
  <c r="K19" i="6" s="1"/>
  <c r="K26" i="2"/>
  <c r="K26" i="6" s="1"/>
  <c r="T27" i="6" l="1"/>
  <c r="T27" i="4"/>
  <c r="T27" i="3"/>
  <c r="T27" i="8"/>
  <c r="T27" i="5"/>
  <c r="T27" i="12"/>
  <c r="T27" i="10"/>
  <c r="T27" i="7"/>
  <c r="K19" i="12"/>
  <c r="K19" i="10"/>
  <c r="K19" i="8"/>
  <c r="K19" i="7"/>
  <c r="K19" i="5"/>
  <c r="K19" i="3"/>
  <c r="K19" i="4"/>
  <c r="K26" i="10"/>
  <c r="K26" i="8"/>
  <c r="K26" i="5"/>
  <c r="K26" i="3"/>
  <c r="K26" i="4"/>
  <c r="K26" i="7"/>
  <c r="K26" i="12"/>
  <c r="K21" i="12"/>
  <c r="K21" i="8"/>
  <c r="K23" i="2"/>
  <c r="K23" i="6" s="1"/>
  <c r="K21" i="10"/>
  <c r="K21" i="7"/>
  <c r="K22" i="2"/>
  <c r="K22" i="6" s="1"/>
  <c r="K21" i="4"/>
  <c r="K21" i="5"/>
  <c r="K21" i="3"/>
  <c r="K326" i="3" s="1"/>
  <c r="J29" i="12"/>
  <c r="J29" i="3"/>
  <c r="J29" i="5"/>
  <c r="J29" i="4"/>
  <c r="J29" i="8"/>
  <c r="J29" i="10"/>
  <c r="J29" i="7"/>
  <c r="M8" i="2"/>
  <c r="M8" i="6" s="1"/>
  <c r="L18" i="2"/>
  <c r="L18" i="6" s="1"/>
  <c r="K24" i="2"/>
  <c r="K24" i="6" s="1"/>
  <c r="K25" i="2"/>
  <c r="K25" i="6" s="1"/>
  <c r="K20" i="2"/>
  <c r="K20" i="6" s="1"/>
  <c r="K97" i="6" s="1"/>
  <c r="U27" i="2"/>
  <c r="K28" i="2"/>
  <c r="K28" i="6" s="1"/>
  <c r="K67" i="1"/>
  <c r="L67" i="1" s="1"/>
  <c r="M67" i="1" s="1"/>
  <c r="F74" i="1"/>
  <c r="U27" i="6" l="1"/>
  <c r="U27" i="4"/>
  <c r="U27" i="3"/>
  <c r="U27" i="8"/>
  <c r="U27" i="5"/>
  <c r="U27" i="10"/>
  <c r="U27" i="7"/>
  <c r="U27" i="12"/>
  <c r="K109" i="6"/>
  <c r="K20" i="12"/>
  <c r="K20" i="7"/>
  <c r="K20" i="5"/>
  <c r="K20" i="10"/>
  <c r="K20" i="8"/>
  <c r="K20" i="3"/>
  <c r="K20" i="4"/>
  <c r="L18" i="12"/>
  <c r="L18" i="10"/>
  <c r="L18" i="7"/>
  <c r="L18" i="5"/>
  <c r="L18" i="8"/>
  <c r="L18" i="3"/>
  <c r="L18" i="4"/>
  <c r="K23" i="12"/>
  <c r="K23" i="8"/>
  <c r="K23" i="10"/>
  <c r="K23" i="7"/>
  <c r="K23" i="4"/>
  <c r="K23" i="5"/>
  <c r="K23" i="3"/>
  <c r="K22" i="8"/>
  <c r="K22" i="12"/>
  <c r="K22" i="10"/>
  <c r="K22" i="7"/>
  <c r="K22" i="5"/>
  <c r="K22" i="3"/>
  <c r="K22" i="4"/>
  <c r="K25" i="3"/>
  <c r="K25" i="8"/>
  <c r="K25" i="12"/>
  <c r="K25" i="10"/>
  <c r="K25" i="7"/>
  <c r="K25" i="5"/>
  <c r="K25" i="4"/>
  <c r="K28" i="10"/>
  <c r="K28" i="8"/>
  <c r="K28" i="5"/>
  <c r="K28" i="3"/>
  <c r="K28" i="4"/>
  <c r="K28" i="7"/>
  <c r="K28" i="12"/>
  <c r="K24" i="8"/>
  <c r="K24" i="3"/>
  <c r="K24" i="12"/>
  <c r="K24" i="10"/>
  <c r="K24" i="7"/>
  <c r="K24" i="5"/>
  <c r="K24" i="4"/>
  <c r="K29" i="2"/>
  <c r="K29" i="6" s="1"/>
  <c r="L13" i="2"/>
  <c r="L13" i="6" s="1"/>
  <c r="V27" i="2"/>
  <c r="L14" i="2"/>
  <c r="L14" i="6" s="1"/>
  <c r="M9" i="2"/>
  <c r="M9" i="6" s="1"/>
  <c r="L19" i="2"/>
  <c r="L19" i="6" s="1"/>
  <c r="L26" i="2"/>
  <c r="L26" i="6" s="1"/>
  <c r="L21" i="2"/>
  <c r="L21" i="6" s="1"/>
  <c r="N67" i="1"/>
  <c r="O67" i="1" s="1"/>
  <c r="P67" i="1" s="1"/>
  <c r="Q67" i="1" s="1"/>
  <c r="R67" i="1" s="1"/>
  <c r="S67" i="1" s="1"/>
  <c r="T67" i="1" s="1"/>
  <c r="U67" i="1" s="1"/>
  <c r="V67" i="1" s="1"/>
  <c r="W67" i="1" s="1"/>
  <c r="J110" i="1"/>
  <c r="K110" i="1" s="1"/>
  <c r="L110" i="1" s="1"/>
  <c r="V27" i="6" l="1"/>
  <c r="V27" i="10"/>
  <c r="V27" i="8"/>
  <c r="V27" i="5"/>
  <c r="V27" i="4"/>
  <c r="V27" i="3"/>
  <c r="V27" i="12"/>
  <c r="V27" i="7"/>
  <c r="K29" i="10"/>
  <c r="K29" i="8"/>
  <c r="K29" i="12"/>
  <c r="K29" i="5"/>
  <c r="K29" i="3"/>
  <c r="K29" i="4"/>
  <c r="K29" i="7"/>
  <c r="L23" i="2"/>
  <c r="L23" i="6" s="1"/>
  <c r="L21" i="7"/>
  <c r="L21" i="12"/>
  <c r="L21" i="10"/>
  <c r="L21" i="8"/>
  <c r="L21" i="5"/>
  <c r="L21" i="3"/>
  <c r="L326" i="3" s="1"/>
  <c r="L21" i="4"/>
  <c r="L22" i="2"/>
  <c r="L22" i="6" s="1"/>
  <c r="L26" i="5"/>
  <c r="L26" i="4"/>
  <c r="L26" i="10"/>
  <c r="L26" i="7"/>
  <c r="L26" i="12"/>
  <c r="L26" i="8"/>
  <c r="L26" i="3"/>
  <c r="L19" i="7"/>
  <c r="L19" i="12"/>
  <c r="L19" i="8"/>
  <c r="L19" i="10"/>
  <c r="L19" i="3"/>
  <c r="L19" i="4"/>
  <c r="L19" i="5"/>
  <c r="N8" i="2"/>
  <c r="N8" i="6" s="1"/>
  <c r="M18" i="2"/>
  <c r="L24" i="2"/>
  <c r="L24" i="6" s="1"/>
  <c r="L25" i="2"/>
  <c r="L25" i="6" s="1"/>
  <c r="L20" i="2"/>
  <c r="L20" i="6" s="1"/>
  <c r="L109" i="6" s="1"/>
  <c r="W27" i="2"/>
  <c r="L28" i="2"/>
  <c r="L28" i="6" s="1"/>
  <c r="X67" i="1"/>
  <c r="Y67" i="1" s="1"/>
  <c r="Z67" i="1" s="1"/>
  <c r="AA67" i="1" s="1"/>
  <c r="AB67" i="1" s="1"/>
  <c r="AC67" i="1" s="1"/>
  <c r="AD67" i="1" s="1"/>
  <c r="AE67" i="1" s="1"/>
  <c r="AF67" i="1" s="1"/>
  <c r="AG67" i="1" s="1"/>
  <c r="AH67" i="1" s="1"/>
  <c r="M110" i="1"/>
  <c r="N110" i="1" s="1"/>
  <c r="O110" i="1" s="1"/>
  <c r="W27" i="6" l="1"/>
  <c r="W27" i="8"/>
  <c r="W27" i="5"/>
  <c r="W27" i="10"/>
  <c r="W27" i="4"/>
  <c r="W27" i="3"/>
  <c r="W27" i="12"/>
  <c r="W27" i="7"/>
  <c r="M18" i="6"/>
  <c r="L97" i="6"/>
  <c r="L20" i="5"/>
  <c r="L20" i="4"/>
  <c r="L20" i="10"/>
  <c r="L20" i="12"/>
  <c r="L20" i="7"/>
  <c r="L20" i="8"/>
  <c r="L20" i="3"/>
  <c r="L28" i="8"/>
  <c r="L28" i="5"/>
  <c r="L28" i="3"/>
  <c r="L28" i="4"/>
  <c r="L28" i="10"/>
  <c r="L28" i="12"/>
  <c r="L28" i="7"/>
  <c r="L24" i="5"/>
  <c r="L24" i="4"/>
  <c r="L24" i="10"/>
  <c r="L24" i="7"/>
  <c r="L24" i="12"/>
  <c r="L24" i="8"/>
  <c r="L24" i="3"/>
  <c r="L23" i="7"/>
  <c r="L23" i="12"/>
  <c r="L23" i="10"/>
  <c r="L23" i="8"/>
  <c r="L23" i="5"/>
  <c r="L23" i="4"/>
  <c r="L23" i="3"/>
  <c r="M18" i="12"/>
  <c r="M18" i="8"/>
  <c r="M18" i="3"/>
  <c r="M18" i="5"/>
  <c r="M18" i="4"/>
  <c r="M18" i="10"/>
  <c r="M18" i="7"/>
  <c r="L25" i="12"/>
  <c r="L25" i="10"/>
  <c r="L25" i="8"/>
  <c r="L25" i="7"/>
  <c r="L25" i="5"/>
  <c r="L25" i="4"/>
  <c r="L25" i="3"/>
  <c r="L22" i="5"/>
  <c r="L22" i="4"/>
  <c r="L22" i="10"/>
  <c r="L22" i="7"/>
  <c r="L22" i="8"/>
  <c r="L22" i="12"/>
  <c r="L22" i="3"/>
  <c r="L29" i="2"/>
  <c r="L29" i="6" s="1"/>
  <c r="M13" i="2"/>
  <c r="M13" i="6" s="1"/>
  <c r="X27" i="2"/>
  <c r="M14" i="2"/>
  <c r="M14" i="6" s="1"/>
  <c r="N9" i="2"/>
  <c r="N9" i="6" s="1"/>
  <c r="M21" i="2"/>
  <c r="M21" i="6" s="1"/>
  <c r="M19" i="2"/>
  <c r="M19" i="6" s="1"/>
  <c r="M26" i="2"/>
  <c r="M26" i="6" s="1"/>
  <c r="X27" i="6" l="1"/>
  <c r="X27" i="8"/>
  <c r="X27" i="5"/>
  <c r="X27" i="3"/>
  <c r="X27" i="4"/>
  <c r="X27" i="7"/>
  <c r="X27" i="10"/>
  <c r="X27" i="12"/>
  <c r="L29" i="8"/>
  <c r="L29" i="5"/>
  <c r="L29" i="3"/>
  <c r="L29" i="4"/>
  <c r="L29" i="10"/>
  <c r="L29" i="12"/>
  <c r="L29" i="7"/>
  <c r="M26" i="12"/>
  <c r="M26" i="8"/>
  <c r="M26" i="3"/>
  <c r="M26" i="5"/>
  <c r="M26" i="4"/>
  <c r="M26" i="10"/>
  <c r="M26" i="7"/>
  <c r="M19" i="7"/>
  <c r="M19" i="12"/>
  <c r="M19" i="10"/>
  <c r="M19" i="8"/>
  <c r="M19" i="5"/>
  <c r="M19" i="3"/>
  <c r="M19" i="4"/>
  <c r="M23" i="2"/>
  <c r="M23" i="6" s="1"/>
  <c r="M21" i="7"/>
  <c r="M21" i="12"/>
  <c r="M21" i="10"/>
  <c r="M21" i="8"/>
  <c r="M21" i="5"/>
  <c r="M21" i="4"/>
  <c r="M22" i="2"/>
  <c r="M22" i="6" s="1"/>
  <c r="M21" i="3"/>
  <c r="M326" i="3" s="1"/>
  <c r="O8" i="2"/>
  <c r="O8" i="6" s="1"/>
  <c r="N18" i="2"/>
  <c r="N18" i="6" s="1"/>
  <c r="G54" i="4"/>
  <c r="H54" i="4"/>
  <c r="I54" i="4"/>
  <c r="K54" i="4"/>
  <c r="F54" i="4"/>
  <c r="J54" i="4"/>
  <c r="M24" i="2"/>
  <c r="M24" i="6" s="1"/>
  <c r="M25" i="2"/>
  <c r="M25" i="6" s="1"/>
  <c r="M20" i="2"/>
  <c r="M20" i="6" s="1"/>
  <c r="M109" i="6" s="1"/>
  <c r="Y27" i="2"/>
  <c r="M28" i="2"/>
  <c r="M28" i="6" s="1"/>
  <c r="L54" i="4"/>
  <c r="Y27" i="6" l="1"/>
  <c r="Y27" i="3"/>
  <c r="Y27" i="8"/>
  <c r="Y27" i="5"/>
  <c r="Y27" i="12"/>
  <c r="Y27" i="4"/>
  <c r="Y27" i="10"/>
  <c r="Y27" i="7"/>
  <c r="M97" i="6"/>
  <c r="N18" i="12"/>
  <c r="N18" i="10"/>
  <c r="N18" i="8"/>
  <c r="N18" i="7"/>
  <c r="N18" i="5"/>
  <c r="N18" i="3"/>
  <c r="N18" i="4"/>
  <c r="M24" i="8"/>
  <c r="M24" i="5"/>
  <c r="M24" i="3"/>
  <c r="M24" i="4"/>
  <c r="M24" i="10"/>
  <c r="M24" i="12"/>
  <c r="M24" i="7"/>
  <c r="M28" i="12"/>
  <c r="M28" i="8"/>
  <c r="M28" i="3"/>
  <c r="M28" i="5"/>
  <c r="M28" i="4"/>
  <c r="M28" i="10"/>
  <c r="M28" i="7"/>
  <c r="M25" i="8"/>
  <c r="M25" i="5"/>
  <c r="M25" i="4"/>
  <c r="M25" i="7"/>
  <c r="M25" i="12"/>
  <c r="M25" i="10"/>
  <c r="M25" i="3"/>
  <c r="M20" i="8"/>
  <c r="M20" i="5"/>
  <c r="M20" i="3"/>
  <c r="M20" i="4"/>
  <c r="M20" i="10"/>
  <c r="M20" i="7"/>
  <c r="M20" i="12"/>
  <c r="M22" i="8"/>
  <c r="M22" i="5"/>
  <c r="M22" i="4"/>
  <c r="M22" i="3"/>
  <c r="M22" i="10"/>
  <c r="M22" i="12"/>
  <c r="M22" i="7"/>
  <c r="M23" i="8"/>
  <c r="M23" i="12"/>
  <c r="M23" i="10"/>
  <c r="M23" i="7"/>
  <c r="M23" i="5"/>
  <c r="M23" i="4"/>
  <c r="M23" i="3"/>
  <c r="M29" i="2"/>
  <c r="M29" i="6" s="1"/>
  <c r="N13" i="2"/>
  <c r="N13" i="6" s="1"/>
  <c r="Z27" i="2"/>
  <c r="N14" i="2"/>
  <c r="N14" i="6" s="1"/>
  <c r="O9" i="2"/>
  <c r="O9" i="6" s="1"/>
  <c r="N19" i="2"/>
  <c r="N19" i="6" s="1"/>
  <c r="N26" i="2"/>
  <c r="N26" i="6" s="1"/>
  <c r="N21" i="2"/>
  <c r="N21" i="6" s="1"/>
  <c r="Z27" i="6" l="1"/>
  <c r="Z27" i="4"/>
  <c r="Z27" i="3"/>
  <c r="Z27" i="8"/>
  <c r="Z27" i="5"/>
  <c r="Z27" i="12"/>
  <c r="Z27" i="7"/>
  <c r="Z27" i="10"/>
  <c r="N26" i="12"/>
  <c r="N26" i="8"/>
  <c r="N26" i="4"/>
  <c r="N26" i="5"/>
  <c r="N26" i="3"/>
  <c r="N26" i="7"/>
  <c r="N26" i="10"/>
  <c r="N21" i="12"/>
  <c r="N21" i="5"/>
  <c r="N23" i="2"/>
  <c r="N23" i="6" s="1"/>
  <c r="N21" i="10"/>
  <c r="N21" i="8"/>
  <c r="N21" i="7"/>
  <c r="N22" i="2"/>
  <c r="N22" i="6" s="1"/>
  <c r="N21" i="3"/>
  <c r="N326" i="3" s="1"/>
  <c r="N21" i="4"/>
  <c r="N19" i="12"/>
  <c r="N19" i="5"/>
  <c r="N19" i="7"/>
  <c r="N19" i="10"/>
  <c r="N19" i="8"/>
  <c r="N19" i="4"/>
  <c r="N19" i="3"/>
  <c r="M29" i="8"/>
  <c r="M29" i="3"/>
  <c r="M29" i="5"/>
  <c r="M29" i="4"/>
  <c r="M29" i="10"/>
  <c r="M29" i="12"/>
  <c r="M29" i="7"/>
  <c r="P8" i="2"/>
  <c r="P8" i="6" s="1"/>
  <c r="O18" i="2"/>
  <c r="O18" i="6" s="1"/>
  <c r="N24" i="2"/>
  <c r="N24" i="6" s="1"/>
  <c r="N25" i="2"/>
  <c r="N25" i="6" s="1"/>
  <c r="N20" i="2"/>
  <c r="N20" i="6" s="1"/>
  <c r="N109" i="6" s="1"/>
  <c r="AA27" i="2"/>
  <c r="N28" i="2"/>
  <c r="N28" i="6" s="1"/>
  <c r="M54" i="4"/>
  <c r="AA27" i="6" l="1"/>
  <c r="AA27" i="4"/>
  <c r="AA27" i="3"/>
  <c r="AA27" i="8"/>
  <c r="AA27" i="5"/>
  <c r="AA27" i="10"/>
  <c r="AA27" i="12"/>
  <c r="AA27" i="7"/>
  <c r="N97" i="6"/>
  <c r="N22" i="10"/>
  <c r="N22" i="12"/>
  <c r="N22" i="7"/>
  <c r="N22" i="8"/>
  <c r="N22" i="3"/>
  <c r="N22" i="4"/>
  <c r="N22" i="5"/>
  <c r="N20" i="10"/>
  <c r="N20" i="12"/>
  <c r="N20" i="7"/>
  <c r="N20" i="8"/>
  <c r="N20" i="3"/>
  <c r="N20" i="4"/>
  <c r="N20" i="5"/>
  <c r="N25" i="10"/>
  <c r="N25" i="3"/>
  <c r="N25" i="4"/>
  <c r="N25" i="5"/>
  <c r="N25" i="12"/>
  <c r="N25" i="7"/>
  <c r="N25" i="8"/>
  <c r="O18" i="7"/>
  <c r="O18" i="8"/>
  <c r="O18" i="10"/>
  <c r="O18" i="12"/>
  <c r="O18" i="4"/>
  <c r="O18" i="5"/>
  <c r="O18" i="3"/>
  <c r="N23" i="5"/>
  <c r="N23" i="10"/>
  <c r="N23" i="12"/>
  <c r="N23" i="7"/>
  <c r="N23" i="8"/>
  <c r="N23" i="3"/>
  <c r="N23" i="4"/>
  <c r="N28" i="12"/>
  <c r="N28" i="3"/>
  <c r="N28" i="5"/>
  <c r="N28" i="4"/>
  <c r="N28" i="8"/>
  <c r="N28" i="10"/>
  <c r="N28" i="7"/>
  <c r="N24" i="12"/>
  <c r="N24" i="10"/>
  <c r="N24" i="5"/>
  <c r="N24" i="4"/>
  <c r="N24" i="8"/>
  <c r="N24" i="7"/>
  <c r="N24" i="3"/>
  <c r="N29" i="2"/>
  <c r="N29" i="6" s="1"/>
  <c r="O13" i="2"/>
  <c r="O13" i="6" s="1"/>
  <c r="AB27" i="2"/>
  <c r="O14" i="2"/>
  <c r="O14" i="6" s="1"/>
  <c r="P9" i="2"/>
  <c r="P9" i="6" s="1"/>
  <c r="O21" i="2"/>
  <c r="O21" i="6" s="1"/>
  <c r="O19" i="2"/>
  <c r="O19" i="6" s="1"/>
  <c r="O26" i="2"/>
  <c r="O26" i="6" s="1"/>
  <c r="AB27" i="6" l="1"/>
  <c r="AB27" i="4"/>
  <c r="AB27" i="3"/>
  <c r="AB27" i="8"/>
  <c r="AB27" i="5"/>
  <c r="AB27" i="12"/>
  <c r="AB27" i="10"/>
  <c r="AB27" i="7"/>
  <c r="N29" i="10"/>
  <c r="N29" i="8"/>
  <c r="N29" i="5"/>
  <c r="N29" i="4"/>
  <c r="N29" i="3"/>
  <c r="N29" i="12"/>
  <c r="N29" i="7"/>
  <c r="O26" i="10"/>
  <c r="O26" i="12"/>
  <c r="O26" i="8"/>
  <c r="O26" i="5"/>
  <c r="O26" i="3"/>
  <c r="O26" i="4"/>
  <c r="O26" i="7"/>
  <c r="O19" i="12"/>
  <c r="O19" i="10"/>
  <c r="O19" i="7"/>
  <c r="O19" i="8"/>
  <c r="O19" i="3"/>
  <c r="O19" i="5"/>
  <c r="O19" i="4"/>
  <c r="O21" i="8"/>
  <c r="O23" i="2"/>
  <c r="O23" i="6" s="1"/>
  <c r="O21" i="7"/>
  <c r="O21" i="12"/>
  <c r="O21" i="10"/>
  <c r="O21" i="5"/>
  <c r="O21" i="4"/>
  <c r="O22" i="2"/>
  <c r="O22" i="6" s="1"/>
  <c r="O21" i="3"/>
  <c r="O326" i="3" s="1"/>
  <c r="Q8" i="2"/>
  <c r="Q8" i="6" s="1"/>
  <c r="P18" i="2"/>
  <c r="P18" i="6" s="1"/>
  <c r="O24" i="2"/>
  <c r="O24" i="6" s="1"/>
  <c r="O25" i="2"/>
  <c r="O25" i="6" s="1"/>
  <c r="O20" i="2"/>
  <c r="O20" i="6" s="1"/>
  <c r="O109" i="6" s="1"/>
  <c r="AC27" i="2"/>
  <c r="O28" i="2"/>
  <c r="O28" i="6" s="1"/>
  <c r="N54" i="4"/>
  <c r="AC27" i="6" l="1"/>
  <c r="AC27" i="4"/>
  <c r="AC27" i="3"/>
  <c r="AC27" i="8"/>
  <c r="AC27" i="5"/>
  <c r="AC27" i="7"/>
  <c r="AC27" i="10"/>
  <c r="AC27" i="12"/>
  <c r="O97" i="6"/>
  <c r="O25" i="8"/>
  <c r="O25" i="5"/>
  <c r="O25" i="3"/>
  <c r="O25" i="4"/>
  <c r="O25" i="12"/>
  <c r="O25" i="7"/>
  <c r="O25" i="10"/>
  <c r="O24" i="12"/>
  <c r="O24" i="8"/>
  <c r="O24" i="3"/>
  <c r="O24" i="10"/>
  <c r="O24" i="7"/>
  <c r="O24" i="4"/>
  <c r="O24" i="5"/>
  <c r="P18" i="12"/>
  <c r="P18" i="10"/>
  <c r="P18" i="8"/>
  <c r="P18" i="7"/>
  <c r="P18" i="5"/>
  <c r="P18" i="4"/>
  <c r="P18" i="3"/>
  <c r="O20" i="8"/>
  <c r="O20" i="10"/>
  <c r="O20" i="12"/>
  <c r="O20" i="7"/>
  <c r="O20" i="4"/>
  <c r="O20" i="5"/>
  <c r="O20" i="3"/>
  <c r="O23" i="8"/>
  <c r="O23" i="12"/>
  <c r="O23" i="7"/>
  <c r="O23" i="5"/>
  <c r="O23" i="10"/>
  <c r="O23" i="3"/>
  <c r="O23" i="4"/>
  <c r="O28" i="10"/>
  <c r="O28" i="12"/>
  <c r="O28" i="8"/>
  <c r="O28" i="5"/>
  <c r="O28" i="3"/>
  <c r="O28" i="4"/>
  <c r="O28" i="7"/>
  <c r="O22" i="12"/>
  <c r="O22" i="8"/>
  <c r="O22" i="10"/>
  <c r="O22" i="7"/>
  <c r="O22" i="5"/>
  <c r="O22" i="3"/>
  <c r="O22" i="4"/>
  <c r="O29" i="2"/>
  <c r="O29" i="6" s="1"/>
  <c r="P13" i="2"/>
  <c r="P13" i="6" s="1"/>
  <c r="AD27" i="2"/>
  <c r="P14" i="2"/>
  <c r="P14" i="6" s="1"/>
  <c r="Q9" i="2"/>
  <c r="Q9" i="6" s="1"/>
  <c r="P19" i="2"/>
  <c r="P19" i="6" s="1"/>
  <c r="P26" i="2"/>
  <c r="P26" i="6" s="1"/>
  <c r="P21" i="2"/>
  <c r="P21" i="6" s="1"/>
  <c r="AD27" i="6" l="1"/>
  <c r="AD27" i="4"/>
  <c r="AD27" i="3"/>
  <c r="AD27" i="8"/>
  <c r="AD27" i="10"/>
  <c r="AD27" i="5"/>
  <c r="AD27" i="12"/>
  <c r="AD27" i="7"/>
  <c r="P19" i="5"/>
  <c r="P19" i="4"/>
  <c r="P19" i="10"/>
  <c r="P19" i="12"/>
  <c r="P19" i="8"/>
  <c r="P19" i="7"/>
  <c r="P19" i="3"/>
  <c r="P21" i="5"/>
  <c r="P21" i="4"/>
  <c r="P23" i="2"/>
  <c r="P23" i="6" s="1"/>
  <c r="P21" i="10"/>
  <c r="P21" i="12"/>
  <c r="P21" i="7"/>
  <c r="P21" i="8"/>
  <c r="P21" i="3"/>
  <c r="P326" i="3" s="1"/>
  <c r="P22" i="2"/>
  <c r="P22" i="6" s="1"/>
  <c r="P26" i="8"/>
  <c r="P26" i="5"/>
  <c r="P26" i="3"/>
  <c r="P26" i="4"/>
  <c r="P26" i="10"/>
  <c r="P26" i="12"/>
  <c r="P26" i="7"/>
  <c r="O29" i="10"/>
  <c r="O29" i="8"/>
  <c r="O29" i="5"/>
  <c r="O29" i="3"/>
  <c r="O29" i="4"/>
  <c r="O29" i="7"/>
  <c r="O29" i="12"/>
  <c r="R8" i="2"/>
  <c r="R8" i="6" s="1"/>
  <c r="Q18" i="2"/>
  <c r="Q18" i="6" s="1"/>
  <c r="P24" i="2"/>
  <c r="P24" i="6" s="1"/>
  <c r="P25" i="2"/>
  <c r="P25" i="6" s="1"/>
  <c r="P20" i="2"/>
  <c r="P20" i="6" s="1"/>
  <c r="P109" i="6" s="1"/>
  <c r="AE27" i="2"/>
  <c r="P28" i="2"/>
  <c r="P28" i="6" s="1"/>
  <c r="O54" i="4"/>
  <c r="AE27" i="6" l="1"/>
  <c r="AE27" i="8"/>
  <c r="AE27" i="5"/>
  <c r="AE27" i="4"/>
  <c r="AE27" i="3"/>
  <c r="AE27" i="10"/>
  <c r="AE27" i="12"/>
  <c r="AE27" i="7"/>
  <c r="P97" i="6"/>
  <c r="P24" i="7"/>
  <c r="P24" i="12"/>
  <c r="P24" i="10"/>
  <c r="P24" i="8"/>
  <c r="P24" i="5"/>
  <c r="P24" i="3"/>
  <c r="P24" i="4"/>
  <c r="Q18" i="12"/>
  <c r="Q18" i="10"/>
  <c r="Q18" i="7"/>
  <c r="Q18" i="8"/>
  <c r="Q18" i="3"/>
  <c r="Q18" i="4"/>
  <c r="Q18" i="5"/>
  <c r="P23" i="10"/>
  <c r="P23" i="5"/>
  <c r="P23" i="4"/>
  <c r="P23" i="12"/>
  <c r="P23" i="7"/>
  <c r="P23" i="8"/>
  <c r="P23" i="3"/>
  <c r="P28" i="8"/>
  <c r="P28" i="5"/>
  <c r="P28" i="3"/>
  <c r="P28" i="4"/>
  <c r="P28" i="10"/>
  <c r="P28" i="12"/>
  <c r="P28" i="7"/>
  <c r="P20" i="12"/>
  <c r="P20" i="10"/>
  <c r="P20" i="7"/>
  <c r="P20" i="8"/>
  <c r="P20" i="5"/>
  <c r="P20" i="4"/>
  <c r="P20" i="3"/>
  <c r="P25" i="5"/>
  <c r="P25" i="4"/>
  <c r="P25" i="10"/>
  <c r="P25" i="7"/>
  <c r="P25" i="8"/>
  <c r="P25" i="12"/>
  <c r="P25" i="3"/>
  <c r="P22" i="7"/>
  <c r="P22" i="12"/>
  <c r="P22" i="8"/>
  <c r="P22" i="10"/>
  <c r="P22" i="5"/>
  <c r="P22" i="3"/>
  <c r="P22" i="4"/>
  <c r="P29" i="2"/>
  <c r="P29" i="6" s="1"/>
  <c r="Q14" i="2"/>
  <c r="Q14" i="6" s="1"/>
  <c r="AF27" i="2"/>
  <c r="Q13" i="2"/>
  <c r="Q13" i="6" s="1"/>
  <c r="R9" i="2"/>
  <c r="R9" i="6" s="1"/>
  <c r="Q21" i="2"/>
  <c r="Q21" i="6" s="1"/>
  <c r="Q19" i="2"/>
  <c r="Q19" i="6" s="1"/>
  <c r="Q26" i="2"/>
  <c r="Q26" i="6" s="1"/>
  <c r="AF27" i="6" l="1"/>
  <c r="AF27" i="8"/>
  <c r="AF27" i="5"/>
  <c r="AF27" i="4"/>
  <c r="AF27" i="3"/>
  <c r="AF27" i="10"/>
  <c r="AF27" i="12"/>
  <c r="AF27" i="7"/>
  <c r="Q26" i="8"/>
  <c r="Q26" i="3"/>
  <c r="Q26" i="5"/>
  <c r="Q26" i="4"/>
  <c r="Q26" i="10"/>
  <c r="Q26" i="12"/>
  <c r="Q26" i="7"/>
  <c r="Q19" i="8"/>
  <c r="Q19" i="5"/>
  <c r="Q19" i="3"/>
  <c r="Q19" i="4"/>
  <c r="Q19" i="10"/>
  <c r="Q19" i="7"/>
  <c r="Q19" i="12"/>
  <c r="Q21" i="8"/>
  <c r="Q21" i="10"/>
  <c r="Q21" i="3"/>
  <c r="Q326" i="3" s="1"/>
  <c r="Q21" i="4"/>
  <c r="Q23" i="2"/>
  <c r="Q23" i="6" s="1"/>
  <c r="Q21" i="5"/>
  <c r="Q21" i="12"/>
  <c r="Q21" i="7"/>
  <c r="Q22" i="2"/>
  <c r="Q22" i="6" s="1"/>
  <c r="P29" i="8"/>
  <c r="P29" i="5"/>
  <c r="P29" i="3"/>
  <c r="P29" i="4"/>
  <c r="P29" i="10"/>
  <c r="P29" i="12"/>
  <c r="P29" i="7"/>
  <c r="S8" i="2"/>
  <c r="S8" i="6" s="1"/>
  <c r="R18" i="2"/>
  <c r="Q24" i="2"/>
  <c r="Q24" i="6" s="1"/>
  <c r="Q25" i="2"/>
  <c r="Q25" i="6" s="1"/>
  <c r="Q28" i="2"/>
  <c r="Q28" i="6" s="1"/>
  <c r="Q20" i="2"/>
  <c r="Q20" i="6" s="1"/>
  <c r="Q97" i="6" s="1"/>
  <c r="AG27" i="2"/>
  <c r="P54" i="4"/>
  <c r="AH27" i="2" l="1"/>
  <c r="AG27" i="6"/>
  <c r="AG27" i="3"/>
  <c r="AG27" i="12"/>
  <c r="AG27" i="8"/>
  <c r="AG27" i="5"/>
  <c r="AG27" i="4"/>
  <c r="AG27" i="10"/>
  <c r="AG27" i="7"/>
  <c r="Q109" i="6"/>
  <c r="R18" i="6"/>
  <c r="Q28" i="8"/>
  <c r="Q28" i="3"/>
  <c r="Q28" i="5"/>
  <c r="Q28" i="4"/>
  <c r="Q28" i="10"/>
  <c r="Q28" i="7"/>
  <c r="Q28" i="12"/>
  <c r="Q20" i="7"/>
  <c r="Q20" i="12"/>
  <c r="Q20" i="8"/>
  <c r="Q20" i="10"/>
  <c r="Q20" i="5"/>
  <c r="Q20" i="3"/>
  <c r="Q20" i="4"/>
  <c r="Q22" i="8"/>
  <c r="Q22" i="7"/>
  <c r="Q22" i="12"/>
  <c r="Q22" i="10"/>
  <c r="Q22" i="5"/>
  <c r="Q22" i="3"/>
  <c r="Q22" i="4"/>
  <c r="Q23" i="8"/>
  <c r="Q23" i="5"/>
  <c r="Q23" i="3"/>
  <c r="Q23" i="4"/>
  <c r="Q23" i="7"/>
  <c r="Q23" i="10"/>
  <c r="Q23" i="12"/>
  <c r="R18" i="5"/>
  <c r="R18" i="7"/>
  <c r="R18" i="12"/>
  <c r="R18" i="8"/>
  <c r="R18" i="10"/>
  <c r="R18" i="3"/>
  <c r="R18" i="4"/>
  <c r="Q25" i="8"/>
  <c r="Q25" i="5"/>
  <c r="Q25" i="3"/>
  <c r="Q25" i="4"/>
  <c r="Q25" i="10"/>
  <c r="Q25" i="12"/>
  <c r="Q25" i="7"/>
  <c r="Q24" i="5"/>
  <c r="Q24" i="8"/>
  <c r="Q24" i="7"/>
  <c r="Q24" i="12"/>
  <c r="Q24" i="10"/>
  <c r="Q24" i="4"/>
  <c r="Q24" i="3"/>
  <c r="Q29" i="2"/>
  <c r="Q29" i="6" s="1"/>
  <c r="R13" i="2"/>
  <c r="R13" i="6" s="1"/>
  <c r="R14" i="2"/>
  <c r="R14" i="6" s="1"/>
  <c r="S9" i="2"/>
  <c r="S9" i="6" s="1"/>
  <c r="R19" i="2"/>
  <c r="R19" i="6" s="1"/>
  <c r="R26" i="2"/>
  <c r="R26" i="6" s="1"/>
  <c r="R21" i="2"/>
  <c r="R21" i="6" s="1"/>
  <c r="AH27" i="6" l="1"/>
  <c r="AH27" i="12"/>
  <c r="AH27" i="4"/>
  <c r="AH27" i="3"/>
  <c r="AH27" i="8"/>
  <c r="AH27" i="5"/>
  <c r="AH27" i="7"/>
  <c r="AH27" i="10"/>
  <c r="R23" i="2"/>
  <c r="R23" i="6" s="1"/>
  <c r="R21" i="12"/>
  <c r="R21" i="10"/>
  <c r="R21" i="8"/>
  <c r="R21" i="7"/>
  <c r="R21" i="5"/>
  <c r="R21" i="3"/>
  <c r="R326" i="3" s="1"/>
  <c r="R21" i="4"/>
  <c r="R22" i="2"/>
  <c r="R22" i="6" s="1"/>
  <c r="R26" i="10"/>
  <c r="R26" i="3"/>
  <c r="R26" i="5"/>
  <c r="R26" i="8"/>
  <c r="R26" i="4"/>
  <c r="R26" i="12"/>
  <c r="R26" i="7"/>
  <c r="R19" i="12"/>
  <c r="R19" i="7"/>
  <c r="R19" i="10"/>
  <c r="R19" i="8"/>
  <c r="R19" i="5"/>
  <c r="R19" i="4"/>
  <c r="R19" i="3"/>
  <c r="Q29" i="12"/>
  <c r="Q29" i="8"/>
  <c r="Q29" i="3"/>
  <c r="Q29" i="5"/>
  <c r="Q29" i="4"/>
  <c r="Q29" i="10"/>
  <c r="Q29" i="7"/>
  <c r="T8" i="2"/>
  <c r="T8" i="6" s="1"/>
  <c r="S18" i="2"/>
  <c r="S18" i="6" s="1"/>
  <c r="R24" i="2"/>
  <c r="R24" i="6" s="1"/>
  <c r="R25" i="2"/>
  <c r="R25" i="6" s="1"/>
  <c r="R20" i="2"/>
  <c r="R20" i="6" s="1"/>
  <c r="R97" i="6" s="1"/>
  <c r="R28" i="2"/>
  <c r="R28" i="6" s="1"/>
  <c r="Q54" i="4"/>
  <c r="R109" i="6" l="1"/>
  <c r="R25" i="10"/>
  <c r="R25" i="5"/>
  <c r="R25" i="3"/>
  <c r="R25" i="4"/>
  <c r="R25" i="12"/>
  <c r="R25" i="7"/>
  <c r="R25" i="8"/>
  <c r="R28" i="10"/>
  <c r="R28" i="8"/>
  <c r="R28" i="5"/>
  <c r="R28" i="4"/>
  <c r="R28" i="3"/>
  <c r="R28" i="12"/>
  <c r="R28" i="7"/>
  <c r="S18" i="7"/>
  <c r="S18" i="12"/>
  <c r="S18" i="10"/>
  <c r="S18" i="5"/>
  <c r="S18" i="8"/>
  <c r="S18" i="3"/>
  <c r="S18" i="4"/>
  <c r="R22" i="12"/>
  <c r="R22" i="5"/>
  <c r="R22" i="10"/>
  <c r="R22" i="7"/>
  <c r="R22" i="8"/>
  <c r="R22" i="4"/>
  <c r="R22" i="3"/>
  <c r="R20" i="12"/>
  <c r="R20" i="5"/>
  <c r="R20" i="7"/>
  <c r="R20" i="10"/>
  <c r="R20" i="8"/>
  <c r="R20" i="3"/>
  <c r="R20" i="4"/>
  <c r="R24" i="12"/>
  <c r="R24" i="5"/>
  <c r="R24" i="4"/>
  <c r="R24" i="10"/>
  <c r="R24" i="8"/>
  <c r="R24" i="7"/>
  <c r="R24" i="3"/>
  <c r="R23" i="4"/>
  <c r="R23" i="10"/>
  <c r="R23" i="12"/>
  <c r="R23" i="7"/>
  <c r="R23" i="8"/>
  <c r="R23" i="3"/>
  <c r="R23" i="5"/>
  <c r="R29" i="2"/>
  <c r="R29" i="6" s="1"/>
  <c r="S13" i="2"/>
  <c r="S13" i="6" s="1"/>
  <c r="S14" i="2"/>
  <c r="S14" i="6" s="1"/>
  <c r="T9" i="2"/>
  <c r="T9" i="6" s="1"/>
  <c r="S21" i="2"/>
  <c r="S21" i="6" s="1"/>
  <c r="S19" i="2"/>
  <c r="S19" i="6" s="1"/>
  <c r="S26" i="2"/>
  <c r="S26" i="6" s="1"/>
  <c r="S26" i="8" l="1"/>
  <c r="S26" i="10"/>
  <c r="S26" i="5"/>
  <c r="S26" i="3"/>
  <c r="S26" i="4"/>
  <c r="S26" i="7"/>
  <c r="S26" i="12"/>
  <c r="S19" i="12"/>
  <c r="S19" i="8"/>
  <c r="S19" i="7"/>
  <c r="S19" i="10"/>
  <c r="S19" i="4"/>
  <c r="S19" i="5"/>
  <c r="S19" i="3"/>
  <c r="S21" i="8"/>
  <c r="S23" i="2"/>
  <c r="S23" i="6" s="1"/>
  <c r="S21" i="10"/>
  <c r="S21" i="12"/>
  <c r="S21" i="7"/>
  <c r="S21" i="4"/>
  <c r="S22" i="2"/>
  <c r="S22" i="6" s="1"/>
  <c r="S21" i="5"/>
  <c r="S21" i="3"/>
  <c r="S326" i="3" s="1"/>
  <c r="R29" i="12"/>
  <c r="R29" i="8"/>
  <c r="R29" i="3"/>
  <c r="R29" i="5"/>
  <c r="R29" i="4"/>
  <c r="R29" i="10"/>
  <c r="R29" i="7"/>
  <c r="U8" i="2"/>
  <c r="U8" i="6" s="1"/>
  <c r="T18" i="2"/>
  <c r="T18" i="6" s="1"/>
  <c r="S24" i="2"/>
  <c r="S24" i="6" s="1"/>
  <c r="S25" i="2"/>
  <c r="S25" i="6" s="1"/>
  <c r="S20" i="2"/>
  <c r="S20" i="6" s="1"/>
  <c r="S109" i="6" s="1"/>
  <c r="S28" i="2"/>
  <c r="S28" i="6" s="1"/>
  <c r="R54" i="4"/>
  <c r="S97" i="6" l="1"/>
  <c r="S25" i="12"/>
  <c r="S25" i="10"/>
  <c r="S25" i="8"/>
  <c r="S25" i="3"/>
  <c r="S25" i="7"/>
  <c r="S25" i="5"/>
  <c r="S25" i="4"/>
  <c r="S28" i="10"/>
  <c r="S28" i="8"/>
  <c r="S28" i="5"/>
  <c r="S28" i="3"/>
  <c r="S28" i="4"/>
  <c r="S28" i="12"/>
  <c r="S28" i="7"/>
  <c r="T18" i="5"/>
  <c r="T18" i="4"/>
  <c r="T18" i="10"/>
  <c r="T18" i="12"/>
  <c r="T18" i="7"/>
  <c r="T18" i="8"/>
  <c r="T18" i="3"/>
  <c r="S22" i="12"/>
  <c r="S22" i="8"/>
  <c r="S22" i="10"/>
  <c r="S22" i="7"/>
  <c r="S22" i="3"/>
  <c r="S22" i="5"/>
  <c r="S22" i="4"/>
  <c r="S23" i="8"/>
  <c r="S23" i="10"/>
  <c r="S23" i="12"/>
  <c r="S23" i="7"/>
  <c r="S23" i="5"/>
  <c r="S23" i="3"/>
  <c r="S23" i="4"/>
  <c r="S20" i="12"/>
  <c r="S20" i="7"/>
  <c r="S20" i="10"/>
  <c r="S20" i="5"/>
  <c r="S20" i="8"/>
  <c r="S20" i="4"/>
  <c r="S20" i="3"/>
  <c r="S24" i="8"/>
  <c r="S24" i="3"/>
  <c r="S24" i="7"/>
  <c r="S24" i="12"/>
  <c r="S24" i="10"/>
  <c r="S24" i="5"/>
  <c r="S24" i="4"/>
  <c r="S29" i="2"/>
  <c r="S29" i="6" s="1"/>
  <c r="T14" i="2"/>
  <c r="T14" i="6" s="1"/>
  <c r="T13" i="2"/>
  <c r="T13" i="6" s="1"/>
  <c r="U9" i="2"/>
  <c r="U9" i="6" s="1"/>
  <c r="T19" i="2"/>
  <c r="T19" i="6" s="1"/>
  <c r="T26" i="2"/>
  <c r="T26" i="6" s="1"/>
  <c r="T21" i="2"/>
  <c r="T21" i="6" s="1"/>
  <c r="T26" i="8" l="1"/>
  <c r="T26" i="5"/>
  <c r="T26" i="3"/>
  <c r="T26" i="4"/>
  <c r="T26" i="10"/>
  <c r="T26" i="12"/>
  <c r="T26" i="7"/>
  <c r="T23" i="2"/>
  <c r="T23" i="6" s="1"/>
  <c r="T21" i="12"/>
  <c r="T21" i="10"/>
  <c r="T21" i="8"/>
  <c r="T21" i="7"/>
  <c r="T22" i="2"/>
  <c r="T22" i="6" s="1"/>
  <c r="T21" i="4"/>
  <c r="T21" i="5"/>
  <c r="T21" i="3"/>
  <c r="T326" i="3" s="1"/>
  <c r="T19" i="7"/>
  <c r="T19" i="12"/>
  <c r="T19" i="10"/>
  <c r="T19" i="8"/>
  <c r="T19" i="3"/>
  <c r="T19" i="4"/>
  <c r="T19" i="5"/>
  <c r="S29" i="10"/>
  <c r="S29" i="12"/>
  <c r="S29" i="8"/>
  <c r="S29" i="5"/>
  <c r="S29" i="3"/>
  <c r="S29" i="4"/>
  <c r="S29" i="7"/>
  <c r="V8" i="2"/>
  <c r="V8" i="6" s="1"/>
  <c r="U18" i="2"/>
  <c r="U18" i="6" s="1"/>
  <c r="T24" i="2"/>
  <c r="T24" i="6" s="1"/>
  <c r="T25" i="2"/>
  <c r="T25" i="6" s="1"/>
  <c r="T28" i="2"/>
  <c r="T28" i="6" s="1"/>
  <c r="T20" i="2"/>
  <c r="T20" i="6" s="1"/>
  <c r="T97" i="6" s="1"/>
  <c r="S54" i="4"/>
  <c r="T109" i="6" l="1"/>
  <c r="T28" i="8"/>
  <c r="T28" i="5"/>
  <c r="T28" i="3"/>
  <c r="T28" i="4"/>
  <c r="T28" i="10"/>
  <c r="T28" i="12"/>
  <c r="T28" i="7"/>
  <c r="T20" i="5"/>
  <c r="T20" i="4"/>
  <c r="T20" i="10"/>
  <c r="T20" i="7"/>
  <c r="T20" i="12"/>
  <c r="T20" i="8"/>
  <c r="T20" i="3"/>
  <c r="U18" i="8"/>
  <c r="U18" i="5"/>
  <c r="U18" i="3"/>
  <c r="U18" i="4"/>
  <c r="U18" i="10"/>
  <c r="U18" i="12"/>
  <c r="U18" i="7"/>
  <c r="T22" i="5"/>
  <c r="T22" i="4"/>
  <c r="T22" i="10"/>
  <c r="T22" i="12"/>
  <c r="T22" i="8"/>
  <c r="T22" i="7"/>
  <c r="T22" i="3"/>
  <c r="T25" i="7"/>
  <c r="T25" i="12"/>
  <c r="T25" i="8"/>
  <c r="T25" i="10"/>
  <c r="T25" i="5"/>
  <c r="T25" i="3"/>
  <c r="T25" i="4"/>
  <c r="T24" i="5"/>
  <c r="T24" i="4"/>
  <c r="T24" i="10"/>
  <c r="T24" i="7"/>
  <c r="T24" i="12"/>
  <c r="T24" i="8"/>
  <c r="T24" i="3"/>
  <c r="T23" i="12"/>
  <c r="T23" i="10"/>
  <c r="T23" i="7"/>
  <c r="T23" i="8"/>
  <c r="T23" i="4"/>
  <c r="T23" i="3"/>
  <c r="T23" i="5"/>
  <c r="T29" i="2"/>
  <c r="T29" i="6" s="1"/>
  <c r="U14" i="2"/>
  <c r="U14" i="6" s="1"/>
  <c r="U13" i="2"/>
  <c r="U13" i="6" s="1"/>
  <c r="V9" i="2"/>
  <c r="V9" i="6" s="1"/>
  <c r="U21" i="2"/>
  <c r="U21" i="6" s="1"/>
  <c r="U19" i="2"/>
  <c r="U19" i="6" s="1"/>
  <c r="U26" i="2"/>
  <c r="U26" i="6" s="1"/>
  <c r="U26" i="8" l="1"/>
  <c r="U26" i="3"/>
  <c r="U26" i="12"/>
  <c r="U26" i="5"/>
  <c r="U26" i="4"/>
  <c r="U26" i="10"/>
  <c r="U26" i="7"/>
  <c r="U19" i="7"/>
  <c r="U19" i="12"/>
  <c r="U19" i="10"/>
  <c r="U19" i="8"/>
  <c r="U19" i="4"/>
  <c r="U19" i="5"/>
  <c r="U19" i="3"/>
  <c r="U23" i="2"/>
  <c r="U23" i="6" s="1"/>
  <c r="U21" i="12"/>
  <c r="U21" i="10"/>
  <c r="U21" i="7"/>
  <c r="U21" i="8"/>
  <c r="U21" i="4"/>
  <c r="U22" i="2"/>
  <c r="U22" i="6" s="1"/>
  <c r="U21" i="3"/>
  <c r="U326" i="3" s="1"/>
  <c r="U21" i="5"/>
  <c r="T29" i="8"/>
  <c r="T29" i="5"/>
  <c r="T29" i="3"/>
  <c r="T29" i="4"/>
  <c r="T29" i="10"/>
  <c r="T29" i="12"/>
  <c r="T29" i="7"/>
  <c r="W8" i="2"/>
  <c r="W8" i="6" s="1"/>
  <c r="V18" i="2"/>
  <c r="V18" i="6" s="1"/>
  <c r="U24" i="2"/>
  <c r="U24" i="6" s="1"/>
  <c r="U25" i="2"/>
  <c r="U25" i="6" s="1"/>
  <c r="U28" i="2"/>
  <c r="U28" i="6" s="1"/>
  <c r="U20" i="2"/>
  <c r="U20" i="6" s="1"/>
  <c r="U97" i="6" s="1"/>
  <c r="T54" i="4"/>
  <c r="U109" i="6" l="1"/>
  <c r="U20" i="12"/>
  <c r="U20" i="8"/>
  <c r="U20" i="10"/>
  <c r="U20" i="5"/>
  <c r="U20" i="4"/>
  <c r="U20" i="3"/>
  <c r="U20" i="7"/>
  <c r="U22" i="8"/>
  <c r="U22" i="5"/>
  <c r="U22" i="3"/>
  <c r="U22" i="4"/>
  <c r="U22" i="10"/>
  <c r="U22" i="7"/>
  <c r="U22" i="12"/>
  <c r="U28" i="12"/>
  <c r="U28" i="8"/>
  <c r="U28" i="3"/>
  <c r="U28" i="5"/>
  <c r="U28" i="4"/>
  <c r="U28" i="10"/>
  <c r="U28" i="7"/>
  <c r="U25" i="8"/>
  <c r="U25" i="5"/>
  <c r="U25" i="4"/>
  <c r="U25" i="7"/>
  <c r="U25" i="12"/>
  <c r="U25" i="10"/>
  <c r="U25" i="3"/>
  <c r="V18" i="7"/>
  <c r="V18" i="12"/>
  <c r="V18" i="8"/>
  <c r="V18" i="10"/>
  <c r="V18" i="3"/>
  <c r="V18" i="4"/>
  <c r="V18" i="5"/>
  <c r="U24" i="8"/>
  <c r="U24" i="10"/>
  <c r="U24" i="3"/>
  <c r="U24" i="5"/>
  <c r="U24" i="4"/>
  <c r="U24" i="12"/>
  <c r="U24" i="7"/>
  <c r="U23" i="8"/>
  <c r="U23" i="7"/>
  <c r="U23" i="12"/>
  <c r="U23" i="10"/>
  <c r="U23" i="5"/>
  <c r="U23" i="3"/>
  <c r="U23" i="4"/>
  <c r="U29" i="2"/>
  <c r="U29" i="6" s="1"/>
  <c r="V14" i="2"/>
  <c r="V14" i="6" s="1"/>
  <c r="V13" i="2"/>
  <c r="V13" i="6" s="1"/>
  <c r="W9" i="2"/>
  <c r="W9" i="6" s="1"/>
  <c r="V19" i="2"/>
  <c r="V19" i="6" s="1"/>
  <c r="V26" i="2"/>
  <c r="V26" i="6" s="1"/>
  <c r="V21" i="2"/>
  <c r="V21" i="6" s="1"/>
  <c r="V21" i="5" l="1"/>
  <c r="V23" i="2"/>
  <c r="V23" i="6" s="1"/>
  <c r="V21" i="12"/>
  <c r="V21" i="7"/>
  <c r="V21" i="8"/>
  <c r="V21" i="10"/>
  <c r="V22" i="2"/>
  <c r="V22" i="6" s="1"/>
  <c r="V21" i="3"/>
  <c r="V326" i="3" s="1"/>
  <c r="V21" i="4"/>
  <c r="V26" i="12"/>
  <c r="V26" i="8"/>
  <c r="V26" i="5"/>
  <c r="V26" i="4"/>
  <c r="V26" i="3"/>
  <c r="V26" i="10"/>
  <c r="V26" i="7"/>
  <c r="V19" i="5"/>
  <c r="V19" i="12"/>
  <c r="V19" i="10"/>
  <c r="V19" i="7"/>
  <c r="V19" i="8"/>
  <c r="V19" i="4"/>
  <c r="V19" i="3"/>
  <c r="U29" i="8"/>
  <c r="U29" i="3"/>
  <c r="U29" i="5"/>
  <c r="U29" i="4"/>
  <c r="U29" i="10"/>
  <c r="U29" i="12"/>
  <c r="U29" i="7"/>
  <c r="X8" i="2"/>
  <c r="X8" i="6" s="1"/>
  <c r="W18" i="2"/>
  <c r="W18" i="6" s="1"/>
  <c r="V24" i="2"/>
  <c r="V24" i="6" s="1"/>
  <c r="V25" i="2"/>
  <c r="V25" i="6" s="1"/>
  <c r="V28" i="2"/>
  <c r="V28" i="6" s="1"/>
  <c r="V20" i="2"/>
  <c r="V20" i="6" s="1"/>
  <c r="V109" i="6" s="1"/>
  <c r="U54" i="4"/>
  <c r="V97" i="6" l="1"/>
  <c r="V20" i="10"/>
  <c r="V20" i="12"/>
  <c r="V20" i="7"/>
  <c r="V20" i="8"/>
  <c r="V20" i="3"/>
  <c r="V20" i="4"/>
  <c r="V20" i="5"/>
  <c r="V22" i="10"/>
  <c r="V22" i="12"/>
  <c r="V22" i="7"/>
  <c r="V22" i="8"/>
  <c r="V22" i="4"/>
  <c r="V22" i="5"/>
  <c r="V22" i="3"/>
  <c r="W18" i="12"/>
  <c r="W18" i="7"/>
  <c r="W18" i="10"/>
  <c r="W18" i="8"/>
  <c r="W18" i="4"/>
  <c r="W18" i="5"/>
  <c r="W18" i="3"/>
  <c r="V28" i="12"/>
  <c r="V28" i="8"/>
  <c r="V28" i="3"/>
  <c r="V28" i="5"/>
  <c r="V28" i="4"/>
  <c r="V28" i="10"/>
  <c r="V28" i="7"/>
  <c r="V23" i="10"/>
  <c r="V23" i="12"/>
  <c r="V23" i="5"/>
  <c r="V23" i="7"/>
  <c r="V23" i="8"/>
  <c r="V23" i="3"/>
  <c r="V23" i="4"/>
  <c r="V25" i="12"/>
  <c r="V25" i="5"/>
  <c r="V25" i="3"/>
  <c r="V25" i="4"/>
  <c r="V25" i="10"/>
  <c r="V25" i="7"/>
  <c r="V25" i="8"/>
  <c r="V24" i="5"/>
  <c r="V24" i="4"/>
  <c r="V24" i="10"/>
  <c r="V24" i="12"/>
  <c r="V24" i="8"/>
  <c r="V24" i="7"/>
  <c r="V24" i="3"/>
  <c r="V29" i="2"/>
  <c r="V29" i="6" s="1"/>
  <c r="W13" i="2"/>
  <c r="W13" i="6" s="1"/>
  <c r="W14" i="2"/>
  <c r="W14" i="6" s="1"/>
  <c r="X9" i="2"/>
  <c r="X9" i="6" s="1"/>
  <c r="W21" i="2"/>
  <c r="W21" i="6" s="1"/>
  <c r="W19" i="2"/>
  <c r="W19" i="6" s="1"/>
  <c r="W26" i="2"/>
  <c r="W26" i="6" s="1"/>
  <c r="W26" i="7" l="1"/>
  <c r="W26" i="10"/>
  <c r="W26" i="12"/>
  <c r="W26" i="8"/>
  <c r="W26" i="5"/>
  <c r="W26" i="3"/>
  <c r="W26" i="4"/>
  <c r="W19" i="12"/>
  <c r="W19" i="7"/>
  <c r="W19" i="8"/>
  <c r="W19" i="5"/>
  <c r="W19" i="10"/>
  <c r="W19" i="4"/>
  <c r="W19" i="3"/>
  <c r="W21" i="12"/>
  <c r="W21" i="8"/>
  <c r="W23" i="2"/>
  <c r="W23" i="6" s="1"/>
  <c r="W21" i="7"/>
  <c r="W21" i="10"/>
  <c r="W21" i="5"/>
  <c r="W22" i="2"/>
  <c r="W22" i="6" s="1"/>
  <c r="W21" i="3"/>
  <c r="W326" i="3" s="1"/>
  <c r="W21" i="4"/>
  <c r="V29" i="10"/>
  <c r="V29" i="8"/>
  <c r="V29" i="4"/>
  <c r="V29" i="5"/>
  <c r="V29" i="3"/>
  <c r="V29" i="7"/>
  <c r="V29" i="12"/>
  <c r="Y8" i="2"/>
  <c r="Y8" i="6" s="1"/>
  <c r="X18" i="2"/>
  <c r="X18" i="6" s="1"/>
  <c r="W24" i="2"/>
  <c r="W24" i="6" s="1"/>
  <c r="W25" i="2"/>
  <c r="W25" i="6" s="1"/>
  <c r="W28" i="2"/>
  <c r="W28" i="6" s="1"/>
  <c r="W20" i="2"/>
  <c r="W20" i="6" s="1"/>
  <c r="W97" i="6" s="1"/>
  <c r="V54" i="4"/>
  <c r="W109" i="6" l="1"/>
  <c r="W22" i="8"/>
  <c r="W22" i="10"/>
  <c r="W22" i="7"/>
  <c r="W22" i="12"/>
  <c r="W22" i="4"/>
  <c r="W22" i="5"/>
  <c r="W22" i="3"/>
  <c r="W23" i="12"/>
  <c r="W23" i="8"/>
  <c r="W23" i="7"/>
  <c r="W23" i="10"/>
  <c r="W23" i="5"/>
  <c r="W23" i="3"/>
  <c r="W23" i="4"/>
  <c r="W20" i="8"/>
  <c r="W20" i="10"/>
  <c r="W20" i="12"/>
  <c r="W20" i="7"/>
  <c r="W20" i="5"/>
  <c r="W20" i="3"/>
  <c r="W20" i="4"/>
  <c r="X18" i="12"/>
  <c r="X18" i="10"/>
  <c r="X18" i="8"/>
  <c r="X18" i="7"/>
  <c r="X18" i="5"/>
  <c r="X18" i="4"/>
  <c r="X18" i="3"/>
  <c r="W28" i="12"/>
  <c r="W28" i="8"/>
  <c r="W28" i="10"/>
  <c r="W28" i="5"/>
  <c r="W28" i="3"/>
  <c r="W28" i="4"/>
  <c r="W28" i="7"/>
  <c r="W25" i="12"/>
  <c r="W25" i="7"/>
  <c r="W25" i="8"/>
  <c r="W25" i="5"/>
  <c r="W25" i="3"/>
  <c r="W25" i="4"/>
  <c r="W25" i="10"/>
  <c r="W24" i="8"/>
  <c r="W24" i="3"/>
  <c r="W24" i="10"/>
  <c r="W24" i="7"/>
  <c r="W24" i="12"/>
  <c r="W24" i="4"/>
  <c r="W24" i="5"/>
  <c r="W29" i="2"/>
  <c r="W29" i="6" s="1"/>
  <c r="X14" i="2"/>
  <c r="X14" i="6" s="1"/>
  <c r="X13" i="2"/>
  <c r="X13" i="6" s="1"/>
  <c r="Y9" i="2"/>
  <c r="Y9" i="6" s="1"/>
  <c r="X19" i="2"/>
  <c r="X19" i="6" s="1"/>
  <c r="X26" i="2"/>
  <c r="X26" i="6" s="1"/>
  <c r="X21" i="2"/>
  <c r="X21" i="6" s="1"/>
  <c r="X21" i="5" l="1"/>
  <c r="X21" i="4"/>
  <c r="X23" i="2"/>
  <c r="X23" i="6" s="1"/>
  <c r="X21" i="10"/>
  <c r="X21" i="12"/>
  <c r="X21" i="7"/>
  <c r="X21" i="8"/>
  <c r="X22" i="2"/>
  <c r="X22" i="6" s="1"/>
  <c r="X21" i="3"/>
  <c r="X326" i="3" s="1"/>
  <c r="X26" i="8"/>
  <c r="X26" i="5"/>
  <c r="X26" i="3"/>
  <c r="X26" i="4"/>
  <c r="X26" i="10"/>
  <c r="X26" i="12"/>
  <c r="X26" i="7"/>
  <c r="X19" i="10"/>
  <c r="X19" i="5"/>
  <c r="X19" i="4"/>
  <c r="X19" i="12"/>
  <c r="X19" i="7"/>
  <c r="X19" i="8"/>
  <c r="X19" i="3"/>
  <c r="W29" i="8"/>
  <c r="W29" i="10"/>
  <c r="W29" i="5"/>
  <c r="W29" i="3"/>
  <c r="W29" i="4"/>
  <c r="W29" i="7"/>
  <c r="W29" i="12"/>
  <c r="Z8" i="2"/>
  <c r="Z8" i="6" s="1"/>
  <c r="Y18" i="2"/>
  <c r="Y18" i="6" s="1"/>
  <c r="X24" i="2"/>
  <c r="X24" i="6" s="1"/>
  <c r="X25" i="2"/>
  <c r="X25" i="6" s="1"/>
  <c r="X28" i="2"/>
  <c r="X28" i="6" s="1"/>
  <c r="X20" i="2"/>
  <c r="X20" i="6" s="1"/>
  <c r="X97" i="6" s="1"/>
  <c r="W54" i="4"/>
  <c r="X109" i="6" l="1"/>
  <c r="X20" i="7"/>
  <c r="X20" i="8"/>
  <c r="X20" i="12"/>
  <c r="X20" i="10"/>
  <c r="X20" i="3"/>
  <c r="X20" i="4"/>
  <c r="X20" i="5"/>
  <c r="Y18" i="7"/>
  <c r="Y18" i="8"/>
  <c r="Y18" i="12"/>
  <c r="Y18" i="5"/>
  <c r="Y18" i="10"/>
  <c r="Y18" i="3"/>
  <c r="Y18" i="4"/>
  <c r="X23" i="5"/>
  <c r="X23" i="4"/>
  <c r="X23" i="10"/>
  <c r="X23" i="7"/>
  <c r="X23" i="12"/>
  <c r="X23" i="8"/>
  <c r="X23" i="3"/>
  <c r="X28" i="8"/>
  <c r="X28" i="5"/>
  <c r="X28" i="3"/>
  <c r="X28" i="4"/>
  <c r="X28" i="10"/>
  <c r="X28" i="7"/>
  <c r="X28" i="12"/>
  <c r="X25" i="5"/>
  <c r="X25" i="4"/>
  <c r="X25" i="10"/>
  <c r="X25" i="7"/>
  <c r="X25" i="12"/>
  <c r="X25" i="8"/>
  <c r="X25" i="3"/>
  <c r="X24" i="7"/>
  <c r="X24" i="12"/>
  <c r="X24" i="10"/>
  <c r="X24" i="8"/>
  <c r="X24" i="4"/>
  <c r="X24" i="5"/>
  <c r="X24" i="3"/>
  <c r="X22" i="7"/>
  <c r="X22" i="12"/>
  <c r="X22" i="10"/>
  <c r="X22" i="8"/>
  <c r="X22" i="3"/>
  <c r="X22" i="4"/>
  <c r="X22" i="5"/>
  <c r="X29" i="2"/>
  <c r="X29" i="6" s="1"/>
  <c r="Y14" i="2"/>
  <c r="Y14" i="6" s="1"/>
  <c r="Y13" i="2"/>
  <c r="Y13" i="6" s="1"/>
  <c r="Z9" i="2"/>
  <c r="Z9" i="6" s="1"/>
  <c r="Y21" i="2"/>
  <c r="Y21" i="6" s="1"/>
  <c r="Y19" i="2"/>
  <c r="Y19" i="6" s="1"/>
  <c r="Y26" i="2"/>
  <c r="Y26" i="6" s="1"/>
  <c r="Y21" i="8" l="1"/>
  <c r="Y21" i="12"/>
  <c r="Y21" i="5"/>
  <c r="Y21" i="3"/>
  <c r="Y326" i="3" s="1"/>
  <c r="Y23" i="2"/>
  <c r="Y23" i="6" s="1"/>
  <c r="Y21" i="4"/>
  <c r="Y21" i="10"/>
  <c r="Y21" i="7"/>
  <c r="Y22" i="2"/>
  <c r="Y22" i="6" s="1"/>
  <c r="Y19" i="12"/>
  <c r="Y19" i="8"/>
  <c r="Y19" i="3"/>
  <c r="Y19" i="4"/>
  <c r="Y19" i="5"/>
  <c r="Y19" i="10"/>
  <c r="Y19" i="7"/>
  <c r="Y26" i="8"/>
  <c r="Y26" i="3"/>
  <c r="Y26" i="5"/>
  <c r="Y26" i="4"/>
  <c r="Y26" i="10"/>
  <c r="Y26" i="7"/>
  <c r="Y26" i="12"/>
  <c r="X29" i="8"/>
  <c r="X29" i="5"/>
  <c r="X29" i="3"/>
  <c r="X29" i="4"/>
  <c r="X29" i="10"/>
  <c r="X29" i="12"/>
  <c r="X29" i="7"/>
  <c r="AA8" i="2"/>
  <c r="AA8" i="6" s="1"/>
  <c r="Z18" i="2"/>
  <c r="Z18" i="6" s="1"/>
  <c r="Y24" i="2"/>
  <c r="Y24" i="6" s="1"/>
  <c r="Y25" i="2"/>
  <c r="Y25" i="6" s="1"/>
  <c r="Y28" i="2"/>
  <c r="Y28" i="6" s="1"/>
  <c r="Y20" i="2"/>
  <c r="Y20" i="6" s="1"/>
  <c r="Y97" i="6" s="1"/>
  <c r="X54" i="4"/>
  <c r="Y109" i="6" l="1"/>
  <c r="Y28" i="8"/>
  <c r="Y28" i="3"/>
  <c r="Y28" i="5"/>
  <c r="Y28" i="4"/>
  <c r="Y28" i="10"/>
  <c r="Y28" i="12"/>
  <c r="Y28" i="7"/>
  <c r="Y20" i="7"/>
  <c r="Y20" i="12"/>
  <c r="Y20" i="10"/>
  <c r="Y20" i="8"/>
  <c r="Y20" i="3"/>
  <c r="Y20" i="4"/>
  <c r="Y20" i="5"/>
  <c r="Y25" i="10"/>
  <c r="Y25" i="8"/>
  <c r="Y25" i="5"/>
  <c r="Y25" i="3"/>
  <c r="Y25" i="4"/>
  <c r="Y25" i="7"/>
  <c r="Y25" i="12"/>
  <c r="Y22" i="8"/>
  <c r="Y22" i="7"/>
  <c r="Y22" i="12"/>
  <c r="Y22" i="10"/>
  <c r="Y22" i="4"/>
  <c r="Y22" i="5"/>
  <c r="Y22" i="3"/>
  <c r="Y23" i="12"/>
  <c r="Y23" i="8"/>
  <c r="Y23" i="5"/>
  <c r="Y23" i="4"/>
  <c r="Y23" i="3"/>
  <c r="Y23" i="10"/>
  <c r="Y23" i="7"/>
  <c r="Z18" i="5"/>
  <c r="Z18" i="7"/>
  <c r="Z18" i="12"/>
  <c r="Z18" i="10"/>
  <c r="Z18" i="8"/>
  <c r="Z18" i="3"/>
  <c r="Z18" i="4"/>
  <c r="Y24" i="8"/>
  <c r="Y24" i="5"/>
  <c r="Y24" i="4"/>
  <c r="Y24" i="12"/>
  <c r="Y24" i="10"/>
  <c r="Y24" i="7"/>
  <c r="Y24" i="3"/>
  <c r="Y29" i="2"/>
  <c r="Y29" i="6" s="1"/>
  <c r="Z13" i="2"/>
  <c r="Z13" i="6" s="1"/>
  <c r="Z14" i="2"/>
  <c r="Z14" i="6" s="1"/>
  <c r="AA9" i="2"/>
  <c r="AA9" i="6" s="1"/>
  <c r="Z19" i="2"/>
  <c r="Z19" i="6" s="1"/>
  <c r="Z26" i="2"/>
  <c r="Z26" i="6" s="1"/>
  <c r="Z21" i="2"/>
  <c r="Z21" i="6" s="1"/>
  <c r="Z21" i="12" l="1"/>
  <c r="Z23" i="2"/>
  <c r="Z23" i="6" s="1"/>
  <c r="Z21" i="10"/>
  <c r="Z21" i="7"/>
  <c r="Z21" i="8"/>
  <c r="Z21" i="3"/>
  <c r="Z326" i="3" s="1"/>
  <c r="Z21" i="4"/>
  <c r="Z22" i="2"/>
  <c r="Z22" i="6" s="1"/>
  <c r="Z21" i="5"/>
  <c r="Z26" i="10"/>
  <c r="Z26" i="8"/>
  <c r="Z26" i="3"/>
  <c r="Z26" i="5"/>
  <c r="Z26" i="4"/>
  <c r="Z26" i="12"/>
  <c r="Z26" i="7"/>
  <c r="Z19" i="12"/>
  <c r="Z19" i="7"/>
  <c r="Z19" i="10"/>
  <c r="Z19" i="8"/>
  <c r="Z19" i="5"/>
  <c r="Z19" i="3"/>
  <c r="Z19" i="4"/>
  <c r="Y29" i="12"/>
  <c r="Y29" i="8"/>
  <c r="Y29" i="3"/>
  <c r="Y29" i="5"/>
  <c r="Y29" i="4"/>
  <c r="Y29" i="10"/>
  <c r="Y29" i="7"/>
  <c r="AB8" i="2"/>
  <c r="AB8" i="6" s="1"/>
  <c r="AA18" i="2"/>
  <c r="AA18" i="6" s="1"/>
  <c r="Z24" i="2"/>
  <c r="Z24" i="6" s="1"/>
  <c r="Z25" i="2"/>
  <c r="Z25" i="6" s="1"/>
  <c r="Z20" i="2"/>
  <c r="Z20" i="6" s="1"/>
  <c r="Z97" i="6" s="1"/>
  <c r="Z28" i="2"/>
  <c r="Z28" i="6" s="1"/>
  <c r="Y54" i="4"/>
  <c r="Z109" i="6" l="1"/>
  <c r="AA18" i="12"/>
  <c r="AA18" i="7"/>
  <c r="AA18" i="10"/>
  <c r="AA18" i="8"/>
  <c r="AA18" i="5"/>
  <c r="AA18" i="3"/>
  <c r="AA18" i="4"/>
  <c r="Z28" i="10"/>
  <c r="Z28" i="8"/>
  <c r="Z28" i="4"/>
  <c r="Z28" i="5"/>
  <c r="Z28" i="3"/>
  <c r="Z28" i="12"/>
  <c r="Z28" i="7"/>
  <c r="Z20" i="5"/>
  <c r="Z20" i="12"/>
  <c r="Z20" i="7"/>
  <c r="Z20" i="10"/>
  <c r="Z20" i="8"/>
  <c r="Z20" i="4"/>
  <c r="Z20" i="3"/>
  <c r="Z25" i="3"/>
  <c r="Z25" i="5"/>
  <c r="Z25" i="4"/>
  <c r="Z25" i="10"/>
  <c r="Z25" i="12"/>
  <c r="Z25" i="7"/>
  <c r="Z25" i="8"/>
  <c r="Z23" i="4"/>
  <c r="Z23" i="12"/>
  <c r="Z23" i="10"/>
  <c r="Z23" i="7"/>
  <c r="Z23" i="8"/>
  <c r="Z23" i="3"/>
  <c r="Z23" i="5"/>
  <c r="Z24" i="10"/>
  <c r="Z24" i="5"/>
  <c r="Z24" i="4"/>
  <c r="Z24" i="12"/>
  <c r="Z24" i="7"/>
  <c r="Z24" i="8"/>
  <c r="Z24" i="3"/>
  <c r="Z22" i="5"/>
  <c r="Z22" i="10"/>
  <c r="Z22" i="12"/>
  <c r="Z22" i="7"/>
  <c r="Z22" i="8"/>
  <c r="Z22" i="4"/>
  <c r="Z22" i="3"/>
  <c r="Z29" i="2"/>
  <c r="Z29" i="6" s="1"/>
  <c r="AA13" i="2"/>
  <c r="AA13" i="6" s="1"/>
  <c r="AA14" i="2"/>
  <c r="AA14" i="6" s="1"/>
  <c r="AB9" i="2"/>
  <c r="AB9" i="6" s="1"/>
  <c r="AA21" i="2"/>
  <c r="AA21" i="6" s="1"/>
  <c r="AA19" i="2"/>
  <c r="AA19" i="6" s="1"/>
  <c r="AA26" i="2"/>
  <c r="AA26" i="6" s="1"/>
  <c r="AA26" i="10" l="1"/>
  <c r="AA26" i="8"/>
  <c r="AA26" i="5"/>
  <c r="AA26" i="3"/>
  <c r="AA26" i="4"/>
  <c r="AA26" i="12"/>
  <c r="AA26" i="7"/>
  <c r="AA19" i="12"/>
  <c r="AA19" i="7"/>
  <c r="AA19" i="8"/>
  <c r="AA19" i="10"/>
  <c r="AA19" i="4"/>
  <c r="AA19" i="5"/>
  <c r="AA19" i="3"/>
  <c r="AA21" i="8"/>
  <c r="AA23" i="2"/>
  <c r="AA23" i="6" s="1"/>
  <c r="AA21" i="10"/>
  <c r="AA21" i="12"/>
  <c r="AA21" i="7"/>
  <c r="AA21" i="5"/>
  <c r="AA21" i="3"/>
  <c r="AA326" i="3" s="1"/>
  <c r="AA21" i="4"/>
  <c r="AA22" i="2"/>
  <c r="AA22" i="6" s="1"/>
  <c r="Z29" i="12"/>
  <c r="Z29" i="8"/>
  <c r="Z29" i="3"/>
  <c r="Z29" i="4"/>
  <c r="Z29" i="5"/>
  <c r="Z29" i="10"/>
  <c r="Z29" i="7"/>
  <c r="AC8" i="2"/>
  <c r="AC8" i="6" s="1"/>
  <c r="AB18" i="2"/>
  <c r="AB18" i="6" s="1"/>
  <c r="AA24" i="2"/>
  <c r="AA24" i="6" s="1"/>
  <c r="AA25" i="2"/>
  <c r="AA25" i="6" s="1"/>
  <c r="AA20" i="2"/>
  <c r="AA20" i="6" s="1"/>
  <c r="AA109" i="6" s="1"/>
  <c r="AA28" i="2"/>
  <c r="AA28" i="6" s="1"/>
  <c r="Z54" i="4"/>
  <c r="AA97" i="6" l="1"/>
  <c r="AA28" i="10"/>
  <c r="AA28" i="8"/>
  <c r="AA28" i="5"/>
  <c r="AA28" i="3"/>
  <c r="AA28" i="4"/>
  <c r="AA28" i="12"/>
  <c r="AA28" i="7"/>
  <c r="AB18" i="5"/>
  <c r="AB18" i="4"/>
  <c r="AB18" i="10"/>
  <c r="AB18" i="7"/>
  <c r="AB18" i="12"/>
  <c r="AB18" i="8"/>
  <c r="AB18" i="3"/>
  <c r="AA23" i="8"/>
  <c r="AA23" i="10"/>
  <c r="AA23" i="7"/>
  <c r="AA23" i="12"/>
  <c r="AA23" i="5"/>
  <c r="AA23" i="3"/>
  <c r="AA23" i="4"/>
  <c r="AA20" i="12"/>
  <c r="AA20" i="10"/>
  <c r="AA20" i="8"/>
  <c r="AA20" i="7"/>
  <c r="AA20" i="3"/>
  <c r="AA20" i="4"/>
  <c r="AA20" i="5"/>
  <c r="AA25" i="8"/>
  <c r="AA25" i="3"/>
  <c r="AA25" i="10"/>
  <c r="AA25" i="12"/>
  <c r="AA25" i="7"/>
  <c r="AA25" i="4"/>
  <c r="AA25" i="5"/>
  <c r="AA22" i="8"/>
  <c r="AA22" i="7"/>
  <c r="AA22" i="12"/>
  <c r="AA22" i="5"/>
  <c r="AA22" i="10"/>
  <c r="AA22" i="4"/>
  <c r="AA22" i="3"/>
  <c r="AA24" i="12"/>
  <c r="AA24" i="8"/>
  <c r="AA24" i="3"/>
  <c r="AA24" i="7"/>
  <c r="AA24" i="10"/>
  <c r="AA24" i="5"/>
  <c r="AA24" i="4"/>
  <c r="AA29" i="2"/>
  <c r="AA29" i="6" s="1"/>
  <c r="AB14" i="2"/>
  <c r="AB14" i="6" s="1"/>
  <c r="AB13" i="2"/>
  <c r="AB13" i="6" s="1"/>
  <c r="AC9" i="2"/>
  <c r="AC9" i="6" s="1"/>
  <c r="AB19" i="2"/>
  <c r="AB19" i="6" s="1"/>
  <c r="AB26" i="2"/>
  <c r="AB26" i="6" s="1"/>
  <c r="AB21" i="2"/>
  <c r="AB21" i="6" s="1"/>
  <c r="AB19" i="12" l="1"/>
  <c r="AB19" i="10"/>
  <c r="AB19" i="7"/>
  <c r="AB19" i="8"/>
  <c r="AB19" i="4"/>
  <c r="AB19" i="5"/>
  <c r="AB19" i="3"/>
  <c r="AB23" i="2"/>
  <c r="AB23" i="6" s="1"/>
  <c r="AB21" i="12"/>
  <c r="AB21" i="10"/>
  <c r="AB21" i="8"/>
  <c r="AB21" i="7"/>
  <c r="AB22" i="2"/>
  <c r="AB22" i="6" s="1"/>
  <c r="AB21" i="5"/>
  <c r="AB21" i="3"/>
  <c r="AB326" i="3" s="1"/>
  <c r="AB21" i="4"/>
  <c r="AB26" i="8"/>
  <c r="AB26" i="5"/>
  <c r="AB26" i="3"/>
  <c r="AB26" i="4"/>
  <c r="AB26" i="10"/>
  <c r="AB26" i="12"/>
  <c r="AB26" i="7"/>
  <c r="AA29" i="7"/>
  <c r="AA29" i="10"/>
  <c r="AA29" i="12"/>
  <c r="AA29" i="8"/>
  <c r="AA29" i="5"/>
  <c r="AA29" i="3"/>
  <c r="AA29" i="4"/>
  <c r="AD8" i="2"/>
  <c r="AD8" i="6" s="1"/>
  <c r="AC18" i="2"/>
  <c r="AC18" i="6" s="1"/>
  <c r="AB24" i="2"/>
  <c r="AB24" i="6" s="1"/>
  <c r="AB25" i="2"/>
  <c r="AB25" i="6" s="1"/>
  <c r="AB28" i="2"/>
  <c r="AB28" i="6" s="1"/>
  <c r="AB20" i="2"/>
  <c r="AB20" i="6" s="1"/>
  <c r="AB109" i="6" s="1"/>
  <c r="AA54" i="4"/>
  <c r="AB97" i="6" l="1"/>
  <c r="AB24" i="10"/>
  <c r="AB24" i="5"/>
  <c r="AB24" i="4"/>
  <c r="AB24" i="12"/>
  <c r="AB24" i="7"/>
  <c r="AB24" i="8"/>
  <c r="AB24" i="3"/>
  <c r="AB20" i="4"/>
  <c r="AB20" i="5"/>
  <c r="AB20" i="10"/>
  <c r="AB20" i="12"/>
  <c r="AB20" i="8"/>
  <c r="AB20" i="7"/>
  <c r="AB20" i="3"/>
  <c r="AC18" i="8"/>
  <c r="AC18" i="5"/>
  <c r="AC18" i="4"/>
  <c r="AC18" i="3"/>
  <c r="AC18" i="10"/>
  <c r="AC18" i="12"/>
  <c r="AC18" i="7"/>
  <c r="AB22" i="5"/>
  <c r="AB22" i="4"/>
  <c r="AB22" i="10"/>
  <c r="AB22" i="12"/>
  <c r="AB22" i="7"/>
  <c r="AB22" i="8"/>
  <c r="AB22" i="3"/>
  <c r="AB25" i="7"/>
  <c r="AB25" i="12"/>
  <c r="AB25" i="10"/>
  <c r="AB25" i="8"/>
  <c r="AB25" i="3"/>
  <c r="AB25" i="4"/>
  <c r="AB25" i="5"/>
  <c r="AB28" i="8"/>
  <c r="AB28" i="5"/>
  <c r="AB28" i="3"/>
  <c r="AB28" i="4"/>
  <c r="AB28" i="10"/>
  <c r="AB28" i="7"/>
  <c r="AB28" i="12"/>
  <c r="AB23" i="7"/>
  <c r="AB23" i="8"/>
  <c r="AB23" i="12"/>
  <c r="AB23" i="5"/>
  <c r="AB23" i="10"/>
  <c r="AB23" i="3"/>
  <c r="AB23" i="4"/>
  <c r="AB29" i="2"/>
  <c r="AB29" i="6" s="1"/>
  <c r="AC14" i="2"/>
  <c r="AC14" i="6" s="1"/>
  <c r="AC13" i="2"/>
  <c r="AC13" i="6" s="1"/>
  <c r="AD9" i="2"/>
  <c r="AD9" i="6" s="1"/>
  <c r="AC21" i="2"/>
  <c r="AC21" i="6" s="1"/>
  <c r="AC19" i="2"/>
  <c r="AC19" i="6" s="1"/>
  <c r="AC26" i="2"/>
  <c r="AC26" i="6" s="1"/>
  <c r="AC26" i="12" l="1"/>
  <c r="AC26" i="8"/>
  <c r="AC26" i="3"/>
  <c r="AC26" i="5"/>
  <c r="AC26" i="4"/>
  <c r="AC26" i="10"/>
  <c r="AC26" i="7"/>
  <c r="AC19" i="12"/>
  <c r="AC19" i="10"/>
  <c r="AC19" i="7"/>
  <c r="AC19" i="8"/>
  <c r="AC19" i="5"/>
  <c r="AC19" i="3"/>
  <c r="AC19" i="4"/>
  <c r="AC23" i="2"/>
  <c r="AC23" i="6" s="1"/>
  <c r="AC21" i="7"/>
  <c r="AC21" i="8"/>
  <c r="AC21" i="12"/>
  <c r="AC21" i="5"/>
  <c r="AC21" i="10"/>
  <c r="AC21" i="3"/>
  <c r="AC326" i="3" s="1"/>
  <c r="AC21" i="4"/>
  <c r="AC22" i="2"/>
  <c r="AC22" i="6" s="1"/>
  <c r="AB29" i="8"/>
  <c r="AB29" i="5"/>
  <c r="AB29" i="3"/>
  <c r="AB29" i="4"/>
  <c r="AB29" i="10"/>
  <c r="AB29" i="12"/>
  <c r="AB29" i="7"/>
  <c r="AE8" i="2"/>
  <c r="AE8" i="6" s="1"/>
  <c r="AD18" i="2"/>
  <c r="AC24" i="2"/>
  <c r="AC24" i="6" s="1"/>
  <c r="AC25" i="2"/>
  <c r="AC25" i="6" s="1"/>
  <c r="AC28" i="2"/>
  <c r="AC28" i="6" s="1"/>
  <c r="AC20" i="2"/>
  <c r="AC20" i="6" s="1"/>
  <c r="AC97" i="6" s="1"/>
  <c r="AB54" i="4"/>
  <c r="AC109" i="6" l="1"/>
  <c r="AD18" i="6"/>
  <c r="AD18" i="7"/>
  <c r="AD18" i="12"/>
  <c r="AD18" i="10"/>
  <c r="AD18" i="8"/>
  <c r="AD18" i="3"/>
  <c r="AD18" i="4"/>
  <c r="AD18" i="5"/>
  <c r="AC28" i="12"/>
  <c r="AC28" i="8"/>
  <c r="AC28" i="3"/>
  <c r="AC28" i="5"/>
  <c r="AC28" i="4"/>
  <c r="AC28" i="10"/>
  <c r="AC28" i="7"/>
  <c r="AC20" i="8"/>
  <c r="AC20" i="5"/>
  <c r="AC20" i="3"/>
  <c r="AC20" i="4"/>
  <c r="AC20" i="10"/>
  <c r="AC20" i="12"/>
  <c r="AC20" i="7"/>
  <c r="AC25" i="8"/>
  <c r="AC25" i="5"/>
  <c r="AC25" i="4"/>
  <c r="AC25" i="7"/>
  <c r="AC25" i="12"/>
  <c r="AC25" i="10"/>
  <c r="AC25" i="3"/>
  <c r="AC22" i="12"/>
  <c r="AC22" i="8"/>
  <c r="AC22" i="10"/>
  <c r="AC22" i="3"/>
  <c r="AC22" i="4"/>
  <c r="AC22" i="5"/>
  <c r="AC22" i="7"/>
  <c r="AC24" i="12"/>
  <c r="AC24" i="8"/>
  <c r="AC24" i="5"/>
  <c r="AC24" i="3"/>
  <c r="AC24" i="4"/>
  <c r="AC24" i="10"/>
  <c r="AC24" i="7"/>
  <c r="AC23" i="8"/>
  <c r="AC23" i="7"/>
  <c r="AC23" i="12"/>
  <c r="AC23" i="10"/>
  <c r="AC23" i="3"/>
  <c r="AC23" i="4"/>
  <c r="AC23" i="5"/>
  <c r="AC29" i="2"/>
  <c r="AC29" i="6" s="1"/>
  <c r="AD14" i="2"/>
  <c r="AD14" i="6" s="1"/>
  <c r="AD13" i="2"/>
  <c r="AD13" i="6" s="1"/>
  <c r="AE9" i="2"/>
  <c r="AE9" i="6" s="1"/>
  <c r="AD19" i="2"/>
  <c r="AD19" i="6" s="1"/>
  <c r="AD26" i="2"/>
  <c r="AD26" i="6" s="1"/>
  <c r="AD21" i="2"/>
  <c r="AD21" i="6" s="1"/>
  <c r="AD23" i="2" l="1"/>
  <c r="AD23" i="6" s="1"/>
  <c r="AD21" i="5"/>
  <c r="AD21" i="12"/>
  <c r="AD21" i="7"/>
  <c r="AD21" i="10"/>
  <c r="AD21" i="8"/>
  <c r="AD21" i="3"/>
  <c r="AD326" i="3" s="1"/>
  <c r="AD21" i="4"/>
  <c r="AD22" i="2"/>
  <c r="AD22" i="6" s="1"/>
  <c r="AD26" i="12"/>
  <c r="AD26" i="8"/>
  <c r="AD26" i="4"/>
  <c r="AD26" i="5"/>
  <c r="AD26" i="3"/>
  <c r="AD26" i="10"/>
  <c r="AD26" i="7"/>
  <c r="AD19" i="5"/>
  <c r="AD19" i="12"/>
  <c r="AD19" i="7"/>
  <c r="AD19" i="8"/>
  <c r="AD19" i="10"/>
  <c r="AD19" i="3"/>
  <c r="AD19" i="4"/>
  <c r="AC29" i="8"/>
  <c r="AC29" i="3"/>
  <c r="AC29" i="5"/>
  <c r="AC29" i="4"/>
  <c r="AC29" i="10"/>
  <c r="AC29" i="7"/>
  <c r="AC29" i="12"/>
  <c r="AF8" i="2"/>
  <c r="AF8" i="6" s="1"/>
  <c r="AE18" i="2"/>
  <c r="AE18" i="6" s="1"/>
  <c r="AD24" i="2"/>
  <c r="AD24" i="6" s="1"/>
  <c r="AD25" i="2"/>
  <c r="AD25" i="6" s="1"/>
  <c r="AD28" i="2"/>
  <c r="AD28" i="6" s="1"/>
  <c r="AD20" i="2"/>
  <c r="AD20" i="6" s="1"/>
  <c r="AD109" i="6" s="1"/>
  <c r="AC54" i="4"/>
  <c r="AD97" i="6" l="1"/>
  <c r="AD20" i="12"/>
  <c r="AD20" i="10"/>
  <c r="AD20" i="8"/>
  <c r="AD20" i="7"/>
  <c r="AD20" i="4"/>
  <c r="AD20" i="5"/>
  <c r="AD20" i="3"/>
  <c r="AE18" i="12"/>
  <c r="AE18" i="10"/>
  <c r="AE18" i="8"/>
  <c r="AE18" i="7"/>
  <c r="AE18" i="5"/>
  <c r="AE18" i="3"/>
  <c r="AE18" i="4"/>
  <c r="AD28" i="12"/>
  <c r="AD28" i="3"/>
  <c r="AD28" i="8"/>
  <c r="AD28" i="4"/>
  <c r="AD28" i="5"/>
  <c r="AD28" i="10"/>
  <c r="AD28" i="7"/>
  <c r="AD25" i="10"/>
  <c r="AD25" i="3"/>
  <c r="AD25" i="5"/>
  <c r="AD25" i="4"/>
  <c r="AD25" i="12"/>
  <c r="AD25" i="7"/>
  <c r="AD25" i="8"/>
  <c r="AD22" i="12"/>
  <c r="AD22" i="10"/>
  <c r="AD22" i="7"/>
  <c r="AD22" i="8"/>
  <c r="AD22" i="5"/>
  <c r="AD22" i="3"/>
  <c r="AD22" i="4"/>
  <c r="AD24" i="12"/>
  <c r="AD24" i="5"/>
  <c r="AD24" i="4"/>
  <c r="AD24" i="10"/>
  <c r="AD24" i="7"/>
  <c r="AD24" i="8"/>
  <c r="AD24" i="3"/>
  <c r="AD23" i="5"/>
  <c r="AD23" i="10"/>
  <c r="AD23" i="12"/>
  <c r="AD23" i="7"/>
  <c r="AD23" i="8"/>
  <c r="AD23" i="3"/>
  <c r="AD23" i="4"/>
  <c r="AD29" i="2"/>
  <c r="AD29" i="6" s="1"/>
  <c r="AE13" i="2"/>
  <c r="AE13" i="6" s="1"/>
  <c r="AE14" i="2"/>
  <c r="AE14" i="6" s="1"/>
  <c r="AF9" i="2"/>
  <c r="AF9" i="6" s="1"/>
  <c r="AE21" i="2"/>
  <c r="AE21" i="6" s="1"/>
  <c r="AE19" i="2"/>
  <c r="AE19" i="6" s="1"/>
  <c r="AE26" i="2"/>
  <c r="AE26" i="6" s="1"/>
  <c r="AE21" i="8" l="1"/>
  <c r="AE23" i="2"/>
  <c r="AE23" i="6" s="1"/>
  <c r="AE21" i="12"/>
  <c r="AE21" i="7"/>
  <c r="AE21" i="10"/>
  <c r="AE21" i="5"/>
  <c r="AE22" i="2"/>
  <c r="AE22" i="6" s="1"/>
  <c r="AE21" i="3"/>
  <c r="AE326" i="3" s="1"/>
  <c r="AE21" i="4"/>
  <c r="AD29" i="10"/>
  <c r="AD29" i="8"/>
  <c r="AD29" i="5"/>
  <c r="AD29" i="4"/>
  <c r="AD29" i="3"/>
  <c r="AD29" i="12"/>
  <c r="AD29" i="7"/>
  <c r="AE26" i="12"/>
  <c r="AE26" i="7"/>
  <c r="AE26" i="8"/>
  <c r="AE26" i="10"/>
  <c r="AE26" i="5"/>
  <c r="AE26" i="3"/>
  <c r="AE26" i="4"/>
  <c r="AE19" i="12"/>
  <c r="AE19" i="7"/>
  <c r="AE19" i="5"/>
  <c r="AE19" i="10"/>
  <c r="AE19" i="8"/>
  <c r="AE19" i="3"/>
  <c r="AE19" i="4"/>
  <c r="AG8" i="2"/>
  <c r="AG8" i="6" s="1"/>
  <c r="AF18" i="2"/>
  <c r="AF18" i="6" s="1"/>
  <c r="AE24" i="2"/>
  <c r="AE24" i="6" s="1"/>
  <c r="AE25" i="2"/>
  <c r="AE25" i="6" s="1"/>
  <c r="AE20" i="2"/>
  <c r="AE20" i="6" s="1"/>
  <c r="AE109" i="6" s="1"/>
  <c r="AE28" i="2"/>
  <c r="AE28" i="6" s="1"/>
  <c r="AD54" i="4"/>
  <c r="AE97" i="6" l="1"/>
  <c r="AE24" i="8"/>
  <c r="AE24" i="3"/>
  <c r="AE24" i="10"/>
  <c r="AE24" i="12"/>
  <c r="AE24" i="7"/>
  <c r="AE24" i="5"/>
  <c r="AE24" i="4"/>
  <c r="AE28" i="10"/>
  <c r="AE28" i="8"/>
  <c r="AE28" i="5"/>
  <c r="AE28" i="3"/>
  <c r="AE28" i="12"/>
  <c r="AE28" i="4"/>
  <c r="AE28" i="7"/>
  <c r="AF18" i="7"/>
  <c r="AF18" i="8"/>
  <c r="AF18" i="10"/>
  <c r="AF18" i="12"/>
  <c r="AF18" i="3"/>
  <c r="AF18" i="4"/>
  <c r="AF18" i="5"/>
  <c r="AE22" i="8"/>
  <c r="AE22" i="12"/>
  <c r="AE22" i="10"/>
  <c r="AE22" i="7"/>
  <c r="AE22" i="4"/>
  <c r="AE22" i="5"/>
  <c r="AE22" i="3"/>
  <c r="AE20" i="8"/>
  <c r="AE20" i="12"/>
  <c r="AE20" i="10"/>
  <c r="AE20" i="7"/>
  <c r="AE20" i="4"/>
  <c r="AE20" i="5"/>
  <c r="AE20" i="3"/>
  <c r="AE25" i="10"/>
  <c r="AE25" i="8"/>
  <c r="AE25" i="5"/>
  <c r="AE25" i="3"/>
  <c r="AE25" i="4"/>
  <c r="AE25" i="12"/>
  <c r="AE25" i="7"/>
  <c r="AE23" i="8"/>
  <c r="AE23" i="12"/>
  <c r="AE23" i="10"/>
  <c r="AE23" i="7"/>
  <c r="AE23" i="3"/>
  <c r="AE23" i="4"/>
  <c r="AE23" i="5"/>
  <c r="AE29" i="2"/>
  <c r="AE29" i="6" s="1"/>
  <c r="AG9" i="2"/>
  <c r="AF14" i="2"/>
  <c r="AF14" i="6" s="1"/>
  <c r="AF13" i="2"/>
  <c r="AF13" i="6" s="1"/>
  <c r="AF19" i="2"/>
  <c r="AF19" i="6" s="1"/>
  <c r="AF26" i="2"/>
  <c r="AF26" i="6" s="1"/>
  <c r="AF21" i="2"/>
  <c r="AF21" i="6" s="1"/>
  <c r="AG14" i="2" l="1"/>
  <c r="AG14" i="6" s="1"/>
  <c r="AG9" i="6"/>
  <c r="AF21" i="5"/>
  <c r="AF21" i="4"/>
  <c r="AF23" i="2"/>
  <c r="AF23" i="6" s="1"/>
  <c r="AF21" i="7"/>
  <c r="AF21" i="12"/>
  <c r="AF21" i="8"/>
  <c r="AF21" i="10"/>
  <c r="AF22" i="2"/>
  <c r="AF22" i="6" s="1"/>
  <c r="AF21" i="3"/>
  <c r="AF326" i="3" s="1"/>
  <c r="AF26" i="8"/>
  <c r="AF26" i="5"/>
  <c r="AF26" i="3"/>
  <c r="AF26" i="4"/>
  <c r="AF26" i="10"/>
  <c r="AF26" i="7"/>
  <c r="AF26" i="12"/>
  <c r="AF19" i="5"/>
  <c r="AF19" i="4"/>
  <c r="AF19" i="10"/>
  <c r="AF19" i="12"/>
  <c r="AF19" i="7"/>
  <c r="AF19" i="8"/>
  <c r="AF19" i="3"/>
  <c r="AE29" i="10"/>
  <c r="AE29" i="8"/>
  <c r="AE29" i="5"/>
  <c r="AE29" i="3"/>
  <c r="AE29" i="4"/>
  <c r="AE29" i="12"/>
  <c r="AE29" i="7"/>
  <c r="AG13" i="2"/>
  <c r="AG13" i="6" s="1"/>
  <c r="AG19" i="2"/>
  <c r="AG19" i="6" s="1"/>
  <c r="AG18" i="2"/>
  <c r="AG18" i="6" s="1"/>
  <c r="AH8" i="2"/>
  <c r="AH8" i="6" s="1"/>
  <c r="AG21" i="2"/>
  <c r="AG21" i="6" s="1"/>
  <c r="AG26" i="2"/>
  <c r="AG26" i="6" s="1"/>
  <c r="AF24" i="2"/>
  <c r="AF24" i="6" s="1"/>
  <c r="AF25" i="2"/>
  <c r="AF25" i="6" s="1"/>
  <c r="AF28" i="2"/>
  <c r="AF28" i="6" s="1"/>
  <c r="AF20" i="2"/>
  <c r="AF20" i="6" s="1"/>
  <c r="AF109" i="6" s="1"/>
  <c r="AE54" i="4"/>
  <c r="AF97" i="6" l="1"/>
  <c r="AF20" i="7"/>
  <c r="AF20" i="12"/>
  <c r="AF20" i="10"/>
  <c r="AF20" i="8"/>
  <c r="AF20" i="3"/>
  <c r="AF20" i="4"/>
  <c r="AF20" i="5"/>
  <c r="AG26" i="8"/>
  <c r="AG26" i="3"/>
  <c r="AG26" i="5"/>
  <c r="AG26" i="4"/>
  <c r="AG26" i="10"/>
  <c r="AG26" i="12"/>
  <c r="AG26" i="7"/>
  <c r="AF28" i="8"/>
  <c r="AF28" i="5"/>
  <c r="AF28" i="3"/>
  <c r="AF28" i="4"/>
  <c r="AF28" i="10"/>
  <c r="AF28" i="12"/>
  <c r="AF28" i="7"/>
  <c r="AG21" i="10"/>
  <c r="AG21" i="8"/>
  <c r="AG21" i="5"/>
  <c r="AG21" i="4"/>
  <c r="AG23" i="2"/>
  <c r="AG23" i="6" s="1"/>
  <c r="AG21" i="3"/>
  <c r="AG326" i="3" s="1"/>
  <c r="AG21" i="12"/>
  <c r="AG21" i="7"/>
  <c r="AG22" i="2"/>
  <c r="AG22" i="6" s="1"/>
  <c r="AG19" i="8"/>
  <c r="AG19" i="5"/>
  <c r="AG19" i="3"/>
  <c r="AG19" i="4"/>
  <c r="AG19" i="10"/>
  <c r="AG19" i="12"/>
  <c r="AG19" i="7"/>
  <c r="AF23" i="4"/>
  <c r="AF23" i="5"/>
  <c r="AF23" i="10"/>
  <c r="AF23" i="12"/>
  <c r="AF23" i="8"/>
  <c r="AF23" i="7"/>
  <c r="AF23" i="3"/>
  <c r="AF25" i="5"/>
  <c r="AF25" i="4"/>
  <c r="AF25" i="10"/>
  <c r="AF25" i="12"/>
  <c r="AF25" i="7"/>
  <c r="AF25" i="8"/>
  <c r="AF25" i="3"/>
  <c r="AF24" i="12"/>
  <c r="AF24" i="10"/>
  <c r="AF24" i="7"/>
  <c r="AF24" i="8"/>
  <c r="AF24" i="4"/>
  <c r="AF24" i="5"/>
  <c r="AF24" i="3"/>
  <c r="AG18" i="7"/>
  <c r="AG18" i="12"/>
  <c r="AG18" i="10"/>
  <c r="AG18" i="8"/>
  <c r="AG18" i="3"/>
  <c r="AG18" i="4"/>
  <c r="AG18" i="5"/>
  <c r="AF22" i="7"/>
  <c r="AF22" i="12"/>
  <c r="AF22" i="10"/>
  <c r="AF22" i="8"/>
  <c r="AF22" i="4"/>
  <c r="AF22" i="5"/>
  <c r="AF22" i="3"/>
  <c r="AF29" i="2"/>
  <c r="AF29" i="6" s="1"/>
  <c r="AG20" i="2"/>
  <c r="AG20" i="6" s="1"/>
  <c r="AG97" i="6" s="1"/>
  <c r="AG25" i="2"/>
  <c r="AG25" i="6" s="1"/>
  <c r="AG24" i="2"/>
  <c r="AG24" i="6" s="1"/>
  <c r="AG28" i="2"/>
  <c r="AG28" i="6" s="1"/>
  <c r="AG109" i="6" l="1"/>
  <c r="AG20" i="7"/>
  <c r="AG20" i="12"/>
  <c r="AG20" i="10"/>
  <c r="AG20" i="8"/>
  <c r="AG20" i="4"/>
  <c r="AG20" i="5"/>
  <c r="AG20" i="3"/>
  <c r="AG28" i="8"/>
  <c r="AG28" i="3"/>
  <c r="AG28" i="5"/>
  <c r="AG28" i="4"/>
  <c r="AG28" i="10"/>
  <c r="AG28" i="12"/>
  <c r="AG28" i="7"/>
  <c r="AG22" i="8"/>
  <c r="AG22" i="12"/>
  <c r="AG22" i="10"/>
  <c r="AG22" i="7"/>
  <c r="AG22" i="4"/>
  <c r="AG22" i="5"/>
  <c r="AG22" i="3"/>
  <c r="AG23" i="8"/>
  <c r="AG23" i="5"/>
  <c r="AG23" i="3"/>
  <c r="AG23" i="4"/>
  <c r="AG23" i="10"/>
  <c r="AG23" i="12"/>
  <c r="AG23" i="7"/>
  <c r="AF29" i="8"/>
  <c r="AF29" i="5"/>
  <c r="AF29" i="3"/>
  <c r="AF29" i="4"/>
  <c r="AF29" i="10"/>
  <c r="AF29" i="12"/>
  <c r="AF29" i="7"/>
  <c r="AG24" i="8"/>
  <c r="AG24" i="5"/>
  <c r="AG24" i="4"/>
  <c r="AG24" i="7"/>
  <c r="AG24" i="12"/>
  <c r="AG24" i="10"/>
  <c r="AG24" i="3"/>
  <c r="AG25" i="12"/>
  <c r="AG25" i="8"/>
  <c r="AG25" i="3"/>
  <c r="AG25" i="5"/>
  <c r="AG25" i="4"/>
  <c r="AG25" i="10"/>
  <c r="AG25" i="7"/>
  <c r="AG29" i="2"/>
  <c r="AG29" i="6" s="1"/>
  <c r="AF54" i="4"/>
  <c r="AG29" i="12" l="1"/>
  <c r="AG29" i="8"/>
  <c r="AG29" i="3"/>
  <c r="AG29" i="5"/>
  <c r="AG29" i="4"/>
  <c r="AG29" i="10"/>
  <c r="AG29" i="7"/>
  <c r="AH54" i="4"/>
  <c r="AI54" i="4" l="1"/>
  <c r="E56" i="4"/>
  <c r="E10" i="13" s="1"/>
  <c r="F10" i="13" l="1"/>
  <c r="AJ54" i="4" l="1"/>
  <c r="AK54" i="4" l="1"/>
  <c r="AL54" i="4" l="1"/>
  <c r="F94" i="7"/>
  <c r="AM54" i="4" l="1"/>
  <c r="AN54" i="4" l="1"/>
  <c r="AO54" i="4" l="1"/>
  <c r="AP54" i="4" l="1"/>
  <c r="AQ54" i="4" l="1"/>
  <c r="AR54" i="4" l="1"/>
  <c r="AS54" i="4" l="1"/>
  <c r="AT54" i="4" l="1"/>
  <c r="AU54" i="4" l="1"/>
  <c r="AV54" i="4" l="1"/>
  <c r="AW54" i="4" l="1"/>
  <c r="AX54" i="4" l="1"/>
  <c r="AY54" i="4" l="1"/>
  <c r="AZ54" i="4" l="1"/>
  <c r="BB54" i="4" l="1"/>
  <c r="BA54" i="4"/>
  <c r="BC54" i="4" l="1"/>
  <c r="BD54" i="4" l="1"/>
  <c r="BE54" i="4" l="1"/>
  <c r="BF54" i="4" l="1"/>
  <c r="BG54" i="4" l="1"/>
  <c r="BH54" i="4" l="1"/>
  <c r="BI54" i="4" l="1"/>
  <c r="BJ54" i="4" l="1"/>
  <c r="BK54" i="4" l="1"/>
  <c r="BL54" i="4" l="1"/>
  <c r="BM54" i="4" l="1"/>
  <c r="AI27" i="2" l="1"/>
  <c r="AI89" i="1"/>
  <c r="AJ89" i="1" s="1"/>
  <c r="AK89" i="1" s="1"/>
  <c r="AL89" i="1" s="1"/>
  <c r="AM89" i="1" s="1"/>
  <c r="AN89" i="1" s="1"/>
  <c r="AO89" i="1" s="1"/>
  <c r="AP89" i="1" s="1"/>
  <c r="AQ89" i="1" s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BD89" i="1" s="1"/>
  <c r="BE89" i="1" s="1"/>
  <c r="BF89" i="1" s="1"/>
  <c r="BG89" i="1" s="1"/>
  <c r="BH89" i="1" s="1"/>
  <c r="BI89" i="1" s="1"/>
  <c r="BJ89" i="1" s="1"/>
  <c r="BK89" i="1" s="1"/>
  <c r="BL89" i="1" s="1"/>
  <c r="BM89" i="1" s="1"/>
  <c r="BN89" i="1" s="1"/>
  <c r="BO89" i="1" s="1"/>
  <c r="BP89" i="1" s="1"/>
  <c r="BQ89" i="1" s="1"/>
  <c r="BR89" i="1" s="1"/>
  <c r="BS89" i="1" s="1"/>
  <c r="BT89" i="1" s="1"/>
  <c r="BU89" i="1" s="1"/>
  <c r="BV89" i="1" s="1"/>
  <c r="BW89" i="1" s="1"/>
  <c r="BX89" i="1" s="1"/>
  <c r="BY89" i="1" s="1"/>
  <c r="BZ89" i="1" s="1"/>
  <c r="CA89" i="1" s="1"/>
  <c r="CB89" i="1" s="1"/>
  <c r="CC89" i="1" s="1"/>
  <c r="CD89" i="1" s="1"/>
  <c r="CE89" i="1" s="1"/>
  <c r="CF89" i="1" s="1"/>
  <c r="CG89" i="1" s="1"/>
  <c r="CH89" i="1" s="1"/>
  <c r="CI89" i="1" s="1"/>
  <c r="CJ89" i="1" s="1"/>
  <c r="CK89" i="1" s="1"/>
  <c r="CL89" i="1" s="1"/>
  <c r="CM89" i="1" s="1"/>
  <c r="CN89" i="1" s="1"/>
  <c r="CO89" i="1" s="1"/>
  <c r="AI67" i="1"/>
  <c r="AJ67" i="1" s="1"/>
  <c r="AK67" i="1" s="1"/>
  <c r="AL67" i="1" s="1"/>
  <c r="AM67" i="1" s="1"/>
  <c r="AN67" i="1" s="1"/>
  <c r="AO67" i="1" s="1"/>
  <c r="AP67" i="1" s="1"/>
  <c r="AQ67" i="1" s="1"/>
  <c r="AR67" i="1" s="1"/>
  <c r="AS67" i="1" s="1"/>
  <c r="AT67" i="1" s="1"/>
  <c r="AU67" i="1" s="1"/>
  <c r="AV67" i="1" s="1"/>
  <c r="AW67" i="1" s="1"/>
  <c r="AX67" i="1" s="1"/>
  <c r="AY67" i="1" s="1"/>
  <c r="AZ67" i="1" s="1"/>
  <c r="BA67" i="1" s="1"/>
  <c r="BB67" i="1" s="1"/>
  <c r="BC67" i="1" s="1"/>
  <c r="BD67" i="1" s="1"/>
  <c r="BE67" i="1" s="1"/>
  <c r="BF67" i="1" s="1"/>
  <c r="BG67" i="1" s="1"/>
  <c r="BH67" i="1" s="1"/>
  <c r="BI67" i="1" s="1"/>
  <c r="BJ67" i="1" s="1"/>
  <c r="BK67" i="1" s="1"/>
  <c r="BL67" i="1" s="1"/>
  <c r="BM67" i="1" s="1"/>
  <c r="BN67" i="1" s="1"/>
  <c r="BO67" i="1" s="1"/>
  <c r="BP67" i="1" s="1"/>
  <c r="BQ67" i="1" s="1"/>
  <c r="BR67" i="1" s="1"/>
  <c r="BS67" i="1" s="1"/>
  <c r="BT67" i="1" s="1"/>
  <c r="BU67" i="1" s="1"/>
  <c r="BV67" i="1" s="1"/>
  <c r="BW67" i="1" s="1"/>
  <c r="BX67" i="1" s="1"/>
  <c r="BY67" i="1" s="1"/>
  <c r="BZ67" i="1" s="1"/>
  <c r="CA67" i="1" s="1"/>
  <c r="CB67" i="1" s="1"/>
  <c r="CC67" i="1" s="1"/>
  <c r="CD67" i="1" s="1"/>
  <c r="CE67" i="1" s="1"/>
  <c r="CF67" i="1" s="1"/>
  <c r="CG67" i="1" s="1"/>
  <c r="CH67" i="1" s="1"/>
  <c r="CI67" i="1" s="1"/>
  <c r="CJ67" i="1" s="1"/>
  <c r="CK67" i="1" s="1"/>
  <c r="CL67" i="1" s="1"/>
  <c r="CM67" i="1" s="1"/>
  <c r="CN67" i="1" s="1"/>
  <c r="CO67" i="1" s="1"/>
  <c r="AH9" i="2"/>
  <c r="AH9" i="6" s="1"/>
  <c r="AJ27" i="2" l="1"/>
  <c r="AI27" i="6"/>
  <c r="AI27" i="10"/>
  <c r="AI27" i="12"/>
  <c r="AI27" i="4"/>
  <c r="AI27" i="3"/>
  <c r="AI27" i="8"/>
  <c r="AI27" i="5"/>
  <c r="AI27" i="7"/>
  <c r="AH18" i="2"/>
  <c r="AH18" i="6" s="1"/>
  <c r="AH13" i="2"/>
  <c r="AH13" i="6" s="1"/>
  <c r="AH26" i="2"/>
  <c r="AH26" i="6" s="1"/>
  <c r="AH19" i="2"/>
  <c r="AH19" i="6" s="1"/>
  <c r="AH21" i="2"/>
  <c r="AH21" i="6" s="1"/>
  <c r="AH14" i="2"/>
  <c r="AH14" i="6" s="1"/>
  <c r="AI8" i="2"/>
  <c r="AI8" i="6" s="1"/>
  <c r="AK27" i="2"/>
  <c r="AK27" i="6" l="1"/>
  <c r="AK27" i="4"/>
  <c r="AK27" i="3"/>
  <c r="AK27" i="8"/>
  <c r="AK27" i="5"/>
  <c r="AK27" i="12"/>
  <c r="AK27" i="10"/>
  <c r="AK27" i="7"/>
  <c r="AJ27" i="6"/>
  <c r="AJ27" i="4"/>
  <c r="AJ27" i="3"/>
  <c r="AJ27" i="8"/>
  <c r="AJ27" i="5"/>
  <c r="AJ27" i="10"/>
  <c r="AJ27" i="7"/>
  <c r="AJ27" i="12"/>
  <c r="AH19" i="7"/>
  <c r="AH19" i="8"/>
  <c r="AH19" i="12"/>
  <c r="AH19" i="10"/>
  <c r="AH19" i="3"/>
  <c r="AH19" i="4"/>
  <c r="AH19" i="5"/>
  <c r="AH26" i="10"/>
  <c r="AH26" i="3"/>
  <c r="AH26" i="4"/>
  <c r="AH26" i="5"/>
  <c r="AH26" i="8"/>
  <c r="AH26" i="12"/>
  <c r="AH26" i="7"/>
  <c r="AH23" i="2"/>
  <c r="AH23" i="6" s="1"/>
  <c r="AH21" i="10"/>
  <c r="AH21" i="12"/>
  <c r="AH21" i="7"/>
  <c r="AH21" i="8"/>
  <c r="AH21" i="3"/>
  <c r="AH326" i="3" s="1"/>
  <c r="AH21" i="4"/>
  <c r="AH22" i="2"/>
  <c r="AH22" i="6" s="1"/>
  <c r="AH21" i="5"/>
  <c r="AH18" i="5"/>
  <c r="AH18" i="7"/>
  <c r="AH18" i="12"/>
  <c r="AH18" i="10"/>
  <c r="AH18" i="8"/>
  <c r="AH18" i="4"/>
  <c r="AH18" i="3"/>
  <c r="AL27" i="2"/>
  <c r="AI9" i="2"/>
  <c r="AI9" i="6" s="1"/>
  <c r="AH28" i="2"/>
  <c r="AH28" i="6" s="1"/>
  <c r="AH24" i="2"/>
  <c r="AH24" i="6" s="1"/>
  <c r="AH25" i="2"/>
  <c r="AH25" i="6" s="1"/>
  <c r="AH20" i="2"/>
  <c r="AH20" i="6" s="1"/>
  <c r="AH97" i="6" s="1"/>
  <c r="AL27" i="6" l="1"/>
  <c r="AL27" i="8"/>
  <c r="AL27" i="10"/>
  <c r="AL27" i="4"/>
  <c r="AL27" i="3"/>
  <c r="AL27" i="5"/>
  <c r="AL27" i="12"/>
  <c r="AL27" i="7"/>
  <c r="AH109" i="6"/>
  <c r="AH22" i="5"/>
  <c r="AH22" i="10"/>
  <c r="AH22" i="12"/>
  <c r="AH22" i="7"/>
  <c r="AH22" i="8"/>
  <c r="AH22" i="3"/>
  <c r="AH22" i="4"/>
  <c r="AH23" i="10"/>
  <c r="AH23" i="12"/>
  <c r="AH23" i="4"/>
  <c r="AH23" i="8"/>
  <c r="AH23" i="7"/>
  <c r="AH23" i="5"/>
  <c r="AH23" i="3"/>
  <c r="AH20" i="12"/>
  <c r="AH20" i="5"/>
  <c r="AH20" i="10"/>
  <c r="AH20" i="7"/>
  <c r="AH20" i="8"/>
  <c r="AH20" i="4"/>
  <c r="AH20" i="3"/>
  <c r="AH25" i="12"/>
  <c r="AH25" i="3"/>
  <c r="AH25" i="4"/>
  <c r="AH25" i="5"/>
  <c r="AH25" i="10"/>
  <c r="AH25" i="7"/>
  <c r="AH25" i="8"/>
  <c r="AH24" i="10"/>
  <c r="AH24" i="5"/>
  <c r="AH24" i="4"/>
  <c r="AH24" i="12"/>
  <c r="AH24" i="7"/>
  <c r="AH24" i="8"/>
  <c r="AH24" i="3"/>
  <c r="AH28" i="10"/>
  <c r="AH28" i="8"/>
  <c r="AH28" i="5"/>
  <c r="AH28" i="4"/>
  <c r="AH28" i="3"/>
  <c r="AH28" i="12"/>
  <c r="AH28" i="7"/>
  <c r="AH29" i="2"/>
  <c r="AH29" i="6" s="1"/>
  <c r="AI13" i="2"/>
  <c r="AI13" i="6" s="1"/>
  <c r="AI18" i="2"/>
  <c r="AI18" i="6" s="1"/>
  <c r="AI26" i="2"/>
  <c r="AI26" i="6" s="1"/>
  <c r="AI19" i="2"/>
  <c r="AI19" i="6" s="1"/>
  <c r="AI21" i="2"/>
  <c r="AI21" i="6" s="1"/>
  <c r="AJ8" i="2"/>
  <c r="AJ8" i="6" s="1"/>
  <c r="AI14" i="2"/>
  <c r="AI14" i="6" s="1"/>
  <c r="AM27" i="2"/>
  <c r="AM27" i="6" l="1"/>
  <c r="AM27" i="8"/>
  <c r="AM27" i="5"/>
  <c r="AM27" i="10"/>
  <c r="AM27" i="4"/>
  <c r="AM27" i="3"/>
  <c r="AM27" i="12"/>
  <c r="AM27" i="7"/>
  <c r="AI21" i="8"/>
  <c r="AI21" i="12"/>
  <c r="AI23" i="2"/>
  <c r="AI23" i="6" s="1"/>
  <c r="AI21" i="10"/>
  <c r="AI21" i="7"/>
  <c r="AI21" i="5"/>
  <c r="AI21" i="3"/>
  <c r="AI326" i="3" s="1"/>
  <c r="AI21" i="4"/>
  <c r="AI22" i="2"/>
  <c r="AI22" i="6" s="1"/>
  <c r="AI26" i="10"/>
  <c r="AI26" i="8"/>
  <c r="AI26" i="5"/>
  <c r="AI26" i="3"/>
  <c r="AI26" i="4"/>
  <c r="AI26" i="12"/>
  <c r="AI26" i="7"/>
  <c r="AI18" i="12"/>
  <c r="AI18" i="10"/>
  <c r="AI18" i="8"/>
  <c r="AI18" i="7"/>
  <c r="AI18" i="3"/>
  <c r="AI18" i="4"/>
  <c r="AI18" i="5"/>
  <c r="AI19" i="12"/>
  <c r="AI19" i="7"/>
  <c r="AI19" i="10"/>
  <c r="AI19" i="8"/>
  <c r="AI19" i="4"/>
  <c r="AI19" i="5"/>
  <c r="AI19" i="3"/>
  <c r="AH29" i="12"/>
  <c r="AH29" i="8"/>
  <c r="AH29" i="3"/>
  <c r="AH29" i="5"/>
  <c r="AH29" i="4"/>
  <c r="AH29" i="10"/>
  <c r="AH29" i="7"/>
  <c r="AI28" i="2"/>
  <c r="AI28" i="6" s="1"/>
  <c r="AI24" i="2"/>
  <c r="AI24" i="6" s="1"/>
  <c r="AI25" i="2"/>
  <c r="AI25" i="6" s="1"/>
  <c r="AJ9" i="2"/>
  <c r="AJ9" i="6" s="1"/>
  <c r="AN27" i="2"/>
  <c r="AI20" i="2"/>
  <c r="AI20" i="6" s="1"/>
  <c r="AI97" i="6" s="1"/>
  <c r="AN27" i="6" l="1"/>
  <c r="AN27" i="8"/>
  <c r="AN27" i="5"/>
  <c r="AN27" i="3"/>
  <c r="AN27" i="4"/>
  <c r="AN27" i="10"/>
  <c r="AN27" i="12"/>
  <c r="AN27" i="7"/>
  <c r="AI109" i="6"/>
  <c r="AI25" i="10"/>
  <c r="AI25" i="12"/>
  <c r="AI25" i="8"/>
  <c r="AI25" i="3"/>
  <c r="AI25" i="7"/>
  <c r="AI25" i="4"/>
  <c r="AI25" i="5"/>
  <c r="AI20" i="12"/>
  <c r="AI20" i="7"/>
  <c r="AI20" i="8"/>
  <c r="AI20" i="10"/>
  <c r="AI20" i="5"/>
  <c r="AI20" i="4"/>
  <c r="AI20" i="3"/>
  <c r="AI24" i="8"/>
  <c r="AI24" i="5"/>
  <c r="AI24" i="3"/>
  <c r="AI24" i="12"/>
  <c r="AI24" i="7"/>
  <c r="AI24" i="10"/>
  <c r="AI24" i="4"/>
  <c r="AI28" i="10"/>
  <c r="AI28" i="8"/>
  <c r="AI28" i="5"/>
  <c r="AI28" i="3"/>
  <c r="AI28" i="4"/>
  <c r="AI28" i="7"/>
  <c r="AI28" i="12"/>
  <c r="AI23" i="8"/>
  <c r="AI23" i="12"/>
  <c r="AI23" i="10"/>
  <c r="AI23" i="7"/>
  <c r="AI23" i="4"/>
  <c r="AI23" i="5"/>
  <c r="AI23" i="3"/>
  <c r="AI22" i="8"/>
  <c r="AI22" i="12"/>
  <c r="AI22" i="5"/>
  <c r="AI22" i="10"/>
  <c r="AI22" i="7"/>
  <c r="AI22" i="3"/>
  <c r="AI22" i="4"/>
  <c r="AI29" i="2"/>
  <c r="AI29" i="6" s="1"/>
  <c r="AJ13" i="2"/>
  <c r="AJ13" i="6" s="1"/>
  <c r="AJ14" i="2"/>
  <c r="AJ14" i="6" s="1"/>
  <c r="AO27" i="2"/>
  <c r="AJ18" i="2"/>
  <c r="AJ18" i="6" s="1"/>
  <c r="AJ26" i="2"/>
  <c r="AJ26" i="6" s="1"/>
  <c r="AJ19" i="2"/>
  <c r="AJ19" i="6" s="1"/>
  <c r="AJ21" i="2"/>
  <c r="AJ21" i="6" s="1"/>
  <c r="AK8" i="2"/>
  <c r="AK8" i="6" s="1"/>
  <c r="AO27" i="6" l="1"/>
  <c r="AO27" i="3"/>
  <c r="AO27" i="12"/>
  <c r="AO27" i="8"/>
  <c r="AO27" i="5"/>
  <c r="AO27" i="4"/>
  <c r="AO27" i="10"/>
  <c r="AO27" i="7"/>
  <c r="AJ18" i="5"/>
  <c r="AJ18" i="4"/>
  <c r="AJ18" i="10"/>
  <c r="AJ18" i="12"/>
  <c r="AJ18" i="7"/>
  <c r="AJ18" i="8"/>
  <c r="AJ18" i="3"/>
  <c r="AI29" i="12"/>
  <c r="AI29" i="7"/>
  <c r="AI29" i="8"/>
  <c r="AI29" i="10"/>
  <c r="AI29" i="5"/>
  <c r="AI29" i="3"/>
  <c r="AI29" i="4"/>
  <c r="AJ23" i="2"/>
  <c r="AJ23" i="6" s="1"/>
  <c r="AJ21" i="7"/>
  <c r="AJ21" i="8"/>
  <c r="AJ21" i="10"/>
  <c r="AJ21" i="5"/>
  <c r="AJ21" i="12"/>
  <c r="AJ22" i="2"/>
  <c r="AJ22" i="6" s="1"/>
  <c r="AJ21" i="3"/>
  <c r="AJ326" i="3" s="1"/>
  <c r="AJ21" i="4"/>
  <c r="AJ19" i="12"/>
  <c r="AJ19" i="10"/>
  <c r="AJ19" i="7"/>
  <c r="AJ19" i="8"/>
  <c r="AJ19" i="5"/>
  <c r="AJ19" i="3"/>
  <c r="AJ19" i="4"/>
  <c r="AJ26" i="8"/>
  <c r="AJ26" i="5"/>
  <c r="AJ26" i="3"/>
  <c r="AJ26" i="4"/>
  <c r="AJ26" i="10"/>
  <c r="AJ26" i="7"/>
  <c r="AJ26" i="12"/>
  <c r="AJ28" i="2"/>
  <c r="AJ28" i="6" s="1"/>
  <c r="AP27" i="2"/>
  <c r="AJ24" i="2"/>
  <c r="AJ24" i="6" s="1"/>
  <c r="AJ25" i="2"/>
  <c r="AJ25" i="6" s="1"/>
  <c r="AJ20" i="2"/>
  <c r="AJ20" i="6" s="1"/>
  <c r="AJ97" i="6" s="1"/>
  <c r="AK9" i="2"/>
  <c r="AP27" i="6" l="1"/>
  <c r="AP27" i="4"/>
  <c r="AP27" i="3"/>
  <c r="AP27" i="12"/>
  <c r="AP27" i="8"/>
  <c r="AP27" i="5"/>
  <c r="AP27" i="7"/>
  <c r="AP27" i="10"/>
  <c r="AK13" i="2"/>
  <c r="AK13" i="6" s="1"/>
  <c r="AK9" i="6"/>
  <c r="AJ109" i="6"/>
  <c r="AJ22" i="10"/>
  <c r="AJ22" i="5"/>
  <c r="AJ22" i="4"/>
  <c r="AJ22" i="12"/>
  <c r="AJ22" i="7"/>
  <c r="AJ22" i="8"/>
  <c r="AJ22" i="3"/>
  <c r="AJ24" i="5"/>
  <c r="AJ24" i="4"/>
  <c r="AJ24" i="7"/>
  <c r="AJ24" i="10"/>
  <c r="AJ24" i="12"/>
  <c r="AJ24" i="8"/>
  <c r="AJ24" i="3"/>
  <c r="AJ20" i="5"/>
  <c r="AJ20" i="4"/>
  <c r="AJ20" i="10"/>
  <c r="AJ20" i="12"/>
  <c r="AJ20" i="7"/>
  <c r="AJ20" i="8"/>
  <c r="AJ20" i="3"/>
  <c r="AJ28" i="8"/>
  <c r="AJ28" i="5"/>
  <c r="AJ28" i="3"/>
  <c r="AJ28" i="4"/>
  <c r="AJ28" i="10"/>
  <c r="AJ28" i="12"/>
  <c r="AJ28" i="7"/>
  <c r="AJ25" i="7"/>
  <c r="AJ25" i="12"/>
  <c r="AJ25" i="10"/>
  <c r="AJ25" i="8"/>
  <c r="AJ25" i="4"/>
  <c r="AJ25" i="5"/>
  <c r="AJ25" i="3"/>
  <c r="AJ23" i="7"/>
  <c r="AJ23" i="12"/>
  <c r="AJ23" i="10"/>
  <c r="AJ23" i="8"/>
  <c r="AJ23" i="3"/>
  <c r="AJ23" i="4"/>
  <c r="AJ23" i="5"/>
  <c r="AK14" i="2"/>
  <c r="AK14" i="6" s="1"/>
  <c r="AJ29" i="2"/>
  <c r="AJ29" i="6" s="1"/>
  <c r="AQ27" i="2"/>
  <c r="AK18" i="2"/>
  <c r="AK18" i="6" s="1"/>
  <c r="AK19" i="2"/>
  <c r="AK19" i="6" s="1"/>
  <c r="AK21" i="2"/>
  <c r="AK21" i="6" s="1"/>
  <c r="AK26" i="2"/>
  <c r="AK26" i="6" s="1"/>
  <c r="AL8" i="2"/>
  <c r="AL8" i="6" s="1"/>
  <c r="AQ27" i="6" l="1"/>
  <c r="AQ27" i="4"/>
  <c r="AQ27" i="3"/>
  <c r="AQ27" i="10"/>
  <c r="AQ27" i="12"/>
  <c r="AQ27" i="8"/>
  <c r="AQ27" i="5"/>
  <c r="AQ27" i="7"/>
  <c r="AK26" i="12"/>
  <c r="AK26" i="8"/>
  <c r="AK26" i="3"/>
  <c r="AK26" i="5"/>
  <c r="AK26" i="4"/>
  <c r="AK26" i="10"/>
  <c r="AK26" i="7"/>
  <c r="AK18" i="8"/>
  <c r="AK18" i="12"/>
  <c r="AK18" i="5"/>
  <c r="AK18" i="3"/>
  <c r="AK18" i="4"/>
  <c r="AK18" i="10"/>
  <c r="AK18" i="7"/>
  <c r="AK23" i="2"/>
  <c r="AK23" i="6" s="1"/>
  <c r="AK21" i="7"/>
  <c r="AK21" i="12"/>
  <c r="AK21" i="10"/>
  <c r="AK21" i="8"/>
  <c r="AK21" i="3"/>
  <c r="AK326" i="3" s="1"/>
  <c r="AK21" i="4"/>
  <c r="AK22" i="2"/>
  <c r="AK22" i="6" s="1"/>
  <c r="AK21" i="5"/>
  <c r="AJ29" i="12"/>
  <c r="AJ29" i="8"/>
  <c r="AJ29" i="5"/>
  <c r="AJ29" i="3"/>
  <c r="AJ29" i="4"/>
  <c r="AJ29" i="10"/>
  <c r="AJ29" i="7"/>
  <c r="AK19" i="7"/>
  <c r="AK19" i="8"/>
  <c r="AK19" i="10"/>
  <c r="AK19" i="5"/>
  <c r="AK19" i="12"/>
  <c r="AK19" i="3"/>
  <c r="AK19" i="4"/>
  <c r="AK28" i="2"/>
  <c r="AK28" i="6" s="1"/>
  <c r="AK25" i="2"/>
  <c r="AK25" i="6" s="1"/>
  <c r="AK24" i="2"/>
  <c r="AK24" i="6" s="1"/>
  <c r="AK20" i="2"/>
  <c r="AK20" i="6" s="1"/>
  <c r="AK109" i="6" s="1"/>
  <c r="AL9" i="2"/>
  <c r="AL9" i="6" s="1"/>
  <c r="AR27" i="2"/>
  <c r="AR27" i="6" l="1"/>
  <c r="AR27" i="4"/>
  <c r="AR27" i="3"/>
  <c r="AR27" i="8"/>
  <c r="AR27" i="5"/>
  <c r="AR27" i="7"/>
  <c r="AR27" i="10"/>
  <c r="AR27" i="12"/>
  <c r="AK97" i="6"/>
  <c r="AK20" i="8"/>
  <c r="AK20" i="10"/>
  <c r="AK20" i="3"/>
  <c r="AK20" i="4"/>
  <c r="AK20" i="5"/>
  <c r="AK20" i="12"/>
  <c r="AK20" i="7"/>
  <c r="AK24" i="8"/>
  <c r="AK24" i="5"/>
  <c r="AK24" i="3"/>
  <c r="AK24" i="4"/>
  <c r="AK24" i="10"/>
  <c r="AK24" i="7"/>
  <c r="AK24" i="12"/>
  <c r="AK22" i="8"/>
  <c r="AK22" i="5"/>
  <c r="AK22" i="3"/>
  <c r="AK22" i="4"/>
  <c r="AK22" i="12"/>
  <c r="AK22" i="7"/>
  <c r="AK22" i="10"/>
  <c r="AK23" i="8"/>
  <c r="AK23" i="5"/>
  <c r="AK23" i="7"/>
  <c r="AK23" i="12"/>
  <c r="AK23" i="10"/>
  <c r="AK23" i="4"/>
  <c r="AK23" i="3"/>
  <c r="AK25" i="8"/>
  <c r="AK25" i="5"/>
  <c r="AK25" i="4"/>
  <c r="AK25" i="12"/>
  <c r="AK25" i="10"/>
  <c r="AK25" i="7"/>
  <c r="AK25" i="3"/>
  <c r="AK28" i="12"/>
  <c r="AK28" i="8"/>
  <c r="AK28" i="3"/>
  <c r="AK28" i="5"/>
  <c r="AK28" i="4"/>
  <c r="AK28" i="10"/>
  <c r="AK28" i="7"/>
  <c r="AK29" i="2"/>
  <c r="AK29" i="6" s="1"/>
  <c r="AL14" i="2"/>
  <c r="AL14" i="6" s="1"/>
  <c r="AL13" i="2"/>
  <c r="AL13" i="6" s="1"/>
  <c r="AL18" i="2"/>
  <c r="AL18" i="6" s="1"/>
  <c r="AL19" i="2"/>
  <c r="AL19" i="6" s="1"/>
  <c r="AL26" i="2"/>
  <c r="AL26" i="6" s="1"/>
  <c r="AM8" i="2"/>
  <c r="AM8" i="6" s="1"/>
  <c r="AL21" i="2"/>
  <c r="AL21" i="6" s="1"/>
  <c r="AS27" i="2"/>
  <c r="AS27" i="6" l="1"/>
  <c r="AS27" i="4"/>
  <c r="AS27" i="3"/>
  <c r="AS27" i="8"/>
  <c r="AS27" i="5"/>
  <c r="AS27" i="12"/>
  <c r="AS27" i="10"/>
  <c r="AS27" i="7"/>
  <c r="AL21" i="12"/>
  <c r="AL21" i="5"/>
  <c r="AL23" i="2"/>
  <c r="AL23" i="6" s="1"/>
  <c r="AL21" i="7"/>
  <c r="AL21" i="10"/>
  <c r="AL21" i="8"/>
  <c r="AL22" i="2"/>
  <c r="AL22" i="6" s="1"/>
  <c r="AL21" i="4"/>
  <c r="AL21" i="3"/>
  <c r="AL326" i="3" s="1"/>
  <c r="AL18" i="12"/>
  <c r="AL18" i="7"/>
  <c r="AL18" i="10"/>
  <c r="AL18" i="8"/>
  <c r="AL18" i="5"/>
  <c r="AL18" i="4"/>
  <c r="AL18" i="3"/>
  <c r="AL26" i="12"/>
  <c r="AL26" i="8"/>
  <c r="AL26" i="5"/>
  <c r="AL26" i="4"/>
  <c r="AL26" i="3"/>
  <c r="AL26" i="10"/>
  <c r="AL26" i="7"/>
  <c r="AL19" i="12"/>
  <c r="AL19" i="5"/>
  <c r="AL19" i="7"/>
  <c r="AL19" i="10"/>
  <c r="AL19" i="8"/>
  <c r="AL19" i="3"/>
  <c r="AL19" i="4"/>
  <c r="AK29" i="12"/>
  <c r="AK29" i="8"/>
  <c r="AK29" i="3"/>
  <c r="AK29" i="5"/>
  <c r="AK29" i="4"/>
  <c r="AK29" i="10"/>
  <c r="AK29" i="7"/>
  <c r="AL28" i="2"/>
  <c r="AL28" i="6" s="1"/>
  <c r="AT27" i="2"/>
  <c r="AL24" i="2"/>
  <c r="AL24" i="6" s="1"/>
  <c r="AL25" i="2"/>
  <c r="AL25" i="6" s="1"/>
  <c r="AM9" i="2"/>
  <c r="AM9" i="6" s="1"/>
  <c r="AL20" i="2"/>
  <c r="AL20" i="6" s="1"/>
  <c r="AL97" i="6" s="1"/>
  <c r="AT27" i="6" l="1"/>
  <c r="AT27" i="8"/>
  <c r="AT27" i="5"/>
  <c r="AT27" i="10"/>
  <c r="AT27" i="4"/>
  <c r="AT27" i="3"/>
  <c r="AT27" i="12"/>
  <c r="AT27" i="7"/>
  <c r="AL109" i="6"/>
  <c r="AL24" i="10"/>
  <c r="AL24" i="4"/>
  <c r="AL24" i="5"/>
  <c r="AL24" i="12"/>
  <c r="AL24" i="7"/>
  <c r="AL24" i="8"/>
  <c r="AL24" i="3"/>
  <c r="AL20" i="12"/>
  <c r="AL20" i="10"/>
  <c r="AL20" i="8"/>
  <c r="AL20" i="7"/>
  <c r="AL20" i="5"/>
  <c r="AL20" i="4"/>
  <c r="AL20" i="3"/>
  <c r="AL22" i="10"/>
  <c r="AL22" i="12"/>
  <c r="AL22" i="7"/>
  <c r="AL22" i="8"/>
  <c r="AL22" i="3"/>
  <c r="AL22" i="4"/>
  <c r="AL22" i="5"/>
  <c r="AL28" i="12"/>
  <c r="AL28" i="8"/>
  <c r="AL28" i="3"/>
  <c r="AL28" i="5"/>
  <c r="AL28" i="4"/>
  <c r="AL28" i="10"/>
  <c r="AL28" i="7"/>
  <c r="AL23" i="12"/>
  <c r="AL23" i="5"/>
  <c r="AL23" i="10"/>
  <c r="AL23" i="7"/>
  <c r="AL23" i="8"/>
  <c r="AL23" i="3"/>
  <c r="AL23" i="4"/>
  <c r="AL25" i="5"/>
  <c r="AL25" i="3"/>
  <c r="AL25" i="4"/>
  <c r="AL25" i="10"/>
  <c r="AL25" i="12"/>
  <c r="AL25" i="8"/>
  <c r="AL25" i="7"/>
  <c r="AL29" i="2"/>
  <c r="AL29" i="6" s="1"/>
  <c r="AM13" i="2"/>
  <c r="AM13" i="6" s="1"/>
  <c r="AM14" i="2"/>
  <c r="AM14" i="6" s="1"/>
  <c r="AU27" i="2"/>
  <c r="AM18" i="2"/>
  <c r="AM18" i="6" s="1"/>
  <c r="AM26" i="2"/>
  <c r="AM26" i="6" s="1"/>
  <c r="AM19" i="2"/>
  <c r="AM19" i="6" s="1"/>
  <c r="AM21" i="2"/>
  <c r="AM21" i="6" s="1"/>
  <c r="AN8" i="2"/>
  <c r="AN8" i="6" s="1"/>
  <c r="AU27" i="6" l="1"/>
  <c r="AU27" i="8"/>
  <c r="AU27" i="5"/>
  <c r="AU27" i="10"/>
  <c r="AU27" i="4"/>
  <c r="AU27" i="3"/>
  <c r="AU27" i="7"/>
  <c r="AU27" i="12"/>
  <c r="E215" i="1"/>
  <c r="E212" i="1"/>
  <c r="E214" i="1"/>
  <c r="E211" i="1"/>
  <c r="F82" i="6" s="1"/>
  <c r="F89" i="6" s="1"/>
  <c r="AM18" i="12"/>
  <c r="AM18" i="8"/>
  <c r="AM18" i="7"/>
  <c r="AM18" i="10"/>
  <c r="AM18" i="4"/>
  <c r="AM18" i="5"/>
  <c r="AM18" i="3"/>
  <c r="AL29" i="10"/>
  <c r="AL29" i="12"/>
  <c r="AL29" i="8"/>
  <c r="AL29" i="4"/>
  <c r="AL29" i="5"/>
  <c r="AL29" i="3"/>
  <c r="AL29" i="7"/>
  <c r="AM21" i="12"/>
  <c r="AM21" i="8"/>
  <c r="AM23" i="2"/>
  <c r="AM23" i="6" s="1"/>
  <c r="AM21" i="7"/>
  <c r="AM21" i="10"/>
  <c r="AM21" i="3"/>
  <c r="AM326" i="3" s="1"/>
  <c r="AM21" i="4"/>
  <c r="AM22" i="2"/>
  <c r="AM22" i="6" s="1"/>
  <c r="AM21" i="5"/>
  <c r="AM19" i="12"/>
  <c r="AM19" i="7"/>
  <c r="AM19" i="10"/>
  <c r="AM19" i="5"/>
  <c r="AM19" i="8"/>
  <c r="AM19" i="3"/>
  <c r="AM19" i="4"/>
  <c r="AM26" i="10"/>
  <c r="AM26" i="8"/>
  <c r="AM26" i="12"/>
  <c r="AM26" i="5"/>
  <c r="AM26" i="3"/>
  <c r="AM26" i="4"/>
  <c r="AM26" i="7"/>
  <c r="AM28" i="2"/>
  <c r="AM28" i="6" s="1"/>
  <c r="AV27" i="2"/>
  <c r="AN9" i="2"/>
  <c r="AN9" i="6" s="1"/>
  <c r="AM20" i="2"/>
  <c r="AM20" i="6" s="1"/>
  <c r="AM97" i="6" s="1"/>
  <c r="AM25" i="2"/>
  <c r="AM25" i="6" s="1"/>
  <c r="AM24" i="2"/>
  <c r="AM24" i="6" s="1"/>
  <c r="AV27" i="6" l="1"/>
  <c r="AV27" i="8"/>
  <c r="AV27" i="5"/>
  <c r="AV27" i="3"/>
  <c r="AV27" i="4"/>
  <c r="AV27" i="10"/>
  <c r="AV27" i="12"/>
  <c r="AV27" i="7"/>
  <c r="F77" i="6"/>
  <c r="AM109" i="6"/>
  <c r="AM24" i="10"/>
  <c r="AM24" i="8"/>
  <c r="AM24" i="12"/>
  <c r="AM24" i="3"/>
  <c r="AM24" i="7"/>
  <c r="AM24" i="5"/>
  <c r="AM24" i="4"/>
  <c r="AM25" i="8"/>
  <c r="AM25" i="3"/>
  <c r="AM25" i="5"/>
  <c r="AM25" i="4"/>
  <c r="AM25" i="10"/>
  <c r="AM25" i="12"/>
  <c r="AM25" i="7"/>
  <c r="AM28" i="10"/>
  <c r="AM28" i="12"/>
  <c r="AM28" i="8"/>
  <c r="AM28" i="5"/>
  <c r="AM28" i="3"/>
  <c r="AM28" i="4"/>
  <c r="AM28" i="7"/>
  <c r="AM23" i="8"/>
  <c r="AM23" i="7"/>
  <c r="AM23" i="12"/>
  <c r="AM23" i="10"/>
  <c r="AM23" i="5"/>
  <c r="AM23" i="4"/>
  <c r="AM23" i="3"/>
  <c r="AM20" i="8"/>
  <c r="AM20" i="10"/>
  <c r="AM20" i="12"/>
  <c r="AM20" i="7"/>
  <c r="AM20" i="4"/>
  <c r="AM20" i="5"/>
  <c r="AM20" i="3"/>
  <c r="AM22" i="8"/>
  <c r="AM22" i="10"/>
  <c r="AM22" i="7"/>
  <c r="AM22" i="12"/>
  <c r="AM22" i="5"/>
  <c r="AM22" i="3"/>
  <c r="AM22" i="4"/>
  <c r="AN13" i="2"/>
  <c r="AN13" i="6" s="1"/>
  <c r="AM29" i="2"/>
  <c r="AM29" i="6" s="1"/>
  <c r="AN14" i="2"/>
  <c r="AN14" i="6" s="1"/>
  <c r="AW27" i="2"/>
  <c r="AN18" i="2"/>
  <c r="AN18" i="6" s="1"/>
  <c r="AN26" i="2"/>
  <c r="AN26" i="6" s="1"/>
  <c r="AN21" i="2"/>
  <c r="AN21" i="6" s="1"/>
  <c r="AN19" i="2"/>
  <c r="AN19" i="6" s="1"/>
  <c r="AO8" i="2"/>
  <c r="AO8" i="6" s="1"/>
  <c r="AW27" i="6" l="1"/>
  <c r="AW27" i="3"/>
  <c r="AW27" i="8"/>
  <c r="AW27" i="5"/>
  <c r="AW27" i="4"/>
  <c r="AW27" i="12"/>
  <c r="AW27" i="7"/>
  <c r="AW27" i="10"/>
  <c r="F88" i="6"/>
  <c r="F78" i="6"/>
  <c r="AN19" i="5"/>
  <c r="AN19" i="4"/>
  <c r="AN19" i="10"/>
  <c r="AN19" i="7"/>
  <c r="AN19" i="8"/>
  <c r="AN19" i="12"/>
  <c r="AN19" i="3"/>
  <c r="AN21" i="5"/>
  <c r="AN21" i="4"/>
  <c r="AN23" i="2"/>
  <c r="AN23" i="6" s="1"/>
  <c r="AN21" i="10"/>
  <c r="AN21" i="12"/>
  <c r="AN21" i="7"/>
  <c r="AN21" i="8"/>
  <c r="AN22" i="2"/>
  <c r="AN22" i="6" s="1"/>
  <c r="AN21" i="3"/>
  <c r="AN326" i="3" s="1"/>
  <c r="AN26" i="8"/>
  <c r="AN26" i="5"/>
  <c r="AN26" i="3"/>
  <c r="AN26" i="4"/>
  <c r="AN26" i="10"/>
  <c r="AN26" i="12"/>
  <c r="AN26" i="7"/>
  <c r="AM29" i="12"/>
  <c r="AM29" i="10"/>
  <c r="AM29" i="8"/>
  <c r="AM29" i="5"/>
  <c r="AM29" i="3"/>
  <c r="AM29" i="4"/>
  <c r="AM29" i="7"/>
  <c r="AN18" i="7"/>
  <c r="AN18" i="12"/>
  <c r="AN18" i="10"/>
  <c r="AN18" i="8"/>
  <c r="AN18" i="3"/>
  <c r="AN18" i="4"/>
  <c r="AN18" i="5"/>
  <c r="AN28" i="2"/>
  <c r="AN28" i="6" s="1"/>
  <c r="AX27" i="2"/>
  <c r="AN20" i="2"/>
  <c r="AN20" i="6" s="1"/>
  <c r="AN109" i="6" s="1"/>
  <c r="AN24" i="2"/>
  <c r="AN24" i="6" s="1"/>
  <c r="AN25" i="2"/>
  <c r="AN25" i="6" s="1"/>
  <c r="AO9" i="2"/>
  <c r="AO9" i="6" s="1"/>
  <c r="G75" i="6" l="1"/>
  <c r="G102" i="6" s="1"/>
  <c r="G77" i="6"/>
  <c r="G88" i="6" s="1"/>
  <c r="AX27" i="6"/>
  <c r="AX27" i="4"/>
  <c r="AX27" i="3"/>
  <c r="AX27" i="8"/>
  <c r="AX27" i="5"/>
  <c r="AX27" i="12"/>
  <c r="AX27" i="10"/>
  <c r="AX27" i="7"/>
  <c r="F90" i="6"/>
  <c r="F120" i="7"/>
  <c r="AN97" i="6"/>
  <c r="AN23" i="5"/>
  <c r="AN23" i="4"/>
  <c r="AN23" i="7"/>
  <c r="AN23" i="10"/>
  <c r="AN23" i="12"/>
  <c r="AN23" i="8"/>
  <c r="AN23" i="3"/>
  <c r="AN28" i="8"/>
  <c r="AN28" i="5"/>
  <c r="AN28" i="3"/>
  <c r="AN28" i="4"/>
  <c r="AN28" i="10"/>
  <c r="AN28" i="12"/>
  <c r="AN28" i="7"/>
  <c r="AN24" i="7"/>
  <c r="AN24" i="8"/>
  <c r="AN24" i="10"/>
  <c r="AN24" i="5"/>
  <c r="AN24" i="12"/>
  <c r="AN24" i="3"/>
  <c r="AN24" i="4"/>
  <c r="AN25" i="10"/>
  <c r="AN25" i="4"/>
  <c r="AN25" i="5"/>
  <c r="AN25" i="12"/>
  <c r="AN25" i="7"/>
  <c r="AN25" i="8"/>
  <c r="AN25" i="3"/>
  <c r="AN20" i="12"/>
  <c r="AN20" i="10"/>
  <c r="AN20" i="8"/>
  <c r="AN20" i="7"/>
  <c r="AN20" i="4"/>
  <c r="AN20" i="5"/>
  <c r="AN20" i="3"/>
  <c r="AN22" i="12"/>
  <c r="AN22" i="10"/>
  <c r="AN22" i="8"/>
  <c r="AN22" i="7"/>
  <c r="AN22" i="5"/>
  <c r="AN22" i="4"/>
  <c r="AN22" i="3"/>
  <c r="AN29" i="2"/>
  <c r="AN29" i="6" s="1"/>
  <c r="AY27" i="2"/>
  <c r="AO18" i="2"/>
  <c r="AO18" i="6" s="1"/>
  <c r="AO26" i="2"/>
  <c r="AO26" i="6" s="1"/>
  <c r="AO19" i="2"/>
  <c r="AO19" i="6" s="1"/>
  <c r="AO21" i="2"/>
  <c r="AO21" i="6" s="1"/>
  <c r="AP8" i="2"/>
  <c r="AP8" i="6" s="1"/>
  <c r="AO14" i="2"/>
  <c r="AO14" i="6" s="1"/>
  <c r="AO13" i="2"/>
  <c r="AO13" i="6" s="1"/>
  <c r="AY27" i="6" l="1"/>
  <c r="AY27" i="4"/>
  <c r="AY27" i="3"/>
  <c r="AY27" i="8"/>
  <c r="AY27" i="5"/>
  <c r="AY27" i="10"/>
  <c r="AY27" i="12"/>
  <c r="AY27" i="7"/>
  <c r="AO26" i="8"/>
  <c r="AO26" i="3"/>
  <c r="AO26" i="5"/>
  <c r="AO26" i="4"/>
  <c r="AO26" i="10"/>
  <c r="AO26" i="12"/>
  <c r="AO26" i="7"/>
  <c r="AO19" i="8"/>
  <c r="AO19" i="12"/>
  <c r="AO19" i="5"/>
  <c r="AO19" i="3"/>
  <c r="AO19" i="4"/>
  <c r="AO19" i="10"/>
  <c r="AO19" i="7"/>
  <c r="AO18" i="7"/>
  <c r="AO18" i="12"/>
  <c r="AO18" i="10"/>
  <c r="AO18" i="8"/>
  <c r="AO18" i="5"/>
  <c r="AO18" i="4"/>
  <c r="AO18" i="3"/>
  <c r="AO21" i="8"/>
  <c r="AO21" i="5"/>
  <c r="AO21" i="3"/>
  <c r="AO326" i="3" s="1"/>
  <c r="AO23" i="2"/>
  <c r="AO23" i="6" s="1"/>
  <c r="AO21" i="4"/>
  <c r="AO21" i="10"/>
  <c r="AO21" i="12"/>
  <c r="AO21" i="7"/>
  <c r="AO22" i="2"/>
  <c r="AO22" i="6" s="1"/>
  <c r="AN29" i="12"/>
  <c r="AN29" i="8"/>
  <c r="AN29" i="5"/>
  <c r="AN29" i="3"/>
  <c r="AN29" i="4"/>
  <c r="AN29" i="10"/>
  <c r="AN29" i="7"/>
  <c r="AZ27" i="2"/>
  <c r="AO28" i="2"/>
  <c r="AO28" i="6" s="1"/>
  <c r="AO24" i="2"/>
  <c r="AO24" i="6" s="1"/>
  <c r="AO25" i="2"/>
  <c r="AO25" i="6" s="1"/>
  <c r="AO20" i="2"/>
  <c r="AO20" i="6" s="1"/>
  <c r="AO109" i="6" s="1"/>
  <c r="AP9" i="2"/>
  <c r="AP9" i="6" s="1"/>
  <c r="AZ27" i="6" l="1"/>
  <c r="AZ27" i="4"/>
  <c r="AZ27" i="3"/>
  <c r="AZ27" i="8"/>
  <c r="AZ27" i="5"/>
  <c r="AZ27" i="7"/>
  <c r="AZ27" i="12"/>
  <c r="AZ27" i="10"/>
  <c r="AO97" i="6"/>
  <c r="AO23" i="10"/>
  <c r="AO23" i="8"/>
  <c r="AO23" i="5"/>
  <c r="AO23" i="3"/>
  <c r="AO23" i="4"/>
  <c r="AO23" i="12"/>
  <c r="AO23" i="7"/>
  <c r="AO28" i="8"/>
  <c r="AO28" i="3"/>
  <c r="AO28" i="5"/>
  <c r="AO28" i="4"/>
  <c r="AO28" i="10"/>
  <c r="AO28" i="12"/>
  <c r="AO28" i="7"/>
  <c r="AO24" i="8"/>
  <c r="AO24" i="5"/>
  <c r="AO24" i="4"/>
  <c r="AO24" i="7"/>
  <c r="AO24" i="12"/>
  <c r="AO24" i="10"/>
  <c r="AO24" i="3"/>
  <c r="AO20" i="12"/>
  <c r="AO20" i="10"/>
  <c r="AO20" i="8"/>
  <c r="AO20" i="7"/>
  <c r="AO20" i="5"/>
  <c r="AO20" i="4"/>
  <c r="AO20" i="3"/>
  <c r="AO25" i="10"/>
  <c r="AO25" i="8"/>
  <c r="AO25" i="5"/>
  <c r="AO25" i="3"/>
  <c r="AO25" i="4"/>
  <c r="AO25" i="12"/>
  <c r="AO25" i="7"/>
  <c r="AO22" i="8"/>
  <c r="AO22" i="7"/>
  <c r="AO22" i="10"/>
  <c r="AO22" i="5"/>
  <c r="AO22" i="12"/>
  <c r="AO22" i="3"/>
  <c r="AO22" i="4"/>
  <c r="AO29" i="2"/>
  <c r="AO29" i="6" s="1"/>
  <c r="AP13" i="2"/>
  <c r="AP13" i="6" s="1"/>
  <c r="AP18" i="2"/>
  <c r="AP18" i="6" s="1"/>
  <c r="AP21" i="2"/>
  <c r="AP21" i="6" s="1"/>
  <c r="AP26" i="2"/>
  <c r="AP26" i="6" s="1"/>
  <c r="AQ8" i="2"/>
  <c r="AQ8" i="6" s="1"/>
  <c r="AP19" i="2"/>
  <c r="AP19" i="6" s="1"/>
  <c r="AP14" i="2"/>
  <c r="AP14" i="6" s="1"/>
  <c r="BA27" i="2"/>
  <c r="BA27" i="6" l="1"/>
  <c r="BA27" i="4"/>
  <c r="BA27" i="3"/>
  <c r="BA27" i="8"/>
  <c r="BA27" i="5"/>
  <c r="BA27" i="12"/>
  <c r="BA27" i="10"/>
  <c r="BA27" i="7"/>
  <c r="AO29" i="12"/>
  <c r="AO29" i="8"/>
  <c r="AO29" i="3"/>
  <c r="AO29" i="5"/>
  <c r="AO29" i="4"/>
  <c r="AO29" i="10"/>
  <c r="AO29" i="7"/>
  <c r="AP23" i="2"/>
  <c r="AP23" i="6" s="1"/>
  <c r="AP21" i="10"/>
  <c r="AP21" i="7"/>
  <c r="AP21" i="8"/>
  <c r="AP21" i="12"/>
  <c r="AP21" i="4"/>
  <c r="AP21" i="5"/>
  <c r="AP22" i="2"/>
  <c r="AP22" i="6" s="1"/>
  <c r="AP21" i="3"/>
  <c r="AP326" i="3" s="1"/>
  <c r="AP19" i="12"/>
  <c r="AP19" i="7"/>
  <c r="AP19" i="10"/>
  <c r="AP19" i="8"/>
  <c r="AP19" i="3"/>
  <c r="AP19" i="4"/>
  <c r="AP19" i="5"/>
  <c r="AP18" i="5"/>
  <c r="AP18" i="12"/>
  <c r="AP18" i="10"/>
  <c r="AP18" i="8"/>
  <c r="AP18" i="7"/>
  <c r="AP18" i="4"/>
  <c r="AP18" i="3"/>
  <c r="AP26" i="8"/>
  <c r="AP26" i="10"/>
  <c r="AP26" i="3"/>
  <c r="AP26" i="5"/>
  <c r="AP26" i="4"/>
  <c r="AP26" i="12"/>
  <c r="AP26" i="7"/>
  <c r="AP28" i="2"/>
  <c r="AP28" i="6" s="1"/>
  <c r="AP20" i="2"/>
  <c r="AP20" i="6" s="1"/>
  <c r="AP109" i="6" s="1"/>
  <c r="AQ9" i="2"/>
  <c r="AP24" i="2"/>
  <c r="AP24" i="6" s="1"/>
  <c r="AP25" i="2"/>
  <c r="AP25" i="6" s="1"/>
  <c r="BB27" i="2"/>
  <c r="BB27" i="6" l="1"/>
  <c r="BB27" i="5"/>
  <c r="BB27" i="10"/>
  <c r="BB27" i="4"/>
  <c r="BB27" i="3"/>
  <c r="BB27" i="8"/>
  <c r="BB27" i="12"/>
  <c r="BB27" i="7"/>
  <c r="AQ14" i="2"/>
  <c r="AQ14" i="6" s="1"/>
  <c r="AQ9" i="6"/>
  <c r="AP97" i="6"/>
  <c r="AP20" i="5"/>
  <c r="AP20" i="12"/>
  <c r="AP20" i="7"/>
  <c r="AP20" i="8"/>
  <c r="AP20" i="10"/>
  <c r="AP20" i="3"/>
  <c r="AP20" i="4"/>
  <c r="AP25" i="5"/>
  <c r="AP25" i="3"/>
  <c r="AP25" i="4"/>
  <c r="AP25" i="10"/>
  <c r="AP25" i="12"/>
  <c r="AP25" i="7"/>
  <c r="AP25" i="8"/>
  <c r="AP28" i="10"/>
  <c r="AP28" i="8"/>
  <c r="AP28" i="4"/>
  <c r="AP28" i="5"/>
  <c r="AP28" i="3"/>
  <c r="AP28" i="7"/>
  <c r="AP28" i="12"/>
  <c r="AP24" i="12"/>
  <c r="AP24" i="5"/>
  <c r="AP24" i="4"/>
  <c r="AP24" i="10"/>
  <c r="AP24" i="7"/>
  <c r="AP24" i="8"/>
  <c r="AP24" i="3"/>
  <c r="AP22" i="12"/>
  <c r="AP22" i="10"/>
  <c r="AP22" i="5"/>
  <c r="AP22" i="7"/>
  <c r="AP22" i="8"/>
  <c r="AP22" i="3"/>
  <c r="AP22" i="4"/>
  <c r="AP23" i="4"/>
  <c r="AP23" i="10"/>
  <c r="AP23" i="12"/>
  <c r="AP23" i="8"/>
  <c r="AP23" i="7"/>
  <c r="AP23" i="5"/>
  <c r="AP23" i="3"/>
  <c r="AQ13" i="2"/>
  <c r="AQ13" i="6" s="1"/>
  <c r="AP29" i="2"/>
  <c r="AP29" i="6" s="1"/>
  <c r="BC27" i="2"/>
  <c r="AQ28" i="2"/>
  <c r="AQ28" i="6" s="1"/>
  <c r="AQ18" i="2"/>
  <c r="AQ18" i="6" s="1"/>
  <c r="AQ26" i="2"/>
  <c r="AQ26" i="6" s="1"/>
  <c r="AQ21" i="2"/>
  <c r="AQ21" i="6" s="1"/>
  <c r="AQ19" i="2"/>
  <c r="AQ19" i="6" s="1"/>
  <c r="AR8" i="2"/>
  <c r="AR8" i="6" s="1"/>
  <c r="BC27" i="6" l="1"/>
  <c r="BC27" i="10"/>
  <c r="BC27" i="8"/>
  <c r="BC27" i="5"/>
  <c r="BC27" i="4"/>
  <c r="BC27" i="3"/>
  <c r="BC27" i="7"/>
  <c r="BC27" i="12"/>
  <c r="AQ28" i="8"/>
  <c r="AQ28" i="10"/>
  <c r="AQ28" i="5"/>
  <c r="AQ28" i="3"/>
  <c r="AQ28" i="4"/>
  <c r="AQ28" i="7"/>
  <c r="AQ28" i="12"/>
  <c r="AQ26" i="10"/>
  <c r="AQ26" i="8"/>
  <c r="AQ26" i="5"/>
  <c r="AQ26" i="3"/>
  <c r="AQ26" i="4"/>
  <c r="AQ26" i="7"/>
  <c r="AQ26" i="12"/>
  <c r="AP29" i="12"/>
  <c r="AP29" i="3"/>
  <c r="AP29" i="5"/>
  <c r="AP29" i="8"/>
  <c r="AP29" i="4"/>
  <c r="AP29" i="10"/>
  <c r="AP29" i="7"/>
  <c r="AQ19" i="12"/>
  <c r="AQ19" i="10"/>
  <c r="AQ19" i="7"/>
  <c r="AQ19" i="8"/>
  <c r="AQ19" i="5"/>
  <c r="AQ19" i="3"/>
  <c r="AQ19" i="4"/>
  <c r="AQ21" i="8"/>
  <c r="AQ23" i="2"/>
  <c r="AQ23" i="6" s="1"/>
  <c r="AQ21" i="10"/>
  <c r="AQ21" i="12"/>
  <c r="AQ21" i="7"/>
  <c r="AQ22" i="2"/>
  <c r="AQ22" i="6" s="1"/>
  <c r="AQ21" i="4"/>
  <c r="AQ21" i="5"/>
  <c r="AQ21" i="3"/>
  <c r="AQ326" i="3" s="1"/>
  <c r="AQ18" i="12"/>
  <c r="AQ18" i="7"/>
  <c r="AQ18" i="8"/>
  <c r="AQ18" i="5"/>
  <c r="AQ18" i="10"/>
  <c r="AQ18" i="4"/>
  <c r="AQ18" i="3"/>
  <c r="AQ29" i="2"/>
  <c r="AQ29" i="6" s="1"/>
  <c r="AR9" i="2"/>
  <c r="AQ24" i="2"/>
  <c r="AQ24" i="6" s="1"/>
  <c r="AQ25" i="2"/>
  <c r="AQ25" i="6" s="1"/>
  <c r="BD27" i="2"/>
  <c r="AQ20" i="2"/>
  <c r="AQ20" i="6" s="1"/>
  <c r="AQ109" i="6" s="1"/>
  <c r="BD27" i="6" l="1"/>
  <c r="BD27" i="3"/>
  <c r="BD27" i="8"/>
  <c r="BD27" i="5"/>
  <c r="BD27" i="4"/>
  <c r="BD27" i="10"/>
  <c r="BD27" i="12"/>
  <c r="BD27" i="7"/>
  <c r="AQ97" i="6"/>
  <c r="AR13" i="2"/>
  <c r="AR13" i="6" s="1"/>
  <c r="AR9" i="6"/>
  <c r="AQ20" i="12"/>
  <c r="AQ20" i="8"/>
  <c r="AQ20" i="7"/>
  <c r="AQ20" i="10"/>
  <c r="AQ20" i="5"/>
  <c r="AQ20" i="3"/>
  <c r="AQ20" i="4"/>
  <c r="AQ22" i="8"/>
  <c r="AQ22" i="12"/>
  <c r="AQ22" i="7"/>
  <c r="AQ22" i="10"/>
  <c r="AQ22" i="5"/>
  <c r="AQ22" i="3"/>
  <c r="AQ22" i="4"/>
  <c r="AQ29" i="12"/>
  <c r="AQ29" i="10"/>
  <c r="AQ29" i="8"/>
  <c r="AQ29" i="5"/>
  <c r="AQ29" i="3"/>
  <c r="AQ29" i="4"/>
  <c r="AQ29" i="7"/>
  <c r="AQ25" i="3"/>
  <c r="AQ25" i="8"/>
  <c r="AQ25" i="10"/>
  <c r="AQ25" i="7"/>
  <c r="AQ25" i="12"/>
  <c r="AQ25" i="4"/>
  <c r="AQ25" i="5"/>
  <c r="AQ23" i="8"/>
  <c r="AQ23" i="10"/>
  <c r="AQ23" i="12"/>
  <c r="AQ23" i="7"/>
  <c r="AQ23" i="4"/>
  <c r="AQ23" i="5"/>
  <c r="AQ23" i="3"/>
  <c r="AQ24" i="8"/>
  <c r="AQ24" i="12"/>
  <c r="AQ24" i="3"/>
  <c r="AQ24" i="5"/>
  <c r="AQ24" i="7"/>
  <c r="AQ24" i="10"/>
  <c r="AQ24" i="4"/>
  <c r="AR14" i="2"/>
  <c r="AR14" i="6" s="1"/>
  <c r="BE27" i="2"/>
  <c r="AR18" i="2"/>
  <c r="AR18" i="6" s="1"/>
  <c r="AR26" i="2"/>
  <c r="AR26" i="6" s="1"/>
  <c r="AR19" i="2"/>
  <c r="AR19" i="6" s="1"/>
  <c r="AR21" i="2"/>
  <c r="AR21" i="6" s="1"/>
  <c r="AS8" i="2"/>
  <c r="AS8" i="6" s="1"/>
  <c r="BE27" i="6" l="1"/>
  <c r="BE27" i="12"/>
  <c r="BE27" i="3"/>
  <c r="BE27" i="4"/>
  <c r="BE27" i="8"/>
  <c r="BE27" i="5"/>
  <c r="BE27" i="7"/>
  <c r="BE27" i="10"/>
  <c r="AR19" i="7"/>
  <c r="AR19" i="8"/>
  <c r="AR19" i="12"/>
  <c r="AR19" i="10"/>
  <c r="AR19" i="3"/>
  <c r="AR19" i="4"/>
  <c r="AR19" i="5"/>
  <c r="AR26" i="8"/>
  <c r="AR26" i="5"/>
  <c r="AR26" i="3"/>
  <c r="AR26" i="4"/>
  <c r="AR26" i="10"/>
  <c r="AR26" i="12"/>
  <c r="AR26" i="7"/>
  <c r="AR18" i="10"/>
  <c r="AR18" i="5"/>
  <c r="AR18" i="4"/>
  <c r="AR18" i="12"/>
  <c r="AR18" i="7"/>
  <c r="AR18" i="8"/>
  <c r="AR18" i="3"/>
  <c r="AR23" i="2"/>
  <c r="AR23" i="6" s="1"/>
  <c r="AR21" i="7"/>
  <c r="AR21" i="12"/>
  <c r="AR21" i="10"/>
  <c r="AR21" i="8"/>
  <c r="AR21" i="3"/>
  <c r="AR326" i="3" s="1"/>
  <c r="AR21" i="4"/>
  <c r="AR22" i="2"/>
  <c r="AR22" i="6" s="1"/>
  <c r="AR21" i="5"/>
  <c r="AR28" i="2"/>
  <c r="AR28" i="6" s="1"/>
  <c r="AR20" i="2"/>
  <c r="AR20" i="6" s="1"/>
  <c r="AR97" i="6" s="1"/>
  <c r="AS9" i="2"/>
  <c r="AR24" i="2"/>
  <c r="AR24" i="6" s="1"/>
  <c r="AR25" i="2"/>
  <c r="AR25" i="6" s="1"/>
  <c r="BF27" i="2"/>
  <c r="BF27" i="6" l="1"/>
  <c r="BF27" i="4"/>
  <c r="BF27" i="12"/>
  <c r="BF27" i="3"/>
  <c r="BF27" i="8"/>
  <c r="BF27" i="5"/>
  <c r="BF27" i="10"/>
  <c r="BF27" i="7"/>
  <c r="AS13" i="2"/>
  <c r="AS13" i="6" s="1"/>
  <c r="AS9" i="6"/>
  <c r="AR109" i="6"/>
  <c r="AR20" i="5"/>
  <c r="AR20" i="4"/>
  <c r="AR20" i="10"/>
  <c r="AR20" i="12"/>
  <c r="AR20" i="7"/>
  <c r="AR20" i="8"/>
  <c r="AR20" i="3"/>
  <c r="AR25" i="12"/>
  <c r="AR25" i="10"/>
  <c r="AR25" i="8"/>
  <c r="AR25" i="7"/>
  <c r="AR25" i="5"/>
  <c r="AR25" i="4"/>
  <c r="AR25" i="3"/>
  <c r="AR28" i="8"/>
  <c r="AR28" i="5"/>
  <c r="AR28" i="3"/>
  <c r="AR28" i="4"/>
  <c r="AR28" i="10"/>
  <c r="AR28" i="12"/>
  <c r="AR28" i="7"/>
  <c r="AR24" i="5"/>
  <c r="AR24" i="4"/>
  <c r="AR24" i="10"/>
  <c r="AR24" i="7"/>
  <c r="AR24" i="12"/>
  <c r="AR24" i="8"/>
  <c r="AR24" i="3"/>
  <c r="AR22" i="5"/>
  <c r="AR22" i="4"/>
  <c r="AR22" i="10"/>
  <c r="AR22" i="7"/>
  <c r="AR22" i="8"/>
  <c r="AR22" i="12"/>
  <c r="AR22" i="3"/>
  <c r="AR23" i="7"/>
  <c r="AR23" i="12"/>
  <c r="AR23" i="10"/>
  <c r="AR23" i="8"/>
  <c r="AR23" i="4"/>
  <c r="AR23" i="5"/>
  <c r="AR23" i="3"/>
  <c r="AS14" i="2"/>
  <c r="AS14" i="6" s="1"/>
  <c r="AR29" i="2"/>
  <c r="AR29" i="6" s="1"/>
  <c r="AS18" i="2"/>
  <c r="AS18" i="6" s="1"/>
  <c r="AS26" i="2"/>
  <c r="AS26" i="6" s="1"/>
  <c r="AS21" i="2"/>
  <c r="AS21" i="6" s="1"/>
  <c r="AS19" i="2"/>
  <c r="AS19" i="6" s="1"/>
  <c r="AT8" i="2"/>
  <c r="AT8" i="6" s="1"/>
  <c r="BG27" i="2"/>
  <c r="BG27" i="6" l="1"/>
  <c r="BG27" i="10"/>
  <c r="BG27" i="4"/>
  <c r="BG27" i="12"/>
  <c r="BG27" i="3"/>
  <c r="BG27" i="8"/>
  <c r="BG27" i="5"/>
  <c r="BG27" i="7"/>
  <c r="AS18" i="8"/>
  <c r="AS18" i="3"/>
  <c r="AS18" i="5"/>
  <c r="AS18" i="4"/>
  <c r="AS18" i="10"/>
  <c r="AS18" i="12"/>
  <c r="AS18" i="7"/>
  <c r="AS19" i="7"/>
  <c r="AS19" i="12"/>
  <c r="AS19" i="10"/>
  <c r="AS19" i="8"/>
  <c r="AS19" i="3"/>
  <c r="AS19" i="4"/>
  <c r="AS19" i="5"/>
  <c r="AR29" i="12"/>
  <c r="AR29" i="8"/>
  <c r="AR29" i="5"/>
  <c r="AR29" i="3"/>
  <c r="AR29" i="4"/>
  <c r="AR29" i="10"/>
  <c r="AR29" i="7"/>
  <c r="AS26" i="12"/>
  <c r="AS26" i="8"/>
  <c r="AS26" i="3"/>
  <c r="AS26" i="5"/>
  <c r="AS26" i="4"/>
  <c r="AS26" i="10"/>
  <c r="AS26" i="7"/>
  <c r="AS23" i="2"/>
  <c r="AS23" i="6" s="1"/>
  <c r="AS21" i="7"/>
  <c r="AS21" i="12"/>
  <c r="AS21" i="10"/>
  <c r="AS21" i="8"/>
  <c r="AS21" i="5"/>
  <c r="AS22" i="2"/>
  <c r="AS22" i="6" s="1"/>
  <c r="AS21" i="4"/>
  <c r="AS21" i="3"/>
  <c r="AS326" i="3" s="1"/>
  <c r="AS28" i="2"/>
  <c r="AS28" i="6" s="1"/>
  <c r="AS20" i="2"/>
  <c r="AS20" i="6" s="1"/>
  <c r="AS97" i="6" s="1"/>
  <c r="AS24" i="2"/>
  <c r="AS24" i="6" s="1"/>
  <c r="AS25" i="2"/>
  <c r="AS25" i="6" s="1"/>
  <c r="BH27" i="2"/>
  <c r="AT9" i="2"/>
  <c r="AT9" i="6" s="1"/>
  <c r="BH27" i="6" l="1"/>
  <c r="BH27" i="4"/>
  <c r="BH27" i="3"/>
  <c r="BH27" i="8"/>
  <c r="BH27" i="5"/>
  <c r="BH27" i="7"/>
  <c r="BH27" i="12"/>
  <c r="BH27" i="10"/>
  <c r="AS109" i="6"/>
  <c r="AS24" i="8"/>
  <c r="AS24" i="5"/>
  <c r="AS24" i="3"/>
  <c r="AS24" i="4"/>
  <c r="AS24" i="12"/>
  <c r="AS24" i="7"/>
  <c r="AS24" i="10"/>
  <c r="AS20" i="8"/>
  <c r="AS20" i="12"/>
  <c r="AS20" i="5"/>
  <c r="AS20" i="3"/>
  <c r="AS20" i="4"/>
  <c r="AS20" i="10"/>
  <c r="AS20" i="7"/>
  <c r="AS22" i="8"/>
  <c r="AS22" i="12"/>
  <c r="AS22" i="5"/>
  <c r="AS22" i="3"/>
  <c r="AS22" i="4"/>
  <c r="AS22" i="10"/>
  <c r="AS22" i="7"/>
  <c r="AS23" i="5"/>
  <c r="AS23" i="8"/>
  <c r="AS23" i="12"/>
  <c r="AS23" i="10"/>
  <c r="AS23" i="7"/>
  <c r="AS23" i="4"/>
  <c r="AS23" i="3"/>
  <c r="AS29" i="2"/>
  <c r="AS29" i="6" s="1"/>
  <c r="AS28" i="12"/>
  <c r="AS28" i="8"/>
  <c r="AS28" i="3"/>
  <c r="AS28" i="5"/>
  <c r="AS28" i="4"/>
  <c r="AS28" i="10"/>
  <c r="AS28" i="7"/>
  <c r="AS25" i="8"/>
  <c r="AS25" i="5"/>
  <c r="AS25" i="4"/>
  <c r="AS25" i="7"/>
  <c r="AS25" i="10"/>
  <c r="AS25" i="12"/>
  <c r="AS25" i="3"/>
  <c r="AT14" i="2"/>
  <c r="AT14" i="6" s="1"/>
  <c r="AT13" i="2"/>
  <c r="AT13" i="6" s="1"/>
  <c r="BI27" i="2"/>
  <c r="AT18" i="2"/>
  <c r="AT18" i="6" s="1"/>
  <c r="AT26" i="2"/>
  <c r="AT26" i="6" s="1"/>
  <c r="AT21" i="2"/>
  <c r="AT21" i="6" s="1"/>
  <c r="AU8" i="2"/>
  <c r="AU8" i="6" s="1"/>
  <c r="AT19" i="2"/>
  <c r="AT19" i="6" s="1"/>
  <c r="BI27" i="6" l="1"/>
  <c r="BI27" i="4"/>
  <c r="BI27" i="3"/>
  <c r="BI27" i="8"/>
  <c r="BI27" i="5"/>
  <c r="BI27" i="12"/>
  <c r="BI27" i="10"/>
  <c r="BI27" i="7"/>
  <c r="AT18" i="12"/>
  <c r="AT18" i="7"/>
  <c r="AT18" i="10"/>
  <c r="AT18" i="8"/>
  <c r="AT18" i="5"/>
  <c r="AT18" i="4"/>
  <c r="AT18" i="3"/>
  <c r="AS29" i="12"/>
  <c r="AS29" i="8"/>
  <c r="AS29" i="3"/>
  <c r="AS29" i="5"/>
  <c r="AS29" i="4"/>
  <c r="AS29" i="10"/>
  <c r="AS29" i="7"/>
  <c r="AT19" i="5"/>
  <c r="AT19" i="7"/>
  <c r="AT19" i="12"/>
  <c r="AT19" i="10"/>
  <c r="AT19" i="8"/>
  <c r="AT19" i="4"/>
  <c r="AT19" i="3"/>
  <c r="AT21" i="5"/>
  <c r="AT23" i="2"/>
  <c r="AT23" i="6" s="1"/>
  <c r="AT21" i="12"/>
  <c r="AT21" i="10"/>
  <c r="AT21" i="8"/>
  <c r="AT21" i="7"/>
  <c r="AT21" i="3"/>
  <c r="AT326" i="3" s="1"/>
  <c r="AT21" i="4"/>
  <c r="AT22" i="2"/>
  <c r="AT22" i="6" s="1"/>
  <c r="AT26" i="12"/>
  <c r="AT26" i="8"/>
  <c r="AT26" i="4"/>
  <c r="AT26" i="5"/>
  <c r="AT26" i="3"/>
  <c r="AT26" i="7"/>
  <c r="AT26" i="10"/>
  <c r="AT28" i="2"/>
  <c r="AT28" i="6" s="1"/>
  <c r="AU9" i="2"/>
  <c r="AT20" i="2"/>
  <c r="AT20" i="6" s="1"/>
  <c r="AT97" i="6" s="1"/>
  <c r="AT24" i="2"/>
  <c r="AT24" i="6" s="1"/>
  <c r="AT25" i="2"/>
  <c r="AT25" i="6" s="1"/>
  <c r="BJ27" i="2"/>
  <c r="BJ27" i="6" l="1"/>
  <c r="BJ27" i="5"/>
  <c r="BJ27" i="10"/>
  <c r="BJ27" i="8"/>
  <c r="BJ27" i="4"/>
  <c r="BJ27" i="3"/>
  <c r="BJ27" i="7"/>
  <c r="BJ27" i="12"/>
  <c r="AT109" i="6"/>
  <c r="AU14" i="2"/>
  <c r="AU14" i="6" s="1"/>
  <c r="AU9" i="6"/>
  <c r="AT25" i="12"/>
  <c r="AT25" i="3"/>
  <c r="AT25" i="5"/>
  <c r="AT25" i="4"/>
  <c r="AT25" i="10"/>
  <c r="AT25" i="7"/>
  <c r="AT25" i="8"/>
  <c r="AT28" i="12"/>
  <c r="AT28" i="8"/>
  <c r="AT28" i="3"/>
  <c r="AT28" i="4"/>
  <c r="AT28" i="5"/>
  <c r="AT28" i="10"/>
  <c r="AT28" i="7"/>
  <c r="AT24" i="10"/>
  <c r="AT24" i="5"/>
  <c r="AT24" i="3"/>
  <c r="AT24" i="4"/>
  <c r="AT24" i="12"/>
  <c r="AT24" i="7"/>
  <c r="AT24" i="8"/>
  <c r="AT23" i="5"/>
  <c r="AT23" i="10"/>
  <c r="AT23" i="7"/>
  <c r="AT23" i="8"/>
  <c r="AT23" i="12"/>
  <c r="AT23" i="3"/>
  <c r="AT23" i="4"/>
  <c r="AT22" i="10"/>
  <c r="AT22" i="12"/>
  <c r="AT22" i="7"/>
  <c r="AT22" i="8"/>
  <c r="AT22" i="3"/>
  <c r="AT22" i="4"/>
  <c r="AT22" i="5"/>
  <c r="AT20" i="12"/>
  <c r="AT20" i="10"/>
  <c r="AT20" i="7"/>
  <c r="AT20" i="8"/>
  <c r="AT20" i="3"/>
  <c r="AT20" i="4"/>
  <c r="AT20" i="5"/>
  <c r="AU13" i="2"/>
  <c r="AU13" i="6" s="1"/>
  <c r="AT29" i="2"/>
  <c r="AT29" i="6" s="1"/>
  <c r="AU28" i="2"/>
  <c r="AU28" i="6" s="1"/>
  <c r="BK27" i="2"/>
  <c r="AU18" i="2"/>
  <c r="AU18" i="6" s="1"/>
  <c r="AU21" i="2"/>
  <c r="AU21" i="6" s="1"/>
  <c r="AU19" i="2"/>
  <c r="AU19" i="6" s="1"/>
  <c r="AU26" i="2"/>
  <c r="AU26" i="6" s="1"/>
  <c r="AV8" i="2"/>
  <c r="AV8" i="6" s="1"/>
  <c r="BK27" i="6" l="1"/>
  <c r="BK27" i="8"/>
  <c r="BK27" i="5"/>
  <c r="BK27" i="10"/>
  <c r="BK27" i="4"/>
  <c r="BK27" i="3"/>
  <c r="BK27" i="12"/>
  <c r="BK27" i="7"/>
  <c r="AU19" i="12"/>
  <c r="AU19" i="10"/>
  <c r="AU19" i="7"/>
  <c r="AU19" i="8"/>
  <c r="AU19" i="5"/>
  <c r="AU19" i="3"/>
  <c r="AU19" i="4"/>
  <c r="AU21" i="8"/>
  <c r="AU21" i="7"/>
  <c r="AU23" i="2"/>
  <c r="AU23" i="6" s="1"/>
  <c r="AU21" i="12"/>
  <c r="AU21" i="5"/>
  <c r="AU21" i="10"/>
  <c r="AU21" i="4"/>
  <c r="AU22" i="2"/>
  <c r="AU22" i="6" s="1"/>
  <c r="AU21" i="3"/>
  <c r="AU326" i="3" s="1"/>
  <c r="AT29" i="12"/>
  <c r="AT29" i="8"/>
  <c r="AT29" i="10"/>
  <c r="AT29" i="5"/>
  <c r="AT29" i="4"/>
  <c r="AT29" i="3"/>
  <c r="AT29" i="7"/>
  <c r="AU26" i="10"/>
  <c r="AU26" i="12"/>
  <c r="AU26" i="8"/>
  <c r="AU26" i="5"/>
  <c r="AU26" i="3"/>
  <c r="AU26" i="4"/>
  <c r="AU26" i="7"/>
  <c r="AU28" i="10"/>
  <c r="AU28" i="12"/>
  <c r="AU28" i="7"/>
  <c r="AU28" i="8"/>
  <c r="AU28" i="5"/>
  <c r="AU28" i="3"/>
  <c r="AU28" i="4"/>
  <c r="AU18" i="12"/>
  <c r="AU18" i="7"/>
  <c r="AU18" i="8"/>
  <c r="AU18" i="10"/>
  <c r="AU18" i="4"/>
  <c r="AU18" i="5"/>
  <c r="AU18" i="3"/>
  <c r="AU29" i="2"/>
  <c r="AU29" i="6" s="1"/>
  <c r="AV9" i="2"/>
  <c r="AV9" i="6" s="1"/>
  <c r="AU20" i="2"/>
  <c r="AU20" i="6" s="1"/>
  <c r="AU109" i="6" s="1"/>
  <c r="BL27" i="2"/>
  <c r="AU25" i="2"/>
  <c r="AU25" i="6" s="1"/>
  <c r="AU24" i="2"/>
  <c r="AU24" i="6" s="1"/>
  <c r="BL27" i="6" l="1"/>
  <c r="BL27" i="8"/>
  <c r="BL27" i="5"/>
  <c r="BL27" i="3"/>
  <c r="BL27" i="4"/>
  <c r="BL27" i="10"/>
  <c r="BL27" i="12"/>
  <c r="BL27" i="7"/>
  <c r="AU97" i="6"/>
  <c r="AU20" i="8"/>
  <c r="AU20" i="10"/>
  <c r="AU20" i="12"/>
  <c r="AU20" i="7"/>
  <c r="AU20" i="5"/>
  <c r="AU20" i="3"/>
  <c r="AU20" i="4"/>
  <c r="AU22" i="10"/>
  <c r="AU22" i="8"/>
  <c r="AU22" i="12"/>
  <c r="AU22" i="7"/>
  <c r="AU22" i="5"/>
  <c r="AU22" i="3"/>
  <c r="AU22" i="4"/>
  <c r="AU24" i="8"/>
  <c r="AU24" i="3"/>
  <c r="AU24" i="10"/>
  <c r="AU24" i="7"/>
  <c r="AU24" i="12"/>
  <c r="AU24" i="4"/>
  <c r="AU24" i="5"/>
  <c r="AU25" i="12"/>
  <c r="AU25" i="10"/>
  <c r="AU25" i="8"/>
  <c r="AU25" i="5"/>
  <c r="AU25" i="3"/>
  <c r="AU25" i="4"/>
  <c r="AU25" i="7"/>
  <c r="AU29" i="12"/>
  <c r="AU29" i="10"/>
  <c r="AU29" i="8"/>
  <c r="AU29" i="5"/>
  <c r="AU29" i="3"/>
  <c r="AU29" i="4"/>
  <c r="AU29" i="7"/>
  <c r="AU23" i="7"/>
  <c r="AU23" i="8"/>
  <c r="AU23" i="12"/>
  <c r="AU23" i="10"/>
  <c r="AU23" i="5"/>
  <c r="AU23" i="3"/>
  <c r="AU23" i="4"/>
  <c r="AV13" i="2"/>
  <c r="AV13" i="6" s="1"/>
  <c r="AV14" i="2"/>
  <c r="AV14" i="6" s="1"/>
  <c r="BM27" i="2"/>
  <c r="AV18" i="2"/>
  <c r="AV18" i="6" s="1"/>
  <c r="AV26" i="2"/>
  <c r="AV26" i="6" s="1"/>
  <c r="AV21" i="2"/>
  <c r="AV21" i="6" s="1"/>
  <c r="AW8" i="2"/>
  <c r="AW8" i="6" s="1"/>
  <c r="AV19" i="2"/>
  <c r="AV19" i="6" s="1"/>
  <c r="BN27" i="2" l="1"/>
  <c r="BM27" i="6"/>
  <c r="BM27" i="3"/>
  <c r="BM27" i="4"/>
  <c r="BM27" i="8"/>
  <c r="BM27" i="5"/>
  <c r="BM27" i="12"/>
  <c r="BM27" i="7"/>
  <c r="BM27" i="10"/>
  <c r="AV26" i="8"/>
  <c r="AV26" i="5"/>
  <c r="AV26" i="3"/>
  <c r="AV26" i="4"/>
  <c r="AV26" i="10"/>
  <c r="AV26" i="12"/>
  <c r="AV26" i="7"/>
  <c r="AV19" i="5"/>
  <c r="AV19" i="4"/>
  <c r="AV19" i="10"/>
  <c r="AV19" i="12"/>
  <c r="AV19" i="8"/>
  <c r="AV19" i="7"/>
  <c r="AV19" i="3"/>
  <c r="AV18" i="12"/>
  <c r="AV18" i="10"/>
  <c r="AV18" i="7"/>
  <c r="AV18" i="8"/>
  <c r="AV18" i="4"/>
  <c r="AV18" i="5"/>
  <c r="AV18" i="3"/>
  <c r="AV21" i="5"/>
  <c r="AV21" i="4"/>
  <c r="AV23" i="2"/>
  <c r="AV23" i="6" s="1"/>
  <c r="AV21" i="10"/>
  <c r="AV21" i="12"/>
  <c r="AV21" i="7"/>
  <c r="AV21" i="8"/>
  <c r="AV21" i="3"/>
  <c r="AV326" i="3" s="1"/>
  <c r="AV22" i="2"/>
  <c r="AV22" i="6" s="1"/>
  <c r="AV28" i="2"/>
  <c r="AV28" i="6" s="1"/>
  <c r="AV20" i="2"/>
  <c r="AV20" i="6" s="1"/>
  <c r="AV109" i="6" s="1"/>
  <c r="AW9" i="2"/>
  <c r="AW9" i="6" s="1"/>
  <c r="AV24" i="2"/>
  <c r="AV24" i="6" s="1"/>
  <c r="AV25" i="2"/>
  <c r="AV25" i="6" s="1"/>
  <c r="BO27" i="2" l="1"/>
  <c r="BN27" i="6"/>
  <c r="BN27" i="4"/>
  <c r="BN27" i="3"/>
  <c r="BN27" i="8"/>
  <c r="BN27" i="5"/>
  <c r="BN27" i="12"/>
  <c r="BN27" i="7"/>
  <c r="BN27" i="10"/>
  <c r="AV97" i="6"/>
  <c r="AV23" i="10"/>
  <c r="AV23" i="5"/>
  <c r="AV23" i="4"/>
  <c r="AV23" i="12"/>
  <c r="AV23" i="7"/>
  <c r="AV23" i="8"/>
  <c r="AV23" i="3"/>
  <c r="AV25" i="5"/>
  <c r="AV25" i="4"/>
  <c r="AV25" i="10"/>
  <c r="AV25" i="7"/>
  <c r="AV25" i="8"/>
  <c r="AV25" i="12"/>
  <c r="AV25" i="3"/>
  <c r="AV29" i="2"/>
  <c r="AV29" i="6" s="1"/>
  <c r="AV28" i="8"/>
  <c r="AV28" i="5"/>
  <c r="AV28" i="3"/>
  <c r="AV28" i="4"/>
  <c r="AV28" i="10"/>
  <c r="AV28" i="12"/>
  <c r="AV28" i="7"/>
  <c r="AV20" i="12"/>
  <c r="AV20" i="10"/>
  <c r="AV20" i="8"/>
  <c r="AV20" i="7"/>
  <c r="AV20" i="5"/>
  <c r="AV20" i="4"/>
  <c r="AV20" i="3"/>
  <c r="AV22" i="7"/>
  <c r="AV22" i="8"/>
  <c r="AV22" i="5"/>
  <c r="AV22" i="12"/>
  <c r="AV22" i="10"/>
  <c r="AV22" i="3"/>
  <c r="AV22" i="4"/>
  <c r="AV24" i="7"/>
  <c r="AV24" i="12"/>
  <c r="AV24" i="10"/>
  <c r="AV24" i="8"/>
  <c r="AV24" i="3"/>
  <c r="AV24" i="4"/>
  <c r="AV24" i="5"/>
  <c r="AW14" i="2"/>
  <c r="AW14" i="6" s="1"/>
  <c r="AW18" i="2"/>
  <c r="AW18" i="6" s="1"/>
  <c r="AW26" i="2"/>
  <c r="AW26" i="6" s="1"/>
  <c r="AW21" i="2"/>
  <c r="AW21" i="6" s="1"/>
  <c r="AX8" i="2"/>
  <c r="AX8" i="6" s="1"/>
  <c r="AW19" i="2"/>
  <c r="AW19" i="6" s="1"/>
  <c r="AW13" i="2"/>
  <c r="AW13" i="6" s="1"/>
  <c r="BP27" i="2" l="1"/>
  <c r="BO27" i="6"/>
  <c r="BO27" i="7"/>
  <c r="BO27" i="4"/>
  <c r="BO27" i="3"/>
  <c r="BO27" i="10"/>
  <c r="BO27" i="8"/>
  <c r="BO27" i="5"/>
  <c r="BO27" i="12"/>
  <c r="AW26" i="8"/>
  <c r="AW26" i="3"/>
  <c r="AW26" i="5"/>
  <c r="AW26" i="4"/>
  <c r="AW26" i="10"/>
  <c r="AW26" i="12"/>
  <c r="AW26" i="7"/>
  <c r="AW19" i="8"/>
  <c r="AW19" i="5"/>
  <c r="AW19" i="3"/>
  <c r="AW19" i="4"/>
  <c r="AW19" i="10"/>
  <c r="AW19" i="12"/>
  <c r="AW19" i="7"/>
  <c r="AW18" i="12"/>
  <c r="AW18" i="10"/>
  <c r="AW18" i="8"/>
  <c r="AW18" i="7"/>
  <c r="AW18" i="5"/>
  <c r="AW18" i="4"/>
  <c r="AW18" i="3"/>
  <c r="AW21" i="10"/>
  <c r="AW21" i="8"/>
  <c r="AW21" i="12"/>
  <c r="AW21" i="3"/>
  <c r="AW326" i="3" s="1"/>
  <c r="AW21" i="5"/>
  <c r="AW21" i="4"/>
  <c r="AW23" i="2"/>
  <c r="AW23" i="6" s="1"/>
  <c r="AW21" i="7"/>
  <c r="AW22" i="2"/>
  <c r="AW22" i="6" s="1"/>
  <c r="AV29" i="12"/>
  <c r="AV29" i="8"/>
  <c r="AV29" i="5"/>
  <c r="AV29" i="3"/>
  <c r="AV29" i="4"/>
  <c r="AV29" i="10"/>
  <c r="AV29" i="7"/>
  <c r="AW28" i="2"/>
  <c r="AW28" i="6" s="1"/>
  <c r="AX9" i="2"/>
  <c r="AX9" i="6" s="1"/>
  <c r="AW25" i="2"/>
  <c r="AW25" i="6" s="1"/>
  <c r="AW24" i="2"/>
  <c r="AW24" i="6" s="1"/>
  <c r="AW20" i="2"/>
  <c r="AW20" i="6" s="1"/>
  <c r="AW109" i="6" s="1"/>
  <c r="BQ27" i="2" l="1"/>
  <c r="BP27" i="6"/>
  <c r="BP27" i="4"/>
  <c r="BP27" i="3"/>
  <c r="BP27" i="8"/>
  <c r="BP27" i="5"/>
  <c r="BP27" i="12"/>
  <c r="BP27" i="10"/>
  <c r="BP27" i="7"/>
  <c r="AW97" i="6"/>
  <c r="AW23" i="8"/>
  <c r="AW23" i="12"/>
  <c r="AW23" i="5"/>
  <c r="AW23" i="3"/>
  <c r="AW23" i="4"/>
  <c r="AW23" i="10"/>
  <c r="AW23" i="7"/>
  <c r="AW25" i="12"/>
  <c r="AW25" i="8"/>
  <c r="AW25" i="5"/>
  <c r="AW25" i="3"/>
  <c r="AW25" i="4"/>
  <c r="AW25" i="10"/>
  <c r="AW25" i="7"/>
  <c r="AW20" i="7"/>
  <c r="AW20" i="8"/>
  <c r="AW20" i="5"/>
  <c r="AW20" i="12"/>
  <c r="AW20" i="10"/>
  <c r="AW20" i="3"/>
  <c r="AW20" i="4"/>
  <c r="AW28" i="8"/>
  <c r="AW28" i="3"/>
  <c r="AW28" i="5"/>
  <c r="AW28" i="4"/>
  <c r="AW28" i="10"/>
  <c r="AW28" i="12"/>
  <c r="AW28" i="7"/>
  <c r="AW24" i="5"/>
  <c r="AW24" i="8"/>
  <c r="AW24" i="4"/>
  <c r="AW24" i="7"/>
  <c r="AW24" i="12"/>
  <c r="AW24" i="10"/>
  <c r="AW24" i="3"/>
  <c r="AW22" i="8"/>
  <c r="AW22" i="7"/>
  <c r="AW22" i="12"/>
  <c r="AW22" i="10"/>
  <c r="AW22" i="3"/>
  <c r="AW22" i="4"/>
  <c r="AW22" i="5"/>
  <c r="AW29" i="2"/>
  <c r="AW29" i="6" s="1"/>
  <c r="AX18" i="2"/>
  <c r="AX18" i="6" s="1"/>
  <c r="AX19" i="2"/>
  <c r="AX19" i="6" s="1"/>
  <c r="AX21" i="2"/>
  <c r="AX21" i="6" s="1"/>
  <c r="AY8" i="2"/>
  <c r="AY8" i="6" s="1"/>
  <c r="AX26" i="2"/>
  <c r="AX26" i="6" s="1"/>
  <c r="AX13" i="2"/>
  <c r="AX13" i="6" s="1"/>
  <c r="AX14" i="2"/>
  <c r="AX14" i="6" s="1"/>
  <c r="BR27" i="2" l="1"/>
  <c r="BQ27" i="6"/>
  <c r="BQ27" i="4"/>
  <c r="BQ27" i="3"/>
  <c r="BQ27" i="8"/>
  <c r="BQ27" i="5"/>
  <c r="BQ27" i="12"/>
  <c r="BQ27" i="10"/>
  <c r="BQ27" i="7"/>
  <c r="AW29" i="12"/>
  <c r="AW29" i="8"/>
  <c r="AW29" i="3"/>
  <c r="AW29" i="5"/>
  <c r="AW29" i="4"/>
  <c r="AW29" i="10"/>
  <c r="AW29" i="7"/>
  <c r="AX21" i="12"/>
  <c r="AX23" i="2"/>
  <c r="AX23" i="6" s="1"/>
  <c r="AX21" i="10"/>
  <c r="AX21" i="7"/>
  <c r="AX21" i="8"/>
  <c r="AX21" i="5"/>
  <c r="AX21" i="4"/>
  <c r="AX22" i="2"/>
  <c r="AX22" i="6" s="1"/>
  <c r="AX21" i="3"/>
  <c r="AX326" i="3" s="1"/>
  <c r="AX19" i="12"/>
  <c r="AX19" i="10"/>
  <c r="AX19" i="8"/>
  <c r="AX19" i="7"/>
  <c r="AX19" i="5"/>
  <c r="AX19" i="4"/>
  <c r="AX19" i="3"/>
  <c r="AX26" i="10"/>
  <c r="AX26" i="3"/>
  <c r="AX26" i="8"/>
  <c r="AX26" i="5"/>
  <c r="AX26" i="4"/>
  <c r="AX26" i="7"/>
  <c r="AX26" i="12"/>
  <c r="AX18" i="5"/>
  <c r="AX18" i="7"/>
  <c r="AX18" i="8"/>
  <c r="AX18" i="12"/>
  <c r="AX18" i="10"/>
  <c r="AX18" i="3"/>
  <c r="AX18" i="4"/>
  <c r="AY9" i="2"/>
  <c r="AX28" i="2"/>
  <c r="AX28" i="6" s="1"/>
  <c r="AX24" i="2"/>
  <c r="AX24" i="6" s="1"/>
  <c r="AX25" i="2"/>
  <c r="AX25" i="6" s="1"/>
  <c r="AX20" i="2"/>
  <c r="AX20" i="6" s="1"/>
  <c r="AX97" i="6" s="1"/>
  <c r="BS27" i="2" l="1"/>
  <c r="BR27" i="6"/>
  <c r="BR27" i="4"/>
  <c r="BR27" i="8"/>
  <c r="BR27" i="10"/>
  <c r="BR27" i="3"/>
  <c r="BR27" i="5"/>
  <c r="BR27" i="7"/>
  <c r="BR27" i="12"/>
  <c r="AY13" i="2"/>
  <c r="AY13" i="6" s="1"/>
  <c r="AY9" i="6"/>
  <c r="AX109" i="6"/>
  <c r="AX20" i="5"/>
  <c r="AX20" i="12"/>
  <c r="AX20" i="7"/>
  <c r="AX20" i="10"/>
  <c r="AX20" i="8"/>
  <c r="AX20" i="3"/>
  <c r="AX20" i="4"/>
  <c r="AX24" i="4"/>
  <c r="AX24" i="5"/>
  <c r="AX24" i="10"/>
  <c r="AX24" i="12"/>
  <c r="AX24" i="8"/>
  <c r="AX24" i="7"/>
  <c r="AX24" i="3"/>
  <c r="AX28" i="10"/>
  <c r="AX28" i="8"/>
  <c r="AX28" i="5"/>
  <c r="AX28" i="4"/>
  <c r="AX28" i="3"/>
  <c r="AX28" i="12"/>
  <c r="AX28" i="7"/>
  <c r="AX25" i="10"/>
  <c r="AX25" i="5"/>
  <c r="AX25" i="4"/>
  <c r="AX25" i="3"/>
  <c r="AX25" i="12"/>
  <c r="AX25" i="7"/>
  <c r="AX25" i="8"/>
  <c r="AX23" i="12"/>
  <c r="AX23" i="4"/>
  <c r="AX23" i="10"/>
  <c r="AX23" i="7"/>
  <c r="AX23" i="8"/>
  <c r="AX23" i="3"/>
  <c r="AX23" i="5"/>
  <c r="AX22" i="5"/>
  <c r="AX22" i="10"/>
  <c r="AX22" i="12"/>
  <c r="AX22" i="7"/>
  <c r="AX22" i="8"/>
  <c r="AX22" i="4"/>
  <c r="AX22" i="3"/>
  <c r="AY14" i="2"/>
  <c r="AX29" i="2"/>
  <c r="AX29" i="6" s="1"/>
  <c r="AY18" i="2"/>
  <c r="AY18" i="6" s="1"/>
  <c r="AY26" i="2"/>
  <c r="AY26" i="6" s="1"/>
  <c r="AY21" i="2"/>
  <c r="AY21" i="6" s="1"/>
  <c r="AY19" i="2"/>
  <c r="AY19" i="6" s="1"/>
  <c r="AZ8" i="2"/>
  <c r="AZ8" i="6" s="1"/>
  <c r="BT27" i="2" l="1"/>
  <c r="BS27" i="6"/>
  <c r="BS27" i="8"/>
  <c r="BS27" i="5"/>
  <c r="BS27" i="4"/>
  <c r="BS27" i="10"/>
  <c r="BS27" i="3"/>
  <c r="BS27" i="12"/>
  <c r="BS27" i="7"/>
  <c r="AY28" i="2"/>
  <c r="AY28" i="6" s="1"/>
  <c r="AY14" i="6"/>
  <c r="AY26" i="10"/>
  <c r="AY26" i="8"/>
  <c r="AY26" i="5"/>
  <c r="AY26" i="3"/>
  <c r="AY26" i="4"/>
  <c r="AY26" i="7"/>
  <c r="AY26" i="12"/>
  <c r="AY18" i="7"/>
  <c r="AY18" i="5"/>
  <c r="AY18" i="10"/>
  <c r="AY18" i="12"/>
  <c r="AY18" i="8"/>
  <c r="AY18" i="3"/>
  <c r="AY18" i="4"/>
  <c r="AX29" i="8"/>
  <c r="AX29" i="12"/>
  <c r="AX29" i="3"/>
  <c r="AX29" i="5"/>
  <c r="AX29" i="4"/>
  <c r="AX29" i="10"/>
  <c r="AX29" i="7"/>
  <c r="AY19" i="12"/>
  <c r="AY19" i="7"/>
  <c r="AY19" i="8"/>
  <c r="AY19" i="10"/>
  <c r="AY19" i="4"/>
  <c r="AY19" i="5"/>
  <c r="AY19" i="3"/>
  <c r="AY21" i="12"/>
  <c r="AY21" i="8"/>
  <c r="AY23" i="2"/>
  <c r="AY23" i="6" s="1"/>
  <c r="AY21" i="10"/>
  <c r="AY21" i="7"/>
  <c r="AY21" i="4"/>
  <c r="AY22" i="2"/>
  <c r="AY22" i="6" s="1"/>
  <c r="AY21" i="5"/>
  <c r="AY21" i="3"/>
  <c r="AY326" i="3" s="1"/>
  <c r="AY28" i="10"/>
  <c r="AY28" i="8"/>
  <c r="AY28" i="5"/>
  <c r="AY28" i="3"/>
  <c r="AY28" i="4"/>
  <c r="AY28" i="12"/>
  <c r="AY28" i="7"/>
  <c r="AY29" i="2"/>
  <c r="AY29" i="6" s="1"/>
  <c r="AY24" i="2"/>
  <c r="AY24" i="6" s="1"/>
  <c r="AY25" i="2"/>
  <c r="AY25" i="6" s="1"/>
  <c r="AZ9" i="2"/>
  <c r="AZ9" i="6" s="1"/>
  <c r="AY20" i="2"/>
  <c r="AY20" i="6" s="1"/>
  <c r="AY109" i="6" s="1"/>
  <c r="BU27" i="2" l="1"/>
  <c r="BT27" i="6"/>
  <c r="BT27" i="8"/>
  <c r="BT27" i="5"/>
  <c r="BT27" i="3"/>
  <c r="BT27" i="4"/>
  <c r="BT27" i="12"/>
  <c r="BT27" i="10"/>
  <c r="BT27" i="7"/>
  <c r="AY97" i="6"/>
  <c r="AY29" i="12"/>
  <c r="AY29" i="10"/>
  <c r="AY29" i="8"/>
  <c r="AY29" i="5"/>
  <c r="AY29" i="3"/>
  <c r="AY29" i="4"/>
  <c r="AY29" i="7"/>
  <c r="AY22" i="8"/>
  <c r="AY22" i="12"/>
  <c r="AY22" i="7"/>
  <c r="AY22" i="10"/>
  <c r="AY22" i="5"/>
  <c r="AY22" i="3"/>
  <c r="AY22" i="4"/>
  <c r="AY20" i="8"/>
  <c r="AY20" i="12"/>
  <c r="AY20" i="7"/>
  <c r="AY20" i="10"/>
  <c r="AY20" i="5"/>
  <c r="AY20" i="3"/>
  <c r="AY20" i="4"/>
  <c r="AY24" i="8"/>
  <c r="AY24" i="5"/>
  <c r="AY24" i="3"/>
  <c r="AY24" i="12"/>
  <c r="AY24" i="7"/>
  <c r="AY24" i="10"/>
  <c r="AY24" i="4"/>
  <c r="AY23" i="8"/>
  <c r="AY23" i="10"/>
  <c r="AY23" i="12"/>
  <c r="AY23" i="7"/>
  <c r="AY23" i="4"/>
  <c r="AY23" i="5"/>
  <c r="AY23" i="3"/>
  <c r="AY25" i="10"/>
  <c r="AY25" i="8"/>
  <c r="AY25" i="3"/>
  <c r="AY25" i="12"/>
  <c r="AY25" i="7"/>
  <c r="AY25" i="5"/>
  <c r="AY25" i="4"/>
  <c r="AZ18" i="2"/>
  <c r="AZ18" i="6" s="1"/>
  <c r="AZ26" i="2"/>
  <c r="AZ26" i="6" s="1"/>
  <c r="AZ19" i="2"/>
  <c r="AZ19" i="6" s="1"/>
  <c r="AZ21" i="2"/>
  <c r="AZ21" i="6" s="1"/>
  <c r="BA8" i="2"/>
  <c r="BA8" i="6" s="1"/>
  <c r="AZ14" i="2"/>
  <c r="AZ14" i="6" s="1"/>
  <c r="AZ13" i="2"/>
  <c r="AZ13" i="6" s="1"/>
  <c r="BV27" i="2" l="1"/>
  <c r="BU27" i="6"/>
  <c r="BU27" i="3"/>
  <c r="BU27" i="8"/>
  <c r="BU27" i="5"/>
  <c r="BU27" i="4"/>
  <c r="BU27" i="12"/>
  <c r="BU27" i="7"/>
  <c r="BU27" i="10"/>
  <c r="AZ23" i="2"/>
  <c r="AZ23" i="6" s="1"/>
  <c r="AZ21" i="12"/>
  <c r="AZ21" i="10"/>
  <c r="AZ21" i="7"/>
  <c r="AZ21" i="8"/>
  <c r="AZ21" i="5"/>
  <c r="AZ22" i="2"/>
  <c r="AZ22" i="6" s="1"/>
  <c r="AZ21" i="4"/>
  <c r="AZ21" i="3"/>
  <c r="AZ326" i="3" s="1"/>
  <c r="AZ19" i="7"/>
  <c r="AZ19" i="12"/>
  <c r="AZ19" i="10"/>
  <c r="AZ19" i="8"/>
  <c r="AZ19" i="3"/>
  <c r="AZ19" i="4"/>
  <c r="AZ19" i="5"/>
  <c r="AZ26" i="8"/>
  <c r="AZ26" i="5"/>
  <c r="AZ26" i="3"/>
  <c r="AZ26" i="4"/>
  <c r="AZ26" i="10"/>
  <c r="AZ26" i="12"/>
  <c r="AZ26" i="7"/>
  <c r="AZ18" i="5"/>
  <c r="AZ18" i="4"/>
  <c r="AZ18" i="10"/>
  <c r="AZ18" i="12"/>
  <c r="AZ18" i="7"/>
  <c r="AZ18" i="8"/>
  <c r="AZ18" i="3"/>
  <c r="AZ20" i="2"/>
  <c r="AZ20" i="6" s="1"/>
  <c r="AZ109" i="6" s="1"/>
  <c r="BA9" i="2"/>
  <c r="BA9" i="6" s="1"/>
  <c r="AZ24" i="2"/>
  <c r="AZ24" i="6" s="1"/>
  <c r="AZ25" i="2"/>
  <c r="AZ25" i="6" s="1"/>
  <c r="AZ28" i="2"/>
  <c r="AZ28" i="6" s="1"/>
  <c r="BW27" i="2" l="1"/>
  <c r="BV27" i="6"/>
  <c r="BV27" i="4"/>
  <c r="BV27" i="3"/>
  <c r="BV27" i="8"/>
  <c r="BV27" i="5"/>
  <c r="BV27" i="12"/>
  <c r="BV27" i="7"/>
  <c r="BV27" i="10"/>
  <c r="AZ97" i="6"/>
  <c r="AZ22" i="5"/>
  <c r="AZ22" i="4"/>
  <c r="AZ22" i="10"/>
  <c r="AZ22" i="12"/>
  <c r="AZ22" i="8"/>
  <c r="AZ22" i="7"/>
  <c r="AZ22" i="3"/>
  <c r="AZ20" i="5"/>
  <c r="AZ20" i="4"/>
  <c r="AZ20" i="10"/>
  <c r="AZ20" i="7"/>
  <c r="AZ20" i="8"/>
  <c r="AZ20" i="12"/>
  <c r="AZ20" i="3"/>
  <c r="AZ28" i="8"/>
  <c r="AZ28" i="5"/>
  <c r="AZ28" i="3"/>
  <c r="AZ28" i="4"/>
  <c r="AZ28" i="10"/>
  <c r="AZ28" i="12"/>
  <c r="AZ28" i="7"/>
  <c r="AZ25" i="7"/>
  <c r="AZ25" i="8"/>
  <c r="AZ25" i="5"/>
  <c r="AZ25" i="12"/>
  <c r="AZ25" i="10"/>
  <c r="AZ25" i="3"/>
  <c r="AZ25" i="4"/>
  <c r="AZ24" i="10"/>
  <c r="AZ24" i="5"/>
  <c r="AZ24" i="4"/>
  <c r="AZ24" i="7"/>
  <c r="AZ24" i="12"/>
  <c r="AZ24" i="8"/>
  <c r="AZ24" i="3"/>
  <c r="AZ23" i="12"/>
  <c r="AZ23" i="10"/>
  <c r="AZ23" i="8"/>
  <c r="AZ23" i="7"/>
  <c r="AZ23" i="5"/>
  <c r="AZ23" i="4"/>
  <c r="AZ23" i="3"/>
  <c r="AZ29" i="2"/>
  <c r="AZ29" i="6" s="1"/>
  <c r="BA13" i="2"/>
  <c r="BA13" i="6" s="1"/>
  <c r="BA14" i="2"/>
  <c r="BA14" i="6" s="1"/>
  <c r="BA18" i="2"/>
  <c r="BA18" i="6" s="1"/>
  <c r="BA19" i="2"/>
  <c r="BA19" i="6" s="1"/>
  <c r="BA26" i="2"/>
  <c r="BA26" i="6" s="1"/>
  <c r="BA21" i="2"/>
  <c r="BA21" i="6" s="1"/>
  <c r="BB8" i="2"/>
  <c r="BB8" i="6" s="1"/>
  <c r="BX27" i="2" l="1"/>
  <c r="BW27" i="6"/>
  <c r="BW27" i="12"/>
  <c r="BW27" i="4"/>
  <c r="BW27" i="7"/>
  <c r="BW27" i="3"/>
  <c r="BW27" i="8"/>
  <c r="BW27" i="5"/>
  <c r="BW27" i="10"/>
  <c r="BA21" i="8"/>
  <c r="BA23" i="2"/>
  <c r="BA23" i="6" s="1"/>
  <c r="BA21" i="12"/>
  <c r="BA21" i="10"/>
  <c r="BA21" i="7"/>
  <c r="BA21" i="5"/>
  <c r="BA22" i="2"/>
  <c r="BA22" i="6" s="1"/>
  <c r="BA21" i="4"/>
  <c r="BA21" i="3"/>
  <c r="BA326" i="3" s="1"/>
  <c r="BA18" i="12"/>
  <c r="BA18" i="8"/>
  <c r="BA18" i="5"/>
  <c r="BA18" i="3"/>
  <c r="BA18" i="4"/>
  <c r="BA18" i="10"/>
  <c r="BA18" i="7"/>
  <c r="BA26" i="12"/>
  <c r="BA26" i="8"/>
  <c r="BA26" i="3"/>
  <c r="BA26" i="5"/>
  <c r="BA26" i="4"/>
  <c r="BA26" i="10"/>
  <c r="BA26" i="7"/>
  <c r="BA19" i="7"/>
  <c r="BA19" i="12"/>
  <c r="BA19" i="10"/>
  <c r="BA19" i="8"/>
  <c r="BA19" i="5"/>
  <c r="BA19" i="4"/>
  <c r="BA19" i="3"/>
  <c r="AZ29" i="12"/>
  <c r="AZ29" i="8"/>
  <c r="AZ29" i="5"/>
  <c r="AZ29" i="3"/>
  <c r="AZ29" i="4"/>
  <c r="AZ29" i="10"/>
  <c r="AZ29" i="7"/>
  <c r="BA28" i="2"/>
  <c r="BA28" i="6" s="1"/>
  <c r="BA20" i="2"/>
  <c r="BA20" i="6" s="1"/>
  <c r="BA97" i="6" s="1"/>
  <c r="BB9" i="2"/>
  <c r="BB9" i="6" s="1"/>
  <c r="BA24" i="2"/>
  <c r="BA24" i="6" s="1"/>
  <c r="BA25" i="2"/>
  <c r="BA25" i="6" s="1"/>
  <c r="BY27" i="2" l="1"/>
  <c r="BX27" i="6"/>
  <c r="BX27" i="4"/>
  <c r="BX27" i="3"/>
  <c r="BX27" i="8"/>
  <c r="BX27" i="5"/>
  <c r="BX27" i="12"/>
  <c r="BX27" i="10"/>
  <c r="BX27" i="7"/>
  <c r="BA109" i="6"/>
  <c r="BA22" i="8"/>
  <c r="BA22" i="5"/>
  <c r="BA22" i="3"/>
  <c r="BA22" i="4"/>
  <c r="BA22" i="10"/>
  <c r="BA22" i="12"/>
  <c r="BA22" i="7"/>
  <c r="BA25" i="8"/>
  <c r="BA25" i="5"/>
  <c r="BA25" i="4"/>
  <c r="BA25" i="7"/>
  <c r="BA25" i="12"/>
  <c r="BA25" i="10"/>
  <c r="BA25" i="3"/>
  <c r="BA28" i="12"/>
  <c r="BA28" i="8"/>
  <c r="BA28" i="3"/>
  <c r="BA28" i="5"/>
  <c r="BA28" i="4"/>
  <c r="BA28" i="10"/>
  <c r="BA28" i="7"/>
  <c r="BA20" i="10"/>
  <c r="BA20" i="8"/>
  <c r="BA20" i="5"/>
  <c r="BA20" i="4"/>
  <c r="BA20" i="3"/>
  <c r="BA20" i="12"/>
  <c r="BA20" i="7"/>
  <c r="BA24" i="12"/>
  <c r="BA24" i="10"/>
  <c r="BA24" i="8"/>
  <c r="BA24" i="5"/>
  <c r="BA24" i="3"/>
  <c r="BA24" i="4"/>
  <c r="BA24" i="7"/>
  <c r="BA23" i="8"/>
  <c r="BA23" i="5"/>
  <c r="BA23" i="7"/>
  <c r="BA23" i="12"/>
  <c r="BA23" i="10"/>
  <c r="BA23" i="3"/>
  <c r="BA23" i="4"/>
  <c r="BB14" i="2"/>
  <c r="BB14" i="6" s="1"/>
  <c r="BA29" i="2"/>
  <c r="BA29" i="6" s="1"/>
  <c r="BB13" i="2"/>
  <c r="BB13" i="6" s="1"/>
  <c r="BB18" i="2"/>
  <c r="BB18" i="6" s="1"/>
  <c r="BB21" i="2"/>
  <c r="BB21" i="6" s="1"/>
  <c r="BC8" i="2"/>
  <c r="BC8" i="6" s="1"/>
  <c r="BB26" i="2"/>
  <c r="BB26" i="6" s="1"/>
  <c r="BB19" i="2"/>
  <c r="BB19" i="6" s="1"/>
  <c r="BZ27" i="2" l="1"/>
  <c r="BY27" i="6"/>
  <c r="BY27" i="4"/>
  <c r="BY27" i="3"/>
  <c r="BY27" i="8"/>
  <c r="BY27" i="5"/>
  <c r="BY27" i="12"/>
  <c r="BY27" i="10"/>
  <c r="BY27" i="7"/>
  <c r="BB19" i="12"/>
  <c r="BB19" i="5"/>
  <c r="BB19" i="10"/>
  <c r="BB19" i="8"/>
  <c r="BB19" i="7"/>
  <c r="BB19" i="4"/>
  <c r="BB19" i="3"/>
  <c r="BB18" i="12"/>
  <c r="BB18" i="7"/>
  <c r="BB18" i="8"/>
  <c r="BB18" i="10"/>
  <c r="BB18" i="3"/>
  <c r="BB18" i="4"/>
  <c r="BB18" i="5"/>
  <c r="BB26" i="12"/>
  <c r="BB26" i="8"/>
  <c r="BB26" i="5"/>
  <c r="BB26" i="4"/>
  <c r="BB26" i="3"/>
  <c r="BB26" i="10"/>
  <c r="BB26" i="7"/>
  <c r="BA29" i="12"/>
  <c r="BA29" i="8"/>
  <c r="BA29" i="3"/>
  <c r="BA29" i="5"/>
  <c r="BA29" i="4"/>
  <c r="BA29" i="10"/>
  <c r="BA29" i="7"/>
  <c r="BB21" i="5"/>
  <c r="BB23" i="2"/>
  <c r="BB23" i="6" s="1"/>
  <c r="BB21" i="7"/>
  <c r="BB21" i="8"/>
  <c r="BB21" i="12"/>
  <c r="BB21" i="10"/>
  <c r="BB21" i="3"/>
  <c r="BB326" i="3" s="1"/>
  <c r="BB21" i="4"/>
  <c r="BB22" i="2"/>
  <c r="BB22" i="6" s="1"/>
  <c r="BB28" i="2"/>
  <c r="BB28" i="6" s="1"/>
  <c r="BB20" i="2"/>
  <c r="BB20" i="6" s="1"/>
  <c r="BB109" i="6" s="1"/>
  <c r="BC9" i="2"/>
  <c r="BC9" i="6" s="1"/>
  <c r="BB24" i="2"/>
  <c r="BB24" i="6" s="1"/>
  <c r="BB25" i="2"/>
  <c r="BB25" i="6" s="1"/>
  <c r="CA27" i="2" l="1"/>
  <c r="BZ27" i="6"/>
  <c r="BZ27" i="10"/>
  <c r="BZ27" i="8"/>
  <c r="BZ27" i="5"/>
  <c r="BZ27" i="4"/>
  <c r="BZ27" i="3"/>
  <c r="BZ27" i="7"/>
  <c r="BZ27" i="12"/>
  <c r="BB97" i="6"/>
  <c r="BB20" i="10"/>
  <c r="BB20" i="12"/>
  <c r="BB20" i="7"/>
  <c r="BB20" i="8"/>
  <c r="BB20" i="3"/>
  <c r="BB20" i="4"/>
  <c r="BB20" i="5"/>
  <c r="BB25" i="5"/>
  <c r="BB25" i="3"/>
  <c r="BB25" i="4"/>
  <c r="BB25" i="10"/>
  <c r="BB25" i="7"/>
  <c r="BB25" i="8"/>
  <c r="BB25" i="12"/>
  <c r="BB28" i="12"/>
  <c r="BB28" i="8"/>
  <c r="BB28" i="3"/>
  <c r="BB28" i="5"/>
  <c r="BB28" i="4"/>
  <c r="BB28" i="10"/>
  <c r="BB28" i="7"/>
  <c r="BB24" i="12"/>
  <c r="BB24" i="5"/>
  <c r="BB24" i="3"/>
  <c r="BB24" i="4"/>
  <c r="BB24" i="10"/>
  <c r="BB24" i="7"/>
  <c r="BB24" i="8"/>
  <c r="BB22" i="10"/>
  <c r="BB22" i="12"/>
  <c r="BB22" i="8"/>
  <c r="BB22" i="7"/>
  <c r="BB22" i="5"/>
  <c r="BB22" i="4"/>
  <c r="BB22" i="3"/>
  <c r="BB23" i="10"/>
  <c r="BB23" i="5"/>
  <c r="BB23" i="12"/>
  <c r="BB23" i="7"/>
  <c r="BB23" i="8"/>
  <c r="BB23" i="3"/>
  <c r="BB23" i="4"/>
  <c r="BB29" i="2"/>
  <c r="BB29" i="6" s="1"/>
  <c r="BC13" i="2"/>
  <c r="BC13" i="6" s="1"/>
  <c r="BC14" i="2"/>
  <c r="BC14" i="6" s="1"/>
  <c r="BC18" i="2"/>
  <c r="BC18" i="6" s="1"/>
  <c r="BC26" i="2"/>
  <c r="BC26" i="6" s="1"/>
  <c r="BC19" i="2"/>
  <c r="BC19" i="6" s="1"/>
  <c r="BC21" i="2"/>
  <c r="BC21" i="6" s="1"/>
  <c r="BD8" i="2"/>
  <c r="BD8" i="6" s="1"/>
  <c r="CB27" i="2" l="1"/>
  <c r="CA27" i="6"/>
  <c r="CA27" i="8"/>
  <c r="CA27" i="5"/>
  <c r="CA27" i="10"/>
  <c r="CA27" i="4"/>
  <c r="CA27" i="3"/>
  <c r="CA27" i="12"/>
  <c r="CA27" i="7"/>
  <c r="BC26" i="10"/>
  <c r="BC26" i="12"/>
  <c r="BC26" i="8"/>
  <c r="BC26" i="5"/>
  <c r="BC26" i="3"/>
  <c r="BC26" i="4"/>
  <c r="BC26" i="7"/>
  <c r="BC18" i="12"/>
  <c r="BC18" i="7"/>
  <c r="BC18" i="10"/>
  <c r="BC18" i="8"/>
  <c r="BC18" i="5"/>
  <c r="BC18" i="3"/>
  <c r="BC18" i="4"/>
  <c r="BC21" i="8"/>
  <c r="BC23" i="2"/>
  <c r="BC23" i="6" s="1"/>
  <c r="BC21" i="12"/>
  <c r="BC21" i="7"/>
  <c r="BC21" i="5"/>
  <c r="BC21" i="10"/>
  <c r="BC21" i="3"/>
  <c r="BC326" i="3" s="1"/>
  <c r="BC22" i="2"/>
  <c r="BC22" i="6" s="1"/>
  <c r="BC21" i="4"/>
  <c r="BC19" i="12"/>
  <c r="BC19" i="7"/>
  <c r="BC19" i="8"/>
  <c r="BC19" i="10"/>
  <c r="BC19" i="5"/>
  <c r="BC19" i="4"/>
  <c r="BC19" i="3"/>
  <c r="BB29" i="10"/>
  <c r="BB29" i="12"/>
  <c r="BB29" i="8"/>
  <c r="BB29" i="4"/>
  <c r="BB29" i="5"/>
  <c r="BB29" i="3"/>
  <c r="BB29" i="7"/>
  <c r="BC28" i="2"/>
  <c r="BC28" i="6" s="1"/>
  <c r="BD9" i="2"/>
  <c r="BD9" i="6" s="1"/>
  <c r="BC24" i="2"/>
  <c r="BC24" i="6" s="1"/>
  <c r="BC25" i="2"/>
  <c r="BC25" i="6" s="1"/>
  <c r="BC20" i="2"/>
  <c r="BC20" i="6" s="1"/>
  <c r="BC109" i="6" s="1"/>
  <c r="CC27" i="2" l="1"/>
  <c r="CB27" i="6"/>
  <c r="CB27" i="8"/>
  <c r="CB27" i="5"/>
  <c r="CB27" i="4"/>
  <c r="CB27" i="3"/>
  <c r="CB27" i="7"/>
  <c r="CB27" i="10"/>
  <c r="CB27" i="12"/>
  <c r="BC97" i="6"/>
  <c r="BC20" i="12"/>
  <c r="BC20" i="8"/>
  <c r="BC20" i="10"/>
  <c r="BC20" i="7"/>
  <c r="BC20" i="5"/>
  <c r="BC20" i="3"/>
  <c r="BC20" i="4"/>
  <c r="BC28" i="12"/>
  <c r="BC28" i="10"/>
  <c r="BC28" i="8"/>
  <c r="BC28" i="7"/>
  <c r="BC28" i="5"/>
  <c r="BC28" i="3"/>
  <c r="BC28" i="4"/>
  <c r="BC25" i="8"/>
  <c r="BC25" i="5"/>
  <c r="BC25" i="3"/>
  <c r="BC25" i="4"/>
  <c r="BC25" i="10"/>
  <c r="BC25" i="12"/>
  <c r="BC25" i="7"/>
  <c r="BC23" i="8"/>
  <c r="BC23" i="12"/>
  <c r="BC23" i="7"/>
  <c r="BC23" i="10"/>
  <c r="BC23" i="5"/>
  <c r="BC23" i="3"/>
  <c r="BC23" i="4"/>
  <c r="BC24" i="12"/>
  <c r="BC24" i="8"/>
  <c r="BC24" i="3"/>
  <c r="BC24" i="10"/>
  <c r="BC24" i="7"/>
  <c r="BC24" i="4"/>
  <c r="BC24" i="5"/>
  <c r="BC22" i="12"/>
  <c r="BC22" i="8"/>
  <c r="BC22" i="10"/>
  <c r="BC22" i="7"/>
  <c r="BC22" i="4"/>
  <c r="BC22" i="5"/>
  <c r="BC22" i="3"/>
  <c r="BD13" i="2"/>
  <c r="BD13" i="6" s="1"/>
  <c r="BC29" i="2"/>
  <c r="BC29" i="6" s="1"/>
  <c r="BD14" i="2"/>
  <c r="BD14" i="6" s="1"/>
  <c r="BD18" i="2"/>
  <c r="BD18" i="6" s="1"/>
  <c r="BD26" i="2"/>
  <c r="BD26" i="6" s="1"/>
  <c r="BD19" i="2"/>
  <c r="BD19" i="6" s="1"/>
  <c r="BD21" i="2"/>
  <c r="BD21" i="6" s="1"/>
  <c r="BE8" i="2"/>
  <c r="BE8" i="6" s="1"/>
  <c r="CD27" i="2" l="1"/>
  <c r="CC27" i="6"/>
  <c r="CC27" i="3"/>
  <c r="CC27" i="12"/>
  <c r="CC27" i="8"/>
  <c r="CC27" i="5"/>
  <c r="CC27" i="4"/>
  <c r="CC27" i="10"/>
  <c r="CC27" i="7"/>
  <c r="BD18" i="12"/>
  <c r="BD18" i="10"/>
  <c r="BD18" i="7"/>
  <c r="BD18" i="8"/>
  <c r="BD18" i="5"/>
  <c r="BD18" i="4"/>
  <c r="BD18" i="3"/>
  <c r="BD21" i="5"/>
  <c r="BD21" i="4"/>
  <c r="BD23" i="2"/>
  <c r="BD23" i="6" s="1"/>
  <c r="BD21" i="10"/>
  <c r="BD21" i="12"/>
  <c r="BD21" i="7"/>
  <c r="BD21" i="8"/>
  <c r="BD22" i="2"/>
  <c r="BD22" i="6" s="1"/>
  <c r="BD21" i="3"/>
  <c r="BD326" i="3" s="1"/>
  <c r="BC29" i="12"/>
  <c r="BC29" i="10"/>
  <c r="BC29" i="8"/>
  <c r="BC29" i="5"/>
  <c r="BC29" i="3"/>
  <c r="BC29" i="4"/>
  <c r="BC29" i="7"/>
  <c r="BD19" i="10"/>
  <c r="BD19" i="5"/>
  <c r="BD19" i="4"/>
  <c r="BD19" i="12"/>
  <c r="BD19" i="7"/>
  <c r="BD19" i="8"/>
  <c r="BD19" i="3"/>
  <c r="BD26" i="8"/>
  <c r="BD26" i="5"/>
  <c r="BD26" i="3"/>
  <c r="BD26" i="4"/>
  <c r="BD26" i="10"/>
  <c r="BD26" i="12"/>
  <c r="BD26" i="7"/>
  <c r="BE9" i="2"/>
  <c r="BE9" i="6" s="1"/>
  <c r="BD24" i="2"/>
  <c r="BD24" i="6" s="1"/>
  <c r="BD25" i="2"/>
  <c r="BD25" i="6" s="1"/>
  <c r="BD28" i="2"/>
  <c r="BD28" i="6" s="1"/>
  <c r="BD20" i="2"/>
  <c r="BD20" i="6" s="1"/>
  <c r="BD97" i="6" s="1"/>
  <c r="CE27" i="2" l="1"/>
  <c r="CD27" i="6"/>
  <c r="CD27" i="4"/>
  <c r="CD27" i="3"/>
  <c r="CD27" i="12"/>
  <c r="CD27" i="8"/>
  <c r="CD27" i="5"/>
  <c r="CD27" i="7"/>
  <c r="CD27" i="10"/>
  <c r="BD109" i="6"/>
  <c r="BD23" i="4"/>
  <c r="BD23" i="5"/>
  <c r="BD23" i="7"/>
  <c r="BD23" i="10"/>
  <c r="BD23" i="8"/>
  <c r="BD23" i="12"/>
  <c r="BD23" i="3"/>
  <c r="BD20" i="7"/>
  <c r="BD20" i="12"/>
  <c r="BD20" i="8"/>
  <c r="BD20" i="10"/>
  <c r="BD20" i="5"/>
  <c r="BD20" i="3"/>
  <c r="BD20" i="4"/>
  <c r="BD24" i="7"/>
  <c r="BD24" i="12"/>
  <c r="BD24" i="10"/>
  <c r="BD24" i="8"/>
  <c r="BD24" i="5"/>
  <c r="BD24" i="4"/>
  <c r="BD24" i="3"/>
  <c r="BD28" i="8"/>
  <c r="BD28" i="5"/>
  <c r="BD28" i="3"/>
  <c r="BD28" i="4"/>
  <c r="BD28" i="10"/>
  <c r="BD28" i="7"/>
  <c r="BD28" i="12"/>
  <c r="BD25" i="4"/>
  <c r="BD25" i="5"/>
  <c r="BD25" i="7"/>
  <c r="BD25" i="10"/>
  <c r="BD25" i="12"/>
  <c r="BD25" i="8"/>
  <c r="BD25" i="3"/>
  <c r="BD22" i="7"/>
  <c r="BD22" i="12"/>
  <c r="BD22" i="10"/>
  <c r="BD22" i="8"/>
  <c r="BD22" i="5"/>
  <c r="BD22" i="3"/>
  <c r="BD22" i="4"/>
  <c r="BD29" i="2"/>
  <c r="BD29" i="6" s="1"/>
  <c r="BE18" i="2"/>
  <c r="BE18" i="6" s="1"/>
  <c r="BE26" i="2"/>
  <c r="BE26" i="6" s="1"/>
  <c r="BF8" i="2"/>
  <c r="BF8" i="6" s="1"/>
  <c r="BE19" i="2"/>
  <c r="BE19" i="6" s="1"/>
  <c r="BE21" i="2"/>
  <c r="BE21" i="6" s="1"/>
  <c r="BE13" i="2"/>
  <c r="BE13" i="6" s="1"/>
  <c r="BE14" i="2"/>
  <c r="BE14" i="6" s="1"/>
  <c r="CF27" i="2" l="1"/>
  <c r="CE27" i="6"/>
  <c r="CE27" i="4"/>
  <c r="CE27" i="10"/>
  <c r="CE27" i="3"/>
  <c r="CE27" i="12"/>
  <c r="CE27" i="8"/>
  <c r="CE27" i="5"/>
  <c r="CE27" i="7"/>
  <c r="BE26" i="8"/>
  <c r="BE26" i="3"/>
  <c r="BE26" i="5"/>
  <c r="BE26" i="4"/>
  <c r="BE26" i="10"/>
  <c r="BE26" i="7"/>
  <c r="BE26" i="12"/>
  <c r="BE21" i="8"/>
  <c r="BE21" i="5"/>
  <c r="BE21" i="3"/>
  <c r="BE326" i="3" s="1"/>
  <c r="BE23" i="2"/>
  <c r="BE23" i="6" s="1"/>
  <c r="BE21" i="4"/>
  <c r="BE21" i="10"/>
  <c r="BE21" i="12"/>
  <c r="BE21" i="7"/>
  <c r="BE22" i="2"/>
  <c r="BE22" i="6" s="1"/>
  <c r="BE18" i="7"/>
  <c r="BE18" i="12"/>
  <c r="BE18" i="8"/>
  <c r="BE18" i="10"/>
  <c r="BE18" i="5"/>
  <c r="BE18" i="3"/>
  <c r="BE18" i="4"/>
  <c r="BE19" i="8"/>
  <c r="BE19" i="3"/>
  <c r="BE19" i="4"/>
  <c r="BE19" i="5"/>
  <c r="BE19" i="10"/>
  <c r="BE19" i="12"/>
  <c r="BE19" i="7"/>
  <c r="BD29" i="12"/>
  <c r="BD29" i="8"/>
  <c r="BD29" i="5"/>
  <c r="BD29" i="3"/>
  <c r="BD29" i="4"/>
  <c r="BD29" i="10"/>
  <c r="BD29" i="7"/>
  <c r="BE28" i="2"/>
  <c r="BE28" i="6" s="1"/>
  <c r="BE20" i="2"/>
  <c r="BE20" i="6" s="1"/>
  <c r="BE109" i="6" s="1"/>
  <c r="BF9" i="2"/>
  <c r="BF9" i="6" s="1"/>
  <c r="BE24" i="2"/>
  <c r="BE24" i="6" s="1"/>
  <c r="BE25" i="2"/>
  <c r="BE25" i="6" s="1"/>
  <c r="CG27" i="2" l="1"/>
  <c r="CF27" i="6"/>
  <c r="CF27" i="4"/>
  <c r="CF27" i="3"/>
  <c r="CF27" i="8"/>
  <c r="CF27" i="5"/>
  <c r="CF27" i="12"/>
  <c r="CF27" i="10"/>
  <c r="CF27" i="7"/>
  <c r="BE97" i="6"/>
  <c r="BE25" i="10"/>
  <c r="BE25" i="8"/>
  <c r="BE25" i="5"/>
  <c r="BE25" i="3"/>
  <c r="BE25" i="4"/>
  <c r="BE25" i="12"/>
  <c r="BE25" i="7"/>
  <c r="BE24" i="8"/>
  <c r="BE24" i="5"/>
  <c r="BE24" i="4"/>
  <c r="BE24" i="12"/>
  <c r="BE24" i="10"/>
  <c r="BE24" i="7"/>
  <c r="BE24" i="3"/>
  <c r="BE22" i="8"/>
  <c r="BE22" i="7"/>
  <c r="BE22" i="12"/>
  <c r="BE22" i="10"/>
  <c r="BE22" i="5"/>
  <c r="BE22" i="4"/>
  <c r="BE22" i="3"/>
  <c r="BE20" i="7"/>
  <c r="BE20" i="12"/>
  <c r="BE20" i="10"/>
  <c r="BE20" i="8"/>
  <c r="BE20" i="5"/>
  <c r="BE20" i="3"/>
  <c r="BE20" i="4"/>
  <c r="BE28" i="8"/>
  <c r="BE28" i="3"/>
  <c r="BE28" i="5"/>
  <c r="BE28" i="4"/>
  <c r="BE28" i="10"/>
  <c r="BE28" i="12"/>
  <c r="BE28" i="7"/>
  <c r="BE23" i="8"/>
  <c r="BE23" i="5"/>
  <c r="BE23" i="4"/>
  <c r="BE23" i="3"/>
  <c r="BE23" i="10"/>
  <c r="BE23" i="7"/>
  <c r="BE23" i="12"/>
  <c r="BF14" i="2"/>
  <c r="BF14" i="6" s="1"/>
  <c r="BE29" i="2"/>
  <c r="BE29" i="6" s="1"/>
  <c r="BF18" i="2"/>
  <c r="BF18" i="6" s="1"/>
  <c r="BF26" i="2"/>
  <c r="BF26" i="6" s="1"/>
  <c r="BF19" i="2"/>
  <c r="BF19" i="6" s="1"/>
  <c r="BF21" i="2"/>
  <c r="BF21" i="6" s="1"/>
  <c r="BG8" i="2"/>
  <c r="BG8" i="6" s="1"/>
  <c r="BF13" i="2"/>
  <c r="BF13" i="6" s="1"/>
  <c r="CH27" i="2" l="1"/>
  <c r="CG27" i="6"/>
  <c r="CG27" i="4"/>
  <c r="CG27" i="3"/>
  <c r="CG27" i="8"/>
  <c r="CG27" i="5"/>
  <c r="CG27" i="10"/>
  <c r="CG27" i="7"/>
  <c r="CG27" i="12"/>
  <c r="BF26" i="10"/>
  <c r="BF26" i="8"/>
  <c r="BF26" i="3"/>
  <c r="BF26" i="5"/>
  <c r="BF26" i="4"/>
  <c r="BF26" i="12"/>
  <c r="BF26" i="7"/>
  <c r="BF18" i="5"/>
  <c r="BF18" i="7"/>
  <c r="BF18" i="12"/>
  <c r="BF18" i="10"/>
  <c r="BF18" i="8"/>
  <c r="BF18" i="3"/>
  <c r="BF18" i="4"/>
  <c r="BE29" i="12"/>
  <c r="BE29" i="8"/>
  <c r="BE29" i="3"/>
  <c r="BE29" i="5"/>
  <c r="BE29" i="4"/>
  <c r="BE29" i="10"/>
  <c r="BE29" i="7"/>
  <c r="BF23" i="2"/>
  <c r="BF23" i="6" s="1"/>
  <c r="BF21" i="10"/>
  <c r="BF21" i="12"/>
  <c r="BF21" i="7"/>
  <c r="BF21" i="8"/>
  <c r="BF22" i="2"/>
  <c r="BF22" i="6" s="1"/>
  <c r="BF21" i="3"/>
  <c r="BF326" i="3" s="1"/>
  <c r="BF21" i="4"/>
  <c r="BF21" i="5"/>
  <c r="BF19" i="12"/>
  <c r="BF19" i="10"/>
  <c r="BF19" i="8"/>
  <c r="BF19" i="7"/>
  <c r="BF19" i="5"/>
  <c r="BF19" i="4"/>
  <c r="BF19" i="3"/>
  <c r="BF28" i="2"/>
  <c r="BF28" i="6" s="1"/>
  <c r="BF20" i="2"/>
  <c r="BF20" i="6" s="1"/>
  <c r="BF109" i="6" s="1"/>
  <c r="BG9" i="2"/>
  <c r="BG9" i="6" s="1"/>
  <c r="BF24" i="2"/>
  <c r="BF24" i="6" s="1"/>
  <c r="BF25" i="2"/>
  <c r="BF25" i="6" s="1"/>
  <c r="CI27" i="2" l="1"/>
  <c r="CH27" i="6"/>
  <c r="CH27" i="10"/>
  <c r="CH27" i="3"/>
  <c r="CH27" i="8"/>
  <c r="CH27" i="4"/>
  <c r="CH27" i="5"/>
  <c r="CH27" i="12"/>
  <c r="CH27" i="7"/>
  <c r="BF97" i="6"/>
  <c r="BF20" i="12"/>
  <c r="BF20" i="5"/>
  <c r="BF20" i="7"/>
  <c r="BF20" i="10"/>
  <c r="BF20" i="8"/>
  <c r="BF20" i="4"/>
  <c r="BF20" i="3"/>
  <c r="BF25" i="12"/>
  <c r="BF25" i="3"/>
  <c r="BF25" i="5"/>
  <c r="BF25" i="4"/>
  <c r="BF25" i="10"/>
  <c r="BF25" i="8"/>
  <c r="BF25" i="7"/>
  <c r="BF28" i="10"/>
  <c r="BF28" i="8"/>
  <c r="BF28" i="4"/>
  <c r="BF28" i="5"/>
  <c r="BF28" i="3"/>
  <c r="BF28" i="12"/>
  <c r="BF28" i="7"/>
  <c r="BF24" i="5"/>
  <c r="BF24" i="4"/>
  <c r="BF24" i="10"/>
  <c r="BF24" i="12"/>
  <c r="BF24" i="7"/>
  <c r="BF24" i="8"/>
  <c r="BF24" i="3"/>
  <c r="BF22" i="12"/>
  <c r="BF22" i="5"/>
  <c r="BF22" i="10"/>
  <c r="BF22" i="8"/>
  <c r="BF22" i="7"/>
  <c r="BF22" i="3"/>
  <c r="BF22" i="4"/>
  <c r="BF23" i="4"/>
  <c r="BF23" i="10"/>
  <c r="BF23" i="12"/>
  <c r="BF23" i="7"/>
  <c r="BF23" i="8"/>
  <c r="BF23" i="3"/>
  <c r="BF23" i="5"/>
  <c r="BF29" i="2"/>
  <c r="BF29" i="6" s="1"/>
  <c r="BG14" i="2"/>
  <c r="BG14" i="6" s="1"/>
  <c r="BG13" i="2"/>
  <c r="BG13" i="6" s="1"/>
  <c r="BG18" i="2"/>
  <c r="BG18" i="6" s="1"/>
  <c r="BG19" i="2"/>
  <c r="BG19" i="6" s="1"/>
  <c r="BG21" i="2"/>
  <c r="BG21" i="6" s="1"/>
  <c r="BG26" i="2"/>
  <c r="BG26" i="6" s="1"/>
  <c r="BH8" i="2"/>
  <c r="BH8" i="6" s="1"/>
  <c r="CJ27" i="2" l="1"/>
  <c r="CI27" i="6"/>
  <c r="CI27" i="8"/>
  <c r="CI27" i="5"/>
  <c r="CI27" i="4"/>
  <c r="CI27" i="10"/>
  <c r="CI27" i="3"/>
  <c r="CI27" i="12"/>
  <c r="CI27" i="7"/>
  <c r="BG26" i="10"/>
  <c r="BG26" i="8"/>
  <c r="BG26" i="5"/>
  <c r="BG26" i="3"/>
  <c r="BG26" i="4"/>
  <c r="BG26" i="12"/>
  <c r="BG26" i="7"/>
  <c r="BG18" i="12"/>
  <c r="BG18" i="7"/>
  <c r="BG18" i="10"/>
  <c r="BG18" i="5"/>
  <c r="BG18" i="8"/>
  <c r="BG18" i="3"/>
  <c r="BG18" i="4"/>
  <c r="BG21" i="8"/>
  <c r="BG23" i="2"/>
  <c r="BG23" i="6" s="1"/>
  <c r="BG21" i="10"/>
  <c r="BG21" i="7"/>
  <c r="BG21" i="12"/>
  <c r="BG21" i="4"/>
  <c r="BG22" i="2"/>
  <c r="BG22" i="6" s="1"/>
  <c r="BG21" i="5"/>
  <c r="BG21" i="3"/>
  <c r="BG326" i="3" s="1"/>
  <c r="BG19" i="10"/>
  <c r="BG19" i="12"/>
  <c r="BG19" i="7"/>
  <c r="BG19" i="8"/>
  <c r="BG19" i="4"/>
  <c r="BG19" i="5"/>
  <c r="BG19" i="3"/>
  <c r="BF29" i="12"/>
  <c r="BF29" i="3"/>
  <c r="BF29" i="4"/>
  <c r="BF29" i="5"/>
  <c r="BF29" i="8"/>
  <c r="BF29" i="10"/>
  <c r="BF29" i="7"/>
  <c r="BG28" i="2"/>
  <c r="BG28" i="6" s="1"/>
  <c r="BG20" i="2"/>
  <c r="BG20" i="6" s="1"/>
  <c r="BG109" i="6" s="1"/>
  <c r="BH9" i="2"/>
  <c r="BG24" i="2"/>
  <c r="BG24" i="6" s="1"/>
  <c r="BG25" i="2"/>
  <c r="BG25" i="6" s="1"/>
  <c r="CK27" i="2" l="1"/>
  <c r="CJ27" i="6"/>
  <c r="CJ27" i="8"/>
  <c r="CJ27" i="5"/>
  <c r="CJ27" i="3"/>
  <c r="CJ27" i="4"/>
  <c r="CJ27" i="7"/>
  <c r="CJ27" i="10"/>
  <c r="CJ27" i="12"/>
  <c r="BH14" i="2"/>
  <c r="BH14" i="6" s="1"/>
  <c r="BH9" i="6"/>
  <c r="BG97" i="6"/>
  <c r="BG22" i="8"/>
  <c r="BG22" i="12"/>
  <c r="BG22" i="7"/>
  <c r="BG22" i="10"/>
  <c r="BG22" i="5"/>
  <c r="BG22" i="4"/>
  <c r="BG22" i="3"/>
  <c r="BG29" i="2"/>
  <c r="BG29" i="6" s="1"/>
  <c r="BG28" i="10"/>
  <c r="BG28" i="8"/>
  <c r="BG28" i="5"/>
  <c r="BG28" i="3"/>
  <c r="BG28" i="4"/>
  <c r="BG28" i="12"/>
  <c r="BG28" i="7"/>
  <c r="BG24" i="8"/>
  <c r="BG24" i="3"/>
  <c r="BG24" i="5"/>
  <c r="BG24" i="7"/>
  <c r="BG24" i="12"/>
  <c r="BG24" i="10"/>
  <c r="BG24" i="4"/>
  <c r="BG23" i="12"/>
  <c r="BG23" i="10"/>
  <c r="BG23" i="8"/>
  <c r="BG23" i="3"/>
  <c r="BG23" i="7"/>
  <c r="BG23" i="5"/>
  <c r="BG23" i="4"/>
  <c r="BG20" i="8"/>
  <c r="BG20" i="12"/>
  <c r="BG20" i="10"/>
  <c r="BG20" i="7"/>
  <c r="BG20" i="3"/>
  <c r="BG20" i="5"/>
  <c r="BG20" i="4"/>
  <c r="BG25" i="12"/>
  <c r="BG25" i="8"/>
  <c r="BG25" i="3"/>
  <c r="BG25" i="10"/>
  <c r="BG25" i="7"/>
  <c r="BG25" i="4"/>
  <c r="BG25" i="5"/>
  <c r="BH28" i="2"/>
  <c r="BH28" i="6" s="1"/>
  <c r="BH13" i="2"/>
  <c r="BH13" i="6" s="1"/>
  <c r="BH18" i="2"/>
  <c r="BH18" i="6" s="1"/>
  <c r="BH19" i="2"/>
  <c r="BH19" i="6" s="1"/>
  <c r="BH26" i="2"/>
  <c r="BH26" i="6" s="1"/>
  <c r="BH21" i="2"/>
  <c r="BH21" i="6" s="1"/>
  <c r="BI8" i="2"/>
  <c r="BI8" i="6" s="1"/>
  <c r="CK27" i="6" l="1"/>
  <c r="CK27" i="3"/>
  <c r="CK27" i="8"/>
  <c r="CK27" i="5"/>
  <c r="CK27" i="12"/>
  <c r="CK27" i="4"/>
  <c r="CK27" i="10"/>
  <c r="CK27" i="7"/>
  <c r="BH18" i="5"/>
  <c r="BH18" i="4"/>
  <c r="BH18" i="10"/>
  <c r="BH18" i="7"/>
  <c r="BH18" i="12"/>
  <c r="BH18" i="8"/>
  <c r="BH18" i="3"/>
  <c r="BH23" i="2"/>
  <c r="BH23" i="6" s="1"/>
  <c r="BH21" i="12"/>
  <c r="BH21" i="10"/>
  <c r="BH21" i="7"/>
  <c r="BH21" i="8"/>
  <c r="BH22" i="2"/>
  <c r="BH22" i="6" s="1"/>
  <c r="BH21" i="4"/>
  <c r="BH21" i="3"/>
  <c r="BH326" i="3" s="1"/>
  <c r="BH21" i="5"/>
  <c r="BH26" i="8"/>
  <c r="BH26" i="5"/>
  <c r="BH26" i="3"/>
  <c r="BH26" i="4"/>
  <c r="BH26" i="10"/>
  <c r="BH26" i="12"/>
  <c r="BH26" i="7"/>
  <c r="BH28" i="8"/>
  <c r="BH28" i="5"/>
  <c r="BH28" i="3"/>
  <c r="BH28" i="4"/>
  <c r="BH28" i="10"/>
  <c r="BH28" i="12"/>
  <c r="BH28" i="7"/>
  <c r="BH19" i="12"/>
  <c r="BH19" i="10"/>
  <c r="BH19" i="8"/>
  <c r="BH19" i="7"/>
  <c r="BH19" i="5"/>
  <c r="BH19" i="4"/>
  <c r="BH19" i="3"/>
  <c r="BG29" i="12"/>
  <c r="BG29" i="10"/>
  <c r="BG29" i="8"/>
  <c r="BG29" i="5"/>
  <c r="BG29" i="3"/>
  <c r="BG29" i="4"/>
  <c r="BG29" i="7"/>
  <c r="BH29" i="2"/>
  <c r="BH29" i="6" s="1"/>
  <c r="BH20" i="2"/>
  <c r="BH20" i="6" s="1"/>
  <c r="BH97" i="6" s="1"/>
  <c r="BI9" i="2"/>
  <c r="BI9" i="6" s="1"/>
  <c r="BH25" i="2"/>
  <c r="BH25" i="6" s="1"/>
  <c r="BH24" i="2"/>
  <c r="BH24" i="6" s="1"/>
  <c r="BH109" i="6" l="1"/>
  <c r="BH20" i="5"/>
  <c r="BH20" i="4"/>
  <c r="BH20" i="10"/>
  <c r="BH20" i="12"/>
  <c r="BH20" i="8"/>
  <c r="BH20" i="7"/>
  <c r="BH20" i="3"/>
  <c r="BH29" i="12"/>
  <c r="BH29" i="8"/>
  <c r="BH29" i="5"/>
  <c r="BH29" i="3"/>
  <c r="BH29" i="4"/>
  <c r="BH29" i="10"/>
  <c r="BH29" i="7"/>
  <c r="BH22" i="5"/>
  <c r="BH22" i="4"/>
  <c r="BH22" i="10"/>
  <c r="BH22" i="12"/>
  <c r="BH22" i="7"/>
  <c r="BH22" i="8"/>
  <c r="BH22" i="3"/>
  <c r="BH25" i="7"/>
  <c r="BH25" i="12"/>
  <c r="BH25" i="10"/>
  <c r="BH25" i="8"/>
  <c r="BH25" i="5"/>
  <c r="BH25" i="3"/>
  <c r="BH25" i="4"/>
  <c r="BH24" i="10"/>
  <c r="BH24" i="5"/>
  <c r="BH24" i="4"/>
  <c r="BH24" i="12"/>
  <c r="BH24" i="8"/>
  <c r="BH24" i="7"/>
  <c r="BH24" i="3"/>
  <c r="BH23" i="7"/>
  <c r="BH23" i="12"/>
  <c r="BH23" i="8"/>
  <c r="BH23" i="10"/>
  <c r="BH23" i="5"/>
  <c r="BH23" i="3"/>
  <c r="BH23" i="4"/>
  <c r="BI13" i="2"/>
  <c r="BI13" i="6" s="1"/>
  <c r="BI14" i="2"/>
  <c r="BI14" i="6" s="1"/>
  <c r="BI18" i="2"/>
  <c r="BI18" i="6" s="1"/>
  <c r="BI26" i="2"/>
  <c r="BI26" i="6" s="1"/>
  <c r="BI19" i="2"/>
  <c r="BI19" i="6" s="1"/>
  <c r="BI21" i="2"/>
  <c r="BI21" i="6" s="1"/>
  <c r="BJ8" i="2"/>
  <c r="BJ8" i="6" s="1"/>
  <c r="BI26" i="12" l="1"/>
  <c r="BI26" i="8"/>
  <c r="BI26" i="3"/>
  <c r="BI26" i="5"/>
  <c r="BI26" i="4"/>
  <c r="BI26" i="10"/>
  <c r="BI26" i="7"/>
  <c r="BI18" i="8"/>
  <c r="BI18" i="5"/>
  <c r="BI18" i="4"/>
  <c r="BI18" i="3"/>
  <c r="BI18" i="10"/>
  <c r="BI18" i="12"/>
  <c r="BI18" i="7"/>
  <c r="BI21" i="8"/>
  <c r="BI23" i="2"/>
  <c r="BI23" i="6" s="1"/>
  <c r="BI21" i="7"/>
  <c r="BI21" i="12"/>
  <c r="BI21" i="10"/>
  <c r="BI21" i="5"/>
  <c r="BI21" i="3"/>
  <c r="BI326" i="3" s="1"/>
  <c r="BI21" i="4"/>
  <c r="BI22" i="2"/>
  <c r="BI22" i="6" s="1"/>
  <c r="BI19" i="12"/>
  <c r="BI19" i="10"/>
  <c r="BI19" i="7"/>
  <c r="BI19" i="8"/>
  <c r="BI19" i="4"/>
  <c r="BI19" i="3"/>
  <c r="BI19" i="5"/>
  <c r="BI28" i="2"/>
  <c r="BI28" i="6" s="1"/>
  <c r="BJ9" i="2"/>
  <c r="BJ9" i="6" s="1"/>
  <c r="BI24" i="2"/>
  <c r="BI24" i="6" s="1"/>
  <c r="BI25" i="2"/>
  <c r="BI25" i="6" s="1"/>
  <c r="BI20" i="2"/>
  <c r="BI20" i="6" s="1"/>
  <c r="BI97" i="6" s="1"/>
  <c r="BI109" i="6" l="1"/>
  <c r="BI20" i="8"/>
  <c r="BI20" i="5"/>
  <c r="BI20" i="3"/>
  <c r="BI20" i="4"/>
  <c r="BI20" i="10"/>
  <c r="BI20" i="12"/>
  <c r="BI20" i="7"/>
  <c r="BI29" i="2"/>
  <c r="BI29" i="6" s="1"/>
  <c r="BI28" i="12"/>
  <c r="BI28" i="8"/>
  <c r="BI28" i="3"/>
  <c r="BI28" i="5"/>
  <c r="BI28" i="4"/>
  <c r="BI28" i="10"/>
  <c r="BI28" i="7"/>
  <c r="BI23" i="8"/>
  <c r="BI23" i="5"/>
  <c r="BI23" i="7"/>
  <c r="BI23" i="12"/>
  <c r="BI23" i="10"/>
  <c r="BI23" i="3"/>
  <c r="BI23" i="4"/>
  <c r="BI25" i="8"/>
  <c r="BI25" i="5"/>
  <c r="BI25" i="4"/>
  <c r="BI25" i="7"/>
  <c r="BI25" i="12"/>
  <c r="BI25" i="10"/>
  <c r="BI25" i="3"/>
  <c r="BI22" i="8"/>
  <c r="BI22" i="10"/>
  <c r="BI22" i="3"/>
  <c r="BI22" i="4"/>
  <c r="BI22" i="5"/>
  <c r="BI22" i="7"/>
  <c r="BI22" i="12"/>
  <c r="BI24" i="8"/>
  <c r="BI24" i="5"/>
  <c r="BI24" i="3"/>
  <c r="BI24" i="4"/>
  <c r="BI24" i="10"/>
  <c r="BI24" i="12"/>
  <c r="BI24" i="7"/>
  <c r="BJ14" i="2"/>
  <c r="BJ14" i="6" s="1"/>
  <c r="BJ18" i="2"/>
  <c r="BJ18" i="6" s="1"/>
  <c r="BJ26" i="2"/>
  <c r="BJ26" i="6" s="1"/>
  <c r="BJ21" i="2"/>
  <c r="BJ21" i="6" s="1"/>
  <c r="BJ19" i="2"/>
  <c r="BJ19" i="6" s="1"/>
  <c r="BK8" i="2"/>
  <c r="BK8" i="6" s="1"/>
  <c r="BJ13" i="2"/>
  <c r="BJ13" i="6" s="1"/>
  <c r="BJ18" i="12" l="1"/>
  <c r="BJ18" i="7"/>
  <c r="BJ18" i="10"/>
  <c r="BJ18" i="8"/>
  <c r="BJ18" i="3"/>
  <c r="BJ18" i="4"/>
  <c r="BJ18" i="5"/>
  <c r="BJ26" i="8"/>
  <c r="BJ26" i="12"/>
  <c r="BJ26" i="4"/>
  <c r="BJ26" i="5"/>
  <c r="BJ26" i="3"/>
  <c r="BJ26" i="10"/>
  <c r="BJ26" i="7"/>
  <c r="BJ19" i="5"/>
  <c r="BJ19" i="12"/>
  <c r="BJ19" i="7"/>
  <c r="BJ19" i="8"/>
  <c r="BJ19" i="10"/>
  <c r="BJ19" i="3"/>
  <c r="BJ19" i="4"/>
  <c r="BJ21" i="12"/>
  <c r="BJ21" i="5"/>
  <c r="BJ23" i="2"/>
  <c r="BJ23" i="6" s="1"/>
  <c r="BJ21" i="7"/>
  <c r="BJ21" i="10"/>
  <c r="BJ21" i="8"/>
  <c r="BJ21" i="3"/>
  <c r="BJ326" i="3" s="1"/>
  <c r="BJ21" i="4"/>
  <c r="BJ22" i="2"/>
  <c r="BJ22" i="6" s="1"/>
  <c r="BI29" i="12"/>
  <c r="BI29" i="8"/>
  <c r="BI29" i="3"/>
  <c r="BI29" i="5"/>
  <c r="BI29" i="4"/>
  <c r="BI29" i="10"/>
  <c r="BI29" i="7"/>
  <c r="BJ28" i="2"/>
  <c r="BJ28" i="6" s="1"/>
  <c r="BK9" i="2"/>
  <c r="BK9" i="6" s="1"/>
  <c r="BJ25" i="2"/>
  <c r="BJ25" i="6" s="1"/>
  <c r="BJ24" i="2"/>
  <c r="BJ24" i="6" s="1"/>
  <c r="BJ20" i="2"/>
  <c r="BJ20" i="6" s="1"/>
  <c r="BJ97" i="6" s="1"/>
  <c r="BJ109" i="6" l="1"/>
  <c r="BJ20" i="10"/>
  <c r="BJ20" i="12"/>
  <c r="BJ20" i="7"/>
  <c r="BJ20" i="8"/>
  <c r="BJ20" i="5"/>
  <c r="BJ20" i="4"/>
  <c r="BJ20" i="3"/>
  <c r="BJ28" i="12"/>
  <c r="BJ28" i="3"/>
  <c r="BJ28" i="5"/>
  <c r="BJ28" i="8"/>
  <c r="BJ28" i="4"/>
  <c r="BJ28" i="10"/>
  <c r="BJ28" i="7"/>
  <c r="BJ23" i="12"/>
  <c r="BJ23" i="5"/>
  <c r="BJ23" i="10"/>
  <c r="BJ23" i="7"/>
  <c r="BJ23" i="8"/>
  <c r="BJ23" i="3"/>
  <c r="BJ23" i="4"/>
  <c r="BJ24" i="5"/>
  <c r="BJ24" i="4"/>
  <c r="BJ24" i="3"/>
  <c r="BJ24" i="10"/>
  <c r="BJ24" i="12"/>
  <c r="BJ24" i="7"/>
  <c r="BJ24" i="8"/>
  <c r="BJ22" i="10"/>
  <c r="BJ22" i="12"/>
  <c r="BJ22" i="8"/>
  <c r="BJ22" i="7"/>
  <c r="BJ22" i="5"/>
  <c r="BJ22" i="4"/>
  <c r="BJ22" i="3"/>
  <c r="BJ25" i="12"/>
  <c r="BJ25" i="10"/>
  <c r="BJ25" i="3"/>
  <c r="BJ25" i="5"/>
  <c r="BJ25" i="4"/>
  <c r="BJ25" i="8"/>
  <c r="BJ25" i="7"/>
  <c r="BJ29" i="2"/>
  <c r="BJ29" i="6" s="1"/>
  <c r="BK26" i="2"/>
  <c r="BK26" i="6" s="1"/>
  <c r="BK18" i="2"/>
  <c r="BK18" i="6" s="1"/>
  <c r="BK21" i="2"/>
  <c r="BK21" i="6" s="1"/>
  <c r="BK19" i="2"/>
  <c r="BK19" i="6" s="1"/>
  <c r="BL8" i="2"/>
  <c r="BL8" i="6" s="1"/>
  <c r="BK13" i="2"/>
  <c r="BK13" i="6" s="1"/>
  <c r="BK14" i="2"/>
  <c r="BK14" i="6" s="1"/>
  <c r="BK18" i="12" l="1"/>
  <c r="BK18" i="10"/>
  <c r="BK18" i="7"/>
  <c r="BK18" i="8"/>
  <c r="BK18" i="5"/>
  <c r="BK18" i="3"/>
  <c r="BK18" i="4"/>
  <c r="BK21" i="8"/>
  <c r="BK21" i="12"/>
  <c r="BK23" i="2"/>
  <c r="BK23" i="6" s="1"/>
  <c r="BK21" i="7"/>
  <c r="BK21" i="10"/>
  <c r="BK21" i="5"/>
  <c r="BK21" i="3"/>
  <c r="BK326" i="3" s="1"/>
  <c r="BK22" i="2"/>
  <c r="BK22" i="6" s="1"/>
  <c r="BK21" i="4"/>
  <c r="BK26" i="12"/>
  <c r="BK26" i="8"/>
  <c r="BK26" i="10"/>
  <c r="BK26" i="5"/>
  <c r="BK26" i="3"/>
  <c r="BK26" i="4"/>
  <c r="BK26" i="7"/>
  <c r="BK19" i="12"/>
  <c r="BK19" i="7"/>
  <c r="BK19" i="10"/>
  <c r="BK19" i="5"/>
  <c r="BK19" i="8"/>
  <c r="BK19" i="3"/>
  <c r="BK19" i="4"/>
  <c r="BJ29" i="10"/>
  <c r="BJ29" i="12"/>
  <c r="BJ29" i="8"/>
  <c r="BJ29" i="5"/>
  <c r="BJ29" i="4"/>
  <c r="BJ29" i="3"/>
  <c r="BJ29" i="7"/>
  <c r="BK28" i="2"/>
  <c r="BK28" i="6" s="1"/>
  <c r="BL9" i="2"/>
  <c r="BL9" i="6" s="1"/>
  <c r="BK20" i="2"/>
  <c r="BK20" i="6" s="1"/>
  <c r="BK109" i="6" s="1"/>
  <c r="BK24" i="2"/>
  <c r="BK24" i="6" s="1"/>
  <c r="BK25" i="2"/>
  <c r="BK25" i="6" s="1"/>
  <c r="BK97" i="6" l="1"/>
  <c r="BK25" i="8"/>
  <c r="BK25" i="10"/>
  <c r="BK25" i="5"/>
  <c r="BK25" i="3"/>
  <c r="BK25" i="4"/>
  <c r="BK25" i="12"/>
  <c r="BK25" i="7"/>
  <c r="BK28" i="10"/>
  <c r="BK28" i="8"/>
  <c r="BK28" i="12"/>
  <c r="BK28" i="5"/>
  <c r="BK28" i="3"/>
  <c r="BK28" i="4"/>
  <c r="BK28" i="7"/>
  <c r="BK23" i="8"/>
  <c r="BK23" i="7"/>
  <c r="BK23" i="12"/>
  <c r="BK23" i="10"/>
  <c r="BK23" i="3"/>
  <c r="BK23" i="5"/>
  <c r="BK23" i="4"/>
  <c r="BK24" i="10"/>
  <c r="BK24" i="8"/>
  <c r="BK24" i="3"/>
  <c r="BK24" i="7"/>
  <c r="BK24" i="12"/>
  <c r="BK24" i="4"/>
  <c r="BK24" i="5"/>
  <c r="BK20" i="8"/>
  <c r="BK20" i="10"/>
  <c r="BK20" i="7"/>
  <c r="BK20" i="12"/>
  <c r="BK20" i="4"/>
  <c r="BK20" i="5"/>
  <c r="BK20" i="3"/>
  <c r="BK22" i="8"/>
  <c r="BK22" i="10"/>
  <c r="BK22" i="12"/>
  <c r="BK22" i="7"/>
  <c r="BK22" i="4"/>
  <c r="BK22" i="5"/>
  <c r="BK22" i="3"/>
  <c r="BK29" i="2"/>
  <c r="BK29" i="6" s="1"/>
  <c r="BL13" i="2"/>
  <c r="BL13" i="6" s="1"/>
  <c r="BL26" i="2"/>
  <c r="BL26" i="6" s="1"/>
  <c r="BL18" i="2"/>
  <c r="BL18" i="6" s="1"/>
  <c r="BL21" i="2"/>
  <c r="BL21" i="6" s="1"/>
  <c r="BL19" i="2"/>
  <c r="BL19" i="6" s="1"/>
  <c r="BM8" i="2"/>
  <c r="BM8" i="6" s="1"/>
  <c r="BL14" i="2"/>
  <c r="BL14" i="6" s="1"/>
  <c r="BL19" i="5" l="1"/>
  <c r="BL19" i="4"/>
  <c r="BL19" i="10"/>
  <c r="BL19" i="12"/>
  <c r="BL19" i="7"/>
  <c r="BL19" i="8"/>
  <c r="BL19" i="3"/>
  <c r="BL18" i="7"/>
  <c r="BL18" i="8"/>
  <c r="BL18" i="12"/>
  <c r="BL18" i="10"/>
  <c r="BL18" i="3"/>
  <c r="BL18" i="4"/>
  <c r="BL18" i="5"/>
  <c r="BL26" i="8"/>
  <c r="BL26" i="5"/>
  <c r="BL26" i="3"/>
  <c r="BL26" i="4"/>
  <c r="BL26" i="10"/>
  <c r="BL26" i="7"/>
  <c r="BL26" i="12"/>
  <c r="BL21" i="5"/>
  <c r="BL21" i="4"/>
  <c r="BL23" i="2"/>
  <c r="BL23" i="6" s="1"/>
  <c r="BL21" i="10"/>
  <c r="BL21" i="7"/>
  <c r="BL21" i="12"/>
  <c r="BL21" i="8"/>
  <c r="BL22" i="2"/>
  <c r="BL22" i="6" s="1"/>
  <c r="BL21" i="3"/>
  <c r="BL326" i="3" s="1"/>
  <c r="BK29" i="12"/>
  <c r="BK29" i="10"/>
  <c r="BK29" i="8"/>
  <c r="BK29" i="5"/>
  <c r="BK29" i="3"/>
  <c r="BK29" i="4"/>
  <c r="BK29" i="7"/>
  <c r="BL28" i="2"/>
  <c r="BL28" i="6" s="1"/>
  <c r="BM9" i="2"/>
  <c r="BL20" i="2"/>
  <c r="BL20" i="6" s="1"/>
  <c r="BL97" i="6" s="1"/>
  <c r="BL24" i="2"/>
  <c r="BL24" i="6" s="1"/>
  <c r="BL25" i="2"/>
  <c r="BL25" i="6" s="1"/>
  <c r="BL109" i="6" l="1"/>
  <c r="BN8" i="2"/>
  <c r="BN8" i="6" s="1"/>
  <c r="BM9" i="6"/>
  <c r="BL22" i="7"/>
  <c r="BL22" i="12"/>
  <c r="BL22" i="10"/>
  <c r="BL22" i="8"/>
  <c r="BL22" i="4"/>
  <c r="BL22" i="5"/>
  <c r="BL22" i="3"/>
  <c r="BL23" i="5"/>
  <c r="BL23" i="4"/>
  <c r="BL23" i="10"/>
  <c r="BL23" i="7"/>
  <c r="BL23" i="12"/>
  <c r="BL23" i="8"/>
  <c r="BL23" i="3"/>
  <c r="BL20" i="7"/>
  <c r="BL20" i="12"/>
  <c r="BL20" i="10"/>
  <c r="BL20" i="8"/>
  <c r="BL20" i="3"/>
  <c r="BL20" i="4"/>
  <c r="BL20" i="5"/>
  <c r="BL25" i="5"/>
  <c r="BL25" i="4"/>
  <c r="BL25" i="10"/>
  <c r="BL25" i="7"/>
  <c r="BL25" i="12"/>
  <c r="BL25" i="8"/>
  <c r="BL25" i="3"/>
  <c r="BL28" i="8"/>
  <c r="BL28" i="5"/>
  <c r="BL28" i="3"/>
  <c r="BL28" i="4"/>
  <c r="BL28" i="10"/>
  <c r="BL28" i="12"/>
  <c r="BL28" i="7"/>
  <c r="BL24" i="12"/>
  <c r="BL24" i="10"/>
  <c r="BL24" i="7"/>
  <c r="BL24" i="8"/>
  <c r="BL24" i="3"/>
  <c r="BL24" i="4"/>
  <c r="BL24" i="5"/>
  <c r="BN9" i="2"/>
  <c r="BM14" i="2"/>
  <c r="BM14" i="6" s="1"/>
  <c r="BM13" i="2"/>
  <c r="BM13" i="6" s="1"/>
  <c r="BL29" i="2"/>
  <c r="BL29" i="6" s="1"/>
  <c r="BM18" i="2"/>
  <c r="BM18" i="6" s="1"/>
  <c r="BM21" i="2"/>
  <c r="BM21" i="6" s="1"/>
  <c r="BM26" i="2"/>
  <c r="BM26" i="6" s="1"/>
  <c r="BM19" i="2"/>
  <c r="BM19" i="6" s="1"/>
  <c r="BN13" i="2" l="1"/>
  <c r="BN13" i="6" s="1"/>
  <c r="BN9" i="6"/>
  <c r="BM18" i="7"/>
  <c r="BM18" i="12"/>
  <c r="BM18" i="10"/>
  <c r="BM18" i="8"/>
  <c r="BM18" i="3"/>
  <c r="BM18" i="4"/>
  <c r="BM18" i="5"/>
  <c r="BM19" i="12"/>
  <c r="BM19" i="5"/>
  <c r="BM19" i="3"/>
  <c r="BM19" i="8"/>
  <c r="BM19" i="4"/>
  <c r="BM19" i="10"/>
  <c r="BM19" i="7"/>
  <c r="BL29" i="12"/>
  <c r="BL29" i="8"/>
  <c r="BL29" i="5"/>
  <c r="BL29" i="3"/>
  <c r="BL29" i="4"/>
  <c r="BL29" i="10"/>
  <c r="BL29" i="7"/>
  <c r="BM26" i="8"/>
  <c r="BM26" i="3"/>
  <c r="BM26" i="5"/>
  <c r="BM26" i="4"/>
  <c r="BM26" i="10"/>
  <c r="BM26" i="12"/>
  <c r="BM26" i="7"/>
  <c r="BM21" i="8"/>
  <c r="BM21" i="10"/>
  <c r="BM21" i="12"/>
  <c r="BM21" i="5"/>
  <c r="BM21" i="4"/>
  <c r="BM23" i="2"/>
  <c r="BM23" i="6" s="1"/>
  <c r="BM21" i="3"/>
  <c r="BM326" i="3" s="1"/>
  <c r="BM21" i="7"/>
  <c r="BM22" i="2"/>
  <c r="BM22" i="6" s="1"/>
  <c r="BN14" i="2"/>
  <c r="BN14" i="6" s="1"/>
  <c r="BO8" i="2"/>
  <c r="BO8" i="6" s="1"/>
  <c r="BN18" i="2"/>
  <c r="BN18" i="6" s="1"/>
  <c r="BN19" i="2"/>
  <c r="BN19" i="6" s="1"/>
  <c r="BN26" i="2"/>
  <c r="BN26" i="6" s="1"/>
  <c r="BN21" i="2"/>
  <c r="BN21" i="6" s="1"/>
  <c r="BM28" i="2"/>
  <c r="BM28" i="6" s="1"/>
  <c r="BM20" i="2"/>
  <c r="BM20" i="6" s="1"/>
  <c r="BM97" i="6" s="1"/>
  <c r="BM25" i="2"/>
  <c r="BM25" i="6" s="1"/>
  <c r="BM24" i="2"/>
  <c r="BM24" i="6" s="1"/>
  <c r="BM109" i="6" l="1"/>
  <c r="BN23" i="2"/>
  <c r="BN23" i="6" s="1"/>
  <c r="BN21" i="10"/>
  <c r="BN21" i="12"/>
  <c r="BN21" i="7"/>
  <c r="BN21" i="8"/>
  <c r="BN21" i="3"/>
  <c r="BN326" i="3" s="1"/>
  <c r="BN21" i="4"/>
  <c r="BN21" i="5"/>
  <c r="BN22" i="2"/>
  <c r="BN22" i="6" s="1"/>
  <c r="BM24" i="8"/>
  <c r="BM24" i="5"/>
  <c r="BM24" i="4"/>
  <c r="BM24" i="7"/>
  <c r="BM24" i="12"/>
  <c r="BM24" i="10"/>
  <c r="BM24" i="3"/>
  <c r="BN26" i="10"/>
  <c r="BN26" i="8"/>
  <c r="BN26" i="3"/>
  <c r="BN26" i="4"/>
  <c r="BN26" i="5"/>
  <c r="BN26" i="12"/>
  <c r="BN26" i="7"/>
  <c r="BM23" i="8"/>
  <c r="BM23" i="5"/>
  <c r="BM23" i="3"/>
  <c r="BM23" i="4"/>
  <c r="BM23" i="10"/>
  <c r="BM23" i="12"/>
  <c r="BM23" i="7"/>
  <c r="BM22" i="8"/>
  <c r="BM22" i="12"/>
  <c r="BM22" i="10"/>
  <c r="BM22" i="7"/>
  <c r="BM22" i="3"/>
  <c r="BM22" i="4"/>
  <c r="BM22" i="5"/>
  <c r="BM25" i="8"/>
  <c r="BM25" i="3"/>
  <c r="BM25" i="5"/>
  <c r="BM25" i="4"/>
  <c r="BM25" i="10"/>
  <c r="BM25" i="12"/>
  <c r="BM25" i="7"/>
  <c r="BM20" i="7"/>
  <c r="BM20" i="12"/>
  <c r="BM20" i="10"/>
  <c r="BM20" i="8"/>
  <c r="BM20" i="4"/>
  <c r="BM20" i="5"/>
  <c r="BM20" i="3"/>
  <c r="BN20" i="2"/>
  <c r="BN20" i="6" s="1"/>
  <c r="BN109" i="6" s="1"/>
  <c r="BN19" i="12"/>
  <c r="BN19" i="10"/>
  <c r="BN19" i="7"/>
  <c r="BN19" i="8"/>
  <c r="BN19" i="3"/>
  <c r="BN19" i="4"/>
  <c r="BN19" i="5"/>
  <c r="BM28" i="8"/>
  <c r="BM28" i="3"/>
  <c r="BM28" i="5"/>
  <c r="BM28" i="4"/>
  <c r="BM28" i="10"/>
  <c r="BM28" i="12"/>
  <c r="BM28" i="7"/>
  <c r="BN18" i="5"/>
  <c r="BN18" i="7"/>
  <c r="BN18" i="12"/>
  <c r="BN18" i="10"/>
  <c r="BN18" i="8"/>
  <c r="BN18" i="4"/>
  <c r="BN18" i="3"/>
  <c r="BN28" i="2"/>
  <c r="BN28" i="6" s="1"/>
  <c r="BN25" i="2"/>
  <c r="BN25" i="6" s="1"/>
  <c r="BN24" i="2"/>
  <c r="BN24" i="6" s="1"/>
  <c r="BO9" i="2"/>
  <c r="BM29" i="2"/>
  <c r="BM29" i="6" s="1"/>
  <c r="BO13" i="2" l="1"/>
  <c r="BO13" i="6" s="1"/>
  <c r="BO9" i="6"/>
  <c r="BN97" i="6"/>
  <c r="BM29" i="12"/>
  <c r="BM29" i="8"/>
  <c r="BM29" i="3"/>
  <c r="BM29" i="5"/>
  <c r="BM29" i="4"/>
  <c r="BM29" i="10"/>
  <c r="BM29" i="7"/>
  <c r="BN29" i="2"/>
  <c r="BN29" i="6" s="1"/>
  <c r="BN28" i="10"/>
  <c r="BN28" i="8"/>
  <c r="BN28" i="5"/>
  <c r="BN28" i="4"/>
  <c r="BN28" i="3"/>
  <c r="BN28" i="12"/>
  <c r="BN28" i="7"/>
  <c r="BN20" i="5"/>
  <c r="BN20" i="12"/>
  <c r="BN20" i="10"/>
  <c r="BN20" i="7"/>
  <c r="BN20" i="8"/>
  <c r="BN20" i="4"/>
  <c r="BN20" i="3"/>
  <c r="BN24" i="12"/>
  <c r="BN24" i="10"/>
  <c r="BN24" i="5"/>
  <c r="BN24" i="4"/>
  <c r="BN24" i="7"/>
  <c r="BN24" i="8"/>
  <c r="BN24" i="3"/>
  <c r="BN22" i="5"/>
  <c r="BN22" i="10"/>
  <c r="BN22" i="12"/>
  <c r="BN22" i="7"/>
  <c r="BN22" i="8"/>
  <c r="BN22" i="3"/>
  <c r="BN22" i="4"/>
  <c r="BN25" i="3"/>
  <c r="BN25" i="5"/>
  <c r="BN25" i="4"/>
  <c r="BN25" i="10"/>
  <c r="BN25" i="12"/>
  <c r="BN25" i="8"/>
  <c r="BN25" i="7"/>
  <c r="BN23" i="10"/>
  <c r="BN23" i="4"/>
  <c r="BN23" i="12"/>
  <c r="BN23" i="7"/>
  <c r="BN23" i="8"/>
  <c r="BN23" i="5"/>
  <c r="BN23" i="3"/>
  <c r="BO14" i="2"/>
  <c r="BP8" i="2"/>
  <c r="BP8" i="6" s="1"/>
  <c r="BO18" i="2"/>
  <c r="BO18" i="6" s="1"/>
  <c r="BO19" i="2"/>
  <c r="BO19" i="6" s="1"/>
  <c r="BO26" i="2"/>
  <c r="BO26" i="6" s="1"/>
  <c r="BO21" i="2"/>
  <c r="BO21" i="6" s="1"/>
  <c r="BO28" i="2" l="1"/>
  <c r="BO28" i="6" s="1"/>
  <c r="BO14" i="6"/>
  <c r="BN29" i="8"/>
  <c r="BN29" i="12"/>
  <c r="BN29" i="3"/>
  <c r="BN29" i="5"/>
  <c r="BN29" i="4"/>
  <c r="BN29" i="10"/>
  <c r="BN29" i="7"/>
  <c r="BO18" i="12"/>
  <c r="BO18" i="10"/>
  <c r="BO18" i="8"/>
  <c r="BO18" i="7"/>
  <c r="BO18" i="3"/>
  <c r="BO18" i="4"/>
  <c r="BO18" i="5"/>
  <c r="BO21" i="8"/>
  <c r="BO21" i="7"/>
  <c r="BO23" i="2"/>
  <c r="BO23" i="6" s="1"/>
  <c r="BO21" i="10"/>
  <c r="BO21" i="12"/>
  <c r="BO21" i="5"/>
  <c r="BO21" i="3"/>
  <c r="BO326" i="3" s="1"/>
  <c r="BO21" i="4"/>
  <c r="BO22" i="2"/>
  <c r="BO22" i="6" s="1"/>
  <c r="BO26" i="10"/>
  <c r="BO26" i="8"/>
  <c r="BO26" i="5"/>
  <c r="BO26" i="3"/>
  <c r="BO26" i="4"/>
  <c r="BO26" i="12"/>
  <c r="BO26" i="7"/>
  <c r="BO28" i="10"/>
  <c r="BO28" i="8"/>
  <c r="BO28" i="4"/>
  <c r="BO28" i="7"/>
  <c r="BO20" i="2"/>
  <c r="BO20" i="6" s="1"/>
  <c r="BO109" i="6" s="1"/>
  <c r="BO19" i="10"/>
  <c r="BO19" i="7"/>
  <c r="BO19" i="12"/>
  <c r="BO19" i="8"/>
  <c r="BO19" i="5"/>
  <c r="BO19" i="3"/>
  <c r="BO19" i="4"/>
  <c r="BP9" i="2"/>
  <c r="BO25" i="2"/>
  <c r="BO25" i="6" s="1"/>
  <c r="BO24" i="2"/>
  <c r="BO24" i="6" s="1"/>
  <c r="BP13" i="2" l="1"/>
  <c r="BP13" i="6" s="1"/>
  <c r="BP9" i="6"/>
  <c r="BO28" i="3"/>
  <c r="BO97" i="6"/>
  <c r="BO29" i="2"/>
  <c r="BO29" i="6" s="1"/>
  <c r="BO28" i="12"/>
  <c r="BO28" i="5"/>
  <c r="BO20" i="8"/>
  <c r="BO20" i="12"/>
  <c r="BO20" i="7"/>
  <c r="BO20" i="5"/>
  <c r="BO20" i="10"/>
  <c r="BO20" i="4"/>
  <c r="BO20" i="3"/>
  <c r="BO23" i="8"/>
  <c r="BO23" i="3"/>
  <c r="BO23" i="10"/>
  <c r="BO23" i="7"/>
  <c r="BO23" i="12"/>
  <c r="BO23" i="4"/>
  <c r="BO23" i="5"/>
  <c r="BO22" i="8"/>
  <c r="BO22" i="12"/>
  <c r="BO22" i="7"/>
  <c r="BO22" i="10"/>
  <c r="BO22" i="5"/>
  <c r="BO22" i="3"/>
  <c r="BO22" i="4"/>
  <c r="BO24" i="8"/>
  <c r="BO24" i="12"/>
  <c r="BO24" i="5"/>
  <c r="BO24" i="3"/>
  <c r="BO24" i="7"/>
  <c r="BO24" i="10"/>
  <c r="BO24" i="4"/>
  <c r="BO25" i="10"/>
  <c r="BO25" i="8"/>
  <c r="BO25" i="3"/>
  <c r="BO25" i="12"/>
  <c r="BO25" i="7"/>
  <c r="BO25" i="4"/>
  <c r="BO25" i="5"/>
  <c r="BP14" i="2"/>
  <c r="BQ8" i="2"/>
  <c r="BQ8" i="6" s="1"/>
  <c r="BP21" i="2"/>
  <c r="BP21" i="6" s="1"/>
  <c r="BP26" i="2"/>
  <c r="BP26" i="6" s="1"/>
  <c r="BP18" i="2"/>
  <c r="BP18" i="6" s="1"/>
  <c r="BP19" i="2"/>
  <c r="BP19" i="6" s="1"/>
  <c r="BO29" i="8" l="1"/>
  <c r="BO29" i="4"/>
  <c r="BO29" i="3"/>
  <c r="BO29" i="12"/>
  <c r="BO29" i="5"/>
  <c r="BP28" i="2"/>
  <c r="BP28" i="6" s="1"/>
  <c r="BP14" i="6"/>
  <c r="BO29" i="7"/>
  <c r="BO29" i="10"/>
  <c r="BP26" i="8"/>
  <c r="BP26" i="5"/>
  <c r="BP26" i="3"/>
  <c r="BP26" i="4"/>
  <c r="BP26" i="10"/>
  <c r="BP26" i="7"/>
  <c r="BP26" i="12"/>
  <c r="BP23" i="2"/>
  <c r="BP23" i="6" s="1"/>
  <c r="BP21" i="7"/>
  <c r="BP21" i="8"/>
  <c r="BP21" i="12"/>
  <c r="BP21" i="5"/>
  <c r="BP21" i="10"/>
  <c r="BP22" i="2"/>
  <c r="BP22" i="6" s="1"/>
  <c r="BP21" i="3"/>
  <c r="BP326" i="3" s="1"/>
  <c r="BP21" i="4"/>
  <c r="BP20" i="2"/>
  <c r="BP20" i="6" s="1"/>
  <c r="BP97" i="6" s="1"/>
  <c r="BP19" i="12"/>
  <c r="BP19" i="10"/>
  <c r="BP19" i="8"/>
  <c r="BP19" i="7"/>
  <c r="BP19" i="5"/>
  <c r="BP19" i="4"/>
  <c r="BP19" i="3"/>
  <c r="BP18" i="4"/>
  <c r="BP18" i="5"/>
  <c r="BP18" i="10"/>
  <c r="BP18" i="12"/>
  <c r="BP18" i="8"/>
  <c r="BP18" i="7"/>
  <c r="BP18" i="3"/>
  <c r="BP24" i="2"/>
  <c r="BP24" i="6" s="1"/>
  <c r="BP25" i="2"/>
  <c r="BP25" i="6" s="1"/>
  <c r="BQ9" i="2"/>
  <c r="BP29" i="2" l="1"/>
  <c r="BP29" i="6" s="1"/>
  <c r="BP28" i="7"/>
  <c r="BP28" i="5"/>
  <c r="BP28" i="12"/>
  <c r="BP28" i="8"/>
  <c r="BP28" i="10"/>
  <c r="BP28" i="4"/>
  <c r="BP28" i="3"/>
  <c r="BQ14" i="2"/>
  <c r="BQ9" i="6"/>
  <c r="BP109" i="6"/>
  <c r="BP24" i="5"/>
  <c r="BP24" i="4"/>
  <c r="BP24" i="10"/>
  <c r="BP24" i="7"/>
  <c r="BP24" i="12"/>
  <c r="BP24" i="8"/>
  <c r="BP24" i="3"/>
  <c r="BP22" i="10"/>
  <c r="BP22" i="5"/>
  <c r="BP22" i="4"/>
  <c r="BP22" i="12"/>
  <c r="BP22" i="7"/>
  <c r="BP22" i="8"/>
  <c r="BP22" i="3"/>
  <c r="BP20" i="5"/>
  <c r="BP20" i="4"/>
  <c r="BP20" i="10"/>
  <c r="BP20" i="12"/>
  <c r="BP20" i="7"/>
  <c r="BP20" i="8"/>
  <c r="BP20" i="3"/>
  <c r="BP29" i="12"/>
  <c r="BP29" i="8"/>
  <c r="BP29" i="5"/>
  <c r="BP29" i="3"/>
  <c r="BP29" i="4"/>
  <c r="BP29" i="10"/>
  <c r="BP29" i="7"/>
  <c r="BP25" i="7"/>
  <c r="BP25" i="12"/>
  <c r="BP25" i="10"/>
  <c r="BP25" i="8"/>
  <c r="BP25" i="4"/>
  <c r="BP25" i="5"/>
  <c r="BP25" i="3"/>
  <c r="BP23" i="7"/>
  <c r="BP23" i="12"/>
  <c r="BP23" i="10"/>
  <c r="BP23" i="8"/>
  <c r="BP23" i="3"/>
  <c r="BP23" i="4"/>
  <c r="BP23" i="5"/>
  <c r="BQ13" i="2"/>
  <c r="BQ13" i="6" s="1"/>
  <c r="BR8" i="2"/>
  <c r="BR8" i="6" s="1"/>
  <c r="BQ21" i="2"/>
  <c r="BQ21" i="6" s="1"/>
  <c r="BQ26" i="2"/>
  <c r="BQ26" i="6" s="1"/>
  <c r="BQ18" i="2"/>
  <c r="BQ18" i="6" s="1"/>
  <c r="BQ19" i="2"/>
  <c r="BQ19" i="6" s="1"/>
  <c r="BQ28" i="2" l="1"/>
  <c r="BQ14" i="6"/>
  <c r="BQ21" i="8"/>
  <c r="BQ23" i="2"/>
  <c r="BQ23" i="6" s="1"/>
  <c r="BQ21" i="7"/>
  <c r="BQ21" i="12"/>
  <c r="BQ21" i="10"/>
  <c r="BQ21" i="3"/>
  <c r="BQ326" i="3" s="1"/>
  <c r="BQ21" i="4"/>
  <c r="BQ22" i="2"/>
  <c r="BQ22" i="6" s="1"/>
  <c r="BQ21" i="5"/>
  <c r="BQ20" i="2"/>
  <c r="BQ20" i="6" s="1"/>
  <c r="BQ109" i="6" s="1"/>
  <c r="BQ19" i="7"/>
  <c r="BQ19" i="8"/>
  <c r="BQ19" i="12"/>
  <c r="BQ19" i="5"/>
  <c r="BQ19" i="10"/>
  <c r="BQ19" i="3"/>
  <c r="BQ19" i="4"/>
  <c r="BQ18" i="12"/>
  <c r="BQ18" i="8"/>
  <c r="BQ18" i="5"/>
  <c r="BQ18" i="3"/>
  <c r="BQ18" i="4"/>
  <c r="BQ18" i="10"/>
  <c r="BQ18" i="7"/>
  <c r="BQ26" i="12"/>
  <c r="BQ26" i="8"/>
  <c r="BQ26" i="3"/>
  <c r="BQ26" i="5"/>
  <c r="BQ26" i="4"/>
  <c r="BQ26" i="10"/>
  <c r="BQ26" i="7"/>
  <c r="BQ24" i="2"/>
  <c r="BQ24" i="6" s="1"/>
  <c r="BQ25" i="2"/>
  <c r="BQ25" i="6" s="1"/>
  <c r="BR9" i="2"/>
  <c r="BR14" i="2" l="1"/>
  <c r="BR9" i="6"/>
  <c r="BQ28" i="6"/>
  <c r="BQ28" i="12"/>
  <c r="BQ28" i="4"/>
  <c r="BQ29" i="2"/>
  <c r="BQ28" i="8"/>
  <c r="BQ28" i="10"/>
  <c r="BQ28" i="3"/>
  <c r="BQ28" i="7"/>
  <c r="BQ28" i="5"/>
  <c r="BQ97" i="6"/>
  <c r="BQ20" i="10"/>
  <c r="BQ20" i="8"/>
  <c r="BQ20" i="12"/>
  <c r="BQ20" i="3"/>
  <c r="BQ20" i="4"/>
  <c r="BQ20" i="5"/>
  <c r="BQ20" i="7"/>
  <c r="BQ23" i="8"/>
  <c r="BQ23" i="5"/>
  <c r="BQ23" i="7"/>
  <c r="BQ23" i="12"/>
  <c r="BQ23" i="10"/>
  <c r="BQ23" i="4"/>
  <c r="BQ23" i="3"/>
  <c r="BQ24" i="12"/>
  <c r="BQ24" i="8"/>
  <c r="BQ24" i="5"/>
  <c r="BQ24" i="3"/>
  <c r="BQ24" i="4"/>
  <c r="BQ24" i="10"/>
  <c r="BQ24" i="7"/>
  <c r="BQ25" i="8"/>
  <c r="BQ25" i="5"/>
  <c r="BQ25" i="4"/>
  <c r="BQ25" i="12"/>
  <c r="BQ25" i="10"/>
  <c r="BQ25" i="7"/>
  <c r="BQ25" i="3"/>
  <c r="BQ22" i="8"/>
  <c r="BQ22" i="12"/>
  <c r="BQ22" i="5"/>
  <c r="BQ22" i="3"/>
  <c r="BQ22" i="4"/>
  <c r="BQ22" i="10"/>
  <c r="BQ22" i="7"/>
  <c r="BR13" i="2"/>
  <c r="BR13" i="6" s="1"/>
  <c r="BS8" i="2"/>
  <c r="BS8" i="6" s="1"/>
  <c r="BR21" i="2"/>
  <c r="BR21" i="6" s="1"/>
  <c r="BR26" i="2"/>
  <c r="BR26" i="6" s="1"/>
  <c r="BR18" i="2"/>
  <c r="BR18" i="6" s="1"/>
  <c r="BR19" i="2"/>
  <c r="BR19" i="6" s="1"/>
  <c r="BQ29" i="6" l="1"/>
  <c r="BQ29" i="12"/>
  <c r="BQ29" i="4"/>
  <c r="BQ29" i="8"/>
  <c r="BQ29" i="10"/>
  <c r="BQ29" i="3"/>
  <c r="BQ29" i="7"/>
  <c r="BQ29" i="5"/>
  <c r="BR28" i="2"/>
  <c r="BR14" i="6"/>
  <c r="BR21" i="5"/>
  <c r="BR23" i="2"/>
  <c r="BR23" i="6" s="1"/>
  <c r="BR21" i="12"/>
  <c r="BR21" i="7"/>
  <c r="BR21" i="10"/>
  <c r="BR21" i="8"/>
  <c r="BR22" i="2"/>
  <c r="BR22" i="6" s="1"/>
  <c r="BR21" i="4"/>
  <c r="BR21" i="3"/>
  <c r="BR326" i="3" s="1"/>
  <c r="BR18" i="12"/>
  <c r="BR18" i="10"/>
  <c r="BR18" i="8"/>
  <c r="BR18" i="7"/>
  <c r="BR18" i="4"/>
  <c r="BR18" i="5"/>
  <c r="BR18" i="3"/>
  <c r="BR20" i="2"/>
  <c r="BR20" i="6" s="1"/>
  <c r="BR97" i="6" s="1"/>
  <c r="BR19" i="5"/>
  <c r="BR19" i="12"/>
  <c r="BR19" i="7"/>
  <c r="BR19" i="10"/>
  <c r="BR19" i="8"/>
  <c r="BR19" i="3"/>
  <c r="BR19" i="4"/>
  <c r="BR26" i="12"/>
  <c r="BR26" i="8"/>
  <c r="BR26" i="5"/>
  <c r="BR26" i="4"/>
  <c r="BR26" i="3"/>
  <c r="BR26" i="10"/>
  <c r="BR26" i="7"/>
  <c r="BR24" i="2"/>
  <c r="BR24" i="6" s="1"/>
  <c r="BR25" i="2"/>
  <c r="BR25" i="6" s="1"/>
  <c r="BS9" i="2"/>
  <c r="BR28" i="6" l="1"/>
  <c r="BR28" i="8"/>
  <c r="BR28" i="10"/>
  <c r="BR28" i="3"/>
  <c r="BR28" i="7"/>
  <c r="BR28" i="5"/>
  <c r="BR29" i="2"/>
  <c r="BR28" i="12"/>
  <c r="BR28" i="4"/>
  <c r="BR109" i="6"/>
  <c r="BS14" i="2"/>
  <c r="BS9" i="6"/>
  <c r="BR25" i="5"/>
  <c r="BR25" i="3"/>
  <c r="BR25" i="4"/>
  <c r="BR25" i="10"/>
  <c r="BR25" i="12"/>
  <c r="BR25" i="7"/>
  <c r="BR25" i="8"/>
  <c r="BR24" i="3"/>
  <c r="BR24" i="5"/>
  <c r="BR24" i="4"/>
  <c r="BR24" i="10"/>
  <c r="BR24" i="12"/>
  <c r="BR24" i="7"/>
  <c r="BR24" i="8"/>
  <c r="BR22" i="12"/>
  <c r="BR22" i="10"/>
  <c r="BR22" i="7"/>
  <c r="BR22" i="8"/>
  <c r="BR22" i="3"/>
  <c r="BR22" i="4"/>
  <c r="BR22" i="5"/>
  <c r="BR20" i="12"/>
  <c r="BR20" i="10"/>
  <c r="BR20" i="7"/>
  <c r="BR20" i="8"/>
  <c r="BR20" i="5"/>
  <c r="BR20" i="4"/>
  <c r="BR20" i="3"/>
  <c r="BR23" i="5"/>
  <c r="BR23" i="10"/>
  <c r="BR23" i="12"/>
  <c r="BR23" i="7"/>
  <c r="BR23" i="8"/>
  <c r="BR23" i="3"/>
  <c r="BR23" i="4"/>
  <c r="BS13" i="2"/>
  <c r="BS13" i="6" s="1"/>
  <c r="BT8" i="2"/>
  <c r="BT8" i="6" s="1"/>
  <c r="BS21" i="2"/>
  <c r="BS21" i="6" s="1"/>
  <c r="BS26" i="2"/>
  <c r="BS26" i="6" s="1"/>
  <c r="BS18" i="2"/>
  <c r="BS18" i="6" s="1"/>
  <c r="BS19" i="2"/>
  <c r="BS19" i="6" s="1"/>
  <c r="BR29" i="6" l="1"/>
  <c r="BR29" i="12"/>
  <c r="BR29" i="3"/>
  <c r="BR29" i="10"/>
  <c r="BR29" i="8"/>
  <c r="BR29" i="7"/>
  <c r="BR29" i="4"/>
  <c r="BR29" i="5"/>
  <c r="BS28" i="2"/>
  <c r="BS14" i="6"/>
  <c r="BS21" i="8"/>
  <c r="BS23" i="2"/>
  <c r="BS23" i="6" s="1"/>
  <c r="BS21" i="7"/>
  <c r="BS21" i="10"/>
  <c r="BS21" i="12"/>
  <c r="BS21" i="3"/>
  <c r="BS326" i="3" s="1"/>
  <c r="BS21" i="4"/>
  <c r="BS22" i="2"/>
  <c r="BS22" i="6" s="1"/>
  <c r="BS21" i="5"/>
  <c r="BS20" i="2"/>
  <c r="BS20" i="6" s="1"/>
  <c r="BS97" i="6" s="1"/>
  <c r="BS19" i="12"/>
  <c r="BS19" i="7"/>
  <c r="BS19" i="10"/>
  <c r="BS19" i="5"/>
  <c r="BS19" i="8"/>
  <c r="BS19" i="3"/>
  <c r="BS19" i="4"/>
  <c r="BS18" i="12"/>
  <c r="BS18" i="7"/>
  <c r="BS18" i="8"/>
  <c r="BS18" i="10"/>
  <c r="BS18" i="4"/>
  <c r="BS18" i="5"/>
  <c r="BS18" i="3"/>
  <c r="BS26" i="10"/>
  <c r="BS26" i="12"/>
  <c r="BS26" i="8"/>
  <c r="BS26" i="5"/>
  <c r="BS26" i="3"/>
  <c r="BS26" i="4"/>
  <c r="BS26" i="7"/>
  <c r="BS24" i="2"/>
  <c r="BS24" i="6" s="1"/>
  <c r="BS25" i="2"/>
  <c r="BS25" i="6" s="1"/>
  <c r="BT9" i="2"/>
  <c r="BS28" i="6" l="1"/>
  <c r="BS28" i="10"/>
  <c r="BS28" i="3"/>
  <c r="BS28" i="7"/>
  <c r="BS29" i="2"/>
  <c r="BS28" i="5"/>
  <c r="BS28" i="12"/>
  <c r="BS28" i="4"/>
  <c r="BS28" i="8"/>
  <c r="BT13" i="2"/>
  <c r="BT13" i="6" s="1"/>
  <c r="BT9" i="6"/>
  <c r="BS109" i="6"/>
  <c r="BS25" i="12"/>
  <c r="BS25" i="8"/>
  <c r="BS25" i="3"/>
  <c r="BS25" i="5"/>
  <c r="BS25" i="4"/>
  <c r="BS25" i="10"/>
  <c r="BS25" i="7"/>
  <c r="BS22" i="8"/>
  <c r="BS22" i="10"/>
  <c r="BS22" i="7"/>
  <c r="BS22" i="12"/>
  <c r="BS22" i="4"/>
  <c r="BS22" i="5"/>
  <c r="BS22" i="3"/>
  <c r="BS24" i="8"/>
  <c r="BS24" i="10"/>
  <c r="BS24" i="3"/>
  <c r="BS24" i="7"/>
  <c r="BS24" i="12"/>
  <c r="BS24" i="5"/>
  <c r="BS24" i="4"/>
  <c r="BS20" i="12"/>
  <c r="BS20" i="8"/>
  <c r="BS20" i="10"/>
  <c r="BS20" i="7"/>
  <c r="BS20" i="4"/>
  <c r="BS20" i="5"/>
  <c r="BS20" i="3"/>
  <c r="BS23" i="8"/>
  <c r="BS23" i="12"/>
  <c r="BS23" i="5"/>
  <c r="BS23" i="7"/>
  <c r="BS23" i="10"/>
  <c r="BS23" i="4"/>
  <c r="BS23" i="3"/>
  <c r="BT14" i="2"/>
  <c r="BU8" i="2"/>
  <c r="BU8" i="6" s="1"/>
  <c r="BT26" i="2"/>
  <c r="BT26" i="6" s="1"/>
  <c r="BT18" i="2"/>
  <c r="BT19" i="2"/>
  <c r="BT19" i="6" s="1"/>
  <c r="BT21" i="2"/>
  <c r="BT21" i="6" s="1"/>
  <c r="BT28" i="2" l="1"/>
  <c r="BT28" i="6" s="1"/>
  <c r="BT14" i="6"/>
  <c r="BT18" i="6"/>
  <c r="E213" i="1"/>
  <c r="BS29" i="6"/>
  <c r="BS29" i="12"/>
  <c r="BS29" i="3"/>
  <c r="BS29" i="10"/>
  <c r="BS29" i="4"/>
  <c r="BS29" i="8"/>
  <c r="BS29" i="7"/>
  <c r="BS29" i="5"/>
  <c r="BT26" i="8"/>
  <c r="BT26" i="5"/>
  <c r="BT26" i="3"/>
  <c r="BT26" i="4"/>
  <c r="BT26" i="10"/>
  <c r="BT26" i="12"/>
  <c r="BT26" i="7"/>
  <c r="BT18" i="7"/>
  <c r="BT18" i="12"/>
  <c r="BT18" i="10"/>
  <c r="BT18" i="8"/>
  <c r="BT18" i="3"/>
  <c r="BT18" i="4"/>
  <c r="BT18" i="5"/>
  <c r="BT21" i="4"/>
  <c r="BT21" i="5"/>
  <c r="BT23" i="2"/>
  <c r="BT23" i="6" s="1"/>
  <c r="BT21" i="10"/>
  <c r="BT21" i="12"/>
  <c r="BT21" i="8"/>
  <c r="BT21" i="7"/>
  <c r="BT22" i="2"/>
  <c r="BT22" i="6" s="1"/>
  <c r="BT21" i="3"/>
  <c r="BT326" i="3" s="1"/>
  <c r="BT20" i="2"/>
  <c r="BT20" i="6" s="1"/>
  <c r="BT97" i="6" s="1"/>
  <c r="BT19" i="5"/>
  <c r="BT19" i="4"/>
  <c r="BT19" i="7"/>
  <c r="BT19" i="10"/>
  <c r="BT19" i="12"/>
  <c r="BT19" i="8"/>
  <c r="BT19" i="3"/>
  <c r="BT28" i="4"/>
  <c r="BT25" i="2"/>
  <c r="BT25" i="6" s="1"/>
  <c r="BT24" i="2"/>
  <c r="BT24" i="6" s="1"/>
  <c r="BU9" i="2"/>
  <c r="BT109" i="6" l="1"/>
  <c r="BT28" i="7"/>
  <c r="BT28" i="3"/>
  <c r="BT29" i="2"/>
  <c r="BT29" i="6" s="1"/>
  <c r="BU13" i="2"/>
  <c r="BU13" i="6" s="1"/>
  <c r="BU9" i="6"/>
  <c r="BT28" i="12"/>
  <c r="BT28" i="5"/>
  <c r="BT28" i="10"/>
  <c r="BT28" i="8"/>
  <c r="BT23" i="5"/>
  <c r="BT23" i="4"/>
  <c r="BT23" i="10"/>
  <c r="BT23" i="12"/>
  <c r="BT23" i="7"/>
  <c r="BT23" i="8"/>
  <c r="BT23" i="3"/>
  <c r="BT20" i="12"/>
  <c r="BT20" i="10"/>
  <c r="BT20" i="7"/>
  <c r="BT20" i="8"/>
  <c r="BT20" i="4"/>
  <c r="BT20" i="5"/>
  <c r="BT20" i="3"/>
  <c r="BT25" i="10"/>
  <c r="BT25" i="5"/>
  <c r="BT25" i="4"/>
  <c r="BT25" i="7"/>
  <c r="BT25" i="12"/>
  <c r="BT25" i="8"/>
  <c r="BT25" i="3"/>
  <c r="BT24" i="7"/>
  <c r="BT24" i="8"/>
  <c r="BT24" i="12"/>
  <c r="BT24" i="5"/>
  <c r="BT24" i="10"/>
  <c r="BT24" i="3"/>
  <c r="BT24" i="4"/>
  <c r="BT22" i="12"/>
  <c r="BT22" i="10"/>
  <c r="BT22" i="7"/>
  <c r="BT22" i="8"/>
  <c r="BT22" i="5"/>
  <c r="BT22" i="3"/>
  <c r="BT22" i="4"/>
  <c r="BU14" i="2"/>
  <c r="BV8" i="2"/>
  <c r="BV8" i="6" s="1"/>
  <c r="BU18" i="2"/>
  <c r="BU18" i="6" s="1"/>
  <c r="BU19" i="2"/>
  <c r="BU19" i="6" s="1"/>
  <c r="BU21" i="2"/>
  <c r="BU21" i="6" s="1"/>
  <c r="BU26" i="2"/>
  <c r="BU26" i="6" s="1"/>
  <c r="BU28" i="2" l="1"/>
  <c r="BU28" i="6" s="1"/>
  <c r="BU14" i="6"/>
  <c r="BT29" i="10"/>
  <c r="BT29" i="8"/>
  <c r="BT29" i="4"/>
  <c r="BT29" i="12"/>
  <c r="BT29" i="3"/>
  <c r="BT29" i="7"/>
  <c r="BT29" i="5"/>
  <c r="BU18" i="7"/>
  <c r="BU18" i="12"/>
  <c r="BU18" i="10"/>
  <c r="BU18" i="8"/>
  <c r="BU18" i="4"/>
  <c r="BU18" i="5"/>
  <c r="BU18" i="3"/>
  <c r="BU20" i="2"/>
  <c r="BU20" i="6" s="1"/>
  <c r="BU97" i="6" s="1"/>
  <c r="BU19" i="10"/>
  <c r="BU19" i="8"/>
  <c r="BU19" i="5"/>
  <c r="BU19" i="4"/>
  <c r="BU19" i="3"/>
  <c r="BU19" i="12"/>
  <c r="BU19" i="7"/>
  <c r="BU26" i="8"/>
  <c r="BU26" i="3"/>
  <c r="BU26" i="5"/>
  <c r="BU26" i="4"/>
  <c r="BU26" i="10"/>
  <c r="BU26" i="12"/>
  <c r="BU26" i="7"/>
  <c r="BU21" i="8"/>
  <c r="BU21" i="5"/>
  <c r="BU21" i="3"/>
  <c r="BU326" i="3" s="1"/>
  <c r="BU23" i="2"/>
  <c r="BU23" i="6" s="1"/>
  <c r="BU21" i="4"/>
  <c r="BU21" i="10"/>
  <c r="BU21" i="12"/>
  <c r="BU21" i="7"/>
  <c r="BU22" i="2"/>
  <c r="BU22" i="6" s="1"/>
  <c r="BU28" i="8"/>
  <c r="BU28" i="3"/>
  <c r="BU28" i="5"/>
  <c r="BU28" i="4"/>
  <c r="BU28" i="10"/>
  <c r="BU28" i="12"/>
  <c r="BU28" i="7"/>
  <c r="BU25" i="2"/>
  <c r="BU25" i="6" s="1"/>
  <c r="BU24" i="2"/>
  <c r="BU24" i="6" s="1"/>
  <c r="BV9" i="2"/>
  <c r="BU29" i="2"/>
  <c r="BU29" i="6" s="1"/>
  <c r="BV13" i="2" l="1"/>
  <c r="BV13" i="6" s="1"/>
  <c r="BV9" i="6"/>
  <c r="BU109" i="6"/>
  <c r="BU25" i="10"/>
  <c r="BU25" i="12"/>
  <c r="BU25" i="8"/>
  <c r="BU25" i="5"/>
  <c r="BU25" i="3"/>
  <c r="BU25" i="4"/>
  <c r="BU25" i="7"/>
  <c r="BU29" i="12"/>
  <c r="BU29" i="8"/>
  <c r="BU29" i="3"/>
  <c r="BU29" i="5"/>
  <c r="BU29" i="4"/>
  <c r="BU29" i="10"/>
  <c r="BU29" i="7"/>
  <c r="BU22" i="8"/>
  <c r="BU22" i="7"/>
  <c r="BU22" i="12"/>
  <c r="BU22" i="5"/>
  <c r="BU22" i="10"/>
  <c r="BU22" i="3"/>
  <c r="BU22" i="4"/>
  <c r="BU23" i="8"/>
  <c r="BU23" i="10"/>
  <c r="BU23" i="5"/>
  <c r="BU23" i="3"/>
  <c r="BU23" i="12"/>
  <c r="BU23" i="4"/>
  <c r="BU23" i="7"/>
  <c r="BU24" i="8"/>
  <c r="BU24" i="5"/>
  <c r="BU24" i="4"/>
  <c r="BU24" i="7"/>
  <c r="BU24" i="12"/>
  <c r="BU24" i="10"/>
  <c r="BU24" i="3"/>
  <c r="BU20" i="12"/>
  <c r="BU20" i="10"/>
  <c r="BU20" i="7"/>
  <c r="BU20" i="8"/>
  <c r="BU20" i="5"/>
  <c r="BU20" i="3"/>
  <c r="BU20" i="4"/>
  <c r="BV14" i="2"/>
  <c r="BW8" i="2"/>
  <c r="BW8" i="6" s="1"/>
  <c r="BV18" i="2"/>
  <c r="BV18" i="6" s="1"/>
  <c r="BV19" i="2"/>
  <c r="BV19" i="6" s="1"/>
  <c r="BV26" i="2"/>
  <c r="BV26" i="6" s="1"/>
  <c r="BV21" i="2"/>
  <c r="BV21" i="6" s="1"/>
  <c r="BV28" i="2" l="1"/>
  <c r="BV28" i="6" s="1"/>
  <c r="BV14" i="6"/>
  <c r="BV20" i="2"/>
  <c r="BV20" i="6" s="1"/>
  <c r="BV97" i="6" s="1"/>
  <c r="BV19" i="10"/>
  <c r="BV19" i="12"/>
  <c r="BV19" i="7"/>
  <c r="BV19" i="8"/>
  <c r="BV19" i="3"/>
  <c r="BV19" i="4"/>
  <c r="BV19" i="5"/>
  <c r="BV18" i="5"/>
  <c r="BV18" i="12"/>
  <c r="BV18" i="10"/>
  <c r="BV18" i="7"/>
  <c r="BV18" i="8"/>
  <c r="BV18" i="3"/>
  <c r="BV18" i="4"/>
  <c r="BV21" i="12"/>
  <c r="BV23" i="2"/>
  <c r="BV23" i="6" s="1"/>
  <c r="BV21" i="10"/>
  <c r="BV21" i="8"/>
  <c r="BV21" i="7"/>
  <c r="BV21" i="5"/>
  <c r="BV22" i="2"/>
  <c r="BV22" i="6" s="1"/>
  <c r="BV21" i="4"/>
  <c r="BV21" i="3"/>
  <c r="BV326" i="3" s="1"/>
  <c r="BV26" i="10"/>
  <c r="BV26" i="8"/>
  <c r="BV26" i="3"/>
  <c r="BV26" i="5"/>
  <c r="BV26" i="4"/>
  <c r="BV26" i="12"/>
  <c r="BV26" i="7"/>
  <c r="BV28" i="10"/>
  <c r="BV28" i="8"/>
  <c r="BV28" i="4"/>
  <c r="BV28" i="5"/>
  <c r="BV28" i="3"/>
  <c r="BV28" i="12"/>
  <c r="BV28" i="7"/>
  <c r="BV25" i="2"/>
  <c r="BV25" i="6" s="1"/>
  <c r="BV24" i="2"/>
  <c r="BV24" i="6" s="1"/>
  <c r="BW9" i="2"/>
  <c r="BV29" i="2"/>
  <c r="BV29" i="6" s="1"/>
  <c r="BV109" i="6" l="1"/>
  <c r="BW13" i="2"/>
  <c r="BW13" i="6" s="1"/>
  <c r="BW9" i="6"/>
  <c r="BV25" i="12"/>
  <c r="BV25" i="5"/>
  <c r="BV25" i="3"/>
  <c r="BV25" i="4"/>
  <c r="BV25" i="10"/>
  <c r="BV25" i="7"/>
  <c r="BV25" i="8"/>
  <c r="BV29" i="12"/>
  <c r="BV29" i="3"/>
  <c r="BV29" i="8"/>
  <c r="BV29" i="5"/>
  <c r="BV29" i="4"/>
  <c r="BV29" i="10"/>
  <c r="BV29" i="7"/>
  <c r="BV23" i="12"/>
  <c r="BV23" i="4"/>
  <c r="BV23" i="10"/>
  <c r="BV23" i="7"/>
  <c r="BV23" i="8"/>
  <c r="BV23" i="5"/>
  <c r="BV23" i="3"/>
  <c r="BV24" i="5"/>
  <c r="BV24" i="3"/>
  <c r="BV24" i="4"/>
  <c r="BV24" i="10"/>
  <c r="BV24" i="12"/>
  <c r="BV24" i="7"/>
  <c r="BV24" i="8"/>
  <c r="BV22" i="10"/>
  <c r="BV22" i="5"/>
  <c r="BV22" i="12"/>
  <c r="BV22" i="7"/>
  <c r="BV22" i="8"/>
  <c r="BV22" i="3"/>
  <c r="BV22" i="4"/>
  <c r="BV20" i="5"/>
  <c r="BV20" i="12"/>
  <c r="BV20" i="7"/>
  <c r="BV20" i="8"/>
  <c r="BV20" i="10"/>
  <c r="BV20" i="3"/>
  <c r="BV20" i="4"/>
  <c r="BW14" i="2"/>
  <c r="BX8" i="2"/>
  <c r="BX8" i="6" s="1"/>
  <c r="BW18" i="2"/>
  <c r="BW18" i="6" s="1"/>
  <c r="BW19" i="2"/>
  <c r="BW19" i="6" s="1"/>
  <c r="BW26" i="2"/>
  <c r="BW26" i="6" s="1"/>
  <c r="BW21" i="2"/>
  <c r="BW21" i="6" s="1"/>
  <c r="BW28" i="2" l="1"/>
  <c r="BW28" i="6" s="1"/>
  <c r="BW14" i="6"/>
  <c r="BW21" i="12"/>
  <c r="BW21" i="8"/>
  <c r="BW23" i="2"/>
  <c r="BW23" i="6" s="1"/>
  <c r="BW21" i="10"/>
  <c r="BW21" i="7"/>
  <c r="BW21" i="4"/>
  <c r="BW22" i="2"/>
  <c r="BW22" i="6" s="1"/>
  <c r="BW21" i="5"/>
  <c r="BW21" i="3"/>
  <c r="BW326" i="3" s="1"/>
  <c r="BW20" i="2"/>
  <c r="BW20" i="6" s="1"/>
  <c r="BW109" i="6" s="1"/>
  <c r="BW19" i="12"/>
  <c r="BW19" i="10"/>
  <c r="BW19" i="8"/>
  <c r="BW19" i="7"/>
  <c r="BW19" i="5"/>
  <c r="BW19" i="3"/>
  <c r="BW19" i="4"/>
  <c r="BW18" i="12"/>
  <c r="BW18" i="7"/>
  <c r="BW18" i="8"/>
  <c r="BW18" i="10"/>
  <c r="BW18" i="5"/>
  <c r="BW18" i="4"/>
  <c r="BW18" i="3"/>
  <c r="BW26" i="10"/>
  <c r="BW26" i="8"/>
  <c r="BW26" i="5"/>
  <c r="BW26" i="3"/>
  <c r="BW26" i="4"/>
  <c r="BW26" i="7"/>
  <c r="BW26" i="12"/>
  <c r="BW28" i="8"/>
  <c r="BW28" i="10"/>
  <c r="BW28" i="5"/>
  <c r="BW28" i="3"/>
  <c r="BW28" i="4"/>
  <c r="BW28" i="7"/>
  <c r="BW28" i="12"/>
  <c r="BW24" i="2"/>
  <c r="BW24" i="6" s="1"/>
  <c r="BW25" i="2"/>
  <c r="BW25" i="6" s="1"/>
  <c r="BX9" i="2"/>
  <c r="BW29" i="2"/>
  <c r="BW29" i="6" s="1"/>
  <c r="BW97" i="6" l="1"/>
  <c r="BX14" i="2"/>
  <c r="BX9" i="6"/>
  <c r="BW29" i="12"/>
  <c r="BW29" i="10"/>
  <c r="BW29" i="8"/>
  <c r="BW29" i="5"/>
  <c r="BW29" i="3"/>
  <c r="BW29" i="4"/>
  <c r="BW29" i="7"/>
  <c r="BW20" i="8"/>
  <c r="BW20" i="12"/>
  <c r="BW20" i="7"/>
  <c r="BW20" i="5"/>
  <c r="BW20" i="10"/>
  <c r="BW20" i="3"/>
  <c r="BW20" i="4"/>
  <c r="BW23" i="12"/>
  <c r="BW23" i="8"/>
  <c r="BW23" i="3"/>
  <c r="BW23" i="10"/>
  <c r="BW23" i="7"/>
  <c r="BW23" i="4"/>
  <c r="BW23" i="5"/>
  <c r="BW22" i="8"/>
  <c r="BW22" i="12"/>
  <c r="BW22" i="7"/>
  <c r="BW22" i="10"/>
  <c r="BW22" i="5"/>
  <c r="BW22" i="3"/>
  <c r="BW22" i="4"/>
  <c r="BW24" i="8"/>
  <c r="BW24" i="5"/>
  <c r="BW24" i="3"/>
  <c r="BW24" i="4"/>
  <c r="BW24" i="10"/>
  <c r="BW24" i="12"/>
  <c r="BW24" i="7"/>
  <c r="BW25" i="8"/>
  <c r="BW25" i="3"/>
  <c r="BW25" i="10"/>
  <c r="BW25" i="7"/>
  <c r="BW25" i="12"/>
  <c r="BW25" i="5"/>
  <c r="BW25" i="4"/>
  <c r="BX13" i="2"/>
  <c r="BX13" i="6" s="1"/>
  <c r="BY8" i="2"/>
  <c r="BY8" i="6" s="1"/>
  <c r="BX21" i="2"/>
  <c r="BX21" i="6" s="1"/>
  <c r="BX26" i="2"/>
  <c r="BX26" i="6" s="1"/>
  <c r="BX18" i="2"/>
  <c r="BX18" i="6" s="1"/>
  <c r="BX19" i="2"/>
  <c r="BX19" i="6" s="1"/>
  <c r="BX28" i="2" l="1"/>
  <c r="BX14" i="6"/>
  <c r="BX23" i="2"/>
  <c r="BX23" i="6" s="1"/>
  <c r="BX21" i="7"/>
  <c r="BX21" i="12"/>
  <c r="BX21" i="10"/>
  <c r="BX21" i="8"/>
  <c r="BX21" i="3"/>
  <c r="BX326" i="3" s="1"/>
  <c r="BX21" i="4"/>
  <c r="BX22" i="2"/>
  <c r="BX22" i="6" s="1"/>
  <c r="BX21" i="5"/>
  <c r="BX20" i="2"/>
  <c r="BX20" i="6" s="1"/>
  <c r="BX109" i="6" s="1"/>
  <c r="BX19" i="7"/>
  <c r="BX19" i="8"/>
  <c r="BX19" i="10"/>
  <c r="BX19" i="12"/>
  <c r="BX19" i="3"/>
  <c r="BX19" i="4"/>
  <c r="BX19" i="5"/>
  <c r="BX18" i="10"/>
  <c r="BX18" i="5"/>
  <c r="BX18" i="4"/>
  <c r="BX18" i="12"/>
  <c r="BX18" i="7"/>
  <c r="BX18" i="8"/>
  <c r="BX18" i="3"/>
  <c r="BX26" i="8"/>
  <c r="BX26" i="5"/>
  <c r="BX26" i="3"/>
  <c r="BX26" i="4"/>
  <c r="BX26" i="10"/>
  <c r="BX26" i="12"/>
  <c r="BX26" i="7"/>
  <c r="BX24" i="2"/>
  <c r="BX24" i="6" s="1"/>
  <c r="BX25" i="2"/>
  <c r="BX25" i="6" s="1"/>
  <c r="BY9" i="2"/>
  <c r="BX97" i="6" l="1"/>
  <c r="BY14" i="2"/>
  <c r="BY9" i="6"/>
  <c r="BX28" i="6"/>
  <c r="BX28" i="3"/>
  <c r="BX28" i="7"/>
  <c r="BX29" i="2"/>
  <c r="BX28" i="4"/>
  <c r="BX28" i="12"/>
  <c r="BX28" i="8"/>
  <c r="BX28" i="10"/>
  <c r="BX28" i="5"/>
  <c r="BX20" i="5"/>
  <c r="BX20" i="4"/>
  <c r="BX20" i="10"/>
  <c r="BX20" i="12"/>
  <c r="BX20" i="7"/>
  <c r="BX20" i="8"/>
  <c r="BX20" i="3"/>
  <c r="BX24" i="4"/>
  <c r="BX24" i="5"/>
  <c r="BX24" i="10"/>
  <c r="BX24" i="7"/>
  <c r="BX24" i="12"/>
  <c r="BX24" i="8"/>
  <c r="BX24" i="3"/>
  <c r="BX25" i="12"/>
  <c r="BX25" i="10"/>
  <c r="BX25" i="7"/>
  <c r="BX25" i="8"/>
  <c r="BX25" i="4"/>
  <c r="BX25" i="5"/>
  <c r="BX25" i="3"/>
  <c r="BX22" i="5"/>
  <c r="BX22" i="4"/>
  <c r="BX22" i="10"/>
  <c r="BX22" i="7"/>
  <c r="BX22" i="12"/>
  <c r="BX22" i="8"/>
  <c r="BX22" i="3"/>
  <c r="BX23" i="7"/>
  <c r="BX23" i="12"/>
  <c r="BX23" i="10"/>
  <c r="BX23" i="8"/>
  <c r="BX23" i="4"/>
  <c r="BX23" i="5"/>
  <c r="BX23" i="3"/>
  <c r="BY13" i="2"/>
  <c r="BY13" i="6" s="1"/>
  <c r="BZ8" i="2"/>
  <c r="BZ8" i="6" s="1"/>
  <c r="BY21" i="2"/>
  <c r="BY21" i="6" s="1"/>
  <c r="BY26" i="2"/>
  <c r="BY26" i="6" s="1"/>
  <c r="BY18" i="2"/>
  <c r="BY18" i="6" s="1"/>
  <c r="BY19" i="2"/>
  <c r="BY19" i="6" s="1"/>
  <c r="BX29" i="6" l="1"/>
  <c r="BX29" i="8"/>
  <c r="BX29" i="10"/>
  <c r="BX29" i="5"/>
  <c r="BX29" i="7"/>
  <c r="BX29" i="3"/>
  <c r="BX29" i="12"/>
  <c r="BX29" i="4"/>
  <c r="BY28" i="2"/>
  <c r="BY14" i="6"/>
  <c r="BY21" i="8"/>
  <c r="BY23" i="2"/>
  <c r="BY23" i="6" s="1"/>
  <c r="BY21" i="7"/>
  <c r="BY21" i="12"/>
  <c r="BY21" i="10"/>
  <c r="BY21" i="4"/>
  <c r="BY22" i="2"/>
  <c r="BY22" i="6" s="1"/>
  <c r="BY21" i="5"/>
  <c r="BY21" i="3"/>
  <c r="BY326" i="3" s="1"/>
  <c r="BY20" i="2"/>
  <c r="BY20" i="6" s="1"/>
  <c r="BY109" i="6" s="1"/>
  <c r="BY19" i="7"/>
  <c r="BY19" i="12"/>
  <c r="BY19" i="10"/>
  <c r="BY19" i="8"/>
  <c r="BY19" i="3"/>
  <c r="BY19" i="4"/>
  <c r="BY19" i="5"/>
  <c r="BY18" i="8"/>
  <c r="BY18" i="3"/>
  <c r="BY18" i="4"/>
  <c r="BY18" i="5"/>
  <c r="BY18" i="10"/>
  <c r="BY18" i="12"/>
  <c r="BY18" i="7"/>
  <c r="BY26" i="12"/>
  <c r="BY26" i="8"/>
  <c r="BY26" i="3"/>
  <c r="BY26" i="5"/>
  <c r="BY26" i="4"/>
  <c r="BY26" i="10"/>
  <c r="BY26" i="7"/>
  <c r="BY24" i="2"/>
  <c r="BY24" i="6" s="1"/>
  <c r="BY25" i="2"/>
  <c r="BY25" i="6" s="1"/>
  <c r="BZ9" i="2"/>
  <c r="BY28" i="6" l="1"/>
  <c r="BY28" i="12"/>
  <c r="BY28" i="10"/>
  <c r="BY28" i="3"/>
  <c r="BY28" i="7"/>
  <c r="BY28" i="5"/>
  <c r="BY29" i="2"/>
  <c r="BY28" i="8"/>
  <c r="BY28" i="4"/>
  <c r="BY97" i="6"/>
  <c r="BZ14" i="2"/>
  <c r="BZ9" i="6"/>
  <c r="BY24" i="10"/>
  <c r="BY24" i="8"/>
  <c r="BY24" i="5"/>
  <c r="BY24" i="3"/>
  <c r="BY24" i="4"/>
  <c r="BY24" i="12"/>
  <c r="BY24" i="7"/>
  <c r="BY22" i="8"/>
  <c r="BY22" i="5"/>
  <c r="BY22" i="4"/>
  <c r="BY22" i="3"/>
  <c r="BY22" i="10"/>
  <c r="BY22" i="12"/>
  <c r="BY22" i="7"/>
  <c r="BY20" i="8"/>
  <c r="BY20" i="5"/>
  <c r="BY20" i="3"/>
  <c r="BY20" i="4"/>
  <c r="BY20" i="10"/>
  <c r="BY20" i="12"/>
  <c r="BY20" i="7"/>
  <c r="BY23" i="8"/>
  <c r="BY23" i="5"/>
  <c r="BY23" i="12"/>
  <c r="BY23" i="10"/>
  <c r="BY23" i="7"/>
  <c r="BY23" i="3"/>
  <c r="BY23" i="4"/>
  <c r="BY25" i="8"/>
  <c r="BY25" i="5"/>
  <c r="BY25" i="4"/>
  <c r="BY25" i="7"/>
  <c r="BY25" i="12"/>
  <c r="BY25" i="10"/>
  <c r="BY25" i="3"/>
  <c r="BZ13" i="2"/>
  <c r="BZ13" i="6" s="1"/>
  <c r="CA8" i="2"/>
  <c r="CA8" i="6" s="1"/>
  <c r="BZ21" i="2"/>
  <c r="BZ21" i="6" s="1"/>
  <c r="BZ26" i="2"/>
  <c r="BZ26" i="6" s="1"/>
  <c r="BZ19" i="2"/>
  <c r="BZ19" i="6" s="1"/>
  <c r="BZ18" i="2"/>
  <c r="BZ18" i="6" s="1"/>
  <c r="BY29" i="6" l="1"/>
  <c r="BY29" i="8"/>
  <c r="BY29" i="10"/>
  <c r="BY29" i="7"/>
  <c r="BY29" i="3"/>
  <c r="BY29" i="4"/>
  <c r="BY29" i="5"/>
  <c r="BY29" i="12"/>
  <c r="BZ28" i="2"/>
  <c r="BZ14" i="6"/>
  <c r="BZ18" i="12"/>
  <c r="BZ18" i="10"/>
  <c r="BZ18" i="8"/>
  <c r="BZ18" i="7"/>
  <c r="BZ18" i="5"/>
  <c r="BZ18" i="4"/>
  <c r="BZ18" i="3"/>
  <c r="BZ20" i="2"/>
  <c r="BZ20" i="6" s="1"/>
  <c r="BZ97" i="6" s="1"/>
  <c r="BZ19" i="12"/>
  <c r="BZ19" i="5"/>
  <c r="BZ19" i="7"/>
  <c r="BZ19" i="10"/>
  <c r="BZ19" i="8"/>
  <c r="BZ19" i="4"/>
  <c r="BZ19" i="3"/>
  <c r="BZ21" i="12"/>
  <c r="BZ21" i="5"/>
  <c r="BZ23" i="2"/>
  <c r="BZ23" i="6" s="1"/>
  <c r="BZ21" i="10"/>
  <c r="BZ21" i="7"/>
  <c r="BZ21" i="8"/>
  <c r="BZ21" i="4"/>
  <c r="BZ22" i="2"/>
  <c r="BZ22" i="6" s="1"/>
  <c r="BZ21" i="3"/>
  <c r="BZ326" i="3" s="1"/>
  <c r="BZ26" i="12"/>
  <c r="BZ26" i="8"/>
  <c r="BZ26" i="4"/>
  <c r="BZ26" i="5"/>
  <c r="BZ26" i="3"/>
  <c r="BZ26" i="7"/>
  <c r="BZ26" i="10"/>
  <c r="BZ24" i="2"/>
  <c r="BZ24" i="6" s="1"/>
  <c r="BZ25" i="2"/>
  <c r="BZ25" i="6" s="1"/>
  <c r="CA9" i="2"/>
  <c r="BZ109" i="6" l="1"/>
  <c r="CA14" i="2"/>
  <c r="CA9" i="6"/>
  <c r="BZ28" i="6"/>
  <c r="BZ28" i="12"/>
  <c r="BZ28" i="8"/>
  <c r="BZ28" i="3"/>
  <c r="BZ28" i="10"/>
  <c r="BZ28" i="4"/>
  <c r="BZ28" i="7"/>
  <c r="BZ29" i="2"/>
  <c r="BZ28" i="5"/>
  <c r="BZ24" i="12"/>
  <c r="BZ24" i="10"/>
  <c r="BZ24" i="3"/>
  <c r="BZ24" i="5"/>
  <c r="BZ24" i="4"/>
  <c r="BZ24" i="8"/>
  <c r="BZ24" i="7"/>
  <c r="BZ23" i="5"/>
  <c r="BZ23" i="12"/>
  <c r="BZ23" i="7"/>
  <c r="BZ23" i="8"/>
  <c r="BZ23" i="10"/>
  <c r="BZ23" i="3"/>
  <c r="BZ23" i="4"/>
  <c r="BZ22" i="10"/>
  <c r="BZ22" i="12"/>
  <c r="BZ22" i="7"/>
  <c r="BZ22" i="8"/>
  <c r="BZ22" i="3"/>
  <c r="BZ22" i="4"/>
  <c r="BZ22" i="5"/>
  <c r="BZ25" i="3"/>
  <c r="BZ25" i="4"/>
  <c r="BZ25" i="5"/>
  <c r="BZ25" i="10"/>
  <c r="BZ25" i="12"/>
  <c r="BZ25" i="7"/>
  <c r="BZ25" i="8"/>
  <c r="BZ20" i="10"/>
  <c r="BZ20" i="12"/>
  <c r="BZ20" i="7"/>
  <c r="BZ20" i="8"/>
  <c r="BZ20" i="3"/>
  <c r="BZ20" i="4"/>
  <c r="BZ20" i="5"/>
  <c r="CA13" i="2"/>
  <c r="CA13" i="6" s="1"/>
  <c r="CB8" i="2"/>
  <c r="CB8" i="6" s="1"/>
  <c r="CA21" i="2"/>
  <c r="CA21" i="6" s="1"/>
  <c r="CA26" i="2"/>
  <c r="CA26" i="6" s="1"/>
  <c r="CA18" i="2"/>
  <c r="CA18" i="6" s="1"/>
  <c r="CA19" i="2"/>
  <c r="CA19" i="6" s="1"/>
  <c r="BZ29" i="6" l="1"/>
  <c r="BZ29" i="8"/>
  <c r="BZ29" i="7"/>
  <c r="BZ29" i="5"/>
  <c r="BZ29" i="12"/>
  <c r="BZ29" i="4"/>
  <c r="BZ29" i="10"/>
  <c r="BZ29" i="3"/>
  <c r="CA28" i="2"/>
  <c r="CA14" i="6"/>
  <c r="CA21" i="8"/>
  <c r="CA23" i="2"/>
  <c r="CA23" i="6" s="1"/>
  <c r="CA21" i="12"/>
  <c r="CA21" i="7"/>
  <c r="CA21" i="10"/>
  <c r="CA21" i="5"/>
  <c r="CA21" i="4"/>
  <c r="CA22" i="2"/>
  <c r="CA22" i="6" s="1"/>
  <c r="CA21" i="3"/>
  <c r="CA326" i="3" s="1"/>
  <c r="CA20" i="2"/>
  <c r="CA20" i="6" s="1"/>
  <c r="CA109" i="6" s="1"/>
  <c r="CA19" i="12"/>
  <c r="CA19" i="10"/>
  <c r="CA19" i="8"/>
  <c r="CA19" i="7"/>
  <c r="CA19" i="3"/>
  <c r="CA19" i="4"/>
  <c r="CA19" i="5"/>
  <c r="CA18" i="12"/>
  <c r="CA18" i="7"/>
  <c r="CA18" i="8"/>
  <c r="CA18" i="10"/>
  <c r="CA18" i="4"/>
  <c r="CA18" i="5"/>
  <c r="CA18" i="3"/>
  <c r="CA26" i="10"/>
  <c r="CA26" i="12"/>
  <c r="CA26" i="8"/>
  <c r="CA26" i="5"/>
  <c r="CA26" i="3"/>
  <c r="CA26" i="4"/>
  <c r="CA26" i="7"/>
  <c r="CA24" i="2"/>
  <c r="CA24" i="6" s="1"/>
  <c r="CA25" i="2"/>
  <c r="CA25" i="6" s="1"/>
  <c r="CB9" i="2"/>
  <c r="CA28" i="6" l="1"/>
  <c r="CA28" i="10"/>
  <c r="CA28" i="3"/>
  <c r="CA28" i="12"/>
  <c r="CA28" i="4"/>
  <c r="CA29" i="2"/>
  <c r="CA28" i="8"/>
  <c r="CA28" i="7"/>
  <c r="CA28" i="5"/>
  <c r="CA97" i="6"/>
  <c r="CB13" i="2"/>
  <c r="CB13" i="6" s="1"/>
  <c r="CB9" i="6"/>
  <c r="CA20" i="8"/>
  <c r="CA20" i="10"/>
  <c r="CA20" i="12"/>
  <c r="CA20" i="7"/>
  <c r="CA20" i="4"/>
  <c r="CA20" i="5"/>
  <c r="CA20" i="3"/>
  <c r="CA23" i="8"/>
  <c r="CA23" i="7"/>
  <c r="CA23" i="5"/>
  <c r="CA23" i="12"/>
  <c r="CA23" i="10"/>
  <c r="CA23" i="3"/>
  <c r="CA23" i="4"/>
  <c r="CA24" i="12"/>
  <c r="CA24" i="8"/>
  <c r="CA24" i="3"/>
  <c r="CA24" i="10"/>
  <c r="CA24" i="7"/>
  <c r="CA24" i="4"/>
  <c r="CA24" i="5"/>
  <c r="CA25" i="8"/>
  <c r="CA25" i="5"/>
  <c r="CA25" i="10"/>
  <c r="CA25" i="3"/>
  <c r="CA25" i="4"/>
  <c r="CA25" i="12"/>
  <c r="CA25" i="7"/>
  <c r="CA22" i="12"/>
  <c r="CA22" i="10"/>
  <c r="CA22" i="8"/>
  <c r="CA22" i="7"/>
  <c r="CA22" i="5"/>
  <c r="CA22" i="3"/>
  <c r="CA22" i="4"/>
  <c r="CB14" i="2"/>
  <c r="CC8" i="2"/>
  <c r="CC8" i="6" s="1"/>
  <c r="CB21" i="2"/>
  <c r="CB21" i="6" s="1"/>
  <c r="CB26" i="2"/>
  <c r="CB26" i="6" s="1"/>
  <c r="CB19" i="2"/>
  <c r="CB19" i="6" s="1"/>
  <c r="CB18" i="2"/>
  <c r="CB18" i="6" s="1"/>
  <c r="CB28" i="2" l="1"/>
  <c r="CB28" i="6" s="1"/>
  <c r="CB14" i="6"/>
  <c r="CA29" i="6"/>
  <c r="CA29" i="10"/>
  <c r="CA29" i="4"/>
  <c r="CA29" i="7"/>
  <c r="CA29" i="8"/>
  <c r="CA29" i="3"/>
  <c r="CA29" i="5"/>
  <c r="CA29" i="12"/>
  <c r="CB28" i="8"/>
  <c r="CB28" i="5"/>
  <c r="CB28" i="3"/>
  <c r="CB28" i="4"/>
  <c r="CB28" i="10"/>
  <c r="CB28" i="12"/>
  <c r="CB28" i="7"/>
  <c r="CB26" i="8"/>
  <c r="CB26" i="5"/>
  <c r="CB26" i="3"/>
  <c r="CB26" i="4"/>
  <c r="CB26" i="10"/>
  <c r="CB26" i="12"/>
  <c r="CB26" i="7"/>
  <c r="CB21" i="5"/>
  <c r="CB21" i="4"/>
  <c r="CB23" i="2"/>
  <c r="CB23" i="6" s="1"/>
  <c r="CB21" i="10"/>
  <c r="CB21" i="12"/>
  <c r="CB21" i="7"/>
  <c r="CB21" i="8"/>
  <c r="CB21" i="3"/>
  <c r="CB326" i="3" s="1"/>
  <c r="CB22" i="2"/>
  <c r="CB22" i="6" s="1"/>
  <c r="CB20" i="2"/>
  <c r="CB20" i="6" s="1"/>
  <c r="CB109" i="6" s="1"/>
  <c r="CB19" i="4"/>
  <c r="CB19" i="5"/>
  <c r="CB19" i="10"/>
  <c r="CB19" i="12"/>
  <c r="CB19" i="7"/>
  <c r="CB19" i="8"/>
  <c r="CB19" i="3"/>
  <c r="CB18" i="12"/>
  <c r="CB18" i="10"/>
  <c r="CB18" i="8"/>
  <c r="CB18" i="7"/>
  <c r="CB18" i="5"/>
  <c r="CB18" i="4"/>
  <c r="CB18" i="3"/>
  <c r="CB25" i="2"/>
  <c r="CB25" i="6" s="1"/>
  <c r="CB24" i="2"/>
  <c r="CB24" i="6" s="1"/>
  <c r="CC9" i="2"/>
  <c r="CB29" i="2"/>
  <c r="CB29" i="6" s="1"/>
  <c r="CB97" i="6" l="1"/>
  <c r="CC13" i="2"/>
  <c r="CC13" i="6" s="1"/>
  <c r="CC9" i="6"/>
  <c r="CB25" i="5"/>
  <c r="CB25" i="4"/>
  <c r="CB25" i="10"/>
  <c r="CB25" i="7"/>
  <c r="CB25" i="12"/>
  <c r="CB25" i="8"/>
  <c r="CB25" i="3"/>
  <c r="CB23" i="10"/>
  <c r="CB23" i="5"/>
  <c r="CB23" i="4"/>
  <c r="CB23" i="12"/>
  <c r="CB23" i="7"/>
  <c r="CB23" i="8"/>
  <c r="CB23" i="3"/>
  <c r="CB29" i="12"/>
  <c r="CB29" i="8"/>
  <c r="CB29" i="5"/>
  <c r="CB29" i="3"/>
  <c r="CB29" i="4"/>
  <c r="CB29" i="10"/>
  <c r="CB29" i="7"/>
  <c r="CB20" i="12"/>
  <c r="CB20" i="10"/>
  <c r="CB20" i="7"/>
  <c r="CB20" i="8"/>
  <c r="CB20" i="4"/>
  <c r="CB20" i="5"/>
  <c r="CB20" i="3"/>
  <c r="CB24" i="7"/>
  <c r="CB24" i="12"/>
  <c r="CB24" i="10"/>
  <c r="CB24" i="8"/>
  <c r="CB24" i="3"/>
  <c r="CB24" i="4"/>
  <c r="CB24" i="5"/>
  <c r="CB22" i="7"/>
  <c r="CB22" i="8"/>
  <c r="CB22" i="10"/>
  <c r="CB22" i="5"/>
  <c r="CB22" i="12"/>
  <c r="CB22" i="3"/>
  <c r="CB22" i="4"/>
  <c r="CC14" i="2"/>
  <c r="CD8" i="2"/>
  <c r="CD8" i="6" s="1"/>
  <c r="CC18" i="2"/>
  <c r="CC18" i="6" s="1"/>
  <c r="CC19" i="2"/>
  <c r="CC19" i="6" s="1"/>
  <c r="CC26" i="2"/>
  <c r="CC26" i="6" s="1"/>
  <c r="CC21" i="2"/>
  <c r="CC21" i="6" s="1"/>
  <c r="CC28" i="2" l="1"/>
  <c r="CC28" i="6" s="1"/>
  <c r="CC14" i="6"/>
  <c r="CC20" i="2"/>
  <c r="CC20" i="6" s="1"/>
  <c r="CC109" i="6" s="1"/>
  <c r="CC19" i="8"/>
  <c r="CC19" i="5"/>
  <c r="CC19" i="3"/>
  <c r="CC19" i="4"/>
  <c r="CC19" i="10"/>
  <c r="CC19" i="7"/>
  <c r="CC19" i="12"/>
  <c r="CC18" i="12"/>
  <c r="CC18" i="10"/>
  <c r="CC18" i="8"/>
  <c r="CC18" i="7"/>
  <c r="CC18" i="4"/>
  <c r="CC18" i="5"/>
  <c r="CC18" i="3"/>
  <c r="CC21" i="8"/>
  <c r="CC21" i="10"/>
  <c r="CC21" i="3"/>
  <c r="CC326" i="3" s="1"/>
  <c r="CC21" i="4"/>
  <c r="CC23" i="2"/>
  <c r="CC23" i="6" s="1"/>
  <c r="CC21" i="5"/>
  <c r="CC21" i="12"/>
  <c r="CC21" i="7"/>
  <c r="CC22" i="2"/>
  <c r="CC22" i="6" s="1"/>
  <c r="CC26" i="8"/>
  <c r="CC26" i="3"/>
  <c r="CC26" i="5"/>
  <c r="CC26" i="4"/>
  <c r="CC26" i="10"/>
  <c r="CC26" i="12"/>
  <c r="CC26" i="7"/>
  <c r="CC28" i="8"/>
  <c r="CC28" i="3"/>
  <c r="CC28" i="5"/>
  <c r="CC28" i="4"/>
  <c r="CC28" i="10"/>
  <c r="CC28" i="12"/>
  <c r="CC28" i="7"/>
  <c r="CC25" i="2"/>
  <c r="CC25" i="6" s="1"/>
  <c r="CC24" i="2"/>
  <c r="CC24" i="6" s="1"/>
  <c r="CD9" i="2"/>
  <c r="CC29" i="2"/>
  <c r="CC29" i="6" s="1"/>
  <c r="CC97" i="6" l="1"/>
  <c r="CD13" i="2"/>
  <c r="CD13" i="6" s="1"/>
  <c r="CD9" i="6"/>
  <c r="CC25" i="8"/>
  <c r="CC25" i="5"/>
  <c r="CC25" i="3"/>
  <c r="CC25" i="4"/>
  <c r="CC25" i="10"/>
  <c r="CC25" i="12"/>
  <c r="CC25" i="7"/>
  <c r="CC29" i="12"/>
  <c r="CC29" i="8"/>
  <c r="CC29" i="3"/>
  <c r="CC29" i="5"/>
  <c r="CC29" i="4"/>
  <c r="CC29" i="10"/>
  <c r="CC29" i="7"/>
  <c r="CC22" i="8"/>
  <c r="CC22" i="7"/>
  <c r="CC22" i="12"/>
  <c r="CC22" i="10"/>
  <c r="CC22" i="3"/>
  <c r="CC22" i="4"/>
  <c r="CC22" i="5"/>
  <c r="CC23" i="8"/>
  <c r="CC23" i="5"/>
  <c r="CC23" i="3"/>
  <c r="CC23" i="4"/>
  <c r="CC23" i="10"/>
  <c r="CC23" i="12"/>
  <c r="CC23" i="7"/>
  <c r="CC24" i="8"/>
  <c r="CC24" i="5"/>
  <c r="CC24" i="4"/>
  <c r="CC24" i="7"/>
  <c r="CC24" i="12"/>
  <c r="CC24" i="10"/>
  <c r="CC24" i="3"/>
  <c r="CC20" i="7"/>
  <c r="CC20" i="8"/>
  <c r="CC20" i="10"/>
  <c r="CC20" i="5"/>
  <c r="CC20" i="12"/>
  <c r="CC20" i="3"/>
  <c r="CC20" i="4"/>
  <c r="CD14" i="2"/>
  <c r="CE8" i="2"/>
  <c r="CE8" i="6" s="1"/>
  <c r="CD18" i="2"/>
  <c r="CD18" i="6" s="1"/>
  <c r="CD19" i="2"/>
  <c r="CD19" i="6" s="1"/>
  <c r="CD21" i="2"/>
  <c r="CD21" i="6" s="1"/>
  <c r="CD26" i="2"/>
  <c r="CD26" i="6" s="1"/>
  <c r="CD28" i="2" l="1"/>
  <c r="CD28" i="6" s="1"/>
  <c r="CD14" i="6"/>
  <c r="CD26" i="10"/>
  <c r="CD26" i="3"/>
  <c r="CD26" i="5"/>
  <c r="CD26" i="8"/>
  <c r="CD26" i="4"/>
  <c r="CD26" i="12"/>
  <c r="CD26" i="7"/>
  <c r="CD20" i="2"/>
  <c r="CD20" i="6" s="1"/>
  <c r="CD109" i="6" s="1"/>
  <c r="CD19" i="10"/>
  <c r="CD19" i="12"/>
  <c r="CD19" i="7"/>
  <c r="CD19" i="8"/>
  <c r="CD19" i="5"/>
  <c r="CD19" i="4"/>
  <c r="CD19" i="3"/>
  <c r="CD23" i="2"/>
  <c r="CD23" i="6" s="1"/>
  <c r="CD21" i="10"/>
  <c r="CD21" i="12"/>
  <c r="CD21" i="8"/>
  <c r="CD21" i="7"/>
  <c r="CD21" i="5"/>
  <c r="CD21" i="4"/>
  <c r="CD22" i="2"/>
  <c r="CD22" i="6" s="1"/>
  <c r="CD21" i="3"/>
  <c r="CD326" i="3" s="1"/>
  <c r="CD18" i="5"/>
  <c r="CD18" i="12"/>
  <c r="CD18" i="7"/>
  <c r="CD18" i="8"/>
  <c r="CD18" i="10"/>
  <c r="CD18" i="3"/>
  <c r="CD18" i="4"/>
  <c r="CD28" i="10"/>
  <c r="CD28" i="8"/>
  <c r="CD28" i="5"/>
  <c r="CD28" i="4"/>
  <c r="CD28" i="3"/>
  <c r="CD28" i="12"/>
  <c r="CD28" i="7"/>
  <c r="CD24" i="2"/>
  <c r="CD24" i="6" s="1"/>
  <c r="CD25" i="2"/>
  <c r="CD25" i="6" s="1"/>
  <c r="CE9" i="2"/>
  <c r="CD29" i="2"/>
  <c r="CD29" i="6" s="1"/>
  <c r="CD97" i="6" l="1"/>
  <c r="CE13" i="2"/>
  <c r="CE13" i="6" s="1"/>
  <c r="CE9" i="6"/>
  <c r="CD24" i="12"/>
  <c r="CD24" i="3"/>
  <c r="CD24" i="4"/>
  <c r="CD24" i="5"/>
  <c r="CD24" i="10"/>
  <c r="CD24" i="7"/>
  <c r="CD24" i="8"/>
  <c r="CD29" i="12"/>
  <c r="CD29" i="8"/>
  <c r="CD29" i="3"/>
  <c r="CD29" i="5"/>
  <c r="CD29" i="4"/>
  <c r="CD29" i="10"/>
  <c r="CD29" i="7"/>
  <c r="CD22" i="12"/>
  <c r="CD22" i="5"/>
  <c r="CD22" i="10"/>
  <c r="CD22" i="7"/>
  <c r="CD22" i="8"/>
  <c r="CD22" i="4"/>
  <c r="CD22" i="3"/>
  <c r="CD23" i="5"/>
  <c r="CD23" i="4"/>
  <c r="CD23" i="10"/>
  <c r="CD23" i="12"/>
  <c r="CD23" i="7"/>
  <c r="CD23" i="8"/>
  <c r="CD23" i="3"/>
  <c r="CD25" i="10"/>
  <c r="CD25" i="3"/>
  <c r="CD25" i="4"/>
  <c r="CD25" i="5"/>
  <c r="CD25" i="7"/>
  <c r="CD25" i="12"/>
  <c r="CD25" i="8"/>
  <c r="CD20" i="12"/>
  <c r="CD20" i="5"/>
  <c r="CD20" i="7"/>
  <c r="CD20" i="10"/>
  <c r="CD20" i="8"/>
  <c r="CD20" i="3"/>
  <c r="CD20" i="4"/>
  <c r="CE14" i="2"/>
  <c r="CF8" i="2"/>
  <c r="CF8" i="6" s="1"/>
  <c r="CE18" i="2"/>
  <c r="CE18" i="6" s="1"/>
  <c r="CE19" i="2"/>
  <c r="CE19" i="6" s="1"/>
  <c r="CE21" i="2"/>
  <c r="CE21" i="6" s="1"/>
  <c r="CE26" i="2"/>
  <c r="CE26" i="6" s="1"/>
  <c r="CE28" i="2" l="1"/>
  <c r="CE28" i="6" s="1"/>
  <c r="CE14" i="6"/>
  <c r="CE20" i="2"/>
  <c r="CE20" i="6" s="1"/>
  <c r="CE109" i="6" s="1"/>
  <c r="CE19" i="10"/>
  <c r="CE19" i="12"/>
  <c r="CE19" i="8"/>
  <c r="CE19" i="7"/>
  <c r="CE19" i="4"/>
  <c r="CE19" i="5"/>
  <c r="CE19" i="3"/>
  <c r="CE21" i="8"/>
  <c r="CE23" i="2"/>
  <c r="CE23" i="6" s="1"/>
  <c r="CE21" i="10"/>
  <c r="CE21" i="7"/>
  <c r="CE21" i="12"/>
  <c r="CE21" i="4"/>
  <c r="CE22" i="2"/>
  <c r="CE22" i="6" s="1"/>
  <c r="CE21" i="5"/>
  <c r="CE21" i="3"/>
  <c r="CE326" i="3" s="1"/>
  <c r="CE18" i="12"/>
  <c r="CE18" i="7"/>
  <c r="CE18" i="10"/>
  <c r="CE18" i="5"/>
  <c r="CE18" i="8"/>
  <c r="CE18" i="3"/>
  <c r="CE18" i="4"/>
  <c r="CE26" i="8"/>
  <c r="CE26" i="5"/>
  <c r="CE26" i="3"/>
  <c r="CE26" i="10"/>
  <c r="CE26" i="4"/>
  <c r="CE26" i="7"/>
  <c r="CE26" i="12"/>
  <c r="CE28" i="10"/>
  <c r="CE28" i="8"/>
  <c r="CE28" i="5"/>
  <c r="CE28" i="3"/>
  <c r="CE28" i="4"/>
  <c r="CE28" i="12"/>
  <c r="CE28" i="7"/>
  <c r="CE25" i="2"/>
  <c r="CE25" i="6" s="1"/>
  <c r="CE24" i="2"/>
  <c r="CE24" i="6" s="1"/>
  <c r="CF9" i="2"/>
  <c r="CE29" i="2"/>
  <c r="CE29" i="6" s="1"/>
  <c r="CE97" i="6" l="1"/>
  <c r="CF13" i="2"/>
  <c r="CF13" i="6" s="1"/>
  <c r="CF9" i="6"/>
  <c r="CE25" i="12"/>
  <c r="CE25" i="10"/>
  <c r="CE25" i="8"/>
  <c r="CE25" i="3"/>
  <c r="CE25" i="7"/>
  <c r="CE25" i="5"/>
  <c r="CE25" i="4"/>
  <c r="CE29" i="12"/>
  <c r="CE29" i="10"/>
  <c r="CE29" i="8"/>
  <c r="CE29" i="5"/>
  <c r="CE29" i="3"/>
  <c r="CE29" i="4"/>
  <c r="CE29" i="7"/>
  <c r="CE23" i="8"/>
  <c r="CE23" i="3"/>
  <c r="CE23" i="10"/>
  <c r="CE23" i="12"/>
  <c r="CE23" i="7"/>
  <c r="CE23" i="5"/>
  <c r="CE23" i="4"/>
  <c r="CE24" i="8"/>
  <c r="CE24" i="5"/>
  <c r="CE24" i="3"/>
  <c r="CE24" i="4"/>
  <c r="CE24" i="7"/>
  <c r="CE24" i="12"/>
  <c r="CE24" i="10"/>
  <c r="CE22" i="8"/>
  <c r="CE22" i="12"/>
  <c r="CE22" i="7"/>
  <c r="CE22" i="10"/>
  <c r="CE22" i="3"/>
  <c r="CE22" i="4"/>
  <c r="CE22" i="5"/>
  <c r="CE20" i="8"/>
  <c r="CE20" i="12"/>
  <c r="CE20" i="7"/>
  <c r="CE20" i="10"/>
  <c r="CE20" i="5"/>
  <c r="CE20" i="3"/>
  <c r="CE20" i="4"/>
  <c r="CF14" i="2"/>
  <c r="CG8" i="2"/>
  <c r="CG8" i="6" s="1"/>
  <c r="CF21" i="2"/>
  <c r="CF21" i="6" s="1"/>
  <c r="CF26" i="2"/>
  <c r="CF26" i="6" s="1"/>
  <c r="CF18" i="2"/>
  <c r="CF18" i="6" s="1"/>
  <c r="CF19" i="2"/>
  <c r="CF19" i="6" s="1"/>
  <c r="CF28" i="2" l="1"/>
  <c r="CF28" i="6" s="1"/>
  <c r="CF14" i="6"/>
  <c r="CF26" i="8"/>
  <c r="CF26" i="5"/>
  <c r="CF26" i="3"/>
  <c r="CF26" i="4"/>
  <c r="CF26" i="10"/>
  <c r="CF26" i="12"/>
  <c r="CF26" i="7"/>
  <c r="CF23" i="2"/>
  <c r="CF23" i="6" s="1"/>
  <c r="CF21" i="7"/>
  <c r="CF21" i="12"/>
  <c r="CF21" i="10"/>
  <c r="CF21" i="8"/>
  <c r="CF22" i="2"/>
  <c r="CF22" i="6" s="1"/>
  <c r="CF21" i="5"/>
  <c r="CF21" i="4"/>
  <c r="CF21" i="3"/>
  <c r="CF326" i="3" s="1"/>
  <c r="CF20" i="2"/>
  <c r="CF20" i="6" s="1"/>
  <c r="CF109" i="6" s="1"/>
  <c r="CF19" i="7"/>
  <c r="CF19" i="12"/>
  <c r="CF19" i="10"/>
  <c r="CF19" i="8"/>
  <c r="CF19" i="3"/>
  <c r="CF19" i="4"/>
  <c r="CF19" i="5"/>
  <c r="CF18" i="5"/>
  <c r="CF18" i="4"/>
  <c r="CF18" i="10"/>
  <c r="CF18" i="12"/>
  <c r="CF18" i="7"/>
  <c r="CF18" i="8"/>
  <c r="CF18" i="3"/>
  <c r="CF28" i="8"/>
  <c r="CF28" i="5"/>
  <c r="CF28" i="3"/>
  <c r="CF28" i="4"/>
  <c r="CF28" i="10"/>
  <c r="CF28" i="12"/>
  <c r="CF28" i="7"/>
  <c r="CF24" i="2"/>
  <c r="CF24" i="6" s="1"/>
  <c r="CF25" i="2"/>
  <c r="CF25" i="6" s="1"/>
  <c r="CG9" i="2"/>
  <c r="CF29" i="2"/>
  <c r="CF29" i="6" s="1"/>
  <c r="CG14" i="2" l="1"/>
  <c r="CG9" i="6"/>
  <c r="CF97" i="6"/>
  <c r="CF24" i="5"/>
  <c r="CF24" i="4"/>
  <c r="CF24" i="10"/>
  <c r="CF24" i="7"/>
  <c r="CF24" i="12"/>
  <c r="CF24" i="8"/>
  <c r="CF24" i="3"/>
  <c r="CF20" i="5"/>
  <c r="CF20" i="4"/>
  <c r="CF20" i="10"/>
  <c r="CF20" i="7"/>
  <c r="CF20" i="8"/>
  <c r="CF20" i="12"/>
  <c r="CF20" i="3"/>
  <c r="CF22" i="4"/>
  <c r="CF22" i="5"/>
  <c r="CF22" i="10"/>
  <c r="CF22" i="12"/>
  <c r="CF22" i="7"/>
  <c r="CF22" i="8"/>
  <c r="CF22" i="3"/>
  <c r="CF29" i="12"/>
  <c r="CF29" i="10"/>
  <c r="CF29" i="8"/>
  <c r="CF29" i="5"/>
  <c r="CF29" i="3"/>
  <c r="CF29" i="4"/>
  <c r="CF29" i="7"/>
  <c r="CF25" i="7"/>
  <c r="CF25" i="8"/>
  <c r="CF25" i="10"/>
  <c r="CF25" i="5"/>
  <c r="CF25" i="12"/>
  <c r="CF25" i="3"/>
  <c r="CF25" i="4"/>
  <c r="CF23" i="12"/>
  <c r="CF23" i="10"/>
  <c r="CF23" i="8"/>
  <c r="CF23" i="7"/>
  <c r="CF23" i="4"/>
  <c r="CF23" i="5"/>
  <c r="CF23" i="3"/>
  <c r="CG13" i="2"/>
  <c r="CG13" i="6" s="1"/>
  <c r="CH8" i="2"/>
  <c r="CH8" i="6" s="1"/>
  <c r="CG21" i="2"/>
  <c r="CG21" i="6" s="1"/>
  <c r="CG26" i="2"/>
  <c r="CG26" i="6" s="1"/>
  <c r="CG18" i="2"/>
  <c r="CG18" i="6" s="1"/>
  <c r="CG19" i="2"/>
  <c r="CG19" i="6" s="1"/>
  <c r="CG28" i="2" l="1"/>
  <c r="CG14" i="6"/>
  <c r="CG23" i="2"/>
  <c r="CG23" i="6" s="1"/>
  <c r="CG21" i="8"/>
  <c r="CG21" i="12"/>
  <c r="CG21" i="10"/>
  <c r="CG21" i="7"/>
  <c r="CG21" i="4"/>
  <c r="CG21" i="5"/>
  <c r="CG22" i="2"/>
  <c r="CG22" i="6" s="1"/>
  <c r="CG21" i="3"/>
  <c r="CG326" i="3" s="1"/>
  <c r="CG20" i="2"/>
  <c r="CG20" i="6" s="1"/>
  <c r="CG109" i="6" s="1"/>
  <c r="CG19" i="7"/>
  <c r="CG19" i="12"/>
  <c r="CG19" i="10"/>
  <c r="CG19" i="8"/>
  <c r="CG19" i="4"/>
  <c r="CG19" i="5"/>
  <c r="CG19" i="3"/>
  <c r="CG18" i="12"/>
  <c r="CG18" i="8"/>
  <c r="CG18" i="5"/>
  <c r="CG18" i="3"/>
  <c r="CG18" i="4"/>
  <c r="CG18" i="10"/>
  <c r="CG18" i="7"/>
  <c r="CG26" i="12"/>
  <c r="CG26" i="8"/>
  <c r="CG26" i="3"/>
  <c r="CG26" i="5"/>
  <c r="CG26" i="4"/>
  <c r="CG26" i="10"/>
  <c r="CG26" i="7"/>
  <c r="CG24" i="2"/>
  <c r="CG24" i="6" s="1"/>
  <c r="CG25" i="2"/>
  <c r="CG25" i="6" s="1"/>
  <c r="CH9" i="2"/>
  <c r="CG28" i="6" l="1"/>
  <c r="CG28" i="8"/>
  <c r="CG28" i="10"/>
  <c r="CG29" i="2"/>
  <c r="CG28" i="4"/>
  <c r="CG28" i="3"/>
  <c r="CG28" i="7"/>
  <c r="CG28" i="5"/>
  <c r="CG28" i="12"/>
  <c r="CG97" i="6"/>
  <c r="CH14" i="2"/>
  <c r="CH9" i="6"/>
  <c r="CG24" i="10"/>
  <c r="CG24" i="8"/>
  <c r="CG24" i="3"/>
  <c r="CG24" i="5"/>
  <c r="CG24" i="4"/>
  <c r="CG24" i="12"/>
  <c r="CG24" i="7"/>
  <c r="CG20" i="12"/>
  <c r="CG20" i="10"/>
  <c r="CG20" i="8"/>
  <c r="CG20" i="5"/>
  <c r="CG20" i="3"/>
  <c r="CG20" i="4"/>
  <c r="CG20" i="7"/>
  <c r="CG25" i="8"/>
  <c r="CG25" i="5"/>
  <c r="CG25" i="4"/>
  <c r="CG25" i="7"/>
  <c r="CG25" i="12"/>
  <c r="CG25" i="10"/>
  <c r="CG25" i="3"/>
  <c r="CG22" i="8"/>
  <c r="CG22" i="5"/>
  <c r="CG22" i="3"/>
  <c r="CG22" i="4"/>
  <c r="CG22" i="7"/>
  <c r="CG22" i="10"/>
  <c r="CG22" i="12"/>
  <c r="CG23" i="8"/>
  <c r="CG23" i="5"/>
  <c r="CG23" i="7"/>
  <c r="CG23" i="10"/>
  <c r="CG23" i="12"/>
  <c r="CG23" i="3"/>
  <c r="CG23" i="4"/>
  <c r="CH13" i="2"/>
  <c r="CH13" i="6" s="1"/>
  <c r="CI8" i="2"/>
  <c r="CI8" i="6" s="1"/>
  <c r="CH21" i="2"/>
  <c r="CH21" i="6" s="1"/>
  <c r="CH26" i="2"/>
  <c r="CH26" i="6" s="1"/>
  <c r="CH19" i="2"/>
  <c r="CH19" i="6" s="1"/>
  <c r="CH18" i="2"/>
  <c r="CH18" i="6" s="1"/>
  <c r="CH28" i="2" l="1"/>
  <c r="CH14" i="6"/>
  <c r="CG29" i="6"/>
  <c r="CG29" i="8"/>
  <c r="CG29" i="3"/>
  <c r="CG29" i="12"/>
  <c r="CG29" i="5"/>
  <c r="CG29" i="7"/>
  <c r="CG29" i="4"/>
  <c r="CG29" i="10"/>
  <c r="CH18" i="12"/>
  <c r="CH18" i="7"/>
  <c r="CH18" i="8"/>
  <c r="CH18" i="10"/>
  <c r="CH18" i="3"/>
  <c r="CH18" i="4"/>
  <c r="CH18" i="5"/>
  <c r="CH21" i="5"/>
  <c r="CH23" i="2"/>
  <c r="CH23" i="6" s="1"/>
  <c r="CH21" i="10"/>
  <c r="CH21" i="12"/>
  <c r="CH21" i="7"/>
  <c r="CH21" i="8"/>
  <c r="CH21" i="3"/>
  <c r="CH326" i="3" s="1"/>
  <c r="CH21" i="4"/>
  <c r="CH22" i="2"/>
  <c r="CH22" i="6" s="1"/>
  <c r="CH20" i="2"/>
  <c r="CH20" i="6" s="1"/>
  <c r="CH109" i="6" s="1"/>
  <c r="CH19" i="5"/>
  <c r="CH19" i="10"/>
  <c r="CH19" i="12"/>
  <c r="CH19" i="8"/>
  <c r="CH19" i="7"/>
  <c r="CH19" i="3"/>
  <c r="CH19" i="4"/>
  <c r="CH26" i="12"/>
  <c r="CH26" i="8"/>
  <c r="CH26" i="5"/>
  <c r="CH26" i="4"/>
  <c r="CH26" i="3"/>
  <c r="CH26" i="10"/>
  <c r="CH26" i="7"/>
  <c r="CH25" i="2"/>
  <c r="CH25" i="6" s="1"/>
  <c r="CH24" i="2"/>
  <c r="CH24" i="6" s="1"/>
  <c r="CI9" i="2"/>
  <c r="CH28" i="6" l="1"/>
  <c r="CH28" i="8"/>
  <c r="CH28" i="10"/>
  <c r="CH29" i="2"/>
  <c r="CH28" i="3"/>
  <c r="CH28" i="7"/>
  <c r="CH28" i="5"/>
  <c r="CH28" i="12"/>
  <c r="CH28" i="4"/>
  <c r="CH97" i="6"/>
  <c r="CI14" i="2"/>
  <c r="CI9" i="6"/>
  <c r="CH20" i="10"/>
  <c r="CH20" i="12"/>
  <c r="CH20" i="7"/>
  <c r="CH20" i="8"/>
  <c r="CH20" i="3"/>
  <c r="CH20" i="4"/>
  <c r="CH20" i="5"/>
  <c r="CH22" i="10"/>
  <c r="CH22" i="12"/>
  <c r="CH22" i="7"/>
  <c r="CH22" i="8"/>
  <c r="CH22" i="5"/>
  <c r="CH22" i="4"/>
  <c r="CH22" i="3"/>
  <c r="CH23" i="10"/>
  <c r="CH23" i="12"/>
  <c r="CH23" i="4"/>
  <c r="CH23" i="5"/>
  <c r="CH23" i="7"/>
  <c r="CH23" i="8"/>
  <c r="CH23" i="3"/>
  <c r="CH25" i="12"/>
  <c r="CH25" i="5"/>
  <c r="CH25" i="3"/>
  <c r="CH25" i="4"/>
  <c r="CH25" i="10"/>
  <c r="CH25" i="7"/>
  <c r="CH25" i="8"/>
  <c r="CH24" i="3"/>
  <c r="CH24" i="5"/>
  <c r="CH24" i="4"/>
  <c r="CH24" i="10"/>
  <c r="CH24" i="12"/>
  <c r="CH24" i="8"/>
  <c r="CH24" i="7"/>
  <c r="CI13" i="2"/>
  <c r="CI13" i="6" s="1"/>
  <c r="CJ8" i="2"/>
  <c r="CJ8" i="6" s="1"/>
  <c r="CI21" i="2"/>
  <c r="CI21" i="6" s="1"/>
  <c r="CI26" i="2"/>
  <c r="CI26" i="6" s="1"/>
  <c r="CI19" i="2"/>
  <c r="CI19" i="6" s="1"/>
  <c r="CI18" i="2"/>
  <c r="CI18" i="6" s="1"/>
  <c r="CH29" i="6" l="1"/>
  <c r="CH29" i="12"/>
  <c r="CH29" i="5"/>
  <c r="CH29" i="10"/>
  <c r="CH29" i="4"/>
  <c r="CH29" i="8"/>
  <c r="CH29" i="7"/>
  <c r="CH29" i="3"/>
  <c r="CI28" i="2"/>
  <c r="CI14" i="6"/>
  <c r="CI21" i="8"/>
  <c r="CI21" i="12"/>
  <c r="CI23" i="2"/>
  <c r="CI23" i="6" s="1"/>
  <c r="CI21" i="7"/>
  <c r="CI21" i="10"/>
  <c r="CI21" i="5"/>
  <c r="CI22" i="2"/>
  <c r="CI22" i="6" s="1"/>
  <c r="CI21" i="3"/>
  <c r="CI326" i="3" s="1"/>
  <c r="CI21" i="4"/>
  <c r="CI18" i="12"/>
  <c r="CI18" i="7"/>
  <c r="CI18" i="10"/>
  <c r="CI18" i="8"/>
  <c r="CI18" i="5"/>
  <c r="CI18" i="3"/>
  <c r="CI18" i="4"/>
  <c r="CI20" i="2"/>
  <c r="CI20" i="6" s="1"/>
  <c r="CI109" i="6" s="1"/>
  <c r="CI19" i="12"/>
  <c r="CI19" i="7"/>
  <c r="CI19" i="8"/>
  <c r="CI19" i="5"/>
  <c r="CI19" i="10"/>
  <c r="CI19" i="4"/>
  <c r="CI19" i="3"/>
  <c r="CI26" i="10"/>
  <c r="CI26" i="12"/>
  <c r="CI26" i="7"/>
  <c r="CI26" i="8"/>
  <c r="CI26" i="5"/>
  <c r="CI26" i="3"/>
  <c r="CI26" i="4"/>
  <c r="CI24" i="2"/>
  <c r="CI24" i="6" s="1"/>
  <c r="CI25" i="2"/>
  <c r="CI25" i="6" s="1"/>
  <c r="CJ9" i="2"/>
  <c r="CI28" i="6" l="1"/>
  <c r="CI28" i="12"/>
  <c r="CI28" i="3"/>
  <c r="CI28" i="8"/>
  <c r="CI28" i="4"/>
  <c r="CI28" i="5"/>
  <c r="CI28" i="7"/>
  <c r="CI29" i="2"/>
  <c r="CI28" i="10"/>
  <c r="CI97" i="6"/>
  <c r="CJ13" i="2"/>
  <c r="CJ13" i="6" s="1"/>
  <c r="CJ9" i="6"/>
  <c r="CI22" i="8"/>
  <c r="CI22" i="10"/>
  <c r="CI22" i="12"/>
  <c r="CI22" i="7"/>
  <c r="CI22" i="4"/>
  <c r="CI22" i="5"/>
  <c r="CI22" i="3"/>
  <c r="CI20" i="8"/>
  <c r="CI20" i="10"/>
  <c r="CI20" i="12"/>
  <c r="CI20" i="7"/>
  <c r="CI20" i="5"/>
  <c r="CI20" i="3"/>
  <c r="CI20" i="4"/>
  <c r="CI24" i="8"/>
  <c r="CI24" i="3"/>
  <c r="CI24" i="10"/>
  <c r="CI24" i="12"/>
  <c r="CI24" i="7"/>
  <c r="CI24" i="4"/>
  <c r="CI24" i="5"/>
  <c r="CI23" i="8"/>
  <c r="CI23" i="12"/>
  <c r="CI23" i="7"/>
  <c r="CI23" i="10"/>
  <c r="CI23" i="5"/>
  <c r="CI23" i="3"/>
  <c r="CI23" i="4"/>
  <c r="CI25" i="8"/>
  <c r="CI25" i="12"/>
  <c r="CI25" i="5"/>
  <c r="CI25" i="3"/>
  <c r="CI25" i="4"/>
  <c r="CI25" i="10"/>
  <c r="CI25" i="7"/>
  <c r="CJ14" i="2"/>
  <c r="CK8" i="2"/>
  <c r="CK8" i="6" s="1"/>
  <c r="CJ21" i="2"/>
  <c r="CJ21" i="6" s="1"/>
  <c r="CJ18" i="2"/>
  <c r="CJ18" i="6" s="1"/>
  <c r="CJ19" i="2"/>
  <c r="CJ19" i="6" s="1"/>
  <c r="CJ26" i="2"/>
  <c r="CJ26" i="6" s="1"/>
  <c r="CJ28" i="2" l="1"/>
  <c r="CJ28" i="6" s="1"/>
  <c r="CJ14" i="6"/>
  <c r="CI29" i="6"/>
  <c r="CI29" i="10"/>
  <c r="CI29" i="4"/>
  <c r="CI29" i="12"/>
  <c r="CI29" i="8"/>
  <c r="CI29" i="7"/>
  <c r="CI29" i="5"/>
  <c r="CI29" i="3"/>
  <c r="CJ18" i="12"/>
  <c r="CJ18" i="10"/>
  <c r="CJ18" i="8"/>
  <c r="CJ18" i="7"/>
  <c r="CJ18" i="5"/>
  <c r="CJ18" i="4"/>
  <c r="CJ18" i="3"/>
  <c r="CJ21" i="5"/>
  <c r="CJ21" i="4"/>
  <c r="CJ23" i="2"/>
  <c r="CJ23" i="6" s="1"/>
  <c r="CJ21" i="10"/>
  <c r="CJ21" i="12"/>
  <c r="CJ21" i="7"/>
  <c r="CJ21" i="8"/>
  <c r="CJ22" i="2"/>
  <c r="CJ22" i="6" s="1"/>
  <c r="CJ21" i="3"/>
  <c r="CJ326" i="3" s="1"/>
  <c r="CJ26" i="8"/>
  <c r="CJ26" i="5"/>
  <c r="CJ26" i="3"/>
  <c r="CJ26" i="4"/>
  <c r="CJ26" i="10"/>
  <c r="CJ26" i="12"/>
  <c r="CJ26" i="7"/>
  <c r="CJ20" i="2"/>
  <c r="CJ20" i="6" s="1"/>
  <c r="CJ109" i="6" s="1"/>
  <c r="CJ19" i="5"/>
  <c r="CJ19" i="4"/>
  <c r="CJ19" i="10"/>
  <c r="CJ19" i="12"/>
  <c r="CJ19" i="7"/>
  <c r="CJ19" i="8"/>
  <c r="CJ19" i="3"/>
  <c r="CJ28" i="8"/>
  <c r="CJ28" i="5"/>
  <c r="CJ28" i="3"/>
  <c r="CJ28" i="4"/>
  <c r="CJ28" i="10"/>
  <c r="CJ28" i="7"/>
  <c r="CJ28" i="12"/>
  <c r="CJ25" i="2"/>
  <c r="CJ25" i="6" s="1"/>
  <c r="CJ24" i="2"/>
  <c r="CJ24" i="6" s="1"/>
  <c r="CK9" i="2"/>
  <c r="CJ29" i="2"/>
  <c r="CJ29" i="6" s="1"/>
  <c r="CJ97" i="6" l="1"/>
  <c r="CK13" i="2"/>
  <c r="CK13" i="6" s="1"/>
  <c r="CK9" i="6"/>
  <c r="E31" i="6" s="1"/>
  <c r="CJ25" i="5"/>
  <c r="CJ25" i="4"/>
  <c r="CJ25" i="10"/>
  <c r="CJ25" i="7"/>
  <c r="CJ25" i="12"/>
  <c r="CJ25" i="8"/>
  <c r="CJ25" i="3"/>
  <c r="CJ23" i="5"/>
  <c r="CJ23" i="4"/>
  <c r="CJ23" i="10"/>
  <c r="CJ23" i="7"/>
  <c r="CJ23" i="8"/>
  <c r="CJ23" i="12"/>
  <c r="CJ23" i="3"/>
  <c r="CJ29" i="12"/>
  <c r="CJ29" i="10"/>
  <c r="CJ29" i="8"/>
  <c r="CJ29" i="5"/>
  <c r="CJ29" i="3"/>
  <c r="CJ29" i="4"/>
  <c r="CJ29" i="7"/>
  <c r="CJ20" i="7"/>
  <c r="CJ20" i="8"/>
  <c r="CJ20" i="5"/>
  <c r="CJ20" i="12"/>
  <c r="CJ20" i="10"/>
  <c r="CJ20" i="3"/>
  <c r="CJ20" i="4"/>
  <c r="CJ24" i="7"/>
  <c r="CJ24" i="12"/>
  <c r="CJ24" i="10"/>
  <c r="CJ24" i="8"/>
  <c r="CJ24" i="4"/>
  <c r="CJ24" i="5"/>
  <c r="CJ24" i="3"/>
  <c r="CJ22" i="7"/>
  <c r="CJ22" i="12"/>
  <c r="CJ22" i="10"/>
  <c r="CJ22" i="8"/>
  <c r="CJ22" i="3"/>
  <c r="CJ22" i="4"/>
  <c r="CJ22" i="5"/>
  <c r="CK14" i="2"/>
  <c r="CK14" i="6" s="1"/>
  <c r="CK18" i="2"/>
  <c r="CK19" i="2"/>
  <c r="CK19" i="6" s="1"/>
  <c r="CK21" i="2"/>
  <c r="CK21" i="6" s="1"/>
  <c r="CK26" i="2"/>
  <c r="CK26" i="6" s="1"/>
  <c r="F8" i="10" a="1"/>
  <c r="F8" i="8" a="1"/>
  <c r="F8" i="12" a="1"/>
  <c r="F8" i="4" a="1"/>
  <c r="F8" i="3" a="1"/>
  <c r="F8" i="7" a="1"/>
  <c r="F8" i="5" a="1"/>
  <c r="E31" i="2"/>
  <c r="E216" i="1" l="1"/>
  <c r="CK18" i="6"/>
  <c r="CK18" i="7"/>
  <c r="CK18" i="8"/>
  <c r="CK18" i="5"/>
  <c r="CK18" i="12"/>
  <c r="CK18" i="10"/>
  <c r="CK18" i="3"/>
  <c r="CK18" i="4"/>
  <c r="CK21" i="12"/>
  <c r="CK21" i="8"/>
  <c r="CK21" i="5"/>
  <c r="CK21" i="3"/>
  <c r="CK326" i="3" s="1"/>
  <c r="CK23" i="2"/>
  <c r="CK23" i="6" s="1"/>
  <c r="CK21" i="4"/>
  <c r="CK21" i="10"/>
  <c r="CK21" i="7"/>
  <c r="CK22" i="2"/>
  <c r="CK22" i="6" s="1"/>
  <c r="CK20" i="2"/>
  <c r="CK20" i="6" s="1"/>
  <c r="CK97" i="6" s="1"/>
  <c r="CK19" i="12"/>
  <c r="CK19" i="10"/>
  <c r="CK19" i="8"/>
  <c r="CK19" i="3"/>
  <c r="CK19" i="5"/>
  <c r="CK19" i="4"/>
  <c r="CK19" i="7"/>
  <c r="CK26" i="8"/>
  <c r="CK26" i="3"/>
  <c r="CK26" i="5"/>
  <c r="CK26" i="4"/>
  <c r="CK26" i="10"/>
  <c r="CK26" i="12"/>
  <c r="CK26" i="7"/>
  <c r="CK9" i="10"/>
  <c r="CK94" i="10" s="1"/>
  <c r="BF9" i="10"/>
  <c r="BF94" i="10" s="1"/>
  <c r="N8" i="10"/>
  <c r="AA9" i="10"/>
  <c r="AA94" i="10" s="1"/>
  <c r="Z9" i="10"/>
  <c r="Z94" i="10" s="1"/>
  <c r="AU8" i="10"/>
  <c r="CA8" i="10"/>
  <c r="BZ8" i="10"/>
  <c r="AT8" i="10"/>
  <c r="BG9" i="10"/>
  <c r="BG94" i="10" s="1"/>
  <c r="O8" i="10"/>
  <c r="BC8" i="10"/>
  <c r="BV9" i="10"/>
  <c r="BV94" i="10" s="1"/>
  <c r="BR8" i="10"/>
  <c r="AY9" i="10"/>
  <c r="AY94" i="10" s="1"/>
  <c r="CI8" i="10"/>
  <c r="AE8" i="10"/>
  <c r="R9" i="10"/>
  <c r="R94" i="10" s="1"/>
  <c r="CE9" i="10"/>
  <c r="CE94" i="10" s="1"/>
  <c r="V8" i="10"/>
  <c r="AI9" i="10"/>
  <c r="AI94" i="10" s="1"/>
  <c r="BK8" i="10"/>
  <c r="AX9" i="10"/>
  <c r="AX94" i="10" s="1"/>
  <c r="BB8" i="10"/>
  <c r="BO9" i="10"/>
  <c r="BO94" i="10" s="1"/>
  <c r="K9" i="10"/>
  <c r="K94" i="10" s="1"/>
  <c r="CD9" i="10"/>
  <c r="CD94" i="10" s="1"/>
  <c r="CH8" i="10"/>
  <c r="AD8" i="10"/>
  <c r="AQ9" i="10"/>
  <c r="AQ94" i="10" s="1"/>
  <c r="G8" i="10"/>
  <c r="AH9" i="10"/>
  <c r="AH94" i="10" s="1"/>
  <c r="BJ8" i="10"/>
  <c r="BW9" i="10"/>
  <c r="BW94" i="10" s="1"/>
  <c r="AM8" i="10"/>
  <c r="BN9" i="10"/>
  <c r="BN94" i="10" s="1"/>
  <c r="J9" i="10"/>
  <c r="J94" i="10" s="1"/>
  <c r="F8" i="10"/>
  <c r="BS8" i="10"/>
  <c r="W8" i="10"/>
  <c r="AP9" i="10"/>
  <c r="AP94" i="10" s="1"/>
  <c r="AL8" i="10"/>
  <c r="S9" i="10"/>
  <c r="S94" i="10" s="1"/>
  <c r="AV8" i="10"/>
  <c r="AB9" i="10"/>
  <c r="AB94" i="10" s="1"/>
  <c r="Q8" i="10"/>
  <c r="CC8" i="10"/>
  <c r="BI9" i="10"/>
  <c r="BI94" i="10" s="1"/>
  <c r="J8" i="10"/>
  <c r="BV8" i="10"/>
  <c r="BB9" i="10"/>
  <c r="BB94" i="10" s="1"/>
  <c r="AY8" i="10"/>
  <c r="AE9" i="10"/>
  <c r="AE94" i="10" s="1"/>
  <c r="AR8" i="10"/>
  <c r="X9" i="10"/>
  <c r="X94" i="10" s="1"/>
  <c r="BD8" i="10"/>
  <c r="AJ9" i="10"/>
  <c r="AJ94" i="10" s="1"/>
  <c r="BL8" i="10"/>
  <c r="AR9" i="10"/>
  <c r="AR94" i="10" s="1"/>
  <c r="AG8" i="10"/>
  <c r="M9" i="10"/>
  <c r="M94" i="10" s="1"/>
  <c r="BY9" i="10"/>
  <c r="BY94" i="10" s="1"/>
  <c r="Z8" i="10"/>
  <c r="F9" i="10"/>
  <c r="BR9" i="10"/>
  <c r="BR94" i="10" s="1"/>
  <c r="H8" i="10"/>
  <c r="BT8" i="10"/>
  <c r="AZ9" i="10"/>
  <c r="AZ94" i="10" s="1"/>
  <c r="AO8" i="10"/>
  <c r="U9" i="10"/>
  <c r="U94" i="10" s="1"/>
  <c r="CG9" i="10"/>
  <c r="CG94" i="10" s="1"/>
  <c r="AH8" i="10"/>
  <c r="N9" i="10"/>
  <c r="N94" i="10" s="1"/>
  <c r="BZ9" i="10"/>
  <c r="BZ94" i="10" s="1"/>
  <c r="P8" i="10"/>
  <c r="CB8" i="10"/>
  <c r="BH9" i="10"/>
  <c r="BH94" i="10" s="1"/>
  <c r="AW8" i="10"/>
  <c r="AC9" i="10"/>
  <c r="AC94" i="10" s="1"/>
  <c r="AP8" i="10"/>
  <c r="V9" i="10"/>
  <c r="V94" i="10" s="1"/>
  <c r="CH9" i="10"/>
  <c r="CH94" i="10" s="1"/>
  <c r="S8" i="10"/>
  <c r="CE8" i="10"/>
  <c r="BK9" i="10"/>
  <c r="BK94" i="10" s="1"/>
  <c r="L8" i="10"/>
  <c r="BX8" i="10"/>
  <c r="AF8" i="10"/>
  <c r="L9" i="10"/>
  <c r="L94" i="10" s="1"/>
  <c r="BX9" i="10"/>
  <c r="BX94" i="10" s="1"/>
  <c r="BM8" i="10"/>
  <c r="AS9" i="10"/>
  <c r="AS94" i="10" s="1"/>
  <c r="BF8" i="10"/>
  <c r="AL9" i="10"/>
  <c r="AL94" i="10" s="1"/>
  <c r="AI8" i="10"/>
  <c r="O9" i="10"/>
  <c r="O94" i="10" s="1"/>
  <c r="CA9" i="10"/>
  <c r="CA94" i="10" s="1"/>
  <c r="BA9" i="10"/>
  <c r="BA94" i="10" s="1"/>
  <c r="R8" i="10"/>
  <c r="BO8" i="10"/>
  <c r="CI9" i="10"/>
  <c r="CI94" i="10" s="1"/>
  <c r="H9" i="10"/>
  <c r="H94" i="10" s="1"/>
  <c r="CB9" i="10"/>
  <c r="CB94" i="10" s="1"/>
  <c r="AK8" i="10"/>
  <c r="Q9" i="10"/>
  <c r="Q94" i="10" s="1"/>
  <c r="CC9" i="10"/>
  <c r="CC94" i="10" s="1"/>
  <c r="X8" i="10"/>
  <c r="BQ9" i="10"/>
  <c r="BQ94" i="10" s="1"/>
  <c r="AX8" i="10"/>
  <c r="BW8" i="10"/>
  <c r="T8" i="10"/>
  <c r="P9" i="10"/>
  <c r="P94" i="10" s="1"/>
  <c r="CJ9" i="10"/>
  <c r="CJ94" i="10" s="1"/>
  <c r="AS8" i="10"/>
  <c r="Y9" i="10"/>
  <c r="Y94" i="10" s="1"/>
  <c r="AN8" i="10"/>
  <c r="I8" i="10"/>
  <c r="BN8" i="10"/>
  <c r="G9" i="10"/>
  <c r="G94" i="10" s="1"/>
  <c r="AB8" i="10"/>
  <c r="AF9" i="10"/>
  <c r="AF94" i="10" s="1"/>
  <c r="BA8" i="10"/>
  <c r="AG9" i="10"/>
  <c r="AG94" i="10" s="1"/>
  <c r="CJ8" i="10"/>
  <c r="Y8" i="10"/>
  <c r="CD8" i="10"/>
  <c r="W9" i="10"/>
  <c r="W94" i="10" s="1"/>
  <c r="AJ8" i="10"/>
  <c r="AN9" i="10"/>
  <c r="AN94" i="10" s="1"/>
  <c r="BI8" i="10"/>
  <c r="AO9" i="10"/>
  <c r="AO94" i="10" s="1"/>
  <c r="T9" i="10"/>
  <c r="T94" i="10" s="1"/>
  <c r="BE8" i="10"/>
  <c r="AD9" i="10"/>
  <c r="AD94" i="10" s="1"/>
  <c r="K8" i="10"/>
  <c r="AM9" i="10"/>
  <c r="AM94" i="10" s="1"/>
  <c r="AZ8" i="10"/>
  <c r="AV9" i="10"/>
  <c r="AV94" i="10" s="1"/>
  <c r="BQ8" i="10"/>
  <c r="AW9" i="10"/>
  <c r="AW94" i="10" s="1"/>
  <c r="BP9" i="10"/>
  <c r="BP94" i="10" s="1"/>
  <c r="BU8" i="10"/>
  <c r="AT9" i="10"/>
  <c r="AT94" i="10" s="1"/>
  <c r="AA8" i="10"/>
  <c r="AU9" i="10"/>
  <c r="AU94" i="10" s="1"/>
  <c r="BH8" i="10"/>
  <c r="BD9" i="10"/>
  <c r="BD94" i="10" s="1"/>
  <c r="M8" i="10"/>
  <c r="BY8" i="10"/>
  <c r="BE9" i="10"/>
  <c r="BE94" i="10" s="1"/>
  <c r="CF9" i="10"/>
  <c r="CF94" i="10" s="1"/>
  <c r="CK8" i="10"/>
  <c r="BJ9" i="10"/>
  <c r="BJ94" i="10" s="1"/>
  <c r="AQ8" i="10"/>
  <c r="BC9" i="10"/>
  <c r="BC94" i="10" s="1"/>
  <c r="BP8" i="10"/>
  <c r="BL9" i="10"/>
  <c r="BL94" i="10" s="1"/>
  <c r="U8" i="10"/>
  <c r="CG8" i="10"/>
  <c r="BM9" i="10"/>
  <c r="BM94" i="10" s="1"/>
  <c r="CF8" i="10"/>
  <c r="BU9" i="10"/>
  <c r="BU94" i="10" s="1"/>
  <c r="BT9" i="10"/>
  <c r="BT94" i="10" s="1"/>
  <c r="BG8" i="10"/>
  <c r="BS9" i="10"/>
  <c r="BS94" i="10" s="1"/>
  <c r="AK9" i="10"/>
  <c r="AK94" i="10" s="1"/>
  <c r="AC8" i="10"/>
  <c r="I9" i="10"/>
  <c r="I94" i="10" s="1"/>
  <c r="CK9" i="5"/>
  <c r="BR8" i="5"/>
  <c r="BF9" i="5"/>
  <c r="AI9" i="5"/>
  <c r="AP9" i="5"/>
  <c r="AQ9" i="5"/>
  <c r="CD9" i="5"/>
  <c r="O8" i="5"/>
  <c r="V8" i="5"/>
  <c r="AL8" i="5"/>
  <c r="BO9" i="5"/>
  <c r="G8" i="5"/>
  <c r="BV9" i="5"/>
  <c r="BW9" i="5"/>
  <c r="AM8" i="5"/>
  <c r="AU8" i="5"/>
  <c r="BB8" i="5"/>
  <c r="S9" i="5"/>
  <c r="AY9" i="5"/>
  <c r="CA8" i="5"/>
  <c r="CH8" i="5"/>
  <c r="BS8" i="5"/>
  <c r="CE9" i="5"/>
  <c r="N8" i="5"/>
  <c r="AA9" i="5"/>
  <c r="AH9" i="5"/>
  <c r="AT8" i="5"/>
  <c r="BG9" i="5"/>
  <c r="BN9" i="5"/>
  <c r="W8" i="5"/>
  <c r="F8" i="5"/>
  <c r="AD8" i="5"/>
  <c r="AE8" i="5"/>
  <c r="BZ8" i="5"/>
  <c r="R9" i="5"/>
  <c r="Z9" i="5"/>
  <c r="AX9" i="5"/>
  <c r="BJ8" i="5"/>
  <c r="J9" i="5"/>
  <c r="BK8" i="5"/>
  <c r="K9" i="5"/>
  <c r="BC8" i="5"/>
  <c r="CI8" i="5"/>
  <c r="X8" i="5"/>
  <c r="CJ8" i="5"/>
  <c r="BP9" i="5"/>
  <c r="I8" i="5"/>
  <c r="BU8" i="5"/>
  <c r="BA9" i="5"/>
  <c r="BF8" i="5"/>
  <c r="AL9" i="5"/>
  <c r="AQ8" i="5"/>
  <c r="W9" i="5"/>
  <c r="CI9" i="5"/>
  <c r="AB8" i="5"/>
  <c r="H9" i="5"/>
  <c r="BT9" i="5"/>
  <c r="M8" i="5"/>
  <c r="BY8" i="5"/>
  <c r="BE9" i="5"/>
  <c r="AF8" i="5"/>
  <c r="L9" i="5"/>
  <c r="BX9" i="5"/>
  <c r="Q8" i="5"/>
  <c r="CC8" i="5"/>
  <c r="BI9" i="5"/>
  <c r="BN8" i="5"/>
  <c r="AN8" i="5"/>
  <c r="T9" i="5"/>
  <c r="CF9" i="5"/>
  <c r="Y8" i="5"/>
  <c r="CK8" i="5"/>
  <c r="BQ9" i="5"/>
  <c r="J8" i="5"/>
  <c r="BV8" i="5"/>
  <c r="BB9" i="5"/>
  <c r="BG8" i="5"/>
  <c r="AM9" i="5"/>
  <c r="AR8" i="5"/>
  <c r="X9" i="5"/>
  <c r="CJ9" i="5"/>
  <c r="AC8" i="5"/>
  <c r="I9" i="5"/>
  <c r="BU9" i="5"/>
  <c r="AV8" i="5"/>
  <c r="AB9" i="5"/>
  <c r="AG8" i="5"/>
  <c r="M9" i="5"/>
  <c r="BY9" i="5"/>
  <c r="R8" i="5"/>
  <c r="CD8" i="5"/>
  <c r="BJ9" i="5"/>
  <c r="BO8" i="5"/>
  <c r="AU9" i="5"/>
  <c r="AZ8" i="5"/>
  <c r="AF9" i="5"/>
  <c r="AK8" i="5"/>
  <c r="Q9" i="5"/>
  <c r="CC9" i="5"/>
  <c r="BD8" i="5"/>
  <c r="AJ9" i="5"/>
  <c r="AO8" i="5"/>
  <c r="U9" i="5"/>
  <c r="CG9" i="5"/>
  <c r="Z8" i="5"/>
  <c r="F9" i="5"/>
  <c r="BR9" i="5"/>
  <c r="K8" i="5"/>
  <c r="BW8" i="5"/>
  <c r="BC9" i="5"/>
  <c r="BH8" i="5"/>
  <c r="AN9" i="5"/>
  <c r="AS8" i="5"/>
  <c r="Y9" i="5"/>
  <c r="BL8" i="5"/>
  <c r="AR9" i="5"/>
  <c r="AW8" i="5"/>
  <c r="AC9" i="5"/>
  <c r="AH8" i="5"/>
  <c r="N9" i="5"/>
  <c r="BZ9" i="5"/>
  <c r="S8" i="5"/>
  <c r="CE8" i="5"/>
  <c r="BK9" i="5"/>
  <c r="BP8" i="5"/>
  <c r="AV9" i="5"/>
  <c r="BA8" i="5"/>
  <c r="AG9" i="5"/>
  <c r="H8" i="5"/>
  <c r="BT8" i="5"/>
  <c r="AZ9" i="5"/>
  <c r="BE8" i="5"/>
  <c r="AK9" i="5"/>
  <c r="AP8" i="5"/>
  <c r="V9" i="5"/>
  <c r="CH9" i="5"/>
  <c r="AA8" i="5"/>
  <c r="G9" i="5"/>
  <c r="BS9" i="5"/>
  <c r="L8" i="5"/>
  <c r="BX8" i="5"/>
  <c r="BD9" i="5"/>
  <c r="BI8" i="5"/>
  <c r="AO9" i="5"/>
  <c r="P8" i="5"/>
  <c r="CA9" i="5"/>
  <c r="CF8" i="5"/>
  <c r="CB8" i="5"/>
  <c r="P9" i="5"/>
  <c r="U8" i="5"/>
  <c r="AE9" i="5"/>
  <c r="BH9" i="5"/>
  <c r="BL9" i="5"/>
  <c r="BQ8" i="5"/>
  <c r="AJ8" i="5"/>
  <c r="AX8" i="5"/>
  <c r="CB9" i="5"/>
  <c r="CG8" i="5"/>
  <c r="AS9" i="5"/>
  <c r="AD9" i="5"/>
  <c r="AI8" i="5"/>
  <c r="AW9" i="5"/>
  <c r="AT9" i="5"/>
  <c r="AY8" i="5"/>
  <c r="BM9" i="5"/>
  <c r="BM8" i="5"/>
  <c r="O9" i="5"/>
  <c r="T8" i="5"/>
  <c r="CI9" i="7"/>
  <c r="AH9" i="7"/>
  <c r="AE8" i="7"/>
  <c r="AA9" i="7"/>
  <c r="AB8" i="7"/>
  <c r="K9" i="7"/>
  <c r="L8" i="7"/>
  <c r="H9" i="7"/>
  <c r="F8" i="7"/>
  <c r="BW9" i="7"/>
  <c r="BX8" i="7"/>
  <c r="BT9" i="7"/>
  <c r="BR8" i="7"/>
  <c r="BD9" i="7"/>
  <c r="BB8" i="7"/>
  <c r="AX9" i="7"/>
  <c r="AU8" i="7"/>
  <c r="J9" i="7"/>
  <c r="P9" i="7"/>
  <c r="AN9" i="7"/>
  <c r="BL9" i="7"/>
  <c r="CJ9" i="7"/>
  <c r="W8" i="7"/>
  <c r="AF9" i="7"/>
  <c r="AI9" i="7"/>
  <c r="BG9" i="7"/>
  <c r="CE9" i="7"/>
  <c r="V8" i="7"/>
  <c r="AT8" i="7"/>
  <c r="AY9" i="7"/>
  <c r="BF9" i="7"/>
  <c r="CD9" i="7"/>
  <c r="T8" i="7"/>
  <c r="AR8" i="7"/>
  <c r="BP8" i="7"/>
  <c r="BV9" i="7"/>
  <c r="CB9" i="7"/>
  <c r="O8" i="7"/>
  <c r="AM8" i="7"/>
  <c r="BK8" i="7"/>
  <c r="CI8" i="7"/>
  <c r="G8" i="7"/>
  <c r="N8" i="7"/>
  <c r="AL8" i="7"/>
  <c r="BJ8" i="7"/>
  <c r="CH8" i="7"/>
  <c r="Z9" i="7"/>
  <c r="AD8" i="7"/>
  <c r="AJ8" i="7"/>
  <c r="BH8" i="7"/>
  <c r="CF8" i="7"/>
  <c r="X9" i="7"/>
  <c r="AV9" i="7"/>
  <c r="AZ8" i="7"/>
  <c r="BC8" i="7"/>
  <c r="CA8" i="7"/>
  <c r="S9" i="7"/>
  <c r="AQ9" i="7"/>
  <c r="BO9" i="7"/>
  <c r="R9" i="7"/>
  <c r="AP9" i="7"/>
  <c r="BS8" i="7"/>
  <c r="BN9" i="7"/>
  <c r="AK8" i="7"/>
  <c r="Q9" i="7"/>
  <c r="CC9" i="7"/>
  <c r="AS8" i="7"/>
  <c r="Y9" i="7"/>
  <c r="CK9" i="7"/>
  <c r="BA8" i="7"/>
  <c r="AG9" i="7"/>
  <c r="BI8" i="7"/>
  <c r="AO9" i="7"/>
  <c r="BZ8" i="7"/>
  <c r="BQ8" i="7"/>
  <c r="AW9" i="7"/>
  <c r="U8" i="7"/>
  <c r="CG8" i="7"/>
  <c r="BM9" i="7"/>
  <c r="M8" i="7"/>
  <c r="AV8" i="7"/>
  <c r="AB9" i="7"/>
  <c r="BM8" i="7"/>
  <c r="AS9" i="7"/>
  <c r="R8" i="7"/>
  <c r="CD8" i="7"/>
  <c r="BJ9" i="7"/>
  <c r="AI8" i="7"/>
  <c r="O9" i="7"/>
  <c r="CA9" i="7"/>
  <c r="AC8" i="7"/>
  <c r="BD8" i="7"/>
  <c r="AJ9" i="7"/>
  <c r="I8" i="7"/>
  <c r="BU8" i="7"/>
  <c r="BA9" i="7"/>
  <c r="Z8" i="7"/>
  <c r="F9" i="7"/>
  <c r="BR9" i="7"/>
  <c r="AQ8" i="7"/>
  <c r="W9" i="7"/>
  <c r="BY8" i="7"/>
  <c r="BL8" i="7"/>
  <c r="AR9" i="7"/>
  <c r="Q8" i="7"/>
  <c r="CC8" i="7"/>
  <c r="BI9" i="7"/>
  <c r="AH8" i="7"/>
  <c r="N9" i="7"/>
  <c r="BZ9" i="7"/>
  <c r="AY8" i="7"/>
  <c r="AE9" i="7"/>
  <c r="I9" i="7"/>
  <c r="H8" i="7"/>
  <c r="BT8" i="7"/>
  <c r="AZ9" i="7"/>
  <c r="Y8" i="7"/>
  <c r="CK8" i="7"/>
  <c r="BQ9" i="7"/>
  <c r="AP8" i="7"/>
  <c r="V9" i="7"/>
  <c r="CH9" i="7"/>
  <c r="BG8" i="7"/>
  <c r="AM9" i="7"/>
  <c r="BE9" i="7"/>
  <c r="P8" i="7"/>
  <c r="CB8" i="7"/>
  <c r="BH9" i="7"/>
  <c r="AG8" i="7"/>
  <c r="M9" i="7"/>
  <c r="BY9" i="7"/>
  <c r="AX8" i="7"/>
  <c r="AD9" i="7"/>
  <c r="BO8" i="7"/>
  <c r="AU9" i="7"/>
  <c r="AF8" i="7"/>
  <c r="L9" i="7"/>
  <c r="BX9" i="7"/>
  <c r="AW8" i="7"/>
  <c r="AC9" i="7"/>
  <c r="BN8" i="7"/>
  <c r="AT9" i="7"/>
  <c r="S8" i="7"/>
  <c r="CE8" i="7"/>
  <c r="BK9" i="7"/>
  <c r="AK9" i="7"/>
  <c r="J8" i="7"/>
  <c r="BS9" i="7"/>
  <c r="X8" i="7"/>
  <c r="CG9" i="7"/>
  <c r="BF8" i="7"/>
  <c r="AN8" i="7"/>
  <c r="BV8" i="7"/>
  <c r="CJ8" i="7"/>
  <c r="AL9" i="7"/>
  <c r="K8" i="7"/>
  <c r="T9" i="7"/>
  <c r="BB9" i="7"/>
  <c r="AA8" i="7"/>
  <c r="BP9" i="7"/>
  <c r="AO8" i="7"/>
  <c r="BW8" i="7"/>
  <c r="CF9" i="7"/>
  <c r="BE8" i="7"/>
  <c r="G9" i="7"/>
  <c r="BU9" i="7"/>
  <c r="BC9" i="7"/>
  <c r="U9" i="7"/>
  <c r="CK25" i="2"/>
  <c r="CK25" i="6" s="1"/>
  <c r="CK24" i="2"/>
  <c r="CK24" i="6" s="1"/>
  <c r="CK9" i="3"/>
  <c r="J9" i="3"/>
  <c r="AU8" i="3"/>
  <c r="AA9" i="3"/>
  <c r="AL8" i="3"/>
  <c r="BD8" i="3"/>
  <c r="AJ9" i="3"/>
  <c r="BR8" i="3"/>
  <c r="AW8" i="3"/>
  <c r="AC9" i="3"/>
  <c r="BJ8" i="3"/>
  <c r="BF8" i="3"/>
  <c r="AL9" i="3"/>
  <c r="BZ8" i="3"/>
  <c r="BG8" i="3"/>
  <c r="AM9" i="3"/>
  <c r="AT8" i="3"/>
  <c r="AR8" i="3"/>
  <c r="X9" i="3"/>
  <c r="CJ9" i="3"/>
  <c r="BQ8" i="3"/>
  <c r="AW9" i="3"/>
  <c r="AH8" i="3"/>
  <c r="AV8" i="3"/>
  <c r="CG9" i="3"/>
  <c r="AE9" i="3"/>
  <c r="BI8" i="3"/>
  <c r="AH9" i="3"/>
  <c r="BC8" i="3"/>
  <c r="AI9" i="3"/>
  <c r="BF9" i="3"/>
  <c r="BL8" i="3"/>
  <c r="AR9" i="3"/>
  <c r="R9" i="3"/>
  <c r="BE8" i="3"/>
  <c r="AK9" i="3"/>
  <c r="BV9" i="3"/>
  <c r="BN8" i="3"/>
  <c r="AT9" i="3"/>
  <c r="AP9" i="3"/>
  <c r="BO8" i="3"/>
  <c r="AU9" i="3"/>
  <c r="CH8" i="3"/>
  <c r="AZ8" i="3"/>
  <c r="AF9" i="3"/>
  <c r="M8" i="3"/>
  <c r="BY8" i="3"/>
  <c r="BE9" i="3"/>
  <c r="CK8" i="3"/>
  <c r="AM8" i="3"/>
  <c r="U9" i="3"/>
  <c r="F8" i="3"/>
  <c r="CD9" i="3"/>
  <c r="BK8" i="3"/>
  <c r="AQ9" i="3"/>
  <c r="H8" i="3"/>
  <c r="BT8" i="3"/>
  <c r="AZ9" i="3"/>
  <c r="AX9" i="3"/>
  <c r="BM8" i="3"/>
  <c r="AS9" i="3"/>
  <c r="J8" i="3"/>
  <c r="BV8" i="3"/>
  <c r="BB9" i="3"/>
  <c r="K8" i="3"/>
  <c r="BW8" i="3"/>
  <c r="BC9" i="3"/>
  <c r="Z9" i="3"/>
  <c r="BH8" i="3"/>
  <c r="AN9" i="3"/>
  <c r="U8" i="3"/>
  <c r="CG8" i="3"/>
  <c r="BM9" i="3"/>
  <c r="N9" i="3"/>
  <c r="AB9" i="3"/>
  <c r="AD9" i="3"/>
  <c r="CB9" i="3"/>
  <c r="G8" i="3"/>
  <c r="BS8" i="3"/>
  <c r="AY9" i="3"/>
  <c r="P8" i="3"/>
  <c r="CB8" i="3"/>
  <c r="BH9" i="3"/>
  <c r="I8" i="3"/>
  <c r="BU8" i="3"/>
  <c r="BA9" i="3"/>
  <c r="R8" i="3"/>
  <c r="CD8" i="3"/>
  <c r="BJ9" i="3"/>
  <c r="S8" i="3"/>
  <c r="CE8" i="3"/>
  <c r="BK9" i="3"/>
  <c r="BN9" i="3"/>
  <c r="BP8" i="3"/>
  <c r="AV9" i="3"/>
  <c r="AC8" i="3"/>
  <c r="I9" i="3"/>
  <c r="BU9" i="3"/>
  <c r="BL9" i="3"/>
  <c r="BB8" i="3"/>
  <c r="AD8" i="3"/>
  <c r="AY8" i="3"/>
  <c r="AO9" i="3"/>
  <c r="O8" i="3"/>
  <c r="CA8" i="3"/>
  <c r="BG9" i="3"/>
  <c r="X8" i="3"/>
  <c r="CJ8" i="3"/>
  <c r="BP9" i="3"/>
  <c r="Q8" i="3"/>
  <c r="CC8" i="3"/>
  <c r="BI9" i="3"/>
  <c r="Z8" i="3"/>
  <c r="F9" i="3"/>
  <c r="BR9" i="3"/>
  <c r="AA8" i="3"/>
  <c r="G9" i="3"/>
  <c r="BS9" i="3"/>
  <c r="L8" i="3"/>
  <c r="BX8" i="3"/>
  <c r="BD9" i="3"/>
  <c r="AK8" i="3"/>
  <c r="Q9" i="3"/>
  <c r="CC9" i="3"/>
  <c r="AS8" i="3"/>
  <c r="S9" i="3"/>
  <c r="AO8" i="3"/>
  <c r="V8" i="3"/>
  <c r="AJ8" i="3"/>
  <c r="W8" i="3"/>
  <c r="CI8" i="3"/>
  <c r="BO9" i="3"/>
  <c r="AF8" i="3"/>
  <c r="L9" i="3"/>
  <c r="BX9" i="3"/>
  <c r="Y8" i="3"/>
  <c r="BQ9" i="3"/>
  <c r="BZ9" i="3"/>
  <c r="AI8" i="3"/>
  <c r="O9" i="3"/>
  <c r="CA9" i="3"/>
  <c r="T8" i="3"/>
  <c r="CF8" i="3"/>
  <c r="Y9" i="3"/>
  <c r="CE9" i="3"/>
  <c r="AX8" i="3"/>
  <c r="P9" i="3"/>
  <c r="N8" i="3"/>
  <c r="AE8" i="3"/>
  <c r="K9" i="3"/>
  <c r="BW9" i="3"/>
  <c r="AN8" i="3"/>
  <c r="T9" i="3"/>
  <c r="CF9" i="3"/>
  <c r="AG8" i="3"/>
  <c r="M9" i="3"/>
  <c r="BY9" i="3"/>
  <c r="AP8" i="3"/>
  <c r="V9" i="3"/>
  <c r="CH9" i="3"/>
  <c r="AQ8" i="3"/>
  <c r="W9" i="3"/>
  <c r="CI9" i="3"/>
  <c r="AB8" i="3"/>
  <c r="H9" i="3"/>
  <c r="BT9" i="3"/>
  <c r="BA8" i="3"/>
  <c r="AG9" i="3"/>
  <c r="F8" i="4"/>
  <c r="BQ8" i="4"/>
  <c r="AN9" i="4"/>
  <c r="CI9" i="4"/>
  <c r="W9" i="4"/>
  <c r="AQ8" i="4"/>
  <c r="I9" i="4"/>
  <c r="P9" i="4"/>
  <c r="BR9" i="4"/>
  <c r="F9" i="4"/>
  <c r="Z8" i="4"/>
  <c r="CK8" i="4"/>
  <c r="Y8" i="4"/>
  <c r="AZ9" i="4"/>
  <c r="BT8" i="4"/>
  <c r="H8" i="4"/>
  <c r="U9" i="4"/>
  <c r="AI9" i="4"/>
  <c r="BC8" i="4"/>
  <c r="BV9" i="4"/>
  <c r="J9" i="4"/>
  <c r="AD8" i="4"/>
  <c r="CJ9" i="4"/>
  <c r="BL9" i="4"/>
  <c r="AW8" i="4"/>
  <c r="CA8" i="4"/>
  <c r="L8" i="4"/>
  <c r="BZ9" i="4"/>
  <c r="BH9" i="4"/>
  <c r="R9" i="4"/>
  <c r="BI8" i="4"/>
  <c r="X9" i="4"/>
  <c r="CA9" i="4"/>
  <c r="O9" i="4"/>
  <c r="AI8" i="4"/>
  <c r="BY8" i="4"/>
  <c r="CF8" i="4"/>
  <c r="BJ9" i="4"/>
  <c r="CD8" i="4"/>
  <c r="R8" i="4"/>
  <c r="CC8" i="4"/>
  <c r="Q8" i="4"/>
  <c r="AR9" i="4"/>
  <c r="BL8" i="4"/>
  <c r="BU9" i="4"/>
  <c r="BP9" i="4"/>
  <c r="AA9" i="4"/>
  <c r="AU8" i="4"/>
  <c r="BN9" i="4"/>
  <c r="CH8" i="4"/>
  <c r="V8" i="4"/>
  <c r="AU9" i="4"/>
  <c r="T8" i="4"/>
  <c r="CF9" i="4"/>
  <c r="BG9" i="4"/>
  <c r="BB8" i="4"/>
  <c r="AY8" i="4"/>
  <c r="M9" i="4"/>
  <c r="BA9" i="4"/>
  <c r="AS8" i="4"/>
  <c r="H9" i="4"/>
  <c r="BS9" i="4"/>
  <c r="G9" i="4"/>
  <c r="AA8" i="4"/>
  <c r="BA8" i="4"/>
  <c r="BP8" i="4"/>
  <c r="BB9" i="4"/>
  <c r="BV8" i="4"/>
  <c r="J8" i="4"/>
  <c r="BU8" i="4"/>
  <c r="I8" i="4"/>
  <c r="AJ9" i="4"/>
  <c r="BD8" i="4"/>
  <c r="AW9" i="4"/>
  <c r="CE9" i="4"/>
  <c r="S9" i="4"/>
  <c r="AM8" i="4"/>
  <c r="BF9" i="4"/>
  <c r="BZ8" i="4"/>
  <c r="N8" i="4"/>
  <c r="BO8" i="4"/>
  <c r="AX8" i="4"/>
  <c r="L9" i="4"/>
  <c r="O8" i="4"/>
  <c r="CG8" i="4"/>
  <c r="N9" i="4"/>
  <c r="CD9" i="4"/>
  <c r="AC8" i="4"/>
  <c r="BX8" i="4"/>
  <c r="BK9" i="4"/>
  <c r="CE8" i="4"/>
  <c r="S8" i="4"/>
  <c r="U8" i="4"/>
  <c r="AZ8" i="4"/>
  <c r="AT9" i="4"/>
  <c r="BN8" i="4"/>
  <c r="CG9" i="4"/>
  <c r="BM8" i="4"/>
  <c r="CC9" i="4"/>
  <c r="AB9" i="4"/>
  <c r="AV8" i="4"/>
  <c r="Q9" i="4"/>
  <c r="BW9" i="4"/>
  <c r="K9" i="4"/>
  <c r="AE8" i="4"/>
  <c r="AX9" i="4"/>
  <c r="BR8" i="4"/>
  <c r="AO9" i="4"/>
  <c r="AE9" i="4"/>
  <c r="AH8" i="4"/>
  <c r="P8" i="4"/>
  <c r="AL8" i="4"/>
  <c r="BM9" i="4"/>
  <c r="M8" i="4"/>
  <c r="BH8" i="4"/>
  <c r="BC9" i="4"/>
  <c r="BW8" i="4"/>
  <c r="K8" i="4"/>
  <c r="CB9" i="4"/>
  <c r="AJ8" i="4"/>
  <c r="AL9" i="4"/>
  <c r="BF8" i="4"/>
  <c r="BI9" i="4"/>
  <c r="BE8" i="4"/>
  <c r="AS9" i="4"/>
  <c r="T9" i="4"/>
  <c r="AN8" i="4"/>
  <c r="AK8" i="4"/>
  <c r="BO9" i="4"/>
  <c r="CI8" i="4"/>
  <c r="W8" i="4"/>
  <c r="AP9" i="4"/>
  <c r="BJ8" i="4"/>
  <c r="CK9" i="4"/>
  <c r="AK9" i="4"/>
  <c r="AF8" i="4"/>
  <c r="AH9" i="4"/>
  <c r="BD9" i="4"/>
  <c r="AF9" i="4"/>
  <c r="AG8" i="4"/>
  <c r="BK8" i="4"/>
  <c r="AR8" i="4"/>
  <c r="AD9" i="4"/>
  <c r="BY9" i="4"/>
  <c r="AG9" i="4"/>
  <c r="CB8" i="4"/>
  <c r="Y9" i="4"/>
  <c r="BT9" i="4"/>
  <c r="AB8" i="4"/>
  <c r="AM9" i="4"/>
  <c r="BG8" i="4"/>
  <c r="BE9" i="4"/>
  <c r="AV9" i="4"/>
  <c r="CH9" i="4"/>
  <c r="V9" i="4"/>
  <c r="AP8" i="4"/>
  <c r="AC9" i="4"/>
  <c r="AO8" i="4"/>
  <c r="BX9" i="4"/>
  <c r="CJ8" i="4"/>
  <c r="X8" i="4"/>
  <c r="BQ9" i="4"/>
  <c r="AY9" i="4"/>
  <c r="BS8" i="4"/>
  <c r="G8" i="4"/>
  <c r="Z9" i="4"/>
  <c r="AT8" i="4"/>
  <c r="AQ9" i="4"/>
  <c r="BO9" i="12"/>
  <c r="AN9" i="12"/>
  <c r="AM9" i="12"/>
  <c r="AQ8" i="12"/>
  <c r="AB8" i="12"/>
  <c r="BH8" i="12"/>
  <c r="AA8" i="12"/>
  <c r="O9" i="12"/>
  <c r="AJ8" i="12"/>
  <c r="BE9" i="12"/>
  <c r="AY8" i="12"/>
  <c r="BX9" i="12"/>
  <c r="W9" i="12"/>
  <c r="AU9" i="12"/>
  <c r="BP8" i="12"/>
  <c r="CE8" i="12"/>
  <c r="BW8" i="12"/>
  <c r="CI9" i="12"/>
  <c r="P9" i="12"/>
  <c r="AE9" i="12"/>
  <c r="T8" i="12"/>
  <c r="BY9" i="12"/>
  <c r="AV9" i="12"/>
  <c r="BN9" i="12"/>
  <c r="AZ8" i="12"/>
  <c r="G9" i="12"/>
  <c r="CJ9" i="12"/>
  <c r="L8" i="12"/>
  <c r="CF8" i="12"/>
  <c r="K8" i="12"/>
  <c r="AR8" i="12"/>
  <c r="AF9" i="12"/>
  <c r="BG8" i="12"/>
  <c r="H9" i="12"/>
  <c r="AI8" i="12"/>
  <c r="BX8" i="12"/>
  <c r="BD9" i="12"/>
  <c r="BZ9" i="12"/>
  <c r="AS8" i="12"/>
  <c r="Y9" i="12"/>
  <c r="BR9" i="12"/>
  <c r="BA8" i="12"/>
  <c r="AG9" i="12"/>
  <c r="AL8" i="12"/>
  <c r="R9" i="12"/>
  <c r="BO8" i="12"/>
  <c r="BJ9" i="12"/>
  <c r="BI8" i="12"/>
  <c r="AO9" i="12"/>
  <c r="AT8" i="12"/>
  <c r="Z9" i="12"/>
  <c r="CK9" i="12"/>
  <c r="BB9" i="12"/>
  <c r="BQ8" i="12"/>
  <c r="AW9" i="12"/>
  <c r="BB8" i="12"/>
  <c r="AH9" i="12"/>
  <c r="CC9" i="12"/>
  <c r="M8" i="12"/>
  <c r="BY8" i="12"/>
  <c r="BF9" i="12"/>
  <c r="BJ8" i="12"/>
  <c r="AP9" i="12"/>
  <c r="X9" i="12"/>
  <c r="BU9" i="12"/>
  <c r="U8" i="12"/>
  <c r="CG8" i="12"/>
  <c r="BP9" i="12"/>
  <c r="F8" i="12"/>
  <c r="BR8" i="12"/>
  <c r="AX9" i="12"/>
  <c r="S8" i="12"/>
  <c r="BM9" i="12"/>
  <c r="AC8" i="12"/>
  <c r="I9" i="12"/>
  <c r="CA9" i="12"/>
  <c r="N8" i="12"/>
  <c r="BZ8" i="12"/>
  <c r="BG9" i="12"/>
  <c r="CH9" i="12"/>
  <c r="CH8" i="12"/>
  <c r="G8" i="12"/>
  <c r="BS8" i="12"/>
  <c r="AY9" i="12"/>
  <c r="P8" i="12"/>
  <c r="CB8" i="12"/>
  <c r="BI9" i="12"/>
  <c r="Y8" i="12"/>
  <c r="CK8" i="12"/>
  <c r="BV9" i="12"/>
  <c r="AH8" i="12"/>
  <c r="N9" i="12"/>
  <c r="CG9" i="12"/>
  <c r="AK8" i="12"/>
  <c r="J9" i="12"/>
  <c r="O8" i="12"/>
  <c r="CA8" i="12"/>
  <c r="BH9" i="12"/>
  <c r="X8" i="12"/>
  <c r="CJ8" i="12"/>
  <c r="BT9" i="12"/>
  <c r="AG8" i="12"/>
  <c r="M9" i="12"/>
  <c r="CF9" i="12"/>
  <c r="AP8" i="12"/>
  <c r="V9" i="12"/>
  <c r="Q9" i="12"/>
  <c r="BQ9" i="12"/>
  <c r="W8" i="12"/>
  <c r="CI8" i="12"/>
  <c r="BS9" i="12"/>
  <c r="AF8" i="12"/>
  <c r="L9" i="12"/>
  <c r="CE9" i="12"/>
  <c r="AO8" i="12"/>
  <c r="U9" i="12"/>
  <c r="AX8" i="12"/>
  <c r="AD9" i="12"/>
  <c r="CB9" i="12"/>
  <c r="AE8" i="12"/>
  <c r="K9" i="12"/>
  <c r="CD9" i="12"/>
  <c r="AN8" i="12"/>
  <c r="T9" i="12"/>
  <c r="AW8" i="12"/>
  <c r="AC9" i="12"/>
  <c r="BF8" i="12"/>
  <c r="AL9" i="12"/>
  <c r="AM8" i="12"/>
  <c r="S9" i="12"/>
  <c r="AV8" i="12"/>
  <c r="AB9" i="12"/>
  <c r="BE8" i="12"/>
  <c r="AK9" i="12"/>
  <c r="BN8" i="12"/>
  <c r="AT9" i="12"/>
  <c r="V8" i="12"/>
  <c r="BC8" i="12"/>
  <c r="AI9" i="12"/>
  <c r="BL8" i="12"/>
  <c r="AR9" i="12"/>
  <c r="I8" i="12"/>
  <c r="BU8" i="12"/>
  <c r="BA9" i="12"/>
  <c r="R8" i="12"/>
  <c r="CD8" i="12"/>
  <c r="BL9" i="12"/>
  <c r="AA9" i="12"/>
  <c r="AJ9" i="12"/>
  <c r="AS9" i="12"/>
  <c r="BV8" i="12"/>
  <c r="AQ9" i="12"/>
  <c r="AZ9" i="12"/>
  <c r="BK9" i="12"/>
  <c r="F9" i="12"/>
  <c r="BC9" i="12"/>
  <c r="BW9" i="12"/>
  <c r="AU8" i="12"/>
  <c r="BD8" i="12"/>
  <c r="BM8" i="12"/>
  <c r="J8" i="12"/>
  <c r="H8" i="12"/>
  <c r="BT8" i="12"/>
  <c r="Z8" i="12"/>
  <c r="AD8" i="12"/>
  <c r="Q8" i="12"/>
  <c r="BK8" i="12"/>
  <c r="CC8" i="12"/>
  <c r="CG9" i="8"/>
  <c r="F9" i="8"/>
  <c r="AX8" i="8"/>
  <c r="BR9" i="8"/>
  <c r="AH8" i="8"/>
  <c r="Z8" i="8"/>
  <c r="BZ9" i="8"/>
  <c r="AD9" i="8"/>
  <c r="N9" i="8"/>
  <c r="BB9" i="8"/>
  <c r="BF8" i="8"/>
  <c r="R8" i="8"/>
  <c r="AL9" i="8"/>
  <c r="CD8" i="8"/>
  <c r="AP8" i="8"/>
  <c r="BJ9" i="8"/>
  <c r="V9" i="8"/>
  <c r="J8" i="8"/>
  <c r="CH9" i="8"/>
  <c r="BN8" i="8"/>
  <c r="AT9" i="8"/>
  <c r="BV8" i="8"/>
  <c r="K8" i="8"/>
  <c r="BW8" i="8"/>
  <c r="BC9" i="8"/>
  <c r="AR8" i="8"/>
  <c r="X9" i="8"/>
  <c r="CJ9" i="8"/>
  <c r="M8" i="8"/>
  <c r="BY8" i="8"/>
  <c r="BE9" i="8"/>
  <c r="AT8" i="8"/>
  <c r="Z9" i="8"/>
  <c r="AM8" i="8"/>
  <c r="S9" i="8"/>
  <c r="CE9" i="8"/>
  <c r="S8" i="8"/>
  <c r="CE8" i="8"/>
  <c r="BK9" i="8"/>
  <c r="AZ8" i="8"/>
  <c r="AF9" i="8"/>
  <c r="U8" i="8"/>
  <c r="CG8" i="8"/>
  <c r="BM9" i="8"/>
  <c r="BB8" i="8"/>
  <c r="AH9" i="8"/>
  <c r="AU8" i="8"/>
  <c r="AA9" i="8"/>
  <c r="AA8" i="8"/>
  <c r="G9" i="8"/>
  <c r="BS9" i="8"/>
  <c r="BH8" i="8"/>
  <c r="AN9" i="8"/>
  <c r="AC8" i="8"/>
  <c r="I9" i="8"/>
  <c r="BU9" i="8"/>
  <c r="BJ8" i="8"/>
  <c r="AP9" i="8"/>
  <c r="BC8" i="8"/>
  <c r="AI9" i="8"/>
  <c r="AI8" i="8"/>
  <c r="O9" i="8"/>
  <c r="CA9" i="8"/>
  <c r="BP8" i="8"/>
  <c r="AV9" i="8"/>
  <c r="AK8" i="8"/>
  <c r="Q9" i="8"/>
  <c r="CC9" i="8"/>
  <c r="F8" i="8"/>
  <c r="BR8" i="8"/>
  <c r="AX9" i="8"/>
  <c r="BK8" i="8"/>
  <c r="AQ9" i="8"/>
  <c r="AQ8" i="8"/>
  <c r="W9" i="8"/>
  <c r="CI9" i="8"/>
  <c r="L8" i="8"/>
  <c r="BX8" i="8"/>
  <c r="BD9" i="8"/>
  <c r="AS8" i="8"/>
  <c r="Y9" i="8"/>
  <c r="CK9" i="8"/>
  <c r="N8" i="8"/>
  <c r="BZ8" i="8"/>
  <c r="BF9" i="8"/>
  <c r="G8" i="8"/>
  <c r="BS8" i="8"/>
  <c r="AY9" i="8"/>
  <c r="AY8" i="8"/>
  <c r="AE9" i="8"/>
  <c r="T8" i="8"/>
  <c r="CF8" i="8"/>
  <c r="BL9" i="8"/>
  <c r="BA8" i="8"/>
  <c r="AG9" i="8"/>
  <c r="V8" i="8"/>
  <c r="CH8" i="8"/>
  <c r="BN9" i="8"/>
  <c r="O8" i="8"/>
  <c r="CA8" i="8"/>
  <c r="BG9" i="8"/>
  <c r="BV9" i="8"/>
  <c r="W8" i="8"/>
  <c r="AV8" i="8"/>
  <c r="AB9" i="8"/>
  <c r="I8" i="8"/>
  <c r="BU8" i="8"/>
  <c r="BA9" i="8"/>
  <c r="CD9" i="8"/>
  <c r="AE8" i="8"/>
  <c r="BD8" i="8"/>
  <c r="AJ9" i="8"/>
  <c r="Q8" i="8"/>
  <c r="CC8" i="8"/>
  <c r="BI9" i="8"/>
  <c r="BG8" i="8"/>
  <c r="AB8" i="8"/>
  <c r="CI8" i="8"/>
  <c r="BL8" i="8"/>
  <c r="AR9" i="8"/>
  <c r="Y8" i="8"/>
  <c r="CK8" i="8"/>
  <c r="BQ9" i="8"/>
  <c r="BO8" i="8"/>
  <c r="AJ8" i="8"/>
  <c r="K9" i="8"/>
  <c r="H8" i="8"/>
  <c r="BT8" i="8"/>
  <c r="AZ9" i="8"/>
  <c r="AG8" i="8"/>
  <c r="M9" i="8"/>
  <c r="BY9" i="8"/>
  <c r="AM9" i="8"/>
  <c r="H9" i="8"/>
  <c r="BI8" i="8"/>
  <c r="AD8" i="8"/>
  <c r="BO9" i="8"/>
  <c r="P8" i="8"/>
  <c r="CB8" i="8"/>
  <c r="BH9" i="8"/>
  <c r="AO8" i="8"/>
  <c r="U9" i="8"/>
  <c r="AU9" i="8"/>
  <c r="P9" i="8"/>
  <c r="BQ8" i="8"/>
  <c r="AL8" i="8"/>
  <c r="BW9" i="8"/>
  <c r="X8" i="8"/>
  <c r="CJ8" i="8"/>
  <c r="BP9" i="8"/>
  <c r="AW8" i="8"/>
  <c r="AC9" i="8"/>
  <c r="BT9" i="8"/>
  <c r="AO9" i="8"/>
  <c r="J9" i="8"/>
  <c r="AF8" i="8"/>
  <c r="L9" i="8"/>
  <c r="BX9" i="8"/>
  <c r="BE8" i="8"/>
  <c r="AK9" i="8"/>
  <c r="CB9" i="8"/>
  <c r="CF9" i="8"/>
  <c r="AW9" i="8"/>
  <c r="R9" i="8"/>
  <c r="BM8" i="8"/>
  <c r="AS9" i="8"/>
  <c r="AN8" i="8"/>
  <c r="T9" i="8"/>
  <c r="F13" i="12" a="1"/>
  <c r="F13" i="10" a="1"/>
  <c r="F13" i="7" a="1"/>
  <c r="F13" i="5" a="1"/>
  <c r="F13" i="4" a="1"/>
  <c r="F13" i="8" a="1"/>
  <c r="F13" i="3" a="1"/>
  <c r="CK28" i="2"/>
  <c r="CK28" i="6" s="1"/>
  <c r="CK109" i="6" l="1"/>
  <c r="CK29" i="2"/>
  <c r="CK29" i="6" s="1"/>
  <c r="CK28" i="8"/>
  <c r="CK28" i="3"/>
  <c r="CK28" i="5"/>
  <c r="CK28" i="4"/>
  <c r="CK28" i="10"/>
  <c r="CK28" i="12"/>
  <c r="CK28" i="7"/>
  <c r="CK22" i="8"/>
  <c r="CK22" i="7"/>
  <c r="CK22" i="12"/>
  <c r="CK22" i="10"/>
  <c r="CK22" i="4"/>
  <c r="CK22" i="5"/>
  <c r="CK22" i="3"/>
  <c r="CK23" i="12"/>
  <c r="CK23" i="8"/>
  <c r="CK23" i="5"/>
  <c r="CK23" i="3"/>
  <c r="CK23" i="4"/>
  <c r="CK23" i="10"/>
  <c r="CK23" i="7"/>
  <c r="CK25" i="10"/>
  <c r="CK25" i="8"/>
  <c r="CK25" i="5"/>
  <c r="CK25" i="3"/>
  <c r="CK25" i="4"/>
  <c r="CK25" i="12"/>
  <c r="CK25" i="7"/>
  <c r="CK20" i="7"/>
  <c r="CK20" i="12"/>
  <c r="CK20" i="10"/>
  <c r="CK20" i="8"/>
  <c r="CK20" i="3"/>
  <c r="CK20" i="4"/>
  <c r="CK20" i="5"/>
  <c r="CK24" i="8"/>
  <c r="CK24" i="5"/>
  <c r="CK24" i="4"/>
  <c r="CK24" i="12"/>
  <c r="CK24" i="10"/>
  <c r="CK24" i="7"/>
  <c r="CK24" i="3"/>
  <c r="BO14" i="12"/>
  <c r="CK14" i="12"/>
  <c r="Y14" i="12"/>
  <c r="X13" i="12"/>
  <c r="M13" i="12"/>
  <c r="CJ13" i="12"/>
  <c r="BZ14" i="12"/>
  <c r="BO13" i="12"/>
  <c r="BC13" i="12"/>
  <c r="Z14" i="12"/>
  <c r="AI13" i="12"/>
  <c r="AU14" i="12"/>
  <c r="N14" i="12"/>
  <c r="AH13" i="12"/>
  <c r="BZ13" i="12"/>
  <c r="BE14" i="12"/>
  <c r="N13" i="12"/>
  <c r="BY13" i="12"/>
  <c r="AJ14" i="12"/>
  <c r="AS13" i="12"/>
  <c r="BD13" i="12"/>
  <c r="CA14" i="12"/>
  <c r="CI13" i="12"/>
  <c r="AT13" i="12"/>
  <c r="O14" i="12"/>
  <c r="W13" i="12"/>
  <c r="BN13" i="12"/>
  <c r="CB14" i="12"/>
  <c r="P14" i="12"/>
  <c r="AJ13" i="12"/>
  <c r="BA14" i="12"/>
  <c r="BU13" i="12"/>
  <c r="BP14" i="12"/>
  <c r="BT14" i="12"/>
  <c r="H14" i="12"/>
  <c r="AB13" i="12"/>
  <c r="AS14" i="12"/>
  <c r="BM13" i="12"/>
  <c r="O13" i="12"/>
  <c r="Q14" i="12"/>
  <c r="F13" i="12"/>
  <c r="G14" i="12"/>
  <c r="BL14" i="12"/>
  <c r="CF13" i="12"/>
  <c r="T13" i="12"/>
  <c r="AK14" i="12"/>
  <c r="BE13" i="12"/>
  <c r="Z13" i="12"/>
  <c r="AA14" i="12"/>
  <c r="P13" i="12"/>
  <c r="R14" i="12"/>
  <c r="AI14" i="12"/>
  <c r="BD14" i="12"/>
  <c r="BX13" i="12"/>
  <c r="L13" i="12"/>
  <c r="AC14" i="12"/>
  <c r="AW13" i="12"/>
  <c r="AK13" i="12"/>
  <c r="AL14" i="12"/>
  <c r="AA13" i="12"/>
  <c r="AB14" i="12"/>
  <c r="AT14" i="12"/>
  <c r="AV14" i="12"/>
  <c r="BP13" i="12"/>
  <c r="CG14" i="12"/>
  <c r="U14" i="12"/>
  <c r="AO13" i="12"/>
  <c r="AU13" i="12"/>
  <c r="AW14" i="12"/>
  <c r="AL13" i="12"/>
  <c r="AM14" i="12"/>
  <c r="AN14" i="12"/>
  <c r="BH13" i="12"/>
  <c r="BY14" i="12"/>
  <c r="M14" i="12"/>
  <c r="AG13" i="12"/>
  <c r="BF13" i="12"/>
  <c r="BG14" i="12"/>
  <c r="AF14" i="12"/>
  <c r="AZ13" i="12"/>
  <c r="BQ14" i="12"/>
  <c r="CK13" i="12"/>
  <c r="Y13" i="12"/>
  <c r="BQ13" i="12"/>
  <c r="BR14" i="12"/>
  <c r="BG13" i="12"/>
  <c r="BH14" i="12"/>
  <c r="Q13" i="12"/>
  <c r="BS14" i="12"/>
  <c r="AX13" i="12"/>
  <c r="AY14" i="12"/>
  <c r="BJ13" i="12"/>
  <c r="BK14" i="12"/>
  <c r="BV13" i="12"/>
  <c r="BW14" i="12"/>
  <c r="CH13" i="12"/>
  <c r="CI14" i="12"/>
  <c r="I13" i="12"/>
  <c r="CD14" i="12"/>
  <c r="BI13" i="12"/>
  <c r="BJ14" i="12"/>
  <c r="BT13" i="12"/>
  <c r="BV14" i="12"/>
  <c r="CG13" i="12"/>
  <c r="CH14" i="12"/>
  <c r="K13" i="12"/>
  <c r="L14" i="12"/>
  <c r="CA13" i="12"/>
  <c r="BS13" i="12"/>
  <c r="BU14" i="12"/>
  <c r="CE13" i="12"/>
  <c r="CF14" i="12"/>
  <c r="J13" i="12"/>
  <c r="K14" i="12"/>
  <c r="V13" i="12"/>
  <c r="W14" i="12"/>
  <c r="CJ14" i="12"/>
  <c r="F14" i="12"/>
  <c r="CD13" i="12"/>
  <c r="CE14" i="12"/>
  <c r="H13" i="12"/>
  <c r="J14" i="12"/>
  <c r="U13" i="12"/>
  <c r="V14" i="12"/>
  <c r="AF13" i="12"/>
  <c r="AH14" i="12"/>
  <c r="X14" i="12"/>
  <c r="CC14" i="12"/>
  <c r="AV13" i="12"/>
  <c r="G13" i="12"/>
  <c r="I14" i="12"/>
  <c r="S13" i="12"/>
  <c r="T14" i="12"/>
  <c r="AE13" i="12"/>
  <c r="AG14" i="12"/>
  <c r="AQ13" i="12"/>
  <c r="AR14" i="12"/>
  <c r="BF14" i="12"/>
  <c r="BI14" i="12"/>
  <c r="CB13" i="12"/>
  <c r="AC13" i="12"/>
  <c r="AD14" i="12"/>
  <c r="AN13" i="12"/>
  <c r="AP14" i="12"/>
  <c r="BA13" i="12"/>
  <c r="BB14" i="12"/>
  <c r="BL13" i="12"/>
  <c r="BN14" i="12"/>
  <c r="AR13" i="12"/>
  <c r="CC13" i="12"/>
  <c r="R13" i="12"/>
  <c r="AD13" i="12"/>
  <c r="AP13" i="12"/>
  <c r="AM13" i="12"/>
  <c r="AY13" i="12"/>
  <c r="BK13" i="12"/>
  <c r="S14" i="12"/>
  <c r="AE14" i="12"/>
  <c r="AQ14" i="12"/>
  <c r="BB13" i="12"/>
  <c r="BR13" i="12"/>
  <c r="BC14" i="12"/>
  <c r="AZ14" i="12"/>
  <c r="BW13" i="12"/>
  <c r="AX14" i="12"/>
  <c r="BX14" i="12"/>
  <c r="AO14" i="12"/>
  <c r="BM14" i="12"/>
  <c r="E31" i="12"/>
  <c r="CK14" i="3"/>
  <c r="V13" i="3"/>
  <c r="CH13" i="3"/>
  <c r="CD14" i="3"/>
  <c r="BK13" i="3"/>
  <c r="AQ14" i="3"/>
  <c r="P13" i="3"/>
  <c r="CB13" i="3"/>
  <c r="BH14" i="3"/>
  <c r="AG13" i="3"/>
  <c r="M14" i="3"/>
  <c r="BY14" i="3"/>
  <c r="AX13" i="3"/>
  <c r="AD14" i="3"/>
  <c r="K13" i="3"/>
  <c r="BW13" i="3"/>
  <c r="BC14" i="3"/>
  <c r="AJ13" i="3"/>
  <c r="P14" i="3"/>
  <c r="CB14" i="3"/>
  <c r="BI13" i="3"/>
  <c r="AO14" i="3"/>
  <c r="BV14" i="3"/>
  <c r="Y13" i="3"/>
  <c r="BO13" i="3"/>
  <c r="BA13" i="3"/>
  <c r="AD13" i="3"/>
  <c r="J14" i="3"/>
  <c r="G13" i="3"/>
  <c r="BS13" i="3"/>
  <c r="AY14" i="3"/>
  <c r="X13" i="3"/>
  <c r="CJ13" i="3"/>
  <c r="BP14" i="3"/>
  <c r="AO13" i="3"/>
  <c r="U14" i="3"/>
  <c r="CG14" i="3"/>
  <c r="BF13" i="3"/>
  <c r="AL14" i="3"/>
  <c r="S13" i="3"/>
  <c r="CE13" i="3"/>
  <c r="BK14" i="3"/>
  <c r="AR13" i="3"/>
  <c r="X14" i="3"/>
  <c r="CJ14" i="3"/>
  <c r="BQ13" i="3"/>
  <c r="AW14" i="3"/>
  <c r="H13" i="3"/>
  <c r="AP13" i="3"/>
  <c r="AB13" i="3"/>
  <c r="AL13" i="3"/>
  <c r="Z14" i="3"/>
  <c r="O13" i="3"/>
  <c r="CA13" i="3"/>
  <c r="BG14" i="3"/>
  <c r="AF13" i="3"/>
  <c r="L14" i="3"/>
  <c r="BX14" i="3"/>
  <c r="AW13" i="3"/>
  <c r="AC14" i="3"/>
  <c r="AH14" i="3"/>
  <c r="BN13" i="3"/>
  <c r="AT14" i="3"/>
  <c r="AA13" i="3"/>
  <c r="G14" i="3"/>
  <c r="BS14" i="3"/>
  <c r="AZ13" i="3"/>
  <c r="AF14" i="3"/>
  <c r="M13" i="3"/>
  <c r="BY13" i="3"/>
  <c r="BE14" i="3"/>
  <c r="F13" i="3"/>
  <c r="AZ14" i="3"/>
  <c r="CH14" i="3"/>
  <c r="AG14" i="3"/>
  <c r="AT13" i="3"/>
  <c r="AP14" i="3"/>
  <c r="W13" i="3"/>
  <c r="CI13" i="3"/>
  <c r="BO14" i="3"/>
  <c r="AN13" i="3"/>
  <c r="T14" i="3"/>
  <c r="CF14" i="3"/>
  <c r="BE13" i="3"/>
  <c r="AK14" i="3"/>
  <c r="J13" i="3"/>
  <c r="BV13" i="3"/>
  <c r="BB14" i="3"/>
  <c r="AI13" i="3"/>
  <c r="O14" i="3"/>
  <c r="CA14" i="3"/>
  <c r="BH13" i="3"/>
  <c r="AN14" i="3"/>
  <c r="U13" i="3"/>
  <c r="CG13" i="3"/>
  <c r="BM14" i="3"/>
  <c r="BC13" i="3"/>
  <c r="CK13" i="3"/>
  <c r="AU14" i="3"/>
  <c r="BB13" i="3"/>
  <c r="AX14" i="3"/>
  <c r="AE13" i="3"/>
  <c r="K14" i="3"/>
  <c r="BW14" i="3"/>
  <c r="AV13" i="3"/>
  <c r="AB14" i="3"/>
  <c r="R14" i="3"/>
  <c r="BM13" i="3"/>
  <c r="AS14" i="3"/>
  <c r="R13" i="3"/>
  <c r="CD13" i="3"/>
  <c r="BJ14" i="3"/>
  <c r="AQ13" i="3"/>
  <c r="W14" i="3"/>
  <c r="CI14" i="3"/>
  <c r="BP13" i="3"/>
  <c r="AV14" i="3"/>
  <c r="AC13" i="3"/>
  <c r="I14" i="3"/>
  <c r="BU14" i="3"/>
  <c r="BZ13" i="3"/>
  <c r="BT13" i="3"/>
  <c r="V14" i="3"/>
  <c r="BT14" i="3"/>
  <c r="BJ13" i="3"/>
  <c r="BF14" i="3"/>
  <c r="AM13" i="3"/>
  <c r="S14" i="3"/>
  <c r="CE14" i="3"/>
  <c r="BD13" i="3"/>
  <c r="AJ14" i="3"/>
  <c r="I13" i="3"/>
  <c r="BU13" i="3"/>
  <c r="BA14" i="3"/>
  <c r="Z13" i="3"/>
  <c r="F14" i="3"/>
  <c r="BR14" i="3"/>
  <c r="AY13" i="3"/>
  <c r="AE14" i="3"/>
  <c r="L13" i="3"/>
  <c r="BX13" i="3"/>
  <c r="BD14" i="3"/>
  <c r="AK13" i="3"/>
  <c r="Q14" i="3"/>
  <c r="CC14" i="3"/>
  <c r="AI14" i="3"/>
  <c r="BQ14" i="3"/>
  <c r="H14" i="3"/>
  <c r="BR13" i="3"/>
  <c r="BN14" i="3"/>
  <c r="AU13" i="3"/>
  <c r="AA14" i="3"/>
  <c r="N13" i="3"/>
  <c r="BL13" i="3"/>
  <c r="AR14" i="3"/>
  <c r="Q13" i="3"/>
  <c r="CC13" i="3"/>
  <c r="BI14" i="3"/>
  <c r="AH13" i="3"/>
  <c r="N14" i="3"/>
  <c r="BZ14" i="3"/>
  <c r="BG13" i="3"/>
  <c r="AM14" i="3"/>
  <c r="T13" i="3"/>
  <c r="CF13" i="3"/>
  <c r="BL14" i="3"/>
  <c r="AS13" i="3"/>
  <c r="Y14" i="3"/>
  <c r="CD14" i="8"/>
  <c r="AT13" i="8"/>
  <c r="CA14" i="8"/>
  <c r="S13" i="8"/>
  <c r="AB13" i="8"/>
  <c r="BA14" i="8"/>
  <c r="BW13" i="8"/>
  <c r="O14" i="8"/>
  <c r="Z14" i="8"/>
  <c r="BM14" i="8"/>
  <c r="BC13" i="8"/>
  <c r="I13" i="8"/>
  <c r="CG13" i="8"/>
  <c r="AK13" i="8"/>
  <c r="AN14" i="8"/>
  <c r="BL13" i="8"/>
  <c r="AL13" i="8"/>
  <c r="AO14" i="8"/>
  <c r="BY13" i="8"/>
  <c r="AN13" i="8"/>
  <c r="AS14" i="8"/>
  <c r="CH14" i="8"/>
  <c r="V14" i="8"/>
  <c r="AP13" i="8"/>
  <c r="BH14" i="8"/>
  <c r="CB13" i="8"/>
  <c r="AI14" i="8"/>
  <c r="AO13" i="8"/>
  <c r="AU14" i="8"/>
  <c r="BR13" i="8"/>
  <c r="CI14" i="8"/>
  <c r="AU13" i="8"/>
  <c r="BC14" i="8"/>
  <c r="L13" i="8"/>
  <c r="CK13" i="8"/>
  <c r="AW13" i="8"/>
  <c r="BE14" i="8"/>
  <c r="BZ14" i="8"/>
  <c r="N14" i="8"/>
  <c r="AH13" i="8"/>
  <c r="AZ14" i="8"/>
  <c r="BT13" i="8"/>
  <c r="AA14" i="8"/>
  <c r="AY13" i="8"/>
  <c r="BF14" i="8"/>
  <c r="F13" i="8"/>
  <c r="CC13" i="8"/>
  <c r="BD13" i="8"/>
  <c r="BN14" i="8"/>
  <c r="U13" i="8"/>
  <c r="Q14" i="8"/>
  <c r="BG13" i="8"/>
  <c r="BS14" i="8"/>
  <c r="BR14" i="8"/>
  <c r="F14" i="8"/>
  <c r="Z13" i="8"/>
  <c r="AR14" i="8"/>
  <c r="CE14" i="8"/>
  <c r="S14" i="8"/>
  <c r="BH13" i="8"/>
  <c r="BT14" i="8"/>
  <c r="O13" i="8"/>
  <c r="I14" i="8"/>
  <c r="BM13" i="8"/>
  <c r="CB14" i="8"/>
  <c r="AD13" i="8"/>
  <c r="AE14" i="8"/>
  <c r="BP13" i="8"/>
  <c r="BJ14" i="8"/>
  <c r="CD13" i="8"/>
  <c r="R13" i="8"/>
  <c r="AJ14" i="8"/>
  <c r="BW14" i="8"/>
  <c r="K14" i="8"/>
  <c r="BQ13" i="8"/>
  <c r="CG14" i="8"/>
  <c r="X13" i="8"/>
  <c r="W14" i="8"/>
  <c r="BX13" i="8"/>
  <c r="AM13" i="8"/>
  <c r="AP14" i="8"/>
  <c r="BZ13" i="8"/>
  <c r="BB14" i="8"/>
  <c r="BV13" i="8"/>
  <c r="J13" i="8"/>
  <c r="AB14" i="8"/>
  <c r="BO14" i="8"/>
  <c r="CI13" i="8"/>
  <c r="CA13" i="8"/>
  <c r="AG13" i="8"/>
  <c r="AH14" i="8"/>
  <c r="K13" i="8"/>
  <c r="CH13" i="8"/>
  <c r="AV13" i="8"/>
  <c r="BD14" i="8"/>
  <c r="M13" i="8"/>
  <c r="G14" i="8"/>
  <c r="AT14" i="8"/>
  <c r="BN13" i="8"/>
  <c r="CF14" i="8"/>
  <c r="T14" i="8"/>
  <c r="BG14" i="8"/>
  <c r="N13" i="8"/>
  <c r="H14" i="8"/>
  <c r="AQ13" i="8"/>
  <c r="P14" i="8"/>
  <c r="BE13" i="8"/>
  <c r="V13" i="8"/>
  <c r="L14" i="8"/>
  <c r="AV14" i="8"/>
  <c r="G13" i="8"/>
  <c r="CE13" i="8"/>
  <c r="AS13" i="8"/>
  <c r="AX14" i="8"/>
  <c r="AC14" i="8"/>
  <c r="BO13" i="8"/>
  <c r="AE13" i="8"/>
  <c r="CJ13" i="8"/>
  <c r="BI14" i="8"/>
  <c r="P13" i="8"/>
  <c r="J14" i="8"/>
  <c r="BB13" i="8"/>
  <c r="BL14" i="8"/>
  <c r="BQ14" i="8"/>
  <c r="R14" i="8"/>
  <c r="AL14" i="8"/>
  <c r="AY14" i="8"/>
  <c r="BU14" i="8"/>
  <c r="Y13" i="8"/>
  <c r="X14" i="8"/>
  <c r="BK13" i="8"/>
  <c r="BY14" i="8"/>
  <c r="CC14" i="8"/>
  <c r="AF14" i="8"/>
  <c r="AD14" i="8"/>
  <c r="AQ14" i="8"/>
  <c r="AI13" i="8"/>
  <c r="AK14" i="8"/>
  <c r="BU13" i="8"/>
  <c r="CK14" i="8"/>
  <c r="BF13" i="8"/>
  <c r="W13" i="8"/>
  <c r="AR13" i="8"/>
  <c r="AW14" i="8"/>
  <c r="H13" i="8"/>
  <c r="CF13" i="8"/>
  <c r="AX13" i="8"/>
  <c r="AF13" i="8"/>
  <c r="BA13" i="8"/>
  <c r="BK14" i="8"/>
  <c r="Q13" i="8"/>
  <c r="M14" i="8"/>
  <c r="T13" i="8"/>
  <c r="BX14" i="8"/>
  <c r="U14" i="8"/>
  <c r="AZ13" i="8"/>
  <c r="BJ13" i="8"/>
  <c r="BV14" i="8"/>
  <c r="AA13" i="8"/>
  <c r="Y14" i="8"/>
  <c r="BS13" i="8"/>
  <c r="CJ14" i="8"/>
  <c r="BP14" i="8"/>
  <c r="AG14" i="8"/>
  <c r="BI13" i="8"/>
  <c r="AJ13" i="8"/>
  <c r="AM14" i="8"/>
  <c r="AC13" i="8"/>
  <c r="E31" i="4"/>
  <c r="CD14" i="4"/>
  <c r="AH14" i="4"/>
  <c r="CC14" i="4"/>
  <c r="AS13" i="4"/>
  <c r="AV14" i="4"/>
  <c r="BP13" i="4"/>
  <c r="BN14" i="4"/>
  <c r="N13" i="4"/>
  <c r="BA13" i="4"/>
  <c r="AU14" i="4"/>
  <c r="BO13" i="4"/>
  <c r="AL14" i="4"/>
  <c r="CD13" i="4"/>
  <c r="AK14" i="4"/>
  <c r="BX14" i="4"/>
  <c r="L14" i="4"/>
  <c r="AF13" i="4"/>
  <c r="F14" i="4"/>
  <c r="AS14" i="4"/>
  <c r="BW14" i="4"/>
  <c r="K14" i="4"/>
  <c r="AE13" i="4"/>
  <c r="CG13" i="4"/>
  <c r="BS14" i="4"/>
  <c r="CG14" i="4"/>
  <c r="J13" i="4"/>
  <c r="AX14" i="4"/>
  <c r="V13" i="4"/>
  <c r="BA14" i="4"/>
  <c r="BI14" i="4"/>
  <c r="R14" i="4"/>
  <c r="BM14" i="4"/>
  <c r="AC13" i="4"/>
  <c r="AN14" i="4"/>
  <c r="BH13" i="4"/>
  <c r="AP14" i="4"/>
  <c r="CK14" i="4"/>
  <c r="AK13" i="4"/>
  <c r="AM14" i="4"/>
  <c r="BG13" i="4"/>
  <c r="AC14" i="4"/>
  <c r="BN13" i="4"/>
  <c r="M14" i="4"/>
  <c r="BP14" i="4"/>
  <c r="CJ13" i="4"/>
  <c r="X13" i="4"/>
  <c r="BV13" i="4"/>
  <c r="U14" i="4"/>
  <c r="BO14" i="4"/>
  <c r="CI13" i="4"/>
  <c r="W13" i="4"/>
  <c r="H14" i="4"/>
  <c r="G14" i="4"/>
  <c r="AG13" i="4"/>
  <c r="AO13" i="4"/>
  <c r="BD14" i="4"/>
  <c r="BC14" i="4"/>
  <c r="AN13" i="4"/>
  <c r="AM13" i="4"/>
  <c r="CH13" i="4"/>
  <c r="AW14" i="4"/>
  <c r="M13" i="4"/>
  <c r="AF14" i="4"/>
  <c r="AZ13" i="4"/>
  <c r="Z14" i="4"/>
  <c r="BU14" i="4"/>
  <c r="U13" i="4"/>
  <c r="AE14" i="4"/>
  <c r="AY13" i="4"/>
  <c r="I13" i="4"/>
  <c r="AX13" i="4"/>
  <c r="CC13" i="4"/>
  <c r="BH14" i="4"/>
  <c r="CB13" i="4"/>
  <c r="P13" i="4"/>
  <c r="BF13" i="4"/>
  <c r="CK13" i="4"/>
  <c r="BG14" i="4"/>
  <c r="CA13" i="4"/>
  <c r="O13" i="4"/>
  <c r="BT14" i="4"/>
  <c r="AA13" i="4"/>
  <c r="BD13" i="4"/>
  <c r="AI14" i="4"/>
  <c r="BX13" i="4"/>
  <c r="CF14" i="4"/>
  <c r="BZ13" i="4"/>
  <c r="AG14" i="4"/>
  <c r="CJ14" i="4"/>
  <c r="X14" i="4"/>
  <c r="AR13" i="4"/>
  <c r="J14" i="4"/>
  <c r="BE14" i="4"/>
  <c r="CI14" i="4"/>
  <c r="W14" i="4"/>
  <c r="AQ13" i="4"/>
  <c r="CH14" i="4"/>
  <c r="AH13" i="4"/>
  <c r="BM13" i="4"/>
  <c r="AZ14" i="4"/>
  <c r="BT13" i="4"/>
  <c r="H13" i="4"/>
  <c r="AP13" i="4"/>
  <c r="BU13" i="4"/>
  <c r="AY14" i="4"/>
  <c r="BS13" i="4"/>
  <c r="G13" i="4"/>
  <c r="AB13" i="4"/>
  <c r="BI13" i="4"/>
  <c r="BQ13" i="4"/>
  <c r="T14" i="4"/>
  <c r="S14" i="4"/>
  <c r="BJ13" i="4"/>
  <c r="Q14" i="4"/>
  <c r="CB14" i="4"/>
  <c r="P14" i="4"/>
  <c r="AJ13" i="4"/>
  <c r="BR13" i="4"/>
  <c r="AO14" i="4"/>
  <c r="CA14" i="4"/>
  <c r="O14" i="4"/>
  <c r="AI13" i="4"/>
  <c r="BR14" i="4"/>
  <c r="R13" i="4"/>
  <c r="AW13" i="4"/>
  <c r="AR14" i="4"/>
  <c r="BL13" i="4"/>
  <c r="BZ14" i="4"/>
  <c r="Z13" i="4"/>
  <c r="BE13" i="4"/>
  <c r="AQ14" i="4"/>
  <c r="BK13" i="4"/>
  <c r="AT13" i="4"/>
  <c r="Y14" i="4"/>
  <c r="BB14" i="4"/>
  <c r="BJ14" i="4"/>
  <c r="BC13" i="4"/>
  <c r="L13" i="4"/>
  <c r="N14" i="4"/>
  <c r="V14" i="4"/>
  <c r="BV14" i="4"/>
  <c r="BB13" i="4"/>
  <c r="AJ14" i="4"/>
  <c r="F13" i="4"/>
  <c r="K13" i="4"/>
  <c r="CE14" i="4"/>
  <c r="BF14" i="4"/>
  <c r="AD13" i="4"/>
  <c r="BY13" i="4"/>
  <c r="BL14" i="4"/>
  <c r="CF13" i="4"/>
  <c r="T13" i="4"/>
  <c r="AL13" i="4"/>
  <c r="I14" i="4"/>
  <c r="BK14" i="4"/>
  <c r="CE13" i="4"/>
  <c r="S13" i="4"/>
  <c r="AD14" i="4"/>
  <c r="BQ14" i="4"/>
  <c r="Q13" i="4"/>
  <c r="AB14" i="4"/>
  <c r="AV13" i="4"/>
  <c r="AT14" i="4"/>
  <c r="BY14" i="4"/>
  <c r="Y13" i="4"/>
  <c r="AA14" i="4"/>
  <c r="AU13" i="4"/>
  <c r="BW13" i="4"/>
  <c r="E31" i="3"/>
  <c r="CK14" i="5"/>
  <c r="AX14" i="5"/>
  <c r="BF14" i="5"/>
  <c r="Z14" i="5"/>
  <c r="AT13" i="5"/>
  <c r="V13" i="5"/>
  <c r="AD13" i="5"/>
  <c r="AL13" i="5"/>
  <c r="CH13" i="5"/>
  <c r="J14" i="5"/>
  <c r="R14" i="5"/>
  <c r="BB13" i="5"/>
  <c r="BN14" i="5"/>
  <c r="AH14" i="5"/>
  <c r="BV14" i="5"/>
  <c r="CD14" i="5"/>
  <c r="F13" i="5"/>
  <c r="BR13" i="5"/>
  <c r="N13" i="5"/>
  <c r="BZ13" i="5"/>
  <c r="BJ13" i="5"/>
  <c r="AP14" i="5"/>
  <c r="AU13" i="5"/>
  <c r="AA14" i="5"/>
  <c r="AF13" i="5"/>
  <c r="L14" i="5"/>
  <c r="BX14" i="5"/>
  <c r="Q13" i="5"/>
  <c r="CC13" i="5"/>
  <c r="BI14" i="5"/>
  <c r="BN13" i="5"/>
  <c r="AT14" i="5"/>
  <c r="AY13" i="5"/>
  <c r="AE14" i="5"/>
  <c r="AR13" i="5"/>
  <c r="X14" i="5"/>
  <c r="CJ14" i="5"/>
  <c r="BQ13" i="5"/>
  <c r="AW14" i="5"/>
  <c r="BC13" i="5"/>
  <c r="AI14" i="5"/>
  <c r="AN13" i="5"/>
  <c r="T14" i="5"/>
  <c r="CF14" i="5"/>
  <c r="BK13" i="5"/>
  <c r="AQ14" i="5"/>
  <c r="AV13" i="5"/>
  <c r="AB14" i="5"/>
  <c r="AG13" i="5"/>
  <c r="M14" i="5"/>
  <c r="BY14" i="5"/>
  <c r="R13" i="5"/>
  <c r="CD13" i="5"/>
  <c r="BJ14" i="5"/>
  <c r="BO13" i="5"/>
  <c r="AU14" i="5"/>
  <c r="BH13" i="5"/>
  <c r="AN14" i="5"/>
  <c r="U13" i="5"/>
  <c r="CG13" i="5"/>
  <c r="BM14" i="5"/>
  <c r="G13" i="5"/>
  <c r="BS13" i="5"/>
  <c r="AY14" i="5"/>
  <c r="BD13" i="5"/>
  <c r="AJ14" i="5"/>
  <c r="AO13" i="5"/>
  <c r="U14" i="5"/>
  <c r="CG14" i="5"/>
  <c r="Z13" i="5"/>
  <c r="F14" i="5"/>
  <c r="F72" i="5" s="1"/>
  <c r="BR14" i="5"/>
  <c r="K13" i="5"/>
  <c r="BW13" i="5"/>
  <c r="BC14" i="5"/>
  <c r="BP13" i="5"/>
  <c r="AV14" i="5"/>
  <c r="AC13" i="5"/>
  <c r="I14" i="5"/>
  <c r="BU14" i="5"/>
  <c r="O13" i="5"/>
  <c r="CA13" i="5"/>
  <c r="BG14" i="5"/>
  <c r="BL13" i="5"/>
  <c r="AR14" i="5"/>
  <c r="AW13" i="5"/>
  <c r="AC14" i="5"/>
  <c r="AH13" i="5"/>
  <c r="N14" i="5"/>
  <c r="BZ14" i="5"/>
  <c r="S13" i="5"/>
  <c r="CE13" i="5"/>
  <c r="BK14" i="5"/>
  <c r="L13" i="5"/>
  <c r="BX13" i="5"/>
  <c r="BD14" i="5"/>
  <c r="AK13" i="5"/>
  <c r="Q14" i="5"/>
  <c r="CC14" i="5"/>
  <c r="W13" i="5"/>
  <c r="CI13" i="5"/>
  <c r="BO14" i="5"/>
  <c r="H13" i="5"/>
  <c r="BT13" i="5"/>
  <c r="AZ14" i="5"/>
  <c r="BE13" i="5"/>
  <c r="AK14" i="5"/>
  <c r="AP13" i="5"/>
  <c r="V14" i="5"/>
  <c r="CH14" i="5"/>
  <c r="AA13" i="5"/>
  <c r="G14" i="5"/>
  <c r="BS14" i="5"/>
  <c r="T13" i="5"/>
  <c r="CF13" i="5"/>
  <c r="BL14" i="5"/>
  <c r="AS13" i="5"/>
  <c r="Y14" i="5"/>
  <c r="AE13" i="5"/>
  <c r="K14" i="5"/>
  <c r="BW14" i="5"/>
  <c r="P13" i="5"/>
  <c r="CB13" i="5"/>
  <c r="BH14" i="5"/>
  <c r="BM13" i="5"/>
  <c r="AS14" i="5"/>
  <c r="AX13" i="5"/>
  <c r="AD14" i="5"/>
  <c r="AI13" i="5"/>
  <c r="O14" i="5"/>
  <c r="CA14" i="5"/>
  <c r="AB13" i="5"/>
  <c r="H14" i="5"/>
  <c r="BT14" i="5"/>
  <c r="BA13" i="5"/>
  <c r="AG14" i="5"/>
  <c r="X13" i="5"/>
  <c r="BU13" i="5"/>
  <c r="CI14" i="5"/>
  <c r="P14" i="5"/>
  <c r="CJ13" i="5"/>
  <c r="CK13" i="5"/>
  <c r="J13" i="5"/>
  <c r="AF14" i="5"/>
  <c r="AZ13" i="5"/>
  <c r="BP14" i="5"/>
  <c r="BA14" i="5"/>
  <c r="BF13" i="5"/>
  <c r="CB14" i="5"/>
  <c r="AM13" i="5"/>
  <c r="BQ14" i="5"/>
  <c r="BV13" i="5"/>
  <c r="M13" i="5"/>
  <c r="S14" i="5"/>
  <c r="AL14" i="5"/>
  <c r="AQ13" i="5"/>
  <c r="BI13" i="5"/>
  <c r="Y13" i="5"/>
  <c r="BE14" i="5"/>
  <c r="CE14" i="5"/>
  <c r="BB14" i="5"/>
  <c r="BG13" i="5"/>
  <c r="BY13" i="5"/>
  <c r="AM14" i="5"/>
  <c r="I13" i="5"/>
  <c r="W14" i="5"/>
  <c r="AJ13" i="5"/>
  <c r="AO14" i="5"/>
  <c r="E31" i="7"/>
  <c r="E31" i="5"/>
  <c r="CH14" i="7"/>
  <c r="CD14" i="7"/>
  <c r="AL13" i="7"/>
  <c r="BF14" i="7"/>
  <c r="N13" i="7"/>
  <c r="AX14" i="7"/>
  <c r="F13" i="7"/>
  <c r="Z14" i="7"/>
  <c r="R14" i="7"/>
  <c r="BZ13" i="7"/>
  <c r="BR13" i="7"/>
  <c r="AT13" i="7"/>
  <c r="BC14" i="7"/>
  <c r="BK14" i="7"/>
  <c r="BO13" i="7"/>
  <c r="CI14" i="7"/>
  <c r="AD13" i="7"/>
  <c r="O14" i="7"/>
  <c r="AA13" i="7"/>
  <c r="BJ13" i="7"/>
  <c r="AU14" i="7"/>
  <c r="V13" i="7"/>
  <c r="BG13" i="7"/>
  <c r="J14" i="7"/>
  <c r="CA14" i="7"/>
  <c r="K13" i="7"/>
  <c r="S13" i="7"/>
  <c r="BB13" i="7"/>
  <c r="G14" i="7"/>
  <c r="AP14" i="7"/>
  <c r="AQ13" i="7"/>
  <c r="AY13" i="7"/>
  <c r="CH13" i="7"/>
  <c r="AM14" i="7"/>
  <c r="BV14" i="7"/>
  <c r="BW13" i="7"/>
  <c r="CE13" i="7"/>
  <c r="AH14" i="7"/>
  <c r="BS14" i="7"/>
  <c r="AE14" i="7"/>
  <c r="BN14" i="7"/>
  <c r="W14" i="7"/>
  <c r="BH13" i="7"/>
  <c r="AN14" i="7"/>
  <c r="AC13" i="7"/>
  <c r="I14" i="7"/>
  <c r="BU14" i="7"/>
  <c r="BP13" i="7"/>
  <c r="AV14" i="7"/>
  <c r="AK13" i="7"/>
  <c r="Q14" i="7"/>
  <c r="CC14" i="7"/>
  <c r="L13" i="7"/>
  <c r="BX13" i="7"/>
  <c r="BD14" i="7"/>
  <c r="AS13" i="7"/>
  <c r="Y14" i="7"/>
  <c r="CK14" i="7"/>
  <c r="T13" i="7"/>
  <c r="CF13" i="7"/>
  <c r="BL14" i="7"/>
  <c r="BA13" i="7"/>
  <c r="AG14" i="7"/>
  <c r="AB13" i="7"/>
  <c r="H14" i="7"/>
  <c r="BT14" i="7"/>
  <c r="BI13" i="7"/>
  <c r="AO14" i="7"/>
  <c r="AR13" i="7"/>
  <c r="X14" i="7"/>
  <c r="CJ14" i="7"/>
  <c r="M13" i="7"/>
  <c r="BY13" i="7"/>
  <c r="BE14" i="7"/>
  <c r="AI13" i="7"/>
  <c r="P14" i="7"/>
  <c r="BQ13" i="7"/>
  <c r="G13" i="7"/>
  <c r="BS13" i="7"/>
  <c r="AY14" i="7"/>
  <c r="X13" i="7"/>
  <c r="CJ13" i="7"/>
  <c r="BP14" i="7"/>
  <c r="AO13" i="7"/>
  <c r="U14" i="7"/>
  <c r="CG14" i="7"/>
  <c r="BN13" i="7"/>
  <c r="AT14" i="7"/>
  <c r="AF14" i="7"/>
  <c r="CG13" i="7"/>
  <c r="O13" i="7"/>
  <c r="CA13" i="7"/>
  <c r="BG14" i="7"/>
  <c r="AF13" i="7"/>
  <c r="L14" i="7"/>
  <c r="BX14" i="7"/>
  <c r="AW13" i="7"/>
  <c r="AC14" i="7"/>
  <c r="J13" i="7"/>
  <c r="BV13" i="7"/>
  <c r="BB14" i="7"/>
  <c r="CB14" i="7"/>
  <c r="AW14" i="7"/>
  <c r="W13" i="7"/>
  <c r="CI13" i="7"/>
  <c r="BO14" i="7"/>
  <c r="AN13" i="7"/>
  <c r="T14" i="7"/>
  <c r="CF14" i="7"/>
  <c r="BE13" i="7"/>
  <c r="AK14" i="7"/>
  <c r="R13" i="7"/>
  <c r="CD13" i="7"/>
  <c r="BJ14" i="7"/>
  <c r="BM14" i="7"/>
  <c r="AE13" i="7"/>
  <c r="K14" i="7"/>
  <c r="BW14" i="7"/>
  <c r="AV13" i="7"/>
  <c r="AB14" i="7"/>
  <c r="BM13" i="7"/>
  <c r="AS14" i="7"/>
  <c r="Z13" i="7"/>
  <c r="F14" i="7"/>
  <c r="BR14" i="7"/>
  <c r="AM13" i="7"/>
  <c r="S14" i="7"/>
  <c r="CE14" i="7"/>
  <c r="BD13" i="7"/>
  <c r="AJ14" i="7"/>
  <c r="I13" i="7"/>
  <c r="BU13" i="7"/>
  <c r="BA14" i="7"/>
  <c r="AH13" i="7"/>
  <c r="N14" i="7"/>
  <c r="BZ14" i="7"/>
  <c r="AJ13" i="7"/>
  <c r="BC13" i="7"/>
  <c r="AI14" i="7"/>
  <c r="H13" i="7"/>
  <c r="BT13" i="7"/>
  <c r="AZ14" i="7"/>
  <c r="Y13" i="7"/>
  <c r="CK13" i="7"/>
  <c r="BQ14" i="7"/>
  <c r="AX13" i="7"/>
  <c r="AD14" i="7"/>
  <c r="AZ13" i="7"/>
  <c r="BK13" i="7"/>
  <c r="M14" i="7"/>
  <c r="AA14" i="7"/>
  <c r="BI14" i="7"/>
  <c r="AP13" i="7"/>
  <c r="AQ14" i="7"/>
  <c r="P13" i="7"/>
  <c r="BY14" i="7"/>
  <c r="BF13" i="7"/>
  <c r="BL13" i="7"/>
  <c r="V14" i="7"/>
  <c r="U13" i="7"/>
  <c r="CB13" i="7"/>
  <c r="AL14" i="7"/>
  <c r="AR14" i="7"/>
  <c r="Q13" i="7"/>
  <c r="BH14" i="7"/>
  <c r="AG13" i="7"/>
  <c r="CC13" i="7"/>
  <c r="AU13" i="7"/>
  <c r="AO14" i="10"/>
  <c r="CJ14" i="10"/>
  <c r="X14" i="10"/>
  <c r="AR13" i="10"/>
  <c r="R14" i="10"/>
  <c r="BK14" i="10"/>
  <c r="CE13" i="10"/>
  <c r="S13" i="10"/>
  <c r="BR14" i="10"/>
  <c r="F14" i="10"/>
  <c r="Z13" i="10"/>
  <c r="BI14" i="10"/>
  <c r="CC13" i="10"/>
  <c r="Q13" i="10"/>
  <c r="BX14" i="10"/>
  <c r="L14" i="10"/>
  <c r="AF13" i="10"/>
  <c r="BW14" i="10"/>
  <c r="K14" i="10"/>
  <c r="AE13" i="10"/>
  <c r="AW14" i="10"/>
  <c r="AK13" i="10"/>
  <c r="CB14" i="10"/>
  <c r="P14" i="10"/>
  <c r="AJ13" i="10"/>
  <c r="J14" i="10"/>
  <c r="BC14" i="10"/>
  <c r="BW13" i="10"/>
  <c r="K13" i="10"/>
  <c r="BJ14" i="10"/>
  <c r="CD13" i="10"/>
  <c r="R13" i="10"/>
  <c r="BA14" i="10"/>
  <c r="BU13" i="10"/>
  <c r="I13" i="10"/>
  <c r="BP14" i="10"/>
  <c r="CJ13" i="10"/>
  <c r="X13" i="10"/>
  <c r="BO14" i="10"/>
  <c r="CI13" i="10"/>
  <c r="W13" i="10"/>
  <c r="M13" i="10"/>
  <c r="Q14" i="10"/>
  <c r="BT14" i="10"/>
  <c r="H14" i="10"/>
  <c r="AB13" i="10"/>
  <c r="BZ13" i="10"/>
  <c r="AU14" i="10"/>
  <c r="BO13" i="10"/>
  <c r="CD14" i="10"/>
  <c r="BB14" i="10"/>
  <c r="BV13" i="10"/>
  <c r="J13" i="10"/>
  <c r="AS14" i="10"/>
  <c r="BM13" i="10"/>
  <c r="AX14" i="10"/>
  <c r="BH14" i="10"/>
  <c r="CB13" i="10"/>
  <c r="P13" i="10"/>
  <c r="BG14" i="10"/>
  <c r="CA13" i="10"/>
  <c r="O13" i="10"/>
  <c r="BY13" i="10"/>
  <c r="AS13" i="10"/>
  <c r="BL14" i="10"/>
  <c r="CF13" i="10"/>
  <c r="T13" i="10"/>
  <c r="BJ13" i="10"/>
  <c r="AM14" i="10"/>
  <c r="BG13" i="10"/>
  <c r="CH13" i="10"/>
  <c r="AT14" i="10"/>
  <c r="BN13" i="10"/>
  <c r="BV14" i="10"/>
  <c r="AK14" i="10"/>
  <c r="BE13" i="10"/>
  <c r="BR13" i="10"/>
  <c r="AZ14" i="10"/>
  <c r="BT13" i="10"/>
  <c r="H13" i="10"/>
  <c r="AY14" i="10"/>
  <c r="BS13" i="10"/>
  <c r="G13" i="10"/>
  <c r="BE14" i="10"/>
  <c r="Y14" i="10"/>
  <c r="BD14" i="10"/>
  <c r="BX13" i="10"/>
  <c r="L13" i="10"/>
  <c r="AD13" i="10"/>
  <c r="AE14" i="10"/>
  <c r="AY13" i="10"/>
  <c r="BB13" i="10"/>
  <c r="AL14" i="10"/>
  <c r="BF13" i="10"/>
  <c r="BU14" i="10"/>
  <c r="AC14" i="10"/>
  <c r="AW13" i="10"/>
  <c r="AL13" i="10"/>
  <c r="AR14" i="10"/>
  <c r="BL13" i="10"/>
  <c r="BN14" i="10"/>
  <c r="AQ14" i="10"/>
  <c r="BK13" i="10"/>
  <c r="AP14" i="10"/>
  <c r="U13" i="10"/>
  <c r="AG14" i="10"/>
  <c r="AN14" i="10"/>
  <c r="BH13" i="10"/>
  <c r="AH14" i="10"/>
  <c r="CA14" i="10"/>
  <c r="O14" i="10"/>
  <c r="AI13" i="10"/>
  <c r="CH14" i="10"/>
  <c r="V14" i="10"/>
  <c r="AP13" i="10"/>
  <c r="BY14" i="10"/>
  <c r="M14" i="10"/>
  <c r="AG13" i="10"/>
  <c r="CK14" i="10"/>
  <c r="AB14" i="10"/>
  <c r="AV13" i="10"/>
  <c r="CC14" i="10"/>
  <c r="AA14" i="10"/>
  <c r="AU13" i="10"/>
  <c r="BM14" i="10"/>
  <c r="AC13" i="10"/>
  <c r="BI13" i="10"/>
  <c r="BS14" i="10"/>
  <c r="N14" i="10"/>
  <c r="Y13" i="10"/>
  <c r="CE14" i="10"/>
  <c r="I14" i="10"/>
  <c r="AV14" i="10"/>
  <c r="W14" i="10"/>
  <c r="AX13" i="10"/>
  <c r="F13" i="10"/>
  <c r="AI14" i="10"/>
  <c r="AF14" i="10"/>
  <c r="G14" i="10"/>
  <c r="AH13" i="10"/>
  <c r="CF14" i="10"/>
  <c r="S14" i="10"/>
  <c r="BP13" i="10"/>
  <c r="AQ13" i="10"/>
  <c r="CG14" i="10"/>
  <c r="AJ14" i="10"/>
  <c r="BC13" i="10"/>
  <c r="AZ13" i="10"/>
  <c r="AA13" i="10"/>
  <c r="BQ14" i="10"/>
  <c r="T14" i="10"/>
  <c r="AM13" i="10"/>
  <c r="BF14" i="10"/>
  <c r="V13" i="10"/>
  <c r="U14" i="10"/>
  <c r="BD13" i="10"/>
  <c r="AT13" i="10"/>
  <c r="Z14" i="10"/>
  <c r="BZ14" i="10"/>
  <c r="CK13" i="10"/>
  <c r="AN13" i="10"/>
  <c r="BQ13" i="10"/>
  <c r="N13" i="10"/>
  <c r="CG13" i="10"/>
  <c r="BA13" i="10"/>
  <c r="CI14" i="10"/>
  <c r="AD14" i="10"/>
  <c r="AO13" i="10"/>
  <c r="E31" i="8"/>
  <c r="F94" i="10"/>
  <c r="E31" i="10"/>
  <c r="CK29" i="12" l="1"/>
  <c r="CK29" i="10"/>
  <c r="CK29" i="8"/>
  <c r="CK29" i="5"/>
  <c r="CK29" i="4"/>
  <c r="CK29" i="3"/>
  <c r="CK29" i="7"/>
  <c r="F90" i="7"/>
  <c r="F294" i="3" a="1"/>
  <c r="F251" i="3" a="1"/>
  <c r="F218" i="3" a="1"/>
  <c r="F170" i="3" a="1"/>
  <c r="F75" i="3" a="1"/>
  <c r="F39" i="3" a="1"/>
  <c r="BQ371" i="3"/>
  <c r="BR371" i="3"/>
  <c r="BZ371" i="3"/>
  <c r="CG371" i="3"/>
  <c r="CI371" i="3"/>
  <c r="CB371" i="3"/>
  <c r="BU371" i="3"/>
  <c r="BS371" i="3"/>
  <c r="BY371" i="3"/>
  <c r="CC371" i="3"/>
  <c r="CD371" i="3"/>
  <c r="CA371" i="3"/>
  <c r="CJ371" i="3"/>
  <c r="CH371" i="3"/>
  <c r="BP371" i="3"/>
  <c r="BO371" i="3"/>
  <c r="BX371" i="3"/>
  <c r="BT371" i="3"/>
  <c r="CK371" i="3"/>
  <c r="BN371" i="3"/>
  <c r="BW371" i="3"/>
  <c r="CF371" i="3"/>
  <c r="BV371" i="3"/>
  <c r="CE371" i="3"/>
  <c r="AO122" i="5"/>
  <c r="AG122" i="5"/>
  <c r="CK122" i="5"/>
  <c r="Y122" i="5"/>
  <c r="CC122" i="5"/>
  <c r="Q122" i="5"/>
  <c r="BU122" i="5"/>
  <c r="I122" i="5"/>
  <c r="BM122" i="5"/>
  <c r="BD122" i="5"/>
  <c r="AE122" i="5"/>
  <c r="BR122" i="5"/>
  <c r="F122" i="5"/>
  <c r="AS122" i="5"/>
  <c r="CF122" i="5"/>
  <c r="T122" i="5"/>
  <c r="AY122" i="5"/>
  <c r="BN122" i="5"/>
  <c r="AV122" i="5"/>
  <c r="CI122" i="5"/>
  <c r="W122" i="5"/>
  <c r="BJ122" i="5"/>
  <c r="AK122" i="5"/>
  <c r="BX122" i="5"/>
  <c r="L122" i="5"/>
  <c r="AQ122" i="5"/>
  <c r="BV122" i="5"/>
  <c r="AN122" i="5"/>
  <c r="CA122" i="5"/>
  <c r="O122" i="5"/>
  <c r="BB122" i="5"/>
  <c r="AC122" i="5"/>
  <c r="BP122" i="5"/>
  <c r="AI122" i="5"/>
  <c r="J122" i="5"/>
  <c r="BE122" i="5"/>
  <c r="AF122" i="5"/>
  <c r="BS122" i="5"/>
  <c r="G122" i="5"/>
  <c r="F100" i="5"/>
  <c r="AT122" i="5"/>
  <c r="CG122" i="5"/>
  <c r="U122" i="5"/>
  <c r="BH122" i="5"/>
  <c r="AA122" i="5"/>
  <c r="Z122" i="5"/>
  <c r="AW122" i="5"/>
  <c r="CJ122" i="5"/>
  <c r="X122" i="5"/>
  <c r="BK122" i="5"/>
  <c r="AL122" i="5"/>
  <c r="BY122" i="5"/>
  <c r="M122" i="5"/>
  <c r="AZ122" i="5"/>
  <c r="CE122" i="5"/>
  <c r="S122" i="5"/>
  <c r="AH122" i="5"/>
  <c r="CB122" i="5"/>
  <c r="P122" i="5"/>
  <c r="BC122" i="5"/>
  <c r="AD122" i="5"/>
  <c r="BQ122" i="5"/>
  <c r="AR122" i="5"/>
  <c r="BW122" i="5"/>
  <c r="K122" i="5"/>
  <c r="AP122" i="5"/>
  <c r="BT122" i="5"/>
  <c r="H122" i="5"/>
  <c r="AU122" i="5"/>
  <c r="CH122" i="5"/>
  <c r="V122" i="5"/>
  <c r="BI122" i="5"/>
  <c r="AJ122" i="5"/>
  <c r="BO122" i="5"/>
  <c r="AX122" i="5"/>
  <c r="BZ122" i="5"/>
  <c r="BG122" i="5"/>
  <c r="CD122" i="5"/>
  <c r="N122" i="5"/>
  <c r="BL122" i="5"/>
  <c r="BA122" i="5"/>
  <c r="BF122" i="5"/>
  <c r="AM122" i="5"/>
  <c r="AB122" i="5"/>
  <c r="R122" i="5"/>
  <c r="E9" i="13"/>
  <c r="F9" i="13" s="1"/>
  <c r="C52" i="1"/>
  <c r="AL38" i="5" l="1"/>
  <c r="AL114" i="5"/>
  <c r="AL40" i="5"/>
  <c r="AL39" i="5"/>
  <c r="CE114" i="5"/>
  <c r="CE40" i="5"/>
  <c r="CE38" i="5"/>
  <c r="CE39" i="5"/>
  <c r="AW114" i="5"/>
  <c r="AW40" i="5"/>
  <c r="AW39" i="5"/>
  <c r="AW38" i="5"/>
  <c r="BE114" i="5"/>
  <c r="BE40" i="5"/>
  <c r="BE38" i="5"/>
  <c r="BE39" i="5"/>
  <c r="BM114" i="5"/>
  <c r="BM40" i="5"/>
  <c r="BM39" i="5"/>
  <c r="BM38" i="5"/>
  <c r="BU114" i="5"/>
  <c r="BU40" i="5"/>
  <c r="BU39" i="5"/>
  <c r="BU38" i="5"/>
  <c r="CC114" i="5"/>
  <c r="CC38" i="5"/>
  <c r="CC39" i="5"/>
  <c r="CC40" i="5"/>
  <c r="AO114" i="5"/>
  <c r="AO40" i="5"/>
  <c r="AO38" i="5"/>
  <c r="AO39" i="5"/>
  <c r="BD114" i="5"/>
  <c r="BD40" i="5"/>
  <c r="BD39" i="5"/>
  <c r="BD38" i="5"/>
  <c r="CJ114" i="5"/>
  <c r="CJ39" i="5"/>
  <c r="CJ40" i="5"/>
  <c r="CJ38" i="5"/>
  <c r="CG114" i="5"/>
  <c r="CG39" i="5"/>
  <c r="CG38" i="5"/>
  <c r="CG40" i="5"/>
  <c r="Q114" i="5"/>
  <c r="Q40" i="5"/>
  <c r="Q38" i="5"/>
  <c r="Q39" i="5"/>
  <c r="H114" i="5"/>
  <c r="H40" i="5"/>
  <c r="H38" i="5"/>
  <c r="H39" i="5"/>
  <c r="P114" i="5"/>
  <c r="P40" i="5"/>
  <c r="P38" i="5"/>
  <c r="P39" i="5"/>
  <c r="F114" i="5"/>
  <c r="F38" i="5"/>
  <c r="F39" i="5"/>
  <c r="F40" i="5"/>
  <c r="X114" i="5"/>
  <c r="X40" i="5"/>
  <c r="X38" i="5"/>
  <c r="X39" i="5"/>
  <c r="N114" i="5"/>
  <c r="N38" i="5"/>
  <c r="N39" i="5"/>
  <c r="N40" i="5"/>
  <c r="AF114" i="5"/>
  <c r="AF40" i="5"/>
  <c r="AF39" i="5"/>
  <c r="AF38" i="5"/>
  <c r="V114" i="5"/>
  <c r="V38" i="5"/>
  <c r="V40" i="5"/>
  <c r="V39" i="5"/>
  <c r="AN114" i="5"/>
  <c r="AN40" i="5"/>
  <c r="AN38" i="5"/>
  <c r="AN39" i="5"/>
  <c r="L114" i="5"/>
  <c r="L38" i="5"/>
  <c r="L39" i="5"/>
  <c r="L40" i="5"/>
  <c r="AD114" i="5"/>
  <c r="AD38" i="5"/>
  <c r="AD39" i="5"/>
  <c r="AD40" i="5"/>
  <c r="AV114" i="5"/>
  <c r="AV40" i="5"/>
  <c r="AV39" i="5"/>
  <c r="AV38" i="5"/>
  <c r="I114" i="5"/>
  <c r="I40" i="5"/>
  <c r="I39" i="5"/>
  <c r="I38" i="5"/>
  <c r="BN114" i="5"/>
  <c r="BN39" i="5"/>
  <c r="BN40" i="5"/>
  <c r="BN38" i="5"/>
  <c r="J114" i="5"/>
  <c r="J38" i="5"/>
  <c r="J39" i="5"/>
  <c r="J40" i="5"/>
  <c r="AB114" i="5"/>
  <c r="AB38" i="5"/>
  <c r="AB39" i="5"/>
  <c r="AB40" i="5"/>
  <c r="AT38" i="5"/>
  <c r="AT114" i="5"/>
  <c r="AT39" i="5"/>
  <c r="AT40" i="5"/>
  <c r="BL114" i="5"/>
  <c r="BL40" i="5"/>
  <c r="BL38" i="5"/>
  <c r="BL39" i="5"/>
  <c r="R114" i="5"/>
  <c r="R38" i="5"/>
  <c r="R39" i="5"/>
  <c r="R40" i="5"/>
  <c r="AJ114" i="5"/>
  <c r="AJ39" i="5"/>
  <c r="AJ40" i="5"/>
  <c r="AJ38" i="5"/>
  <c r="BB114" i="5"/>
  <c r="BB39" i="5"/>
  <c r="BB40" i="5"/>
  <c r="BB38" i="5"/>
  <c r="BT114" i="5"/>
  <c r="BT40" i="5"/>
  <c r="BT38" i="5"/>
  <c r="BT39" i="5"/>
  <c r="Z114" i="5"/>
  <c r="Z38" i="5"/>
  <c r="Z39" i="5"/>
  <c r="Z40" i="5"/>
  <c r="AR114" i="5"/>
  <c r="AR40" i="5"/>
  <c r="AR39" i="5"/>
  <c r="AR38" i="5"/>
  <c r="BJ114" i="5"/>
  <c r="BJ40" i="5"/>
  <c r="BJ38" i="5"/>
  <c r="BJ39" i="5"/>
  <c r="CB114" i="5"/>
  <c r="CB39" i="5"/>
  <c r="CB40" i="5"/>
  <c r="CB38" i="5"/>
  <c r="AH114" i="5"/>
  <c r="AH38" i="5"/>
  <c r="AH39" i="5"/>
  <c r="AH40" i="5"/>
  <c r="AZ114" i="5"/>
  <c r="AZ38" i="5"/>
  <c r="AZ39" i="5"/>
  <c r="AZ40" i="5"/>
  <c r="BR114" i="5"/>
  <c r="BR39" i="5"/>
  <c r="BR38" i="5"/>
  <c r="BR40" i="5"/>
  <c r="AP114" i="5"/>
  <c r="AP38" i="5"/>
  <c r="AP39" i="5"/>
  <c r="AP40" i="5"/>
  <c r="BH114" i="5"/>
  <c r="BH38" i="5"/>
  <c r="BH39" i="5"/>
  <c r="BH40" i="5"/>
  <c r="BZ114" i="5"/>
  <c r="BZ38" i="5"/>
  <c r="BZ39" i="5"/>
  <c r="BZ40" i="5"/>
  <c r="AX114" i="5"/>
  <c r="AX38" i="5"/>
  <c r="AX39" i="5"/>
  <c r="AX40" i="5"/>
  <c r="BP114" i="5"/>
  <c r="BP38" i="5"/>
  <c r="BP39" i="5"/>
  <c r="BP40" i="5"/>
  <c r="BF114" i="5"/>
  <c r="BF38" i="5"/>
  <c r="BF39" i="5"/>
  <c r="BF40" i="5"/>
  <c r="BX114" i="5"/>
  <c r="BX38" i="5"/>
  <c r="BX40" i="5"/>
  <c r="BX39" i="5"/>
  <c r="CK114" i="5"/>
  <c r="CK38" i="5"/>
  <c r="CK39" i="5"/>
  <c r="CK40" i="5"/>
  <c r="AG114" i="5"/>
  <c r="AG39" i="5"/>
  <c r="AG40" i="5"/>
  <c r="AG38" i="5"/>
  <c r="CF114" i="5"/>
  <c r="CF38" i="5"/>
  <c r="CF39" i="5"/>
  <c r="CF40" i="5"/>
  <c r="BV114" i="5"/>
  <c r="BV39" i="5"/>
  <c r="BV40" i="5"/>
  <c r="BV38" i="5"/>
  <c r="CD114" i="5"/>
  <c r="CD38" i="5"/>
  <c r="CD39" i="5"/>
  <c r="CD40" i="5"/>
  <c r="CH114" i="5"/>
  <c r="CH39" i="5"/>
  <c r="CH40" i="5"/>
  <c r="CH38" i="5"/>
  <c r="BW114" i="5"/>
  <c r="BW39" i="5"/>
  <c r="BW38" i="5"/>
  <c r="BW40" i="5"/>
  <c r="K114" i="5"/>
  <c r="K39" i="5"/>
  <c r="K40" i="5"/>
  <c r="K38" i="5"/>
  <c r="AC114" i="5"/>
  <c r="AC38" i="5"/>
  <c r="AC39" i="5"/>
  <c r="AC40" i="5"/>
  <c r="G114" i="5"/>
  <c r="G38" i="5"/>
  <c r="G40" i="5"/>
  <c r="G39" i="5"/>
  <c r="O114" i="5"/>
  <c r="O38" i="5"/>
  <c r="O39" i="5"/>
  <c r="O40" i="5"/>
  <c r="W114" i="5"/>
  <c r="W38" i="5"/>
  <c r="W40" i="5"/>
  <c r="W39" i="5"/>
  <c r="Y114" i="5"/>
  <c r="Y38" i="5"/>
  <c r="Y40" i="5"/>
  <c r="Y39" i="5"/>
  <c r="M114" i="5"/>
  <c r="M38" i="5"/>
  <c r="M39" i="5"/>
  <c r="M40" i="5"/>
  <c r="AE114" i="5"/>
  <c r="AE38" i="5"/>
  <c r="AE40" i="5"/>
  <c r="AE39" i="5"/>
  <c r="U114" i="5"/>
  <c r="U39" i="5"/>
  <c r="U40" i="5"/>
  <c r="U38" i="5"/>
  <c r="AM114" i="5"/>
  <c r="AM38" i="5"/>
  <c r="AM40" i="5"/>
  <c r="AM39" i="5"/>
  <c r="T114" i="5"/>
  <c r="T40" i="5"/>
  <c r="T39" i="5"/>
  <c r="T38" i="5"/>
  <c r="AU114" i="5"/>
  <c r="AU38" i="5"/>
  <c r="AU40" i="5"/>
  <c r="AU39" i="5"/>
  <c r="S114" i="5"/>
  <c r="S39" i="5"/>
  <c r="S40" i="5"/>
  <c r="S38" i="5"/>
  <c r="AK114" i="5"/>
  <c r="AK38" i="5"/>
  <c r="AK39" i="5"/>
  <c r="AK40" i="5"/>
  <c r="BC114" i="5"/>
  <c r="BC40" i="5"/>
  <c r="BC38" i="5"/>
  <c r="BC39" i="5"/>
  <c r="CI114" i="5"/>
  <c r="CI40" i="5"/>
  <c r="CI38" i="5"/>
  <c r="CI39" i="5"/>
  <c r="AA114" i="5"/>
  <c r="AA38" i="5"/>
  <c r="AA39" i="5"/>
  <c r="AA40" i="5"/>
  <c r="AS114" i="5"/>
  <c r="AS39" i="5"/>
  <c r="AS38" i="5"/>
  <c r="AS40" i="5"/>
  <c r="BK114" i="5"/>
  <c r="BK38" i="5"/>
  <c r="BK39" i="5"/>
  <c r="BK40" i="5"/>
  <c r="AI114" i="5"/>
  <c r="AI39" i="5"/>
  <c r="AI40" i="5"/>
  <c r="AI38" i="5"/>
  <c r="BA114" i="5"/>
  <c r="BA38" i="5"/>
  <c r="BA39" i="5"/>
  <c r="BA40" i="5"/>
  <c r="BS114" i="5"/>
  <c r="BS40" i="5"/>
  <c r="BS38" i="5"/>
  <c r="BS39" i="5"/>
  <c r="AQ114" i="5"/>
  <c r="AQ39" i="5"/>
  <c r="AQ38" i="5"/>
  <c r="AQ40" i="5"/>
  <c r="BI114" i="5"/>
  <c r="BI38" i="5"/>
  <c r="BI39" i="5"/>
  <c r="BI40" i="5"/>
  <c r="CA114" i="5"/>
  <c r="CA38" i="5"/>
  <c r="CA39" i="5"/>
  <c r="CA40" i="5"/>
  <c r="AY114" i="5"/>
  <c r="AY38" i="5"/>
  <c r="AY39" i="5"/>
  <c r="AY40" i="5"/>
  <c r="BQ114" i="5"/>
  <c r="BQ38" i="5"/>
  <c r="BQ39" i="5"/>
  <c r="BQ40" i="5"/>
  <c r="BG114" i="5"/>
  <c r="BG39" i="5"/>
  <c r="BG38" i="5"/>
  <c r="BG40" i="5"/>
  <c r="BY114" i="5"/>
  <c r="BY38" i="5"/>
  <c r="BY39" i="5"/>
  <c r="BY40" i="5"/>
  <c r="BO114" i="5"/>
  <c r="BO39" i="5"/>
  <c r="BO40" i="5"/>
  <c r="BO38" i="5"/>
  <c r="CE80" i="5"/>
  <c r="CE37" i="5"/>
  <c r="CE148" i="5"/>
  <c r="CE149" i="5" s="1"/>
  <c r="BV153" i="5"/>
  <c r="BV88" i="5"/>
  <c r="BV64" i="5"/>
  <c r="BU148" i="5"/>
  <c r="BU149" i="5" s="1"/>
  <c r="BU80" i="5"/>
  <c r="BU37" i="5"/>
  <c r="CC148" i="5"/>
  <c r="CC149" i="5" s="1"/>
  <c r="CC80" i="5"/>
  <c r="CC37" i="5"/>
  <c r="BS37" i="8"/>
  <c r="BS38" i="8"/>
  <c r="BS39" i="8"/>
  <c r="BV38" i="8"/>
  <c r="BV37" i="8"/>
  <c r="BV39" i="8"/>
  <c r="BW37" i="8"/>
  <c r="BW38" i="8"/>
  <c r="BW39" i="8"/>
  <c r="BY37" i="8"/>
  <c r="BY38" i="8"/>
  <c r="BY39" i="8"/>
  <c r="BZ78" i="10"/>
  <c r="BZ48" i="10"/>
  <c r="BT78" i="10"/>
  <c r="BT48" i="10"/>
  <c r="CI78" i="10"/>
  <c r="CI48" i="10"/>
  <c r="BR153" i="5"/>
  <c r="BR88" i="5"/>
  <c r="BR64" i="5"/>
  <c r="BZ153" i="5"/>
  <c r="BZ88" i="5"/>
  <c r="BZ64" i="5"/>
  <c r="BO88" i="5"/>
  <c r="BO153" i="5"/>
  <c r="BO64" i="5"/>
  <c r="CH153" i="5"/>
  <c r="CH88" i="5"/>
  <c r="CH64" i="5"/>
  <c r="CJ148" i="5"/>
  <c r="CJ149" i="5" s="1"/>
  <c r="CJ80" i="5"/>
  <c r="CJ37" i="5"/>
  <c r="BW153" i="5"/>
  <c r="BW64" i="5"/>
  <c r="BW88" i="5"/>
  <c r="CG148" i="5"/>
  <c r="CG149" i="5" s="1"/>
  <c r="CG80" i="5"/>
  <c r="CG37" i="5"/>
  <c r="CF37" i="8"/>
  <c r="CF38" i="8"/>
  <c r="CF39" i="8"/>
  <c r="CD37" i="8"/>
  <c r="CD39" i="8"/>
  <c r="CD38" i="8"/>
  <c r="CE37" i="8"/>
  <c r="CE38" i="8"/>
  <c r="CE39" i="8"/>
  <c r="CG37" i="8"/>
  <c r="CG38" i="8"/>
  <c r="CG39" i="8"/>
  <c r="CB78" i="10"/>
  <c r="CB48" i="10"/>
  <c r="BQ78" i="10"/>
  <c r="BQ48" i="10"/>
  <c r="BU37" i="8"/>
  <c r="BU38" i="8"/>
  <c r="BU39" i="8"/>
  <c r="CA37" i="8"/>
  <c r="CA38" i="8"/>
  <c r="CA39" i="8"/>
  <c r="CC78" i="10"/>
  <c r="CC48" i="10"/>
  <c r="CJ78" i="10"/>
  <c r="CJ48" i="10"/>
  <c r="BO78" i="10"/>
  <c r="BO48" i="10"/>
  <c r="BY78" i="10"/>
  <c r="BY48" i="10"/>
  <c r="BN148" i="5"/>
  <c r="BN149" i="5" s="1"/>
  <c r="BN80" i="5"/>
  <c r="BN37" i="5"/>
  <c r="BY153" i="5"/>
  <c r="BY88" i="5"/>
  <c r="BY64" i="5"/>
  <c r="BT148" i="5"/>
  <c r="BT149" i="5" s="1"/>
  <c r="BT80" i="5"/>
  <c r="BT37" i="5"/>
  <c r="CB148" i="5"/>
  <c r="CB149" i="5" s="1"/>
  <c r="CB80" i="5"/>
  <c r="CB37" i="5"/>
  <c r="BR148" i="5"/>
  <c r="BR149" i="5" s="1"/>
  <c r="BR80" i="5"/>
  <c r="BR37" i="5"/>
  <c r="BZ148" i="5"/>
  <c r="BZ149" i="5" s="1"/>
  <c r="BZ80" i="5"/>
  <c r="BZ37" i="5"/>
  <c r="BP148" i="5"/>
  <c r="BP149" i="5" s="1"/>
  <c r="BP80" i="5"/>
  <c r="BP37" i="5"/>
  <c r="BX148" i="5"/>
  <c r="BX149" i="5" s="1"/>
  <c r="BX80" i="5"/>
  <c r="BX37" i="5"/>
  <c r="CK148" i="5"/>
  <c r="CK149" i="5" s="1"/>
  <c r="CK80" i="5"/>
  <c r="CK37" i="5"/>
  <c r="CK153" i="5"/>
  <c r="CK88" i="5"/>
  <c r="CK64" i="5"/>
  <c r="CJ37" i="8"/>
  <c r="CJ38" i="8"/>
  <c r="CJ39" i="8"/>
  <c r="BZ37" i="8"/>
  <c r="BZ38" i="8"/>
  <c r="BZ39" i="8"/>
  <c r="BR37" i="8"/>
  <c r="BR38" i="8"/>
  <c r="BR39" i="8"/>
  <c r="CI37" i="8"/>
  <c r="CI38" i="8"/>
  <c r="CI39" i="8"/>
  <c r="BW78" i="10"/>
  <c r="BW48" i="10"/>
  <c r="CG78" i="10"/>
  <c r="CG48" i="10"/>
  <c r="CE153" i="5"/>
  <c r="CE88" i="5"/>
  <c r="CE64" i="5"/>
  <c r="CF148" i="5"/>
  <c r="CF149" i="5" s="1"/>
  <c r="CF80" i="5"/>
  <c r="CF37" i="5"/>
  <c r="BV148" i="5"/>
  <c r="BV149" i="5" s="1"/>
  <c r="BV80" i="5"/>
  <c r="BV37" i="5"/>
  <c r="BS153" i="5"/>
  <c r="BS88" i="5"/>
  <c r="BS64" i="5"/>
  <c r="CD148" i="5"/>
  <c r="CD149" i="5" s="1"/>
  <c r="CD80" i="5"/>
  <c r="CD37" i="5"/>
  <c r="BP153" i="5"/>
  <c r="BP88" i="5"/>
  <c r="BP64" i="5"/>
  <c r="CA153" i="5"/>
  <c r="CA88" i="5"/>
  <c r="CA64" i="5"/>
  <c r="CD153" i="5"/>
  <c r="CD88" i="5"/>
  <c r="CD64" i="5"/>
  <c r="BX153" i="5"/>
  <c r="BX88" i="5"/>
  <c r="BX64" i="5"/>
  <c r="CI153" i="5"/>
  <c r="CI88" i="5"/>
  <c r="CI64" i="5"/>
  <c r="CF153" i="5"/>
  <c r="CF88" i="5"/>
  <c r="CF64" i="5"/>
  <c r="CH148" i="5"/>
  <c r="CH149" i="5" s="1"/>
  <c r="CH80" i="5"/>
  <c r="CH37" i="5"/>
  <c r="BN153" i="5"/>
  <c r="BN88" i="5"/>
  <c r="BN64" i="5"/>
  <c r="CC37" i="8"/>
  <c r="CC38" i="8"/>
  <c r="CC39" i="8"/>
  <c r="CH78" i="10"/>
  <c r="CH48" i="10"/>
  <c r="BP78" i="10"/>
  <c r="BP48" i="10"/>
  <c r="BX78" i="10"/>
  <c r="BX48" i="10"/>
  <c r="CE78" i="10"/>
  <c r="CE48" i="10"/>
  <c r="BW148" i="5"/>
  <c r="BW149" i="5" s="1"/>
  <c r="BW80" i="5"/>
  <c r="BW37" i="5"/>
  <c r="BU153" i="5"/>
  <c r="BU88" i="5"/>
  <c r="BU64" i="5"/>
  <c r="CC153" i="5"/>
  <c r="CC88" i="5"/>
  <c r="CC64" i="5"/>
  <c r="BX37" i="8"/>
  <c r="BX38" i="8"/>
  <c r="BX39" i="8"/>
  <c r="BT37" i="8"/>
  <c r="BT38" i="8"/>
  <c r="BT39" i="8"/>
  <c r="CK37" i="8"/>
  <c r="CK38" i="8"/>
  <c r="CK39" i="8"/>
  <c r="BR78" i="10"/>
  <c r="BR48" i="10"/>
  <c r="CK78" i="10"/>
  <c r="CK48" i="10"/>
  <c r="BN78" i="10"/>
  <c r="BN48" i="10"/>
  <c r="BT153" i="5"/>
  <c r="BT88" i="5"/>
  <c r="BT64" i="5"/>
  <c r="BQ153" i="5"/>
  <c r="BQ88" i="5"/>
  <c r="BQ64" i="5"/>
  <c r="CB153" i="5"/>
  <c r="CB88" i="5"/>
  <c r="CB64" i="5"/>
  <c r="BP37" i="8"/>
  <c r="BP38" i="8"/>
  <c r="BP39" i="8"/>
  <c r="CH37" i="8"/>
  <c r="CH38" i="8"/>
  <c r="CH39" i="8"/>
  <c r="BU78" i="10"/>
  <c r="BU48" i="10"/>
  <c r="BS78" i="10"/>
  <c r="BS48" i="10"/>
  <c r="BV78" i="10"/>
  <c r="BV48" i="10"/>
  <c r="CJ153" i="5"/>
  <c r="CJ88" i="5"/>
  <c r="CJ64" i="5"/>
  <c r="CG153" i="5"/>
  <c r="CG88" i="5"/>
  <c r="CG64" i="5"/>
  <c r="CI148" i="5"/>
  <c r="CI149" i="5" s="1"/>
  <c r="CI80" i="5"/>
  <c r="CI37" i="5"/>
  <c r="BS148" i="5"/>
  <c r="BS149" i="5" s="1"/>
  <c r="BS80" i="5"/>
  <c r="BS37" i="5"/>
  <c r="CA148" i="5"/>
  <c r="CA149" i="5" s="1"/>
  <c r="CA80" i="5"/>
  <c r="CA37" i="5"/>
  <c r="BQ148" i="5"/>
  <c r="BQ149" i="5" s="1"/>
  <c r="BQ80" i="5"/>
  <c r="BQ37" i="5"/>
  <c r="BY148" i="5"/>
  <c r="BY149" i="5" s="1"/>
  <c r="BY80" i="5"/>
  <c r="BY37" i="5"/>
  <c r="BO80" i="5"/>
  <c r="BO37" i="5"/>
  <c r="BO148" i="5"/>
  <c r="BO149" i="5" s="1"/>
  <c r="BN37" i="8"/>
  <c r="BN39" i="8"/>
  <c r="BN38" i="8"/>
  <c r="BO37" i="8"/>
  <c r="BO38" i="8"/>
  <c r="BO39" i="8"/>
  <c r="BQ37" i="8"/>
  <c r="BQ38" i="8"/>
  <c r="BQ39" i="8"/>
  <c r="CB37" i="8"/>
  <c r="CB38" i="8"/>
  <c r="CB39" i="8"/>
  <c r="CF78" i="10"/>
  <c r="CF48" i="10"/>
  <c r="CA78" i="10"/>
  <c r="CA48" i="10"/>
  <c r="CD78" i="10"/>
  <c r="CD48" i="10"/>
  <c r="BX330" i="3"/>
  <c r="BX331" i="3"/>
  <c r="BX332" i="3"/>
  <c r="BX300" i="3"/>
  <c r="BX301" i="3" s="1"/>
  <c r="BQ330" i="3"/>
  <c r="BQ331" i="3"/>
  <c r="BQ332" i="3"/>
  <c r="BQ300" i="3"/>
  <c r="BQ301" i="3" s="1"/>
  <c r="BW330" i="3"/>
  <c r="BW331" i="3"/>
  <c r="BW332" i="3"/>
  <c r="BW300" i="3"/>
  <c r="BW301" i="3" s="1"/>
  <c r="CD330" i="3"/>
  <c r="CD331" i="3"/>
  <c r="CD332" i="3"/>
  <c r="CD300" i="3"/>
  <c r="CD301" i="3" s="1"/>
  <c r="CC330" i="3"/>
  <c r="CC331" i="3"/>
  <c r="CC332" i="3"/>
  <c r="CC300" i="3"/>
  <c r="CC301" i="3" s="1"/>
  <c r="CG330" i="3"/>
  <c r="CG331" i="3"/>
  <c r="CG332" i="3"/>
  <c r="CG300" i="3"/>
  <c r="CG301" i="3" s="1"/>
  <c r="CE330" i="3"/>
  <c r="CE331" i="3"/>
  <c r="CE332" i="3"/>
  <c r="CE300" i="3"/>
  <c r="CE301" i="3" s="1"/>
  <c r="CA330" i="3"/>
  <c r="CA331" i="3"/>
  <c r="CA332" i="3"/>
  <c r="CA300" i="3"/>
  <c r="CA301" i="3" s="1"/>
  <c r="BP330" i="3"/>
  <c r="BP331" i="3"/>
  <c r="BP332" i="3"/>
  <c r="BP300" i="3"/>
  <c r="BP301" i="3" s="1"/>
  <c r="CF330" i="3"/>
  <c r="CF331" i="3"/>
  <c r="CF332" i="3"/>
  <c r="CF300" i="3"/>
  <c r="CF301" i="3" s="1"/>
  <c r="BT330" i="3"/>
  <c r="BT331" i="3"/>
  <c r="BT332" i="3"/>
  <c r="BT300" i="3"/>
  <c r="BT301" i="3" s="1"/>
  <c r="BY330" i="3"/>
  <c r="BY331" i="3"/>
  <c r="BY332" i="3"/>
  <c r="BY300" i="3"/>
  <c r="BY301" i="3" s="1"/>
  <c r="BZ330" i="3"/>
  <c r="BZ331" i="3"/>
  <c r="BZ332" i="3"/>
  <c r="BZ300" i="3"/>
  <c r="BZ301" i="3" s="1"/>
  <c r="BR330" i="3"/>
  <c r="BR331" i="3"/>
  <c r="BR332" i="3"/>
  <c r="BR300" i="3"/>
  <c r="BR301" i="3" s="1"/>
  <c r="BO330" i="3"/>
  <c r="BO331" i="3"/>
  <c r="BO332" i="3"/>
  <c r="BO300" i="3"/>
  <c r="BO301" i="3" s="1"/>
  <c r="CH330" i="3"/>
  <c r="CH331" i="3"/>
  <c r="CH332" i="3"/>
  <c r="CH300" i="3"/>
  <c r="CH301" i="3" s="1"/>
  <c r="CJ330" i="3"/>
  <c r="CJ331" i="3"/>
  <c r="CJ332" i="3"/>
  <c r="CJ300" i="3"/>
  <c r="CJ301" i="3" s="1"/>
  <c r="BN330" i="3"/>
  <c r="BN331" i="3"/>
  <c r="BN332" i="3"/>
  <c r="BN300" i="3"/>
  <c r="BN301" i="3" s="1"/>
  <c r="CK330" i="3"/>
  <c r="CK331" i="3"/>
  <c r="CK332" i="3"/>
  <c r="CK300" i="3"/>
  <c r="CK301" i="3" s="1"/>
  <c r="F287" i="3" a="1"/>
  <c r="BU330" i="3"/>
  <c r="BU331" i="3"/>
  <c r="BU332" i="3"/>
  <c r="BU300" i="3"/>
  <c r="BU301" i="3" s="1"/>
  <c r="CB330" i="3"/>
  <c r="CB331" i="3"/>
  <c r="CB332" i="3"/>
  <c r="CB300" i="3"/>
  <c r="CB301" i="3" s="1"/>
  <c r="BV330" i="3"/>
  <c r="BV331" i="3"/>
  <c r="BV332" i="3"/>
  <c r="BV300" i="3"/>
  <c r="BV301" i="3" s="1"/>
  <c r="BS330" i="3"/>
  <c r="BS331" i="3"/>
  <c r="BS332" i="3"/>
  <c r="BS300" i="3"/>
  <c r="BS301" i="3" s="1"/>
  <c r="CI330" i="3"/>
  <c r="CI331" i="3"/>
  <c r="CI332" i="3"/>
  <c r="CI300" i="3"/>
  <c r="CI301" i="3" s="1"/>
  <c r="F294" i="3"/>
  <c r="J294" i="3"/>
  <c r="AP294" i="3"/>
  <c r="BV294" i="3"/>
  <c r="V295" i="3"/>
  <c r="BB295" i="3"/>
  <c r="CH295" i="3"/>
  <c r="X296" i="3"/>
  <c r="AS296" i="3"/>
  <c r="BN296" i="3"/>
  <c r="CJ296" i="3"/>
  <c r="M294" i="3"/>
  <c r="AS294" i="3"/>
  <c r="BY294" i="3"/>
  <c r="Y295" i="3"/>
  <c r="BE295" i="3"/>
  <c r="CK295" i="3"/>
  <c r="Z296" i="3"/>
  <c r="AV296" i="3"/>
  <c r="BQ296" i="3"/>
  <c r="BA294" i="3"/>
  <c r="CG294" i="3"/>
  <c r="AG295" i="3"/>
  <c r="BM295" i="3"/>
  <c r="J296" i="3"/>
  <c r="AF296" i="3"/>
  <c r="BA296" i="3"/>
  <c r="BV296" i="3"/>
  <c r="R294" i="3"/>
  <c r="AX294" i="3"/>
  <c r="CD294" i="3"/>
  <c r="AD295" i="3"/>
  <c r="BJ295" i="3"/>
  <c r="H296" i="3"/>
  <c r="AC296" i="3"/>
  <c r="AX296" i="3"/>
  <c r="BT296" i="3"/>
  <c r="U294" i="3"/>
  <c r="Z294" i="3"/>
  <c r="BF294" i="3"/>
  <c r="F295" i="3"/>
  <c r="AL295" i="3"/>
  <c r="BR295" i="3"/>
  <c r="M296" i="3"/>
  <c r="AH296" i="3"/>
  <c r="BD296" i="3"/>
  <c r="BY296" i="3"/>
  <c r="AH294" i="3"/>
  <c r="BN294" i="3"/>
  <c r="N295" i="3"/>
  <c r="AT295" i="3"/>
  <c r="BZ295" i="3"/>
  <c r="R296" i="3"/>
  <c r="AN296" i="3"/>
  <c r="BI296" i="3"/>
  <c r="CD296" i="3"/>
  <c r="AK294" i="3"/>
  <c r="BQ294" i="3"/>
  <c r="Q295" i="3"/>
  <c r="AW295" i="3"/>
  <c r="CC295" i="3"/>
  <c r="U296" i="3"/>
  <c r="AP296" i="3"/>
  <c r="BL296" i="3"/>
  <c r="CG296" i="3"/>
  <c r="AC294" i="3"/>
  <c r="BI294" i="3"/>
  <c r="I295" i="3"/>
  <c r="AO295" i="3"/>
  <c r="BU295" i="3"/>
  <c r="P296" i="3"/>
  <c r="AK296" i="3"/>
  <c r="BF296" i="3"/>
  <c r="CB296" i="3"/>
  <c r="CF296" i="3"/>
  <c r="T296" i="3"/>
  <c r="AN295" i="3"/>
  <c r="BH294" i="3"/>
  <c r="BW296" i="3"/>
  <c r="K296" i="3"/>
  <c r="AE295" i="3"/>
  <c r="AY294" i="3"/>
  <c r="BU296" i="3"/>
  <c r="I296" i="3"/>
  <c r="AC295" i="3"/>
  <c r="AW294" i="3"/>
  <c r="BP295" i="3"/>
  <c r="CJ294" i="3"/>
  <c r="X294" i="3"/>
  <c r="AU296" i="3"/>
  <c r="BO295" i="3"/>
  <c r="CI294" i="3"/>
  <c r="W294" i="3"/>
  <c r="AT296" i="3"/>
  <c r="BN295" i="3"/>
  <c r="CH294" i="3"/>
  <c r="V294" i="3"/>
  <c r="BX296" i="3"/>
  <c r="L296" i="3"/>
  <c r="AF295" i="3"/>
  <c r="AZ294" i="3"/>
  <c r="BO296" i="3"/>
  <c r="CI295" i="3"/>
  <c r="W295" i="3"/>
  <c r="AQ294" i="3"/>
  <c r="BM296" i="3"/>
  <c r="CG295" i="3"/>
  <c r="U295" i="3"/>
  <c r="AO294" i="3"/>
  <c r="BH295" i="3"/>
  <c r="CB294" i="3"/>
  <c r="P294" i="3"/>
  <c r="AM296" i="3"/>
  <c r="BG295" i="3"/>
  <c r="CA294" i="3"/>
  <c r="O294" i="3"/>
  <c r="AL296" i="3"/>
  <c r="BF295" i="3"/>
  <c r="BZ294" i="3"/>
  <c r="N294" i="3"/>
  <c r="BP296" i="3"/>
  <c r="CJ295" i="3"/>
  <c r="X295" i="3"/>
  <c r="AR294" i="3"/>
  <c r="BG296" i="3"/>
  <c r="CA295" i="3"/>
  <c r="O295" i="3"/>
  <c r="AI294" i="3"/>
  <c r="BE296" i="3"/>
  <c r="BY295" i="3"/>
  <c r="M295" i="3"/>
  <c r="AG294" i="3"/>
  <c r="AZ295" i="3"/>
  <c r="BT294" i="3"/>
  <c r="H294" i="3"/>
  <c r="AE296" i="3"/>
  <c r="AY295" i="3"/>
  <c r="BS294" i="3"/>
  <c r="G294" i="3"/>
  <c r="AD296" i="3"/>
  <c r="AX295" i="3"/>
  <c r="BR294" i="3"/>
  <c r="BH296" i="3"/>
  <c r="CB295" i="3"/>
  <c r="P295" i="3"/>
  <c r="AJ294" i="3"/>
  <c r="AY296" i="3"/>
  <c r="BS295" i="3"/>
  <c r="G295" i="3"/>
  <c r="AA294" i="3"/>
  <c r="AW296" i="3"/>
  <c r="BQ295" i="3"/>
  <c r="CK294" i="3"/>
  <c r="Y294" i="3"/>
  <c r="AR295" i="3"/>
  <c r="BL294" i="3"/>
  <c r="CI296" i="3"/>
  <c r="W296" i="3"/>
  <c r="AQ295" i="3"/>
  <c r="BK294" i="3"/>
  <c r="CH296" i="3"/>
  <c r="V296" i="3"/>
  <c r="AP295" i="3"/>
  <c r="BJ294" i="3"/>
  <c r="AJ296" i="3"/>
  <c r="BD295" i="3"/>
  <c r="BX294" i="3"/>
  <c r="L294" i="3"/>
  <c r="AA296" i="3"/>
  <c r="AU295" i="3"/>
  <c r="BO294" i="3"/>
  <c r="CK296" i="3"/>
  <c r="Y296" i="3"/>
  <c r="AS295" i="3"/>
  <c r="BM294" i="3"/>
  <c r="CF295" i="3"/>
  <c r="T295" i="3"/>
  <c r="AN294" i="3"/>
  <c r="BK296" i="3"/>
  <c r="CE295" i="3"/>
  <c r="S295" i="3"/>
  <c r="AM294" i="3"/>
  <c r="BJ296" i="3"/>
  <c r="CD295" i="3"/>
  <c r="R295" i="3"/>
  <c r="AL294" i="3"/>
  <c r="AB296" i="3"/>
  <c r="AV295" i="3"/>
  <c r="BP294" i="3"/>
  <c r="CE296" i="3"/>
  <c r="S296" i="3"/>
  <c r="AM295" i="3"/>
  <c r="BG294" i="3"/>
  <c r="CC296" i="3"/>
  <c r="Q296" i="3"/>
  <c r="AK295" i="3"/>
  <c r="BE294" i="3"/>
  <c r="BX295" i="3"/>
  <c r="L295" i="3"/>
  <c r="AF294" i="3"/>
  <c r="BC296" i="3"/>
  <c r="BW295" i="3"/>
  <c r="K295" i="3"/>
  <c r="AE294" i="3"/>
  <c r="BB296" i="3"/>
  <c r="BV295" i="3"/>
  <c r="J295" i="3"/>
  <c r="AD294" i="3"/>
  <c r="AZ296" i="3"/>
  <c r="AQ296" i="3"/>
  <c r="AO296" i="3"/>
  <c r="AJ295" i="3"/>
  <c r="AI295" i="3"/>
  <c r="AH295" i="3"/>
  <c r="AR296" i="3"/>
  <c r="AI296" i="3"/>
  <c r="AG296" i="3"/>
  <c r="AB295" i="3"/>
  <c r="AA295" i="3"/>
  <c r="Z295" i="3"/>
  <c r="CF294" i="3"/>
  <c r="BW294" i="3"/>
  <c r="BU294" i="3"/>
  <c r="BS296" i="3"/>
  <c r="BR296" i="3"/>
  <c r="AB294" i="3"/>
  <c r="S294" i="3"/>
  <c r="Q294" i="3"/>
  <c r="O296" i="3"/>
  <c r="N296" i="3"/>
  <c r="T294" i="3"/>
  <c r="K294" i="3"/>
  <c r="I294" i="3"/>
  <c r="G296" i="3"/>
  <c r="F296" i="3"/>
  <c r="BT295" i="3"/>
  <c r="BK295" i="3"/>
  <c r="BI295" i="3"/>
  <c r="BD294" i="3"/>
  <c r="BC294" i="3"/>
  <c r="BB294" i="3"/>
  <c r="BL295" i="3"/>
  <c r="BC295" i="3"/>
  <c r="BA295" i="3"/>
  <c r="AV294" i="3"/>
  <c r="AU294" i="3"/>
  <c r="AT294" i="3"/>
  <c r="H295" i="3"/>
  <c r="CE294" i="3"/>
  <c r="CC294" i="3"/>
  <c r="CA296" i="3"/>
  <c r="BZ296" i="3"/>
  <c r="BP224" i="3"/>
  <c r="BP225" i="3" s="1"/>
  <c r="BP264" i="3"/>
  <c r="BP265" i="3" s="1"/>
  <c r="CF224" i="3"/>
  <c r="CF225" i="3" s="1"/>
  <c r="CF264" i="3"/>
  <c r="CF265" i="3" s="1"/>
  <c r="BT224" i="3"/>
  <c r="BT225" i="3" s="1"/>
  <c r="BT264" i="3"/>
  <c r="BT265" i="3" s="1"/>
  <c r="BY224" i="3"/>
  <c r="BY225" i="3" s="1"/>
  <c r="BY264" i="3"/>
  <c r="BY265" i="3" s="1"/>
  <c r="BZ224" i="3"/>
  <c r="BZ225" i="3" s="1"/>
  <c r="BZ264" i="3"/>
  <c r="BZ265" i="3" s="1"/>
  <c r="BR224" i="3"/>
  <c r="BR225" i="3" s="1"/>
  <c r="BR264" i="3"/>
  <c r="BR265" i="3" s="1"/>
  <c r="BO224" i="3"/>
  <c r="BO225" i="3" s="1"/>
  <c r="BO264" i="3"/>
  <c r="BO265" i="3" s="1"/>
  <c r="CH224" i="3"/>
  <c r="CH225" i="3" s="1"/>
  <c r="CH264" i="3"/>
  <c r="CH265" i="3" s="1"/>
  <c r="CJ224" i="3"/>
  <c r="CJ225" i="3" s="1"/>
  <c r="CJ264" i="3"/>
  <c r="CJ265" i="3" s="1"/>
  <c r="BN224" i="3"/>
  <c r="BN225" i="3" s="1"/>
  <c r="BN264" i="3"/>
  <c r="BN265" i="3" s="1"/>
  <c r="CK224" i="3"/>
  <c r="CK225" i="3" s="1"/>
  <c r="CK264" i="3"/>
  <c r="CK265" i="3" s="1"/>
  <c r="BU224" i="3"/>
  <c r="BU225" i="3" s="1"/>
  <c r="BU264" i="3"/>
  <c r="BU265" i="3" s="1"/>
  <c r="CB224" i="3"/>
  <c r="CB225" i="3" s="1"/>
  <c r="CB264" i="3"/>
  <c r="CB265" i="3" s="1"/>
  <c r="BV224" i="3"/>
  <c r="BV225" i="3" s="1"/>
  <c r="BV264" i="3"/>
  <c r="BV265" i="3" s="1"/>
  <c r="BS224" i="3"/>
  <c r="BS225" i="3" s="1"/>
  <c r="BS264" i="3"/>
  <c r="BS265" i="3" s="1"/>
  <c r="CI224" i="3"/>
  <c r="CI225" i="3" s="1"/>
  <c r="CI264" i="3"/>
  <c r="CI265" i="3" s="1"/>
  <c r="BX224" i="3"/>
  <c r="BX225" i="3" s="1"/>
  <c r="BX264" i="3"/>
  <c r="BX265" i="3" s="1"/>
  <c r="BQ224" i="3"/>
  <c r="BQ225" i="3" s="1"/>
  <c r="BQ264" i="3"/>
  <c r="BQ265" i="3" s="1"/>
  <c r="BW224" i="3"/>
  <c r="BW225" i="3" s="1"/>
  <c r="BW264" i="3"/>
  <c r="BW265" i="3" s="1"/>
  <c r="CD224" i="3"/>
  <c r="CD225" i="3" s="1"/>
  <c r="CD264" i="3"/>
  <c r="CD265" i="3" s="1"/>
  <c r="CC224" i="3"/>
  <c r="CC225" i="3" s="1"/>
  <c r="CC264" i="3"/>
  <c r="CC265" i="3" s="1"/>
  <c r="CG224" i="3"/>
  <c r="CG225" i="3" s="1"/>
  <c r="CG264" i="3"/>
  <c r="CG265" i="3" s="1"/>
  <c r="CE224" i="3"/>
  <c r="CE225" i="3" s="1"/>
  <c r="CE264" i="3"/>
  <c r="CE265" i="3" s="1"/>
  <c r="CA224" i="3"/>
  <c r="CA225" i="3" s="1"/>
  <c r="CA264" i="3"/>
  <c r="CA265" i="3" s="1"/>
  <c r="V252" i="3"/>
  <c r="BJ252" i="3"/>
  <c r="I252" i="3"/>
  <c r="G252" i="3"/>
  <c r="X252" i="3"/>
  <c r="P252" i="3"/>
  <c r="H252" i="3"/>
  <c r="AM252" i="3"/>
  <c r="CF252" i="3"/>
  <c r="BX252" i="3"/>
  <c r="BP252" i="3"/>
  <c r="BI253" i="3"/>
  <c r="R253" i="3"/>
  <c r="BX253" i="3"/>
  <c r="BP253" i="3"/>
  <c r="AI253" i="3"/>
  <c r="AO253" i="3"/>
  <c r="AG253" i="3"/>
  <c r="K253" i="3"/>
  <c r="BO253" i="3"/>
  <c r="T253" i="3"/>
  <c r="H258" i="3"/>
  <c r="Y258" i="3"/>
  <c r="AS258" i="3"/>
  <c r="BZ258" i="3"/>
  <c r="AG258" i="3"/>
  <c r="BQ258" i="3"/>
  <c r="R258" i="3"/>
  <c r="AZ258" i="3"/>
  <c r="AU258" i="3"/>
  <c r="AP258" i="3"/>
  <c r="BX258" i="3"/>
  <c r="AC255" i="3"/>
  <c r="M255" i="3"/>
  <c r="Z255" i="3"/>
  <c r="CG255" i="3"/>
  <c r="BZ255" i="3"/>
  <c r="F255" i="3"/>
  <c r="AY255" i="3"/>
  <c r="AF255" i="3"/>
  <c r="BK255" i="3"/>
  <c r="CE255" i="3"/>
  <c r="H256" i="3"/>
  <c r="BU256" i="3"/>
  <c r="BE256" i="3"/>
  <c r="V256" i="3"/>
  <c r="CJ256" i="3"/>
  <c r="BI256" i="3"/>
  <c r="BO256" i="3"/>
  <c r="CI256" i="3"/>
  <c r="O256" i="3"/>
  <c r="CG256" i="3"/>
  <c r="M256" i="3"/>
  <c r="BX257" i="3"/>
  <c r="AG257" i="3"/>
  <c r="BN257" i="3"/>
  <c r="U257" i="3"/>
  <c r="BU257" i="3"/>
  <c r="AA257" i="3"/>
  <c r="H257" i="3"/>
  <c r="BZ257" i="3"/>
  <c r="BG257" i="3"/>
  <c r="CA257" i="3"/>
  <c r="BB252" i="3"/>
  <c r="CC252" i="3"/>
  <c r="AO252" i="3"/>
  <c r="CG252" i="3"/>
  <c r="BK252" i="3"/>
  <c r="BC252" i="3"/>
  <c r="AU252" i="3"/>
  <c r="BA252" i="3"/>
  <c r="T252" i="3"/>
  <c r="L252" i="3"/>
  <c r="AQ252" i="3"/>
  <c r="J253" i="3"/>
  <c r="AX253" i="3"/>
  <c r="L253" i="3"/>
  <c r="AQ253" i="3"/>
  <c r="AW253" i="3"/>
  <c r="CB253" i="3"/>
  <c r="BT253" i="3"/>
  <c r="CK253" i="3"/>
  <c r="CC253" i="3"/>
  <c r="BG253" i="3"/>
  <c r="X258" i="3"/>
  <c r="AO258" i="3"/>
  <c r="BI258" i="3"/>
  <c r="P258" i="3"/>
  <c r="AW258" i="3"/>
  <c r="CG258" i="3"/>
  <c r="BS258" i="3"/>
  <c r="AA258" i="3"/>
  <c r="AJ258" i="3"/>
  <c r="AE258" i="3"/>
  <c r="L258" i="3"/>
  <c r="AZ255" i="3"/>
  <c r="AJ255" i="3"/>
  <c r="T255" i="3"/>
  <c r="BP255" i="3"/>
  <c r="N255" i="3"/>
  <c r="BG255" i="3"/>
  <c r="BM255" i="3"/>
  <c r="BS255" i="3"/>
  <c r="AL255" i="3"/>
  <c r="S255" i="3"/>
  <c r="AD256" i="3"/>
  <c r="AV256" i="3"/>
  <c r="CB256" i="3"/>
  <c r="AO256" i="3"/>
  <c r="BC256" i="3"/>
  <c r="AJ256" i="3"/>
  <c r="AP256" i="3"/>
  <c r="W256" i="3"/>
  <c r="AC256" i="3"/>
  <c r="U256" i="3"/>
  <c r="AZ256" i="3"/>
  <c r="BF257" i="3"/>
  <c r="AW257" i="3"/>
  <c r="CD257" i="3"/>
  <c r="AK257" i="3"/>
  <c r="CK257" i="3"/>
  <c r="CB257" i="3"/>
  <c r="AU257" i="3"/>
  <c r="N257" i="3"/>
  <c r="I257" i="3"/>
  <c r="O257" i="3"/>
  <c r="BM257" i="3"/>
  <c r="BA257" i="3"/>
  <c r="AP257" i="3"/>
  <c r="CH257" i="3"/>
  <c r="BO257" i="3"/>
  <c r="AV257" i="3"/>
  <c r="BZ252" i="3"/>
  <c r="BZ253" i="3"/>
  <c r="CB258" i="3"/>
  <c r="BV258" i="3"/>
  <c r="AX255" i="3"/>
  <c r="AK255" i="3"/>
  <c r="BD255" i="3"/>
  <c r="CH252" i="3"/>
  <c r="AG252" i="3"/>
  <c r="BU252" i="3"/>
  <c r="U252" i="3"/>
  <c r="BY252" i="3"/>
  <c r="BQ252" i="3"/>
  <c r="BI252" i="3"/>
  <c r="AB252" i="3"/>
  <c r="BG252" i="3"/>
  <c r="AY252" i="3"/>
  <c r="CD252" i="3"/>
  <c r="AP253" i="3"/>
  <c r="CD253" i="3"/>
  <c r="AY253" i="3"/>
  <c r="BE253" i="3"/>
  <c r="CJ253" i="3"/>
  <c r="P253" i="3"/>
  <c r="H253" i="3"/>
  <c r="Y253" i="3"/>
  <c r="Q253" i="3"/>
  <c r="BU253" i="3"/>
  <c r="AN258" i="3"/>
  <c r="BE258" i="3"/>
  <c r="BY258" i="3"/>
  <c r="AF258" i="3"/>
  <c r="BM258" i="3"/>
  <c r="CH258" i="3"/>
  <c r="G258" i="3"/>
  <c r="BN258" i="3"/>
  <c r="BW258" i="3"/>
  <c r="CF258" i="3"/>
  <c r="AY258" i="3"/>
  <c r="BV255" i="3"/>
  <c r="BF255" i="3"/>
  <c r="AP255" i="3"/>
  <c r="BW255" i="3"/>
  <c r="BO255" i="3"/>
  <c r="BU255" i="3"/>
  <c r="AN255" i="3"/>
  <c r="G255" i="3"/>
  <c r="AA255" i="3"/>
  <c r="AG255" i="3"/>
  <c r="AW256" i="3"/>
  <c r="N256" i="3"/>
  <c r="Y256" i="3"/>
  <c r="BL256" i="3"/>
  <c r="BQ256" i="3"/>
  <c r="BW256" i="3"/>
  <c r="AE256" i="3"/>
  <c r="AK256" i="3"/>
  <c r="BP256" i="3"/>
  <c r="BH256" i="3"/>
  <c r="AA256" i="3"/>
  <c r="L257" i="3"/>
  <c r="BV257" i="3"/>
  <c r="P257" i="3"/>
  <c r="BB257" i="3"/>
  <c r="Q252" i="3"/>
  <c r="BM252" i="3"/>
  <c r="N252" i="3"/>
  <c r="BH252" i="3"/>
  <c r="M252" i="3"/>
  <c r="AR252" i="3"/>
  <c r="AJ252" i="3"/>
  <c r="BO252" i="3"/>
  <c r="AH252" i="3"/>
  <c r="Z252" i="3"/>
  <c r="R252" i="3"/>
  <c r="BV253" i="3"/>
  <c r="U253" i="3"/>
  <c r="BM253" i="3"/>
  <c r="AF253" i="3"/>
  <c r="X253" i="3"/>
  <c r="BC253" i="3"/>
  <c r="AU253" i="3"/>
  <c r="BL253" i="3"/>
  <c r="BD253" i="3"/>
  <c r="I253" i="3"/>
  <c r="BD258" i="3"/>
  <c r="BU258" i="3"/>
  <c r="AL258" i="3"/>
  <c r="AV258" i="3"/>
  <c r="CC258" i="3"/>
  <c r="CA258" i="3"/>
  <c r="BH258" i="3"/>
  <c r="BC258" i="3"/>
  <c r="K258" i="3"/>
  <c r="T258" i="3"/>
  <c r="Z258" i="3"/>
  <c r="L255" i="3"/>
  <c r="BY255" i="3"/>
  <c r="BI255" i="3"/>
  <c r="K255" i="3"/>
  <c r="CC255" i="3"/>
  <c r="I255" i="3"/>
  <c r="CA255" i="3"/>
  <c r="AT255" i="3"/>
  <c r="AO255" i="3"/>
  <c r="BT255" i="3"/>
  <c r="BT256" i="3"/>
  <c r="AG256" i="3"/>
  <c r="Q256" i="3"/>
  <c r="CH256" i="3"/>
  <c r="AR256" i="3"/>
  <c r="K256" i="3"/>
  <c r="AS256" i="3"/>
  <c r="BX256" i="3"/>
  <c r="AQ256" i="3"/>
  <c r="AI256" i="3"/>
  <c r="BN256" i="3"/>
  <c r="AC257" i="3"/>
  <c r="CC257" i="3"/>
  <c r="T257" i="3"/>
  <c r="BQ257" i="3"/>
  <c r="AI257" i="3"/>
  <c r="BC257" i="3"/>
  <c r="V257" i="3"/>
  <c r="Q257" i="3"/>
  <c r="CI257" i="3"/>
  <c r="AQ257" i="3"/>
  <c r="AL252" i="3"/>
  <c r="AA252" i="3"/>
  <c r="BD252" i="3"/>
  <c r="CA252" i="3"/>
  <c r="AS253" i="3"/>
  <c r="CA253" i="3"/>
  <c r="AL253" i="3"/>
  <c r="V253" i="3"/>
  <c r="CJ258" i="3"/>
  <c r="AD258" i="3"/>
  <c r="BP258" i="3"/>
  <c r="AH258" i="3"/>
  <c r="U255" i="3"/>
  <c r="Y252" i="3"/>
  <c r="F252" i="3"/>
  <c r="AT252" i="3"/>
  <c r="AI252" i="3"/>
  <c r="AZ252" i="3"/>
  <c r="CE252" i="3"/>
  <c r="BW252" i="3"/>
  <c r="AP252" i="3"/>
  <c r="AV252" i="3"/>
  <c r="AN252" i="3"/>
  <c r="AH253" i="3"/>
  <c r="M253" i="3"/>
  <c r="BA253" i="3"/>
  <c r="AN253" i="3"/>
  <c r="BS253" i="3"/>
  <c r="BK253" i="3"/>
  <c r="AD253" i="3"/>
  <c r="CH253" i="3"/>
  <c r="AM253" i="3"/>
  <c r="AE253" i="3"/>
  <c r="AV253" i="3"/>
  <c r="BT258" i="3"/>
  <c r="CK258" i="3"/>
  <c r="N258" i="3"/>
  <c r="BL258" i="3"/>
  <c r="BB258" i="3"/>
  <c r="O258" i="3"/>
  <c r="AI258" i="3"/>
  <c r="AR258" i="3"/>
  <c r="AX258" i="3"/>
  <c r="BG258" i="3"/>
  <c r="AB255" i="3"/>
  <c r="AH255" i="3"/>
  <c r="R255" i="3"/>
  <c r="CF255" i="3"/>
  <c r="CK255" i="3"/>
  <c r="Q255" i="3"/>
  <c r="AV255" i="3"/>
  <c r="O255" i="3"/>
  <c r="AI255" i="3"/>
  <c r="CB255" i="3"/>
  <c r="H255" i="3"/>
  <c r="F256" i="3"/>
  <c r="BD256" i="3"/>
  <c r="AN256" i="3"/>
  <c r="BR256" i="3"/>
  <c r="CE256" i="3"/>
  <c r="AX256" i="3"/>
  <c r="CF256" i="3"/>
  <c r="L256" i="3"/>
  <c r="CD256" i="3"/>
  <c r="BV256" i="3"/>
  <c r="J257" i="3"/>
  <c r="AS257" i="3"/>
  <c r="Z257" i="3"/>
  <c r="AJ257" i="3"/>
  <c r="CG257" i="3"/>
  <c r="CJ257" i="3"/>
  <c r="AD257" i="3"/>
  <c r="BW257" i="3"/>
  <c r="BD257" i="3"/>
  <c r="W257" i="3"/>
  <c r="AF257" i="3"/>
  <c r="BE252" i="3"/>
  <c r="BV252" i="3"/>
  <c r="S252" i="3"/>
  <c r="K252" i="3"/>
  <c r="CI252" i="3"/>
  <c r="BN253" i="3"/>
  <c r="CG253" i="3"/>
  <c r="G253" i="3"/>
  <c r="AR253" i="3"/>
  <c r="CI253" i="3"/>
  <c r="F258" i="3"/>
  <c r="U258" i="3"/>
  <c r="AM258" i="3"/>
  <c r="BA255" i="3"/>
  <c r="Y255" i="3"/>
  <c r="CK252" i="3"/>
  <c r="BR252" i="3"/>
  <c r="AF252" i="3"/>
  <c r="J252" i="3"/>
  <c r="BN252" i="3"/>
  <c r="BF252" i="3"/>
  <c r="AX252" i="3"/>
  <c r="AE252" i="3"/>
  <c r="W252" i="3"/>
  <c r="O252" i="3"/>
  <c r="AK253" i="3"/>
  <c r="BY253" i="3"/>
  <c r="Z253" i="3"/>
  <c r="O253" i="3"/>
  <c r="AT253" i="3"/>
  <c r="AZ253" i="3"/>
  <c r="CE253" i="3"/>
  <c r="AJ253" i="3"/>
  <c r="N253" i="3"/>
  <c r="F253" i="3"/>
  <c r="W253" i="3"/>
  <c r="BR258" i="3"/>
  <c r="M258" i="3"/>
  <c r="AT258" i="3"/>
  <c r="V258" i="3"/>
  <c r="AK258" i="3"/>
  <c r="AQ258" i="3"/>
  <c r="J258" i="3"/>
  <c r="S258" i="3"/>
  <c r="AB258" i="3"/>
  <c r="CI258" i="3"/>
  <c r="BQ255" i="3"/>
  <c r="BX255" i="3"/>
  <c r="BH255" i="3"/>
  <c r="AR255" i="3"/>
  <c r="BL255" i="3"/>
  <c r="AE255" i="3"/>
  <c r="W255" i="3"/>
  <c r="AQ255" i="3"/>
  <c r="CJ255" i="3"/>
  <c r="BC255" i="3"/>
  <c r="CH255" i="3"/>
  <c r="AF256" i="3"/>
  <c r="P256" i="3"/>
  <c r="CC256" i="3"/>
  <c r="AT256" i="3"/>
  <c r="BF256" i="3"/>
  <c r="BA256" i="3"/>
  <c r="BG256" i="3"/>
  <c r="Z256" i="3"/>
  <c r="BS256" i="3"/>
  <c r="BK256" i="3"/>
  <c r="AR257" i="3"/>
  <c r="BY257" i="3"/>
  <c r="AH257" i="3"/>
  <c r="BP257" i="3"/>
  <c r="AO257" i="3"/>
  <c r="BK257" i="3"/>
  <c r="S257" i="3"/>
  <c r="BL257" i="3"/>
  <c r="BR257" i="3"/>
  <c r="AY257" i="3"/>
  <c r="G257" i="3"/>
  <c r="AD252" i="3"/>
  <c r="AW252" i="3"/>
  <c r="BS252" i="3"/>
  <c r="CJ252" i="3"/>
  <c r="CB252" i="3"/>
  <c r="BT252" i="3"/>
  <c r="BL252" i="3"/>
  <c r="AS252" i="3"/>
  <c r="AK252" i="3"/>
  <c r="AC252" i="3"/>
  <c r="BQ253" i="3"/>
  <c r="AC253" i="3"/>
  <c r="BF253" i="3"/>
  <c r="BB253" i="3"/>
  <c r="BH253" i="3"/>
  <c r="AA253" i="3"/>
  <c r="S253" i="3"/>
  <c r="BW253" i="3"/>
  <c r="AB253" i="3"/>
  <c r="CF253" i="3"/>
  <c r="BJ253" i="3"/>
  <c r="I258" i="3"/>
  <c r="BR253" i="3"/>
  <c r="BF258" i="3"/>
  <c r="BR255" i="3"/>
  <c r="AD255" i="3"/>
  <c r="CK256" i="3"/>
  <c r="AH256" i="3"/>
  <c r="BH257" i="3"/>
  <c r="BE257" i="3"/>
  <c r="F257" i="3"/>
  <c r="AC258" i="3"/>
  <c r="BO258" i="3"/>
  <c r="CI255" i="3"/>
  <c r="AU255" i="3"/>
  <c r="X256" i="3"/>
  <c r="AY256" i="3"/>
  <c r="BI257" i="3"/>
  <c r="X257" i="3"/>
  <c r="BJ257" i="3"/>
  <c r="BJ258" i="3"/>
  <c r="W258" i="3"/>
  <c r="BJ255" i="3"/>
  <c r="V255" i="3"/>
  <c r="BM256" i="3"/>
  <c r="CA256" i="3"/>
  <c r="M257" i="3"/>
  <c r="AL257" i="3"/>
  <c r="AN257" i="3"/>
  <c r="S256" i="3"/>
  <c r="R257" i="3"/>
  <c r="CE257" i="3"/>
  <c r="BS257" i="3"/>
  <c r="G256" i="3"/>
  <c r="BT257" i="3"/>
  <c r="CD258" i="3"/>
  <c r="AW255" i="3"/>
  <c r="BZ256" i="3"/>
  <c r="AZ257" i="3"/>
  <c r="BJ256" i="3"/>
  <c r="Y257" i="3"/>
  <c r="Q258" i="3"/>
  <c r="J255" i="3"/>
  <c r="BB255" i="3"/>
  <c r="I256" i="3"/>
  <c r="R256" i="3"/>
  <c r="CD255" i="3"/>
  <c r="AM256" i="3"/>
  <c r="K257" i="3"/>
  <c r="AB257" i="3"/>
  <c r="BA258" i="3"/>
  <c r="AS255" i="3"/>
  <c r="BE255" i="3"/>
  <c r="BB256" i="3"/>
  <c r="AU256" i="3"/>
  <c r="AX257" i="3"/>
  <c r="AT257" i="3"/>
  <c r="J256" i="3"/>
  <c r="AE257" i="3"/>
  <c r="BK258" i="3"/>
  <c r="BN255" i="3"/>
  <c r="X255" i="3"/>
  <c r="AL256" i="3"/>
  <c r="AB256" i="3"/>
  <c r="BY256" i="3"/>
  <c r="CF257" i="3"/>
  <c r="AM257" i="3"/>
  <c r="CE258" i="3"/>
  <c r="AM255" i="3"/>
  <c r="P255" i="3"/>
  <c r="T256" i="3"/>
  <c r="Q254" i="3"/>
  <c r="BD254" i="3"/>
  <c r="CC254" i="3"/>
  <c r="CF254" i="3"/>
  <c r="BX254" i="3"/>
  <c r="BP254" i="3"/>
  <c r="U254" i="3"/>
  <c r="M254" i="3"/>
  <c r="CE254" i="3"/>
  <c r="K254" i="3"/>
  <c r="CD251" i="3"/>
  <c r="BQ251" i="3"/>
  <c r="CB251" i="3"/>
  <c r="BT251" i="3"/>
  <c r="CK251" i="3"/>
  <c r="J251" i="3"/>
  <c r="BG251" i="3"/>
  <c r="L251" i="3"/>
  <c r="AQ251" i="3"/>
  <c r="AW251" i="3"/>
  <c r="AN259" i="3"/>
  <c r="Q259" i="3"/>
  <c r="CC259" i="3"/>
  <c r="AP259" i="3"/>
  <c r="S259" i="3"/>
  <c r="CE259" i="3"/>
  <c r="AZ259" i="3"/>
  <c r="U259" i="3"/>
  <c r="CG259" i="3"/>
  <c r="BJ259" i="3"/>
  <c r="F259" i="3"/>
  <c r="AB259" i="3"/>
  <c r="BU259" i="3"/>
  <c r="AW254" i="3"/>
  <c r="BZ254" i="3"/>
  <c r="F254" i="3"/>
  <c r="T254" i="3"/>
  <c r="L254" i="3"/>
  <c r="AQ254" i="3"/>
  <c r="BH254" i="3"/>
  <c r="AZ254" i="3"/>
  <c r="S254" i="3"/>
  <c r="AX254" i="3"/>
  <c r="AP251" i="3"/>
  <c r="U251" i="3"/>
  <c r="AH251" i="3"/>
  <c r="P251" i="3"/>
  <c r="H251" i="3"/>
  <c r="Y251" i="3"/>
  <c r="CC251" i="3"/>
  <c r="BU251" i="3"/>
  <c r="AY251" i="3"/>
  <c r="BE251" i="3"/>
  <c r="CJ251" i="3"/>
  <c r="AV259" i="3"/>
  <c r="Y259" i="3"/>
  <c r="CK259" i="3"/>
  <c r="AX259" i="3"/>
  <c r="AA259" i="3"/>
  <c r="O259" i="3"/>
  <c r="BH259" i="3"/>
  <c r="AC259" i="3"/>
  <c r="BC259" i="3"/>
  <c r="BR259" i="3"/>
  <c r="BN251" i="3"/>
  <c r="BL251" i="3"/>
  <c r="Q251" i="3"/>
  <c r="BM251" i="3"/>
  <c r="AF251" i="3"/>
  <c r="X251" i="3"/>
  <c r="AG259" i="3"/>
  <c r="W259" i="3"/>
  <c r="BF259" i="3"/>
  <c r="AU259" i="3"/>
  <c r="BP259" i="3"/>
  <c r="AK259" i="3"/>
  <c r="N259" i="3"/>
  <c r="R259" i="3"/>
  <c r="AE259" i="3"/>
  <c r="G259" i="3"/>
  <c r="AO251" i="3"/>
  <c r="AF259" i="3"/>
  <c r="J259" i="3"/>
  <c r="BB259" i="3"/>
  <c r="BT254" i="3"/>
  <c r="CJ254" i="3"/>
  <c r="AL254" i="3"/>
  <c r="BG254" i="3"/>
  <c r="AY254" i="3"/>
  <c r="CD254" i="3"/>
  <c r="AI254" i="3"/>
  <c r="AA254" i="3"/>
  <c r="BF254" i="3"/>
  <c r="AM254" i="3"/>
  <c r="BV251" i="3"/>
  <c r="BA251" i="3"/>
  <c r="BC251" i="3"/>
  <c r="AU251" i="3"/>
  <c r="I251" i="3"/>
  <c r="BD259" i="3"/>
  <c r="AI259" i="3"/>
  <c r="BZ259" i="3"/>
  <c r="BO251" i="3"/>
  <c r="M259" i="3"/>
  <c r="N254" i="3"/>
  <c r="BM254" i="3"/>
  <c r="AD254" i="3"/>
  <c r="BL254" i="3"/>
  <c r="AH254" i="3"/>
  <c r="Z254" i="3"/>
  <c r="R254" i="3"/>
  <c r="BV254" i="3"/>
  <c r="BN254" i="3"/>
  <c r="H254" i="3"/>
  <c r="BA254" i="3"/>
  <c r="M251" i="3"/>
  <c r="CG251" i="3"/>
  <c r="AK251" i="3"/>
  <c r="AD251" i="3"/>
  <c r="CH251" i="3"/>
  <c r="AM251" i="3"/>
  <c r="BD251" i="3"/>
  <c r="AV251" i="3"/>
  <c r="AN251" i="3"/>
  <c r="BS251" i="3"/>
  <c r="BK251" i="3"/>
  <c r="BL259" i="3"/>
  <c r="AO259" i="3"/>
  <c r="CA259" i="3"/>
  <c r="BN259" i="3"/>
  <c r="AQ259" i="3"/>
  <c r="L259" i="3"/>
  <c r="BX259" i="3"/>
  <c r="AS259" i="3"/>
  <c r="V259" i="3"/>
  <c r="CH259" i="3"/>
  <c r="BB254" i="3"/>
  <c r="CB254" i="3"/>
  <c r="CI254" i="3"/>
  <c r="BS254" i="3"/>
  <c r="BC254" i="3"/>
  <c r="BO254" i="3"/>
  <c r="BY251" i="3"/>
  <c r="AZ251" i="3"/>
  <c r="AJ251" i="3"/>
  <c r="BR251" i="3"/>
  <c r="O251" i="3"/>
  <c r="P259" i="3"/>
  <c r="BE259" i="3"/>
  <c r="BG259" i="3"/>
  <c r="BI259" i="3"/>
  <c r="BI251" i="3"/>
  <c r="T251" i="3"/>
  <c r="BK259" i="3"/>
  <c r="AR259" i="3"/>
  <c r="K259" i="3"/>
  <c r="AT254" i="3"/>
  <c r="V254" i="3"/>
  <c r="BE254" i="3"/>
  <c r="CH254" i="3"/>
  <c r="AV254" i="3"/>
  <c r="AN254" i="3"/>
  <c r="AF254" i="3"/>
  <c r="J254" i="3"/>
  <c r="P254" i="3"/>
  <c r="AU254" i="3"/>
  <c r="AB254" i="3"/>
  <c r="AS251" i="3"/>
  <c r="Z251" i="3"/>
  <c r="F251" i="3"/>
  <c r="AR251" i="3"/>
  <c r="V251" i="3"/>
  <c r="BZ251" i="3"/>
  <c r="AE251" i="3"/>
  <c r="CI251" i="3"/>
  <c r="CA251" i="3"/>
  <c r="G251" i="3"/>
  <c r="AL251" i="3"/>
  <c r="BT259" i="3"/>
  <c r="AW259" i="3"/>
  <c r="I259" i="3"/>
  <c r="BV259" i="3"/>
  <c r="AY259" i="3"/>
  <c r="T259" i="3"/>
  <c r="CF259" i="3"/>
  <c r="BA259" i="3"/>
  <c r="AD259" i="3"/>
  <c r="BS259" i="3"/>
  <c r="BR254" i="3"/>
  <c r="AO254" i="3"/>
  <c r="CA254" i="3"/>
  <c r="X254" i="3"/>
  <c r="BI254" i="3"/>
  <c r="BF251" i="3"/>
  <c r="CE251" i="3"/>
  <c r="N251" i="3"/>
  <c r="W251" i="3"/>
  <c r="AT251" i="3"/>
  <c r="CB259" i="3"/>
  <c r="CD259" i="3"/>
  <c r="AL259" i="3"/>
  <c r="AG251" i="3"/>
  <c r="BP251" i="3"/>
  <c r="AH259" i="3"/>
  <c r="BY259" i="3"/>
  <c r="CK254" i="3"/>
  <c r="BU254" i="3"/>
  <c r="AG254" i="3"/>
  <c r="AE254" i="3"/>
  <c r="W254" i="3"/>
  <c r="O254" i="3"/>
  <c r="G254" i="3"/>
  <c r="BK254" i="3"/>
  <c r="BQ254" i="3"/>
  <c r="AJ254" i="3"/>
  <c r="AP254" i="3"/>
  <c r="R251" i="3"/>
  <c r="AC251" i="3"/>
  <c r="AA251" i="3"/>
  <c r="S251" i="3"/>
  <c r="BW251" i="3"/>
  <c r="AB251" i="3"/>
  <c r="CF251" i="3"/>
  <c r="BJ251" i="3"/>
  <c r="BB251" i="3"/>
  <c r="BH251" i="3"/>
  <c r="X259" i="3"/>
  <c r="CJ259" i="3"/>
  <c r="BM259" i="3"/>
  <c r="Z259" i="3"/>
  <c r="AM259" i="3"/>
  <c r="BO259" i="3"/>
  <c r="AJ259" i="3"/>
  <c r="CI259" i="3"/>
  <c r="BQ259" i="3"/>
  <c r="AT259" i="3"/>
  <c r="H259" i="3"/>
  <c r="I254" i="3"/>
  <c r="Y254" i="3"/>
  <c r="BJ254" i="3"/>
  <c r="AS254" i="3"/>
  <c r="AK254" i="3"/>
  <c r="AC254" i="3"/>
  <c r="CG254" i="3"/>
  <c r="BY254" i="3"/>
  <c r="AR254" i="3"/>
  <c r="BW254" i="3"/>
  <c r="AX251" i="3"/>
  <c r="K251" i="3"/>
  <c r="BX251" i="3"/>
  <c r="AI251" i="3"/>
  <c r="BW259" i="3"/>
  <c r="F218" i="3"/>
  <c r="CB218" i="3"/>
  <c r="Y218" i="3"/>
  <c r="AU218" i="3"/>
  <c r="AB218" i="3"/>
  <c r="V218" i="3"/>
  <c r="J218" i="3"/>
  <c r="BZ218" i="3"/>
  <c r="AS218" i="3"/>
  <c r="AX218" i="3"/>
  <c r="BH218" i="3"/>
  <c r="BU219" i="3"/>
  <c r="BC219" i="3"/>
  <c r="K219" i="3"/>
  <c r="BJ219" i="3"/>
  <c r="AV219" i="3"/>
  <c r="AT219" i="3"/>
  <c r="AX219" i="3"/>
  <c r="CC219" i="3"/>
  <c r="L219" i="3"/>
  <c r="CH219" i="3"/>
  <c r="AB220" i="3"/>
  <c r="AX220" i="3"/>
  <c r="L220" i="3"/>
  <c r="BP220" i="3"/>
  <c r="S220" i="3"/>
  <c r="AL220" i="3"/>
  <c r="BW220" i="3"/>
  <c r="M220" i="3"/>
  <c r="BG220" i="3"/>
  <c r="BD220" i="3"/>
  <c r="AZ220" i="3"/>
  <c r="AH220" i="3"/>
  <c r="R220" i="3"/>
  <c r="BZ220" i="3"/>
  <c r="P220" i="3"/>
  <c r="I220" i="3"/>
  <c r="CK218" i="3"/>
  <c r="N219" i="3"/>
  <c r="BF219" i="3"/>
  <c r="G219" i="3"/>
  <c r="CF220" i="3"/>
  <c r="BX220" i="3"/>
  <c r="AZ218" i="3"/>
  <c r="AM218" i="3"/>
  <c r="T218" i="3"/>
  <c r="P218" i="3"/>
  <c r="CC218" i="3"/>
  <c r="BN218" i="3"/>
  <c r="AK218" i="3"/>
  <c r="N218" i="3"/>
  <c r="AY218" i="3"/>
  <c r="AW218" i="3"/>
  <c r="AA218" i="3"/>
  <c r="AN219" i="3"/>
  <c r="BR219" i="3"/>
  <c r="BV219" i="3"/>
  <c r="BI219" i="3"/>
  <c r="AM219" i="3"/>
  <c r="AY219" i="3"/>
  <c r="CD219" i="3"/>
  <c r="CA219" i="3"/>
  <c r="AI219" i="3"/>
  <c r="V219" i="3"/>
  <c r="AQ220" i="3"/>
  <c r="AW220" i="3"/>
  <c r="AP220" i="3"/>
  <c r="AE220" i="3"/>
  <c r="BI220" i="3"/>
  <c r="CK220" i="3"/>
  <c r="K220" i="3"/>
  <c r="BO220" i="3"/>
  <c r="CD220" i="3"/>
  <c r="O220" i="3"/>
  <c r="AY220" i="3"/>
  <c r="AD220" i="3"/>
  <c r="U220" i="3"/>
  <c r="J220" i="3"/>
  <c r="AT220" i="3"/>
  <c r="CG218" i="3"/>
  <c r="BV218" i="3"/>
  <c r="AI218" i="3"/>
  <c r="AU219" i="3"/>
  <c r="BX219" i="3"/>
  <c r="CA220" i="3"/>
  <c r="CH220" i="3"/>
  <c r="CE218" i="3"/>
  <c r="AJ218" i="3"/>
  <c r="BT218" i="3"/>
  <c r="BI218" i="3"/>
  <c r="Q218" i="3"/>
  <c r="BS218" i="3"/>
  <c r="BU218" i="3"/>
  <c r="BM218" i="3"/>
  <c r="M218" i="3"/>
  <c r="AF218" i="3"/>
  <c r="BY218" i="3"/>
  <c r="BY219" i="3"/>
  <c r="F219" i="3"/>
  <c r="J219" i="3"/>
  <c r="AR219" i="3"/>
  <c r="BD219" i="3"/>
  <c r="T219" i="3"/>
  <c r="H219" i="3"/>
  <c r="O219" i="3"/>
  <c r="AH219" i="3"/>
  <c r="BT219" i="3"/>
  <c r="BF220" i="3"/>
  <c r="AF220" i="3"/>
  <c r="AO220" i="3"/>
  <c r="BC220" i="3"/>
  <c r="BN220" i="3"/>
  <c r="X218" i="3"/>
  <c r="S218" i="3"/>
  <c r="BW218" i="3"/>
  <c r="H218" i="3"/>
  <c r="L218" i="3"/>
  <c r="BQ218" i="3"/>
  <c r="AN218" i="3"/>
  <c r="I218" i="3"/>
  <c r="AV218" i="3"/>
  <c r="AQ218" i="3"/>
  <c r="BC218" i="3"/>
  <c r="AP218" i="3"/>
  <c r="M219" i="3"/>
  <c r="AO219" i="3"/>
  <c r="CF219" i="3"/>
  <c r="BO219" i="3"/>
  <c r="BB219" i="3"/>
  <c r="AQ219" i="3"/>
  <c r="CI219" i="3"/>
  <c r="AG219" i="3"/>
  <c r="AF219" i="3"/>
  <c r="CG219" i="3"/>
  <c r="BE220" i="3"/>
  <c r="BB220" i="3"/>
  <c r="CJ220" i="3"/>
  <c r="CC220" i="3"/>
  <c r="BV220" i="3"/>
  <c r="BT220" i="3"/>
  <c r="Z220" i="3"/>
  <c r="CG220" i="3"/>
  <c r="BA220" i="3"/>
  <c r="N220" i="3"/>
  <c r="AC220" i="3"/>
  <c r="AG220" i="3"/>
  <c r="BK220" i="3"/>
  <c r="AR220" i="3"/>
  <c r="T220" i="3"/>
  <c r="BM220" i="3"/>
  <c r="F220" i="3"/>
  <c r="G220" i="3"/>
  <c r="BE218" i="3"/>
  <c r="AL218" i="3"/>
  <c r="BW219" i="3"/>
  <c r="AK219" i="3"/>
  <c r="BH220" i="3"/>
  <c r="AS220" i="3"/>
  <c r="BJ220" i="3"/>
  <c r="AC218" i="3"/>
  <c r="K218" i="3"/>
  <c r="AE218" i="3"/>
  <c r="BO218" i="3"/>
  <c r="BL218" i="3"/>
  <c r="BK218" i="3"/>
  <c r="U218" i="3"/>
  <c r="G218" i="3"/>
  <c r="AR218" i="3"/>
  <c r="BB218" i="3"/>
  <c r="Y219" i="3"/>
  <c r="BE219" i="3"/>
  <c r="BQ219" i="3"/>
  <c r="AP219" i="3"/>
  <c r="BN219" i="3"/>
  <c r="BA219" i="3"/>
  <c r="S219" i="3"/>
  <c r="W219" i="3"/>
  <c r="AD219" i="3"/>
  <c r="Z219" i="3"/>
  <c r="U219" i="3"/>
  <c r="AN220" i="3"/>
  <c r="W220" i="3"/>
  <c r="X220" i="3"/>
  <c r="AJ220" i="3"/>
  <c r="Q220" i="3"/>
  <c r="AH218" i="3"/>
  <c r="Z218" i="3"/>
  <c r="AD218" i="3"/>
  <c r="CD218" i="3"/>
  <c r="CI218" i="3"/>
  <c r="BA218" i="3"/>
  <c r="BD218" i="3"/>
  <c r="BJ218" i="3"/>
  <c r="BF218" i="3"/>
  <c r="AO218" i="3"/>
  <c r="BK219" i="3"/>
  <c r="BH219" i="3"/>
  <c r="Q219" i="3"/>
  <c r="R219" i="3"/>
  <c r="AS219" i="3"/>
  <c r="AJ219" i="3"/>
  <c r="X219" i="3"/>
  <c r="BM219" i="3"/>
  <c r="AC219" i="3"/>
  <c r="AW219" i="3"/>
  <c r="CK219" i="3"/>
  <c r="BS220" i="3"/>
  <c r="AM220" i="3"/>
  <c r="CI220" i="3"/>
  <c r="BR220" i="3"/>
  <c r="CB220" i="3"/>
  <c r="BY220" i="3"/>
  <c r="Y220" i="3"/>
  <c r="BL220" i="3"/>
  <c r="BU220" i="3"/>
  <c r="AV220" i="3"/>
  <c r="I219" i="3"/>
  <c r="AB219" i="3"/>
  <c r="AE219" i="3"/>
  <c r="CB219" i="3"/>
  <c r="BS219" i="3"/>
  <c r="AI220" i="3"/>
  <c r="AA220" i="3"/>
  <c r="BQ220" i="3"/>
  <c r="V220" i="3"/>
  <c r="BX218" i="3"/>
  <c r="CH218" i="3"/>
  <c r="O218" i="3"/>
  <c r="CJ219" i="3"/>
  <c r="CE219" i="3"/>
  <c r="P219" i="3"/>
  <c r="AA219" i="3"/>
  <c r="CE220" i="3"/>
  <c r="AK220" i="3"/>
  <c r="AG218" i="3"/>
  <c r="CF218" i="3"/>
  <c r="BR218" i="3"/>
  <c r="R218" i="3"/>
  <c r="W218" i="3"/>
  <c r="BG218" i="3"/>
  <c r="CA218" i="3"/>
  <c r="AT218" i="3"/>
  <c r="BP218" i="3"/>
  <c r="CJ218" i="3"/>
  <c r="BZ219" i="3"/>
  <c r="AZ219" i="3"/>
  <c r="BL219" i="3"/>
  <c r="BG219" i="3"/>
  <c r="AL219" i="3"/>
  <c r="BP219" i="3"/>
  <c r="H220" i="3"/>
  <c r="AU220" i="3"/>
  <c r="CE53" i="3"/>
  <c r="CE54" i="3" s="1"/>
  <c r="CE183" i="3"/>
  <c r="CE184" i="3" s="1"/>
  <c r="CA53" i="3"/>
  <c r="CA54" i="3" s="1"/>
  <c r="CA183" i="3"/>
  <c r="CA184" i="3" s="1"/>
  <c r="BP53" i="3"/>
  <c r="BP54" i="3" s="1"/>
  <c r="BP183" i="3"/>
  <c r="BP184" i="3" s="1"/>
  <c r="CF53" i="3"/>
  <c r="CF54" i="3" s="1"/>
  <c r="CF183" i="3"/>
  <c r="CF184" i="3" s="1"/>
  <c r="BT53" i="3"/>
  <c r="BT54" i="3" s="1"/>
  <c r="BT183" i="3"/>
  <c r="BT184" i="3" s="1"/>
  <c r="BY53" i="3"/>
  <c r="BY54" i="3" s="1"/>
  <c r="BY183" i="3"/>
  <c r="BY184" i="3" s="1"/>
  <c r="BZ53" i="3"/>
  <c r="BZ54" i="3" s="1"/>
  <c r="BZ183" i="3"/>
  <c r="BZ184" i="3" s="1"/>
  <c r="BR53" i="3"/>
  <c r="BR54" i="3" s="1"/>
  <c r="BR183" i="3"/>
  <c r="BR184" i="3" s="1"/>
  <c r="BO53" i="3"/>
  <c r="BO54" i="3" s="1"/>
  <c r="BO183" i="3"/>
  <c r="BO184" i="3" s="1"/>
  <c r="CH53" i="3"/>
  <c r="CH54" i="3" s="1"/>
  <c r="CH183" i="3"/>
  <c r="CH184" i="3" s="1"/>
  <c r="CJ53" i="3"/>
  <c r="CJ54" i="3" s="1"/>
  <c r="CJ183" i="3"/>
  <c r="CJ184" i="3" s="1"/>
  <c r="BN53" i="3"/>
  <c r="BN54" i="3" s="1"/>
  <c r="BN183" i="3"/>
  <c r="BN184" i="3" s="1"/>
  <c r="CK53" i="3"/>
  <c r="CK54" i="3" s="1"/>
  <c r="CK183" i="3"/>
  <c r="CK184" i="3" s="1"/>
  <c r="BU53" i="3"/>
  <c r="BU54" i="3" s="1"/>
  <c r="BU183" i="3"/>
  <c r="BU184" i="3" s="1"/>
  <c r="CB53" i="3"/>
  <c r="CB54" i="3" s="1"/>
  <c r="CB183" i="3"/>
  <c r="CB184" i="3" s="1"/>
  <c r="BV53" i="3"/>
  <c r="BV54" i="3" s="1"/>
  <c r="BV183" i="3"/>
  <c r="BV184" i="3" s="1"/>
  <c r="BS53" i="3"/>
  <c r="BS54" i="3" s="1"/>
  <c r="BS183" i="3"/>
  <c r="BS184" i="3" s="1"/>
  <c r="CI53" i="3"/>
  <c r="CI54" i="3" s="1"/>
  <c r="CI183" i="3"/>
  <c r="CI184" i="3" s="1"/>
  <c r="BX53" i="3"/>
  <c r="BX54" i="3" s="1"/>
  <c r="BX183" i="3"/>
  <c r="BX184" i="3" s="1"/>
  <c r="BQ53" i="3"/>
  <c r="BQ54" i="3" s="1"/>
  <c r="BQ183" i="3"/>
  <c r="BQ184" i="3" s="1"/>
  <c r="BW53" i="3"/>
  <c r="BW54" i="3" s="1"/>
  <c r="BW183" i="3"/>
  <c r="BW184" i="3" s="1"/>
  <c r="CD53" i="3"/>
  <c r="CD54" i="3" s="1"/>
  <c r="CD183" i="3"/>
  <c r="CD184" i="3" s="1"/>
  <c r="CC53" i="3"/>
  <c r="CC54" i="3" s="1"/>
  <c r="CC183" i="3"/>
  <c r="CC184" i="3" s="1"/>
  <c r="CG53" i="3"/>
  <c r="CG54" i="3" s="1"/>
  <c r="CG183" i="3"/>
  <c r="CG184" i="3" s="1"/>
  <c r="R174" i="3"/>
  <c r="AJ174" i="3"/>
  <c r="AX174" i="3"/>
  <c r="BP174" i="3"/>
  <c r="BH174" i="3"/>
  <c r="T174" i="3"/>
  <c r="BY174" i="3"/>
  <c r="AN174" i="3"/>
  <c r="BK174" i="3"/>
  <c r="BT174" i="3"/>
  <c r="AE174" i="3"/>
  <c r="BV175" i="3"/>
  <c r="Q175" i="3"/>
  <c r="AV175" i="3"/>
  <c r="AX175" i="3"/>
  <c r="CD175" i="3"/>
  <c r="CK175" i="3"/>
  <c r="BT175" i="3"/>
  <c r="BX175" i="3"/>
  <c r="AI175" i="3"/>
  <c r="BC175" i="3"/>
  <c r="AC176" i="3"/>
  <c r="CG176" i="3"/>
  <c r="N176" i="3"/>
  <c r="BB176" i="3"/>
  <c r="Y176" i="3"/>
  <c r="CD176" i="3"/>
  <c r="CK176" i="3"/>
  <c r="BW176" i="3"/>
  <c r="W176" i="3"/>
  <c r="AF176" i="3"/>
  <c r="BC176" i="3"/>
  <c r="AN177" i="3"/>
  <c r="BV177" i="3"/>
  <c r="BE177" i="3"/>
  <c r="CB177" i="3"/>
  <c r="CD177" i="3"/>
  <c r="AS177" i="3"/>
  <c r="BC177" i="3"/>
  <c r="S177" i="3"/>
  <c r="T177" i="3"/>
  <c r="BP177" i="3"/>
  <c r="F178" i="3"/>
  <c r="AQ178" i="3"/>
  <c r="AR178" i="3"/>
  <c r="O178" i="3"/>
  <c r="CA178" i="3"/>
  <c r="CB178" i="3"/>
  <c r="U178" i="3"/>
  <c r="CH178" i="3"/>
  <c r="Y178" i="3"/>
  <c r="BI178" i="3"/>
  <c r="R178" i="3"/>
  <c r="AS172" i="3"/>
  <c r="AK172" i="3"/>
  <c r="BP172" i="3"/>
  <c r="BK172" i="3"/>
  <c r="AG172" i="3"/>
  <c r="Y172" i="3"/>
  <c r="BR172" i="3"/>
  <c r="N172" i="3"/>
  <c r="F172" i="3"/>
  <c r="BS172" i="3"/>
  <c r="P173" i="3"/>
  <c r="AL173" i="3"/>
  <c r="BR173" i="3"/>
  <c r="AG173" i="3"/>
  <c r="AS173" i="3"/>
  <c r="Y173" i="3"/>
  <c r="Z173" i="3"/>
  <c r="AR173" i="3"/>
  <c r="BF173" i="3"/>
  <c r="T173" i="3"/>
  <c r="AQ173" i="3"/>
  <c r="AD174" i="3"/>
  <c r="AW174" i="3"/>
  <c r="BJ174" i="3"/>
  <c r="CC174" i="3"/>
  <c r="CG174" i="3"/>
  <c r="AS174" i="3"/>
  <c r="AB174" i="3"/>
  <c r="O174" i="3"/>
  <c r="CB174" i="3"/>
  <c r="H174" i="3"/>
  <c r="CI174" i="3"/>
  <c r="P175" i="3"/>
  <c r="AD175" i="3"/>
  <c r="BI175" i="3"/>
  <c r="BY175" i="3"/>
  <c r="H175" i="3"/>
  <c r="N175" i="3"/>
  <c r="AM175" i="3"/>
  <c r="L175" i="3"/>
  <c r="CE175" i="3"/>
  <c r="AR175" i="3"/>
  <c r="BP176" i="3"/>
  <c r="J176" i="3"/>
  <c r="AB176" i="3"/>
  <c r="CC176" i="3"/>
  <c r="AX176" i="3"/>
  <c r="F176" i="3"/>
  <c r="M176" i="3"/>
  <c r="K176" i="3"/>
  <c r="O176" i="3"/>
  <c r="AI176" i="3"/>
  <c r="BT176" i="3"/>
  <c r="BA177" i="3"/>
  <c r="CH177" i="3"/>
  <c r="BQ177" i="3"/>
  <c r="BD177" i="3"/>
  <c r="Q177" i="3"/>
  <c r="X177" i="3"/>
  <c r="BY177" i="3"/>
  <c r="AU177" i="3"/>
  <c r="BG177" i="3"/>
  <c r="AQ177" i="3"/>
  <c r="AF178" i="3"/>
  <c r="AY178" i="3"/>
  <c r="AZ178" i="3"/>
  <c r="W178" i="3"/>
  <c r="CI178" i="3"/>
  <c r="BZ178" i="3"/>
  <c r="AK178" i="3"/>
  <c r="I178" i="3"/>
  <c r="BE178" i="3"/>
  <c r="BY178" i="3"/>
  <c r="BN178" i="3"/>
  <c r="BQ172" i="3"/>
  <c r="CG172" i="3"/>
  <c r="U172" i="3"/>
  <c r="AA172" i="3"/>
  <c r="BT172" i="3"/>
  <c r="BL172" i="3"/>
  <c r="BO172" i="3"/>
  <c r="BG172" i="3"/>
  <c r="AY172" i="3"/>
  <c r="G172" i="3"/>
  <c r="AF173" i="3"/>
  <c r="BB173" i="3"/>
  <c r="CD173" i="3"/>
  <c r="BM173" i="3"/>
  <c r="BU173" i="3"/>
  <c r="BE173" i="3"/>
  <c r="BS173" i="3"/>
  <c r="CE173" i="3"/>
  <c r="BG173" i="3"/>
  <c r="CI173" i="3"/>
  <c r="AH173" i="3"/>
  <c r="AR174" i="3"/>
  <c r="BI174" i="3"/>
  <c r="BX174" i="3"/>
  <c r="F174" i="3"/>
  <c r="M174" i="3"/>
  <c r="BR174" i="3"/>
  <c r="BA174" i="3"/>
  <c r="G174" i="3"/>
  <c r="AU174" i="3"/>
  <c r="BW174" i="3"/>
  <c r="W174" i="3"/>
  <c r="AC175" i="3"/>
  <c r="AP175" i="3"/>
  <c r="BU175" i="3"/>
  <c r="Z175" i="3"/>
  <c r="BF175" i="3"/>
  <c r="AN175" i="3"/>
  <c r="BO175" i="3"/>
  <c r="AY175" i="3"/>
  <c r="BS175" i="3"/>
  <c r="AU175" i="3"/>
  <c r="I176" i="3"/>
  <c r="V176" i="3"/>
  <c r="AO176" i="3"/>
  <c r="R176" i="3"/>
  <c r="BX176" i="3"/>
  <c r="AG176" i="3"/>
  <c r="AL176" i="3"/>
  <c r="BL176" i="3"/>
  <c r="BS176" i="3"/>
  <c r="CJ176" i="3"/>
  <c r="AU176" i="3"/>
  <c r="BK177" i="3"/>
  <c r="AC177" i="3"/>
  <c r="CA177" i="3"/>
  <c r="J177" i="3"/>
  <c r="AP177" i="3"/>
  <c r="AW177" i="3"/>
  <c r="F177" i="3"/>
  <c r="AJ177" i="3"/>
  <c r="AE177" i="3"/>
  <c r="G177" i="3"/>
  <c r="BL178" i="3"/>
  <c r="BG178" i="3"/>
  <c r="BP178" i="3"/>
  <c r="AE178" i="3"/>
  <c r="P178" i="3"/>
  <c r="AG178" i="3"/>
  <c r="BA178" i="3"/>
  <c r="BU178" i="3"/>
  <c r="AP178" i="3"/>
  <c r="N178" i="3"/>
  <c r="G178" i="3"/>
  <c r="T172" i="3"/>
  <c r="AR172" i="3"/>
  <c r="BX172" i="3"/>
  <c r="AX172" i="3"/>
  <c r="H172" i="3"/>
  <c r="AM172" i="3"/>
  <c r="Z172" i="3"/>
  <c r="R172" i="3"/>
  <c r="J172" i="3"/>
  <c r="BJ172" i="3"/>
  <c r="AV173" i="3"/>
  <c r="BQ173" i="3"/>
  <c r="N173" i="3"/>
  <c r="AK173" i="3"/>
  <c r="Q173" i="3"/>
  <c r="CG173" i="3"/>
  <c r="G173" i="3"/>
  <c r="S173" i="3"/>
  <c r="AU173" i="3"/>
  <c r="W173" i="3"/>
  <c r="AI173" i="3"/>
  <c r="BE174" i="3"/>
  <c r="BV174" i="3"/>
  <c r="CK174" i="3"/>
  <c r="AG174" i="3"/>
  <c r="AL174" i="3"/>
  <c r="U174" i="3"/>
  <c r="BZ174" i="3"/>
  <c r="AQ174" i="3"/>
  <c r="AA174" i="3"/>
  <c r="K174" i="3"/>
  <c r="BS174" i="3"/>
  <c r="AO175" i="3"/>
  <c r="BQ175" i="3"/>
  <c r="CH175" i="3"/>
  <c r="BA175" i="3"/>
  <c r="CG175" i="3"/>
  <c r="BM175" i="3"/>
  <c r="AE175" i="3"/>
  <c r="CA175" i="3"/>
  <c r="G175" i="3"/>
  <c r="AJ175" i="3"/>
  <c r="U176" i="3"/>
  <c r="AW176" i="3"/>
  <c r="BA176" i="3"/>
  <c r="AR176" i="3"/>
  <c r="Z176" i="3"/>
  <c r="BF176" i="3"/>
  <c r="BM176" i="3"/>
  <c r="BO176" i="3"/>
  <c r="G176" i="3"/>
  <c r="X176" i="3"/>
  <c r="AM176" i="3"/>
  <c r="BU177" i="3"/>
  <c r="BL177" i="3"/>
  <c r="CK177" i="3"/>
  <c r="AK177" i="3"/>
  <c r="BM177" i="3"/>
  <c r="BS177" i="3"/>
  <c r="AF177" i="3"/>
  <c r="BW177" i="3"/>
  <c r="W177" i="3"/>
  <c r="BH177" i="3"/>
  <c r="CJ178" i="3"/>
  <c r="BO178" i="3"/>
  <c r="BX178" i="3"/>
  <c r="AM178" i="3"/>
  <c r="X178" i="3"/>
  <c r="CD178" i="3"/>
  <c r="BQ178" i="3"/>
  <c r="Z178" i="3"/>
  <c r="J178" i="3"/>
  <c r="AD178" i="3"/>
  <c r="H178" i="3"/>
  <c r="AZ172" i="3"/>
  <c r="CK172" i="3"/>
  <c r="AB172" i="3"/>
  <c r="AO172" i="3"/>
  <c r="AU172" i="3"/>
  <c r="AD172" i="3"/>
  <c r="CC172" i="3"/>
  <c r="BU172" i="3"/>
  <c r="BM172" i="3"/>
  <c r="CJ172" i="3"/>
  <c r="BL173" i="3"/>
  <c r="CC173" i="3"/>
  <c r="AD173" i="3"/>
  <c r="BN173" i="3"/>
  <c r="AW173" i="3"/>
  <c r="AC173" i="3"/>
  <c r="BH173" i="3"/>
  <c r="J173" i="3"/>
  <c r="AX173" i="3"/>
  <c r="BX173" i="3"/>
  <c r="AA173" i="3"/>
  <c r="BQ174" i="3"/>
  <c r="CH174" i="3"/>
  <c r="Q174" i="3"/>
  <c r="BF174" i="3"/>
  <c r="BM174" i="3"/>
  <c r="AT174" i="3"/>
  <c r="BG174" i="3"/>
  <c r="AF174" i="3"/>
  <c r="P174" i="3"/>
  <c r="BL174" i="3"/>
  <c r="J175" i="3"/>
  <c r="BB175" i="3"/>
  <c r="CC175" i="3"/>
  <c r="AW175" i="3"/>
  <c r="BZ175" i="3"/>
  <c r="AG175" i="3"/>
  <c r="R175" i="3"/>
  <c r="CF175" i="3"/>
  <c r="O175" i="3"/>
  <c r="S175" i="3"/>
  <c r="BW175" i="3"/>
  <c r="AH176" i="3"/>
  <c r="BI176" i="3"/>
  <c r="BN176" i="3"/>
  <c r="BQ176" i="3"/>
  <c r="AZ176" i="3"/>
  <c r="CF176" i="3"/>
  <c r="CE176" i="3"/>
  <c r="BD176" i="3"/>
  <c r="AY176" i="3"/>
  <c r="BK176" i="3"/>
  <c r="V177" i="3"/>
  <c r="CG177" i="3"/>
  <c r="H177" i="3"/>
  <c r="I177" i="3"/>
  <c r="BI177" i="3"/>
  <c r="CI177" i="3"/>
  <c r="Y177" i="3"/>
  <c r="BZ177" i="3"/>
  <c r="AM177" i="3"/>
  <c r="BX177" i="3"/>
  <c r="AI177" i="3"/>
  <c r="K178" i="3"/>
  <c r="BW178" i="3"/>
  <c r="CF178" i="3"/>
  <c r="AU178" i="3"/>
  <c r="AN178" i="3"/>
  <c r="Q178" i="3"/>
  <c r="CG178" i="3"/>
  <c r="BV178" i="3"/>
  <c r="BF178" i="3"/>
  <c r="AT178" i="3"/>
  <c r="AJ172" i="3"/>
  <c r="BV172" i="3"/>
  <c r="BA172" i="3"/>
  <c r="BY172" i="3"/>
  <c r="CB172" i="3"/>
  <c r="AL172" i="3"/>
  <c r="BD172" i="3"/>
  <c r="Q172" i="3"/>
  <c r="I172" i="3"/>
  <c r="AN172" i="3"/>
  <c r="BB172" i="3"/>
  <c r="BY173" i="3"/>
  <c r="H173" i="3"/>
  <c r="AT173" i="3"/>
  <c r="I173" i="3"/>
  <c r="BZ173" i="3"/>
  <c r="BI173" i="3"/>
  <c r="R173" i="3"/>
  <c r="AJ173" i="3"/>
  <c r="AM173" i="3"/>
  <c r="L173" i="3"/>
  <c r="CD174" i="3"/>
  <c r="L174" i="3"/>
  <c r="AC174" i="3"/>
  <c r="CF174" i="3"/>
  <c r="N174" i="3"/>
  <c r="BU174" i="3"/>
  <c r="AV174" i="3"/>
  <c r="AI174" i="3"/>
  <c r="BC174" i="3"/>
  <c r="AM174" i="3"/>
  <c r="X175" i="3"/>
  <c r="BN175" i="3"/>
  <c r="I175" i="3"/>
  <c r="CJ175" i="3"/>
  <c r="F175" i="3"/>
  <c r="M175" i="3"/>
  <c r="AS175" i="3"/>
  <c r="T175" i="3"/>
  <c r="BP175" i="3"/>
  <c r="BK175" i="3"/>
  <c r="K175" i="3"/>
  <c r="AT176" i="3"/>
  <c r="CH176" i="3"/>
  <c r="BZ176" i="3"/>
  <c r="T176" i="3"/>
  <c r="BY176" i="3"/>
  <c r="L176" i="3"/>
  <c r="S176" i="3"/>
  <c r="BG176" i="3"/>
  <c r="AN176" i="3"/>
  <c r="AA176" i="3"/>
  <c r="BF177" i="3"/>
  <c r="P177" i="3"/>
  <c r="U177" i="3"/>
  <c r="AH177" i="3"/>
  <c r="M177" i="3"/>
  <c r="R177" i="3"/>
  <c r="AX177" i="3"/>
  <c r="CC177" i="3"/>
  <c r="AB177" i="3"/>
  <c r="L177" i="3"/>
  <c r="AA177" i="3"/>
  <c r="S178" i="3"/>
  <c r="CE178" i="3"/>
  <c r="L178" i="3"/>
  <c r="BC178" i="3"/>
  <c r="AV178" i="3"/>
  <c r="BM178" i="3"/>
  <c r="V178" i="3"/>
  <c r="BR178" i="3"/>
  <c r="M178" i="3"/>
  <c r="BJ178" i="3"/>
  <c r="BI172" i="3"/>
  <c r="AC172" i="3"/>
  <c r="BF172" i="3"/>
  <c r="AI172" i="3"/>
  <c r="CE172" i="3"/>
  <c r="BW172" i="3"/>
  <c r="V172" i="3"/>
  <c r="AE172" i="3"/>
  <c r="W172" i="3"/>
  <c r="AQ172" i="3"/>
  <c r="P172" i="3"/>
  <c r="CK173" i="3"/>
  <c r="X173" i="3"/>
  <c r="BJ173" i="3"/>
  <c r="AO173" i="3"/>
  <c r="U173" i="3"/>
  <c r="CH173" i="3"/>
  <c r="BK173" i="3"/>
  <c r="BW173" i="3"/>
  <c r="AB173" i="3"/>
  <c r="AY173" i="3"/>
  <c r="J174" i="3"/>
  <c r="Y174" i="3"/>
  <c r="AP174" i="3"/>
  <c r="I174" i="3"/>
  <c r="AO174" i="3"/>
  <c r="Z174" i="3"/>
  <c r="CA174" i="3"/>
  <c r="CJ174" i="3"/>
  <c r="CE174" i="3"/>
  <c r="BO174" i="3"/>
  <c r="AK175" i="3"/>
  <c r="CB175" i="3"/>
  <c r="V175" i="3"/>
  <c r="AT175" i="3"/>
  <c r="AF175" i="3"/>
  <c r="AL175" i="3"/>
  <c r="BR175" i="3"/>
  <c r="CI175" i="3"/>
  <c r="AQ175" i="3"/>
  <c r="AZ175" i="3"/>
  <c r="AB175" i="3"/>
  <c r="BH176" i="3"/>
  <c r="AJ176" i="3"/>
  <c r="Q176" i="3"/>
  <c r="AS176" i="3"/>
  <c r="AD176" i="3"/>
  <c r="AK176" i="3"/>
  <c r="H176" i="3"/>
  <c r="AV176" i="3"/>
  <c r="CA176" i="3"/>
  <c r="CB176" i="3"/>
  <c r="N177" i="3"/>
  <c r="AO177" i="3"/>
  <c r="AG177" i="3"/>
  <c r="AV177" i="3"/>
  <c r="AL177" i="3"/>
  <c r="BN177" i="3"/>
  <c r="BT177" i="3"/>
  <c r="AZ177" i="3"/>
  <c r="BO177" i="3"/>
  <c r="AY177" i="3"/>
  <c r="CE177" i="3"/>
  <c r="AA178" i="3"/>
  <c r="T178" i="3"/>
  <c r="AJ178" i="3"/>
  <c r="BK178" i="3"/>
  <c r="BD178" i="3"/>
  <c r="AX178" i="3"/>
  <c r="AL178" i="3"/>
  <c r="AO178" i="3"/>
  <c r="AC178" i="3"/>
  <c r="AW178" i="3"/>
  <c r="CF172" i="3"/>
  <c r="BH172" i="3"/>
  <c r="BN172" i="3"/>
  <c r="AW172" i="3"/>
  <c r="S172" i="3"/>
  <c r="K172" i="3"/>
  <c r="AV172" i="3"/>
  <c r="CH172" i="3"/>
  <c r="BZ172" i="3"/>
  <c r="BE172" i="3"/>
  <c r="BC172" i="3"/>
  <c r="F173" i="3"/>
  <c r="AN173" i="3"/>
  <c r="BV173" i="3"/>
  <c r="BT173" i="3"/>
  <c r="BA173" i="3"/>
  <c r="CA173" i="3"/>
  <c r="AZ173" i="3"/>
  <c r="K173" i="3"/>
  <c r="AE173" i="3"/>
  <c r="AP173" i="3"/>
  <c r="V174" i="3"/>
  <c r="AK174" i="3"/>
  <c r="BB174" i="3"/>
  <c r="AH174" i="3"/>
  <c r="BN174" i="3"/>
  <c r="AZ174" i="3"/>
  <c r="AY174" i="3"/>
  <c r="X174" i="3"/>
  <c r="S174" i="3"/>
  <c r="BD174" i="3"/>
  <c r="BJ175" i="3"/>
  <c r="BD175" i="3"/>
  <c r="AH175" i="3"/>
  <c r="Y175" i="3"/>
  <c r="BE175" i="3"/>
  <c r="BL175" i="3"/>
  <c r="U175" i="3"/>
  <c r="W175" i="3"/>
  <c r="BH175" i="3"/>
  <c r="AA175" i="3"/>
  <c r="BG175" i="3"/>
  <c r="BU176" i="3"/>
  <c r="BV176" i="3"/>
  <c r="AP176" i="3"/>
  <c r="BR176" i="3"/>
  <c r="BE176" i="3"/>
  <c r="BJ176" i="3"/>
  <c r="AE176" i="3"/>
  <c r="CI176" i="3"/>
  <c r="AQ176" i="3"/>
  <c r="P176" i="3"/>
  <c r="Z177" i="3"/>
  <c r="BB177" i="3"/>
  <c r="AT177" i="3"/>
  <c r="BR177" i="3"/>
  <c r="BJ177" i="3"/>
  <c r="CJ177" i="3"/>
  <c r="AD177" i="3"/>
  <c r="AR177" i="3"/>
  <c r="CF177" i="3"/>
  <c r="O177" i="3"/>
  <c r="K177" i="3"/>
  <c r="AI178" i="3"/>
  <c r="AB178" i="3"/>
  <c r="BH178" i="3"/>
  <c r="BS178" i="3"/>
  <c r="BT178" i="3"/>
  <c r="AH178" i="3"/>
  <c r="BB178" i="3"/>
  <c r="CK178" i="3"/>
  <c r="AS178" i="3"/>
  <c r="CC178" i="3"/>
  <c r="M172" i="3"/>
  <c r="CD172" i="3"/>
  <c r="L172" i="3"/>
  <c r="X172" i="3"/>
  <c r="AP172" i="3"/>
  <c r="AH172" i="3"/>
  <c r="O172" i="3"/>
  <c r="CI172" i="3"/>
  <c r="CA172" i="3"/>
  <c r="AF172" i="3"/>
  <c r="AT172" i="3"/>
  <c r="V173" i="3"/>
  <c r="BD173" i="3"/>
  <c r="CJ173" i="3"/>
  <c r="M173" i="3"/>
  <c r="CB173" i="3"/>
  <c r="O173" i="3"/>
  <c r="BC173" i="3"/>
  <c r="BO173" i="3"/>
  <c r="CF173" i="3"/>
  <c r="BP173" i="3"/>
  <c r="X171" i="3"/>
  <c r="Q171" i="3"/>
  <c r="P171" i="3"/>
  <c r="N171" i="3"/>
  <c r="AJ171" i="3"/>
  <c r="AS171" i="3"/>
  <c r="AP171" i="3"/>
  <c r="L171" i="3"/>
  <c r="AD171" i="3"/>
  <c r="M171" i="3"/>
  <c r="BV171" i="3"/>
  <c r="W179" i="3"/>
  <c r="CI179" i="3"/>
  <c r="BD179" i="3"/>
  <c r="BO179" i="3"/>
  <c r="BP179" i="3"/>
  <c r="Q179" i="3"/>
  <c r="AX179" i="3"/>
  <c r="BN179" i="3"/>
  <c r="Y179" i="3"/>
  <c r="BF179" i="3"/>
  <c r="AR170" i="3"/>
  <c r="BQ170" i="3"/>
  <c r="AS170" i="3"/>
  <c r="Y170" i="3"/>
  <c r="Q170" i="3"/>
  <c r="AY170" i="3"/>
  <c r="AF170" i="3"/>
  <c r="BE170" i="3"/>
  <c r="AO170" i="3"/>
  <c r="AG170" i="3"/>
  <c r="V170" i="3"/>
  <c r="BD171" i="3"/>
  <c r="AW171" i="3"/>
  <c r="Y171" i="3"/>
  <c r="BQ171" i="3"/>
  <c r="K171" i="3"/>
  <c r="CF171" i="3"/>
  <c r="AQ171" i="3"/>
  <c r="CA171" i="3"/>
  <c r="CG171" i="3"/>
  <c r="AZ171" i="3"/>
  <c r="BW171" i="3"/>
  <c r="AE179" i="3"/>
  <c r="P179" i="3"/>
  <c r="K179" i="3"/>
  <c r="BW179" i="3"/>
  <c r="BU179" i="3"/>
  <c r="AG179" i="3"/>
  <c r="BZ179" i="3"/>
  <c r="CB179" i="3"/>
  <c r="AO179" i="3"/>
  <c r="CF179" i="3"/>
  <c r="BX170" i="3"/>
  <c r="BP170" i="3"/>
  <c r="AZ170" i="3"/>
  <c r="AM170" i="3"/>
  <c r="CH170" i="3"/>
  <c r="BV170" i="3"/>
  <c r="BS170" i="3"/>
  <c r="BJ170" i="3"/>
  <c r="CB170" i="3"/>
  <c r="BT170" i="3"/>
  <c r="CI170" i="3"/>
  <c r="CJ171" i="3"/>
  <c r="CC171" i="3"/>
  <c r="CK171" i="3"/>
  <c r="J171" i="3"/>
  <c r="AM171" i="3"/>
  <c r="T171" i="3"/>
  <c r="AH171" i="3"/>
  <c r="O171" i="3"/>
  <c r="U171" i="3"/>
  <c r="AA171" i="3"/>
  <c r="BN171" i="3"/>
  <c r="AM179" i="3"/>
  <c r="X179" i="3"/>
  <c r="S179" i="3"/>
  <c r="CE179" i="3"/>
  <c r="M179" i="3"/>
  <c r="AW179" i="3"/>
  <c r="CK179" i="3"/>
  <c r="F179" i="3"/>
  <c r="BE179" i="3"/>
  <c r="AC179" i="3"/>
  <c r="U170" i="3"/>
  <c r="M170" i="3"/>
  <c r="BI170" i="3"/>
  <c r="BD170" i="3"/>
  <c r="BG170" i="3"/>
  <c r="J170" i="3"/>
  <c r="G170" i="3"/>
  <c r="X170" i="3"/>
  <c r="P170" i="3"/>
  <c r="H170" i="3"/>
  <c r="W170" i="3"/>
  <c r="AG171" i="3"/>
  <c r="BE171" i="3"/>
  <c r="AF171" i="3"/>
  <c r="BO171" i="3"/>
  <c r="BJ171" i="3"/>
  <c r="BG171" i="3"/>
  <c r="AI171" i="3"/>
  <c r="AL171" i="3"/>
  <c r="BH171" i="3"/>
  <c r="CD171" i="3"/>
  <c r="BF171" i="3"/>
  <c r="AU179" i="3"/>
  <c r="AN179" i="3"/>
  <c r="AA179" i="3"/>
  <c r="L179" i="3"/>
  <c r="BV179" i="3"/>
  <c r="BM179" i="3"/>
  <c r="U179" i="3"/>
  <c r="CC179" i="3"/>
  <c r="BT179" i="3"/>
  <c r="BI179" i="3"/>
  <c r="BA170" i="3"/>
  <c r="BY170" i="3"/>
  <c r="F170" i="3"/>
  <c r="BZ170" i="3"/>
  <c r="CD170" i="3"/>
  <c r="BM170" i="3"/>
  <c r="CJ170" i="3"/>
  <c r="AI170" i="3"/>
  <c r="BC170" i="3"/>
  <c r="AU170" i="3"/>
  <c r="N170" i="3"/>
  <c r="BM171" i="3"/>
  <c r="BL171" i="3"/>
  <c r="AO171" i="3"/>
  <c r="AU171" i="3"/>
  <c r="BA171" i="3"/>
  <c r="AX171" i="3"/>
  <c r="Z171" i="3"/>
  <c r="AC171" i="3"/>
  <c r="BK171" i="3"/>
  <c r="R171" i="3"/>
  <c r="AB179" i="3"/>
  <c r="BC179" i="3"/>
  <c r="AV179" i="3"/>
  <c r="AI179" i="3"/>
  <c r="T179" i="3"/>
  <c r="BJ179" i="3"/>
  <c r="BY179" i="3"/>
  <c r="BA179" i="3"/>
  <c r="AK179" i="3"/>
  <c r="CD179" i="3"/>
  <c r="CG179" i="3"/>
  <c r="CG170" i="3"/>
  <c r="T170" i="3"/>
  <c r="BW170" i="3"/>
  <c r="L170" i="3"/>
  <c r="R170" i="3"/>
  <c r="AN170" i="3"/>
  <c r="BK170" i="3"/>
  <c r="BF170" i="3"/>
  <c r="AT170" i="3"/>
  <c r="AL170" i="3"/>
  <c r="H171" i="3"/>
  <c r="I171" i="3"/>
  <c r="AV171" i="3"/>
  <c r="BR171" i="3"/>
  <c r="AB171" i="3"/>
  <c r="AK171" i="3"/>
  <c r="CI171" i="3"/>
  <c r="BP171" i="3"/>
  <c r="CH171" i="3"/>
  <c r="AR171" i="3"/>
  <c r="AZ179" i="3"/>
  <c r="BK179" i="3"/>
  <c r="BL179" i="3"/>
  <c r="AQ179" i="3"/>
  <c r="AJ179" i="3"/>
  <c r="AS179" i="3"/>
  <c r="CJ179" i="3"/>
  <c r="BQ179" i="3"/>
  <c r="BB179" i="3"/>
  <c r="J179" i="3"/>
  <c r="AD179" i="3"/>
  <c r="AB170" i="3"/>
  <c r="CF170" i="3"/>
  <c r="K170" i="3"/>
  <c r="BO170" i="3"/>
  <c r="BU170" i="3"/>
  <c r="CA170" i="3"/>
  <c r="BB170" i="3"/>
  <c r="AW170" i="3"/>
  <c r="CE170" i="3"/>
  <c r="BL170" i="3"/>
  <c r="AN171" i="3"/>
  <c r="BU171" i="3"/>
  <c r="BC171" i="3"/>
  <c r="F171" i="3"/>
  <c r="AE171" i="3"/>
  <c r="BX171" i="3"/>
  <c r="W171" i="3"/>
  <c r="BS171" i="3"/>
  <c r="V171" i="3"/>
  <c r="CE171" i="3"/>
  <c r="G179" i="3"/>
  <c r="BS179" i="3"/>
  <c r="H179" i="3"/>
  <c r="AY179" i="3"/>
  <c r="AR179" i="3"/>
  <c r="BX179" i="3"/>
  <c r="R179" i="3"/>
  <c r="V179" i="3"/>
  <c r="AL179" i="3"/>
  <c r="Z179" i="3"/>
  <c r="AT179" i="3"/>
  <c r="BH170" i="3"/>
  <c r="AC170" i="3"/>
  <c r="AH170" i="3"/>
  <c r="Z170" i="3"/>
  <c r="I170" i="3"/>
  <c r="O170" i="3"/>
  <c r="AQ170" i="3"/>
  <c r="AA170" i="3"/>
  <c r="S170" i="3"/>
  <c r="AD170" i="3"/>
  <c r="BT171" i="3"/>
  <c r="CB171" i="3"/>
  <c r="BZ171" i="3"/>
  <c r="BI171" i="3"/>
  <c r="BB171" i="3"/>
  <c r="AY171" i="3"/>
  <c r="AT171" i="3"/>
  <c r="G171" i="3"/>
  <c r="BY171" i="3"/>
  <c r="S171" i="3"/>
  <c r="O179" i="3"/>
  <c r="CA179" i="3"/>
  <c r="AF179" i="3"/>
  <c r="BG179" i="3"/>
  <c r="BH179" i="3"/>
  <c r="N179" i="3"/>
  <c r="AH179" i="3"/>
  <c r="BR179" i="3"/>
  <c r="I179" i="3"/>
  <c r="AP179" i="3"/>
  <c r="CH179" i="3"/>
  <c r="AK170" i="3"/>
  <c r="AJ170" i="3"/>
  <c r="CK170" i="3"/>
  <c r="CC170" i="3"/>
  <c r="AV170" i="3"/>
  <c r="BR170" i="3"/>
  <c r="BN170" i="3"/>
  <c r="AX170" i="3"/>
  <c r="AP170" i="3"/>
  <c r="AE170" i="3"/>
  <c r="BQ130" i="3"/>
  <c r="BQ131" i="3" s="1"/>
  <c r="BQ126" i="3"/>
  <c r="BQ127" i="3" s="1"/>
  <c r="BQ122" i="3"/>
  <c r="BQ123" i="3" s="1"/>
  <c r="BQ118" i="3"/>
  <c r="BQ119" i="3" s="1"/>
  <c r="BQ110" i="3"/>
  <c r="BQ111" i="3" s="1"/>
  <c r="BQ106" i="3"/>
  <c r="BQ107" i="3" s="1"/>
  <c r="BQ102" i="3"/>
  <c r="BQ103" i="3" s="1"/>
  <c r="BQ98" i="3"/>
  <c r="BQ99" i="3" s="1"/>
  <c r="BQ94" i="3"/>
  <c r="BQ95" i="3" s="1"/>
  <c r="BQ114" i="3"/>
  <c r="BQ115" i="3" s="1"/>
  <c r="AR122" i="3"/>
  <c r="AR123" i="3" s="1"/>
  <c r="AR126" i="3"/>
  <c r="AR127" i="3" s="1"/>
  <c r="AR130" i="3"/>
  <c r="AR131" i="3" s="1"/>
  <c r="AR114" i="3"/>
  <c r="AR115" i="3" s="1"/>
  <c r="AR110" i="3"/>
  <c r="AR111" i="3" s="1"/>
  <c r="AR106" i="3"/>
  <c r="AR107" i="3" s="1"/>
  <c r="AR102" i="3"/>
  <c r="AR103" i="3" s="1"/>
  <c r="AR118" i="3"/>
  <c r="AR119" i="3" s="1"/>
  <c r="AR98" i="3"/>
  <c r="AR99" i="3" s="1"/>
  <c r="AR94" i="3"/>
  <c r="AR95" i="3" s="1"/>
  <c r="AZ130" i="3"/>
  <c r="AZ131" i="3" s="1"/>
  <c r="AZ118" i="3"/>
  <c r="AZ119" i="3" s="1"/>
  <c r="AZ122" i="3"/>
  <c r="AZ123" i="3" s="1"/>
  <c r="AZ114" i="3"/>
  <c r="AZ115" i="3" s="1"/>
  <c r="AZ126" i="3"/>
  <c r="AZ127" i="3" s="1"/>
  <c r="AZ110" i="3"/>
  <c r="AZ111" i="3" s="1"/>
  <c r="AZ106" i="3"/>
  <c r="AZ107" i="3" s="1"/>
  <c r="AZ102" i="3"/>
  <c r="AZ103" i="3" s="1"/>
  <c r="AZ98" i="3"/>
  <c r="AZ99" i="3" s="1"/>
  <c r="AZ94" i="3"/>
  <c r="AZ95" i="3" s="1"/>
  <c r="CA130" i="3"/>
  <c r="CA131" i="3" s="1"/>
  <c r="CA118" i="3"/>
  <c r="CA119" i="3" s="1"/>
  <c r="CA114" i="3"/>
  <c r="CA115" i="3" s="1"/>
  <c r="CA122" i="3"/>
  <c r="CA123" i="3" s="1"/>
  <c r="CA110" i="3"/>
  <c r="CA111" i="3" s="1"/>
  <c r="CA106" i="3"/>
  <c r="CA107" i="3" s="1"/>
  <c r="CA102" i="3"/>
  <c r="CA103" i="3" s="1"/>
  <c r="CA126" i="3"/>
  <c r="CA127" i="3" s="1"/>
  <c r="CA98" i="3"/>
  <c r="CA99" i="3" s="1"/>
  <c r="CA94" i="3"/>
  <c r="CA95" i="3" s="1"/>
  <c r="AH122" i="3"/>
  <c r="AH123" i="3" s="1"/>
  <c r="AH114" i="3"/>
  <c r="AH115" i="3" s="1"/>
  <c r="AH126" i="3"/>
  <c r="AH127" i="3" s="1"/>
  <c r="AH130" i="3"/>
  <c r="AH131" i="3" s="1"/>
  <c r="AH118" i="3"/>
  <c r="AH119" i="3" s="1"/>
  <c r="AH110" i="3"/>
  <c r="AH111" i="3" s="1"/>
  <c r="AH106" i="3"/>
  <c r="AH107" i="3" s="1"/>
  <c r="AH102" i="3"/>
  <c r="AH103" i="3" s="1"/>
  <c r="AH98" i="3"/>
  <c r="AH99" i="3" s="1"/>
  <c r="AH94" i="3"/>
  <c r="AH95" i="3" s="1"/>
  <c r="AK130" i="3"/>
  <c r="AK131" i="3" s="1"/>
  <c r="AK126" i="3"/>
  <c r="AK127" i="3" s="1"/>
  <c r="AK122" i="3"/>
  <c r="AK123" i="3" s="1"/>
  <c r="AK118" i="3"/>
  <c r="AK119" i="3" s="1"/>
  <c r="AK110" i="3"/>
  <c r="AK111" i="3" s="1"/>
  <c r="AK106" i="3"/>
  <c r="AK107" i="3" s="1"/>
  <c r="AK102" i="3"/>
  <c r="AK103" i="3" s="1"/>
  <c r="AK114" i="3"/>
  <c r="AK115" i="3" s="1"/>
  <c r="AK98" i="3"/>
  <c r="AK99" i="3" s="1"/>
  <c r="AK94" i="3"/>
  <c r="AK95" i="3" s="1"/>
  <c r="CK130" i="3"/>
  <c r="CK131" i="3" s="1"/>
  <c r="CK126" i="3"/>
  <c r="CK127" i="3" s="1"/>
  <c r="CK122" i="3"/>
  <c r="CK123" i="3" s="1"/>
  <c r="CK118" i="3"/>
  <c r="CK119" i="3" s="1"/>
  <c r="CK114" i="3"/>
  <c r="CK115" i="3" s="1"/>
  <c r="CK110" i="3"/>
  <c r="CK111" i="3" s="1"/>
  <c r="CK106" i="3"/>
  <c r="CK107" i="3" s="1"/>
  <c r="CK102" i="3"/>
  <c r="CK103" i="3" s="1"/>
  <c r="CK98" i="3"/>
  <c r="CK99" i="3" s="1"/>
  <c r="CK94" i="3"/>
  <c r="CK95" i="3" s="1"/>
  <c r="BC122" i="3"/>
  <c r="BC123" i="3" s="1"/>
  <c r="BC126" i="3"/>
  <c r="BC127" i="3" s="1"/>
  <c r="BC114" i="3"/>
  <c r="BC115" i="3" s="1"/>
  <c r="BC130" i="3"/>
  <c r="BC131" i="3" s="1"/>
  <c r="BC110" i="3"/>
  <c r="BC111" i="3" s="1"/>
  <c r="BC106" i="3"/>
  <c r="BC107" i="3" s="1"/>
  <c r="BC102" i="3"/>
  <c r="BC103" i="3" s="1"/>
  <c r="BC118" i="3"/>
  <c r="BC119" i="3" s="1"/>
  <c r="BC98" i="3"/>
  <c r="BC99" i="3" s="1"/>
  <c r="BC94" i="3"/>
  <c r="BC95" i="3" s="1"/>
  <c r="AG130" i="3"/>
  <c r="AG131" i="3" s="1"/>
  <c r="AG126" i="3"/>
  <c r="AG127" i="3" s="1"/>
  <c r="AG122" i="3"/>
  <c r="AG123" i="3" s="1"/>
  <c r="AG118" i="3"/>
  <c r="AG119" i="3" s="1"/>
  <c r="AG114" i="3"/>
  <c r="AG115" i="3" s="1"/>
  <c r="AG110" i="3"/>
  <c r="AG111" i="3" s="1"/>
  <c r="AG106" i="3"/>
  <c r="AG107" i="3" s="1"/>
  <c r="AG102" i="3"/>
  <c r="AG103" i="3" s="1"/>
  <c r="AG98" i="3"/>
  <c r="AG99" i="3" s="1"/>
  <c r="AG94" i="3"/>
  <c r="AG95" i="3" s="1"/>
  <c r="J130" i="3"/>
  <c r="J131" i="3" s="1"/>
  <c r="J114" i="3"/>
  <c r="J115" i="3" s="1"/>
  <c r="J110" i="3"/>
  <c r="J111" i="3" s="1"/>
  <c r="J118" i="3"/>
  <c r="J119" i="3" s="1"/>
  <c r="J122" i="3"/>
  <c r="J123" i="3" s="1"/>
  <c r="J126" i="3"/>
  <c r="J127" i="3" s="1"/>
  <c r="J102" i="3"/>
  <c r="J103" i="3" s="1"/>
  <c r="J98" i="3"/>
  <c r="J99" i="3" s="1"/>
  <c r="J94" i="3"/>
  <c r="J95" i="3" s="1"/>
  <c r="J106" i="3"/>
  <c r="J107" i="3" s="1"/>
  <c r="AJ130" i="3"/>
  <c r="AJ131" i="3" s="1"/>
  <c r="AJ118" i="3"/>
  <c r="AJ119" i="3" s="1"/>
  <c r="AJ122" i="3"/>
  <c r="AJ123" i="3" s="1"/>
  <c r="AJ114" i="3"/>
  <c r="AJ115" i="3" s="1"/>
  <c r="AJ110" i="3"/>
  <c r="AJ111" i="3" s="1"/>
  <c r="AJ106" i="3"/>
  <c r="AJ107" i="3" s="1"/>
  <c r="AJ102" i="3"/>
  <c r="AJ103" i="3" s="1"/>
  <c r="AJ126" i="3"/>
  <c r="AJ127" i="3" s="1"/>
  <c r="AJ98" i="3"/>
  <c r="AJ99" i="3" s="1"/>
  <c r="AJ94" i="3"/>
  <c r="AJ95" i="3" s="1"/>
  <c r="BK130" i="3"/>
  <c r="BK131" i="3" s="1"/>
  <c r="BK118" i="3"/>
  <c r="BK119" i="3" s="1"/>
  <c r="BK114" i="3"/>
  <c r="BK115" i="3" s="1"/>
  <c r="BK122" i="3"/>
  <c r="BK123" i="3" s="1"/>
  <c r="BK110" i="3"/>
  <c r="BK111" i="3" s="1"/>
  <c r="BK106" i="3"/>
  <c r="BK107" i="3" s="1"/>
  <c r="BK102" i="3"/>
  <c r="BK103" i="3" s="1"/>
  <c r="BK126" i="3"/>
  <c r="BK127" i="3" s="1"/>
  <c r="BK98" i="3"/>
  <c r="BK99" i="3" s="1"/>
  <c r="BK94" i="3"/>
  <c r="BK95" i="3" s="1"/>
  <c r="BG126" i="3"/>
  <c r="BG127" i="3" s="1"/>
  <c r="BG130" i="3"/>
  <c r="BG131" i="3" s="1"/>
  <c r="BG114" i="3"/>
  <c r="BG115" i="3" s="1"/>
  <c r="BG118" i="3"/>
  <c r="BG119" i="3" s="1"/>
  <c r="BG110" i="3"/>
  <c r="BG111" i="3" s="1"/>
  <c r="BG106" i="3"/>
  <c r="BG107" i="3" s="1"/>
  <c r="BG102" i="3"/>
  <c r="BG103" i="3" s="1"/>
  <c r="BG122" i="3"/>
  <c r="BG123" i="3" s="1"/>
  <c r="BG98" i="3"/>
  <c r="BG99" i="3" s="1"/>
  <c r="BG94" i="3"/>
  <c r="BG95" i="3" s="1"/>
  <c r="AL126" i="3"/>
  <c r="AL127" i="3" s="1"/>
  <c r="AL114" i="3"/>
  <c r="AL115" i="3" s="1"/>
  <c r="AL130" i="3"/>
  <c r="AL131" i="3" s="1"/>
  <c r="AL118" i="3"/>
  <c r="AL119" i="3" s="1"/>
  <c r="AL122" i="3"/>
  <c r="AL123" i="3" s="1"/>
  <c r="AL110" i="3"/>
  <c r="AL111" i="3" s="1"/>
  <c r="AL102" i="3"/>
  <c r="AL103" i="3" s="1"/>
  <c r="AL106" i="3"/>
  <c r="AL107" i="3" s="1"/>
  <c r="AL98" i="3"/>
  <c r="AL99" i="3" s="1"/>
  <c r="AL94" i="3"/>
  <c r="AL95" i="3" s="1"/>
  <c r="BE130" i="3"/>
  <c r="BE131" i="3" s="1"/>
  <c r="BE126" i="3"/>
  <c r="BE127" i="3" s="1"/>
  <c r="BE122" i="3"/>
  <c r="BE123" i="3" s="1"/>
  <c r="BE118" i="3"/>
  <c r="BE119" i="3" s="1"/>
  <c r="BE114" i="3"/>
  <c r="BE115" i="3" s="1"/>
  <c r="BE110" i="3"/>
  <c r="BE111" i="3" s="1"/>
  <c r="BE106" i="3"/>
  <c r="BE107" i="3" s="1"/>
  <c r="BE102" i="3"/>
  <c r="BE103" i="3" s="1"/>
  <c r="BE98" i="3"/>
  <c r="BE99" i="3" s="1"/>
  <c r="BE94" i="3"/>
  <c r="BE95" i="3" s="1"/>
  <c r="BI130" i="3"/>
  <c r="BI131" i="3" s="1"/>
  <c r="BI126" i="3"/>
  <c r="BI127" i="3" s="1"/>
  <c r="BI122" i="3"/>
  <c r="BI123" i="3" s="1"/>
  <c r="BI118" i="3"/>
  <c r="BI119" i="3" s="1"/>
  <c r="BI114" i="3"/>
  <c r="BI115" i="3" s="1"/>
  <c r="BI110" i="3"/>
  <c r="BI111" i="3" s="1"/>
  <c r="BI106" i="3"/>
  <c r="BI107" i="3" s="1"/>
  <c r="BI102" i="3"/>
  <c r="BI103" i="3" s="1"/>
  <c r="BI98" i="3"/>
  <c r="BI99" i="3" s="1"/>
  <c r="BI94" i="3"/>
  <c r="BI95" i="3" s="1"/>
  <c r="BO118" i="3"/>
  <c r="BO119" i="3" s="1"/>
  <c r="BO122" i="3"/>
  <c r="BO123" i="3" s="1"/>
  <c r="BO114" i="3"/>
  <c r="BO115" i="3" s="1"/>
  <c r="BO126" i="3"/>
  <c r="BO127" i="3" s="1"/>
  <c r="BO130" i="3"/>
  <c r="BO131" i="3" s="1"/>
  <c r="BO110" i="3"/>
  <c r="BO111" i="3" s="1"/>
  <c r="BO106" i="3"/>
  <c r="BO107" i="3" s="1"/>
  <c r="BO102" i="3"/>
  <c r="BO103" i="3" s="1"/>
  <c r="BO98" i="3"/>
  <c r="BO99" i="3" s="1"/>
  <c r="BO94" i="3"/>
  <c r="BO95" i="3" s="1"/>
  <c r="AT118" i="3"/>
  <c r="AT119" i="3" s="1"/>
  <c r="AT114" i="3"/>
  <c r="AT115" i="3" s="1"/>
  <c r="AT122" i="3"/>
  <c r="AT123" i="3" s="1"/>
  <c r="AT126" i="3"/>
  <c r="AT127" i="3" s="1"/>
  <c r="AT130" i="3"/>
  <c r="AT131" i="3" s="1"/>
  <c r="AT106" i="3"/>
  <c r="AT107" i="3" s="1"/>
  <c r="AT102" i="3"/>
  <c r="AT103" i="3" s="1"/>
  <c r="AT110" i="3"/>
  <c r="AT111" i="3" s="1"/>
  <c r="AT98" i="3"/>
  <c r="AT99" i="3" s="1"/>
  <c r="AT94" i="3"/>
  <c r="AT95" i="3" s="1"/>
  <c r="BM130" i="3"/>
  <c r="BM131" i="3" s="1"/>
  <c r="BM126" i="3"/>
  <c r="BM127" i="3" s="1"/>
  <c r="BM122" i="3"/>
  <c r="BM123" i="3" s="1"/>
  <c r="BM118" i="3"/>
  <c r="BM119" i="3" s="1"/>
  <c r="BM114" i="3"/>
  <c r="BM115" i="3" s="1"/>
  <c r="BM110" i="3"/>
  <c r="BM111" i="3" s="1"/>
  <c r="BM106" i="3"/>
  <c r="BM107" i="3" s="1"/>
  <c r="BM102" i="3"/>
  <c r="BM103" i="3" s="1"/>
  <c r="BM98" i="3"/>
  <c r="BM99" i="3" s="1"/>
  <c r="BM94" i="3"/>
  <c r="BM95" i="3" s="1"/>
  <c r="AC130" i="3"/>
  <c r="AC131" i="3" s="1"/>
  <c r="AC126" i="3"/>
  <c r="AC127" i="3" s="1"/>
  <c r="AC122" i="3"/>
  <c r="AC123" i="3" s="1"/>
  <c r="AC118" i="3"/>
  <c r="AC119" i="3" s="1"/>
  <c r="AC114" i="3"/>
  <c r="AC115" i="3" s="1"/>
  <c r="AC110" i="3"/>
  <c r="AC111" i="3" s="1"/>
  <c r="AC106" i="3"/>
  <c r="AC107" i="3" s="1"/>
  <c r="AC102" i="3"/>
  <c r="AC103" i="3" s="1"/>
  <c r="AC98" i="3"/>
  <c r="AC99" i="3" s="1"/>
  <c r="AC94" i="3"/>
  <c r="AC95" i="3" s="1"/>
  <c r="AV126" i="3"/>
  <c r="AV127" i="3" s="1"/>
  <c r="AV130" i="3"/>
  <c r="AV131" i="3" s="1"/>
  <c r="AV118" i="3"/>
  <c r="AV119" i="3" s="1"/>
  <c r="AV114" i="3"/>
  <c r="AV115" i="3" s="1"/>
  <c r="AV122" i="3"/>
  <c r="AV123" i="3" s="1"/>
  <c r="AV110" i="3"/>
  <c r="AV111" i="3" s="1"/>
  <c r="AV106" i="3"/>
  <c r="AV107" i="3" s="1"/>
  <c r="AV102" i="3"/>
  <c r="AV103" i="3" s="1"/>
  <c r="AV98" i="3"/>
  <c r="AV99" i="3" s="1"/>
  <c r="AV94" i="3"/>
  <c r="AV95" i="3" s="1"/>
  <c r="AE130" i="3"/>
  <c r="AE131" i="3" s="1"/>
  <c r="AE118" i="3"/>
  <c r="AE119" i="3" s="1"/>
  <c r="AE114" i="3"/>
  <c r="AE115" i="3" s="1"/>
  <c r="AE122" i="3"/>
  <c r="AE123" i="3" s="1"/>
  <c r="AE110" i="3"/>
  <c r="AE111" i="3" s="1"/>
  <c r="AE106" i="3"/>
  <c r="AE107" i="3" s="1"/>
  <c r="AE102" i="3"/>
  <c r="AE103" i="3" s="1"/>
  <c r="AE126" i="3"/>
  <c r="AE127" i="3" s="1"/>
  <c r="AE98" i="3"/>
  <c r="AE99" i="3" s="1"/>
  <c r="AE94" i="3"/>
  <c r="AE95" i="3" s="1"/>
  <c r="AS130" i="3"/>
  <c r="AS131" i="3" s="1"/>
  <c r="AS126" i="3"/>
  <c r="AS127" i="3" s="1"/>
  <c r="AS122" i="3"/>
  <c r="AS123" i="3" s="1"/>
  <c r="AS118" i="3"/>
  <c r="AS119" i="3" s="1"/>
  <c r="AS114" i="3"/>
  <c r="AS115" i="3" s="1"/>
  <c r="AS110" i="3"/>
  <c r="AS111" i="3" s="1"/>
  <c r="AS106" i="3"/>
  <c r="AS107" i="3" s="1"/>
  <c r="AS102" i="3"/>
  <c r="AS103" i="3" s="1"/>
  <c r="AS98" i="3"/>
  <c r="AS99" i="3" s="1"/>
  <c r="AS94" i="3"/>
  <c r="AS95" i="3" s="1"/>
  <c r="BL126" i="3"/>
  <c r="BL127" i="3" s="1"/>
  <c r="BL130" i="3"/>
  <c r="BL131" i="3" s="1"/>
  <c r="BL118" i="3"/>
  <c r="BL119" i="3" s="1"/>
  <c r="BL114" i="3"/>
  <c r="BL115" i="3" s="1"/>
  <c r="BL110" i="3"/>
  <c r="BL111" i="3" s="1"/>
  <c r="BL106" i="3"/>
  <c r="BL107" i="3" s="1"/>
  <c r="BL102" i="3"/>
  <c r="BL103" i="3" s="1"/>
  <c r="BL98" i="3"/>
  <c r="BL99" i="3" s="1"/>
  <c r="BL94" i="3"/>
  <c r="BL95" i="3" s="1"/>
  <c r="BL122" i="3"/>
  <c r="BL123" i="3" s="1"/>
  <c r="AQ126" i="3"/>
  <c r="AQ127" i="3" s="1"/>
  <c r="AQ130" i="3"/>
  <c r="AQ131" i="3" s="1"/>
  <c r="AQ114" i="3"/>
  <c r="AQ115" i="3" s="1"/>
  <c r="AQ118" i="3"/>
  <c r="AQ119" i="3" s="1"/>
  <c r="AQ110" i="3"/>
  <c r="AQ111" i="3" s="1"/>
  <c r="AQ106" i="3"/>
  <c r="AQ107" i="3" s="1"/>
  <c r="AQ102" i="3"/>
  <c r="AQ103" i="3" s="1"/>
  <c r="AQ122" i="3"/>
  <c r="AQ123" i="3" s="1"/>
  <c r="AQ94" i="3"/>
  <c r="AQ95" i="3" s="1"/>
  <c r="AQ98" i="3"/>
  <c r="AQ99" i="3" s="1"/>
  <c r="BZ118" i="3"/>
  <c r="BZ119" i="3" s="1"/>
  <c r="BZ114" i="3"/>
  <c r="BZ115" i="3" s="1"/>
  <c r="BZ122" i="3"/>
  <c r="BZ123" i="3" s="1"/>
  <c r="BZ126" i="3"/>
  <c r="BZ127" i="3" s="1"/>
  <c r="BZ130" i="3"/>
  <c r="BZ131" i="3" s="1"/>
  <c r="BZ106" i="3"/>
  <c r="BZ107" i="3" s="1"/>
  <c r="BZ102" i="3"/>
  <c r="BZ103" i="3" s="1"/>
  <c r="BZ110" i="3"/>
  <c r="BZ111" i="3" s="1"/>
  <c r="BZ98" i="3"/>
  <c r="BZ99" i="3" s="1"/>
  <c r="BZ94" i="3"/>
  <c r="BZ95" i="3" s="1"/>
  <c r="H130" i="3"/>
  <c r="H131" i="3" s="1"/>
  <c r="H118" i="3"/>
  <c r="H119" i="3" s="1"/>
  <c r="H122" i="3"/>
  <c r="H123" i="3" s="1"/>
  <c r="H126" i="3"/>
  <c r="H127" i="3" s="1"/>
  <c r="H110" i="3"/>
  <c r="H111" i="3" s="1"/>
  <c r="H114" i="3"/>
  <c r="H115" i="3" s="1"/>
  <c r="H106" i="3"/>
  <c r="H107" i="3" s="1"/>
  <c r="H102" i="3"/>
  <c r="H103" i="3" s="1"/>
  <c r="H98" i="3"/>
  <c r="H99" i="3" s="1"/>
  <c r="H94" i="3"/>
  <c r="H95" i="3" s="1"/>
  <c r="BW126" i="3"/>
  <c r="BW127" i="3" s="1"/>
  <c r="BW130" i="3"/>
  <c r="BW131" i="3" s="1"/>
  <c r="BW114" i="3"/>
  <c r="BW115" i="3" s="1"/>
  <c r="BW118" i="3"/>
  <c r="BW119" i="3" s="1"/>
  <c r="BW110" i="3"/>
  <c r="BW111" i="3" s="1"/>
  <c r="BW106" i="3"/>
  <c r="BW107" i="3" s="1"/>
  <c r="BW102" i="3"/>
  <c r="BW103" i="3" s="1"/>
  <c r="BW122" i="3"/>
  <c r="BW123" i="3" s="1"/>
  <c r="BW98" i="3"/>
  <c r="BW99" i="3" s="1"/>
  <c r="BW94" i="3"/>
  <c r="BW95" i="3" s="1"/>
  <c r="AO130" i="3"/>
  <c r="AO131" i="3" s="1"/>
  <c r="AO126" i="3"/>
  <c r="AO127" i="3" s="1"/>
  <c r="AO122" i="3"/>
  <c r="AO123" i="3" s="1"/>
  <c r="AO118" i="3"/>
  <c r="AO119" i="3" s="1"/>
  <c r="AO114" i="3"/>
  <c r="AO115" i="3" s="1"/>
  <c r="AO110" i="3"/>
  <c r="AO111" i="3" s="1"/>
  <c r="AO106" i="3"/>
  <c r="AO107" i="3" s="1"/>
  <c r="AO102" i="3"/>
  <c r="AO103" i="3" s="1"/>
  <c r="AO98" i="3"/>
  <c r="AO99" i="3" s="1"/>
  <c r="AO94" i="3"/>
  <c r="AO95" i="3" s="1"/>
  <c r="AI118" i="3"/>
  <c r="AI119" i="3" s="1"/>
  <c r="AI122" i="3"/>
  <c r="AI123" i="3" s="1"/>
  <c r="AI114" i="3"/>
  <c r="AI115" i="3" s="1"/>
  <c r="AI126" i="3"/>
  <c r="AI127" i="3" s="1"/>
  <c r="AI110" i="3"/>
  <c r="AI111" i="3" s="1"/>
  <c r="AI106" i="3"/>
  <c r="AI107" i="3" s="1"/>
  <c r="AI102" i="3"/>
  <c r="AI103" i="3" s="1"/>
  <c r="AI130" i="3"/>
  <c r="AI131" i="3" s="1"/>
  <c r="AI98" i="3"/>
  <c r="AI99" i="3" s="1"/>
  <c r="AI94" i="3"/>
  <c r="AI95" i="3" s="1"/>
  <c r="CF130" i="3"/>
  <c r="CF131" i="3" s="1"/>
  <c r="CF118" i="3"/>
  <c r="CF119" i="3" s="1"/>
  <c r="CF122" i="3"/>
  <c r="CF123" i="3" s="1"/>
  <c r="CF114" i="3"/>
  <c r="CF115" i="3" s="1"/>
  <c r="CF110" i="3"/>
  <c r="CF111" i="3" s="1"/>
  <c r="CF106" i="3"/>
  <c r="CF107" i="3" s="1"/>
  <c r="CF102" i="3"/>
  <c r="CF103" i="3" s="1"/>
  <c r="CF98" i="3"/>
  <c r="CF99" i="3" s="1"/>
  <c r="CF94" i="3"/>
  <c r="CF95" i="3" s="1"/>
  <c r="CF126" i="3"/>
  <c r="CF127" i="3" s="1"/>
  <c r="N118" i="3"/>
  <c r="N119" i="3" s="1"/>
  <c r="N114" i="3"/>
  <c r="N115" i="3" s="1"/>
  <c r="N130" i="3"/>
  <c r="N131" i="3" s="1"/>
  <c r="N122" i="3"/>
  <c r="N123" i="3" s="1"/>
  <c r="N126" i="3"/>
  <c r="N127" i="3" s="1"/>
  <c r="N110" i="3"/>
  <c r="N111" i="3" s="1"/>
  <c r="N106" i="3"/>
  <c r="N107" i="3" s="1"/>
  <c r="N102" i="3"/>
  <c r="N103" i="3" s="1"/>
  <c r="N98" i="3"/>
  <c r="N99" i="3" s="1"/>
  <c r="N94" i="3"/>
  <c r="N95" i="3" s="1"/>
  <c r="AY118" i="3"/>
  <c r="AY119" i="3" s="1"/>
  <c r="AY122" i="3"/>
  <c r="AY123" i="3" s="1"/>
  <c r="AY114" i="3"/>
  <c r="AY115" i="3" s="1"/>
  <c r="AY126" i="3"/>
  <c r="AY127" i="3" s="1"/>
  <c r="AY110" i="3"/>
  <c r="AY111" i="3" s="1"/>
  <c r="AY106" i="3"/>
  <c r="AY107" i="3" s="1"/>
  <c r="AY102" i="3"/>
  <c r="AY103" i="3" s="1"/>
  <c r="AY130" i="3"/>
  <c r="AY131" i="3" s="1"/>
  <c r="AY98" i="3"/>
  <c r="AY99" i="3" s="1"/>
  <c r="AY94" i="3"/>
  <c r="AY95" i="3" s="1"/>
  <c r="AD118" i="3"/>
  <c r="AD119" i="3" s="1"/>
  <c r="AD114" i="3"/>
  <c r="AD115" i="3" s="1"/>
  <c r="AD122" i="3"/>
  <c r="AD123" i="3" s="1"/>
  <c r="AD126" i="3"/>
  <c r="AD127" i="3" s="1"/>
  <c r="AD130" i="3"/>
  <c r="AD131" i="3" s="1"/>
  <c r="AD106" i="3"/>
  <c r="AD107" i="3" s="1"/>
  <c r="AD98" i="3"/>
  <c r="AD99" i="3" s="1"/>
  <c r="AD102" i="3"/>
  <c r="AD103" i="3" s="1"/>
  <c r="AD110" i="3"/>
  <c r="AD111" i="3" s="1"/>
  <c r="AD94" i="3"/>
  <c r="AD95" i="3" s="1"/>
  <c r="AW130" i="3"/>
  <c r="AW131" i="3" s="1"/>
  <c r="AW126" i="3"/>
  <c r="AW127" i="3" s="1"/>
  <c r="AW122" i="3"/>
  <c r="AW123" i="3" s="1"/>
  <c r="AW118" i="3"/>
  <c r="AW119" i="3" s="1"/>
  <c r="AW114" i="3"/>
  <c r="AW115" i="3" s="1"/>
  <c r="AW110" i="3"/>
  <c r="AW111" i="3" s="1"/>
  <c r="AW106" i="3"/>
  <c r="AW107" i="3" s="1"/>
  <c r="AW102" i="3"/>
  <c r="AW103" i="3" s="1"/>
  <c r="AW98" i="3"/>
  <c r="AW99" i="3" s="1"/>
  <c r="AW94" i="3"/>
  <c r="AW95" i="3" s="1"/>
  <c r="M130" i="3"/>
  <c r="M131" i="3" s="1"/>
  <c r="M126" i="3"/>
  <c r="M127" i="3" s="1"/>
  <c r="M122" i="3"/>
  <c r="M123" i="3" s="1"/>
  <c r="M118" i="3"/>
  <c r="M119" i="3" s="1"/>
  <c r="M114" i="3"/>
  <c r="M115" i="3" s="1"/>
  <c r="M110" i="3"/>
  <c r="M111" i="3" s="1"/>
  <c r="M106" i="3"/>
  <c r="M107" i="3" s="1"/>
  <c r="M102" i="3"/>
  <c r="M103" i="3" s="1"/>
  <c r="M98" i="3"/>
  <c r="M99" i="3" s="1"/>
  <c r="M94" i="3"/>
  <c r="M95" i="3" s="1"/>
  <c r="AF126" i="3"/>
  <c r="AF127" i="3" s="1"/>
  <c r="AF130" i="3"/>
  <c r="AF131" i="3" s="1"/>
  <c r="AF118" i="3"/>
  <c r="AF119" i="3" s="1"/>
  <c r="AF114" i="3"/>
  <c r="AF115" i="3" s="1"/>
  <c r="AF122" i="3"/>
  <c r="AF123" i="3" s="1"/>
  <c r="AF110" i="3"/>
  <c r="AF111" i="3" s="1"/>
  <c r="AF106" i="3"/>
  <c r="AF107" i="3" s="1"/>
  <c r="AF102" i="3"/>
  <c r="AF103" i="3" s="1"/>
  <c r="AF98" i="3"/>
  <c r="AF99" i="3" s="1"/>
  <c r="AF94" i="3"/>
  <c r="AF95" i="3" s="1"/>
  <c r="BV130" i="3"/>
  <c r="BV131" i="3" s="1"/>
  <c r="BV114" i="3"/>
  <c r="BV115" i="3" s="1"/>
  <c r="BV118" i="3"/>
  <c r="BV119" i="3" s="1"/>
  <c r="BV122" i="3"/>
  <c r="BV123" i="3" s="1"/>
  <c r="BV126" i="3"/>
  <c r="BV127" i="3" s="1"/>
  <c r="BV102" i="3"/>
  <c r="BV103" i="3" s="1"/>
  <c r="BV106" i="3"/>
  <c r="BV107" i="3" s="1"/>
  <c r="BV110" i="3"/>
  <c r="BV111" i="3" s="1"/>
  <c r="BV98" i="3"/>
  <c r="BV99" i="3" s="1"/>
  <c r="BV94" i="3"/>
  <c r="BV95" i="3" s="1"/>
  <c r="U130" i="3"/>
  <c r="U131" i="3" s="1"/>
  <c r="U126" i="3"/>
  <c r="U127" i="3" s="1"/>
  <c r="U122" i="3"/>
  <c r="U123" i="3" s="1"/>
  <c r="U118" i="3"/>
  <c r="U119" i="3" s="1"/>
  <c r="U110" i="3"/>
  <c r="U111" i="3" s="1"/>
  <c r="U106" i="3"/>
  <c r="U107" i="3" s="1"/>
  <c r="U102" i="3"/>
  <c r="U103" i="3" s="1"/>
  <c r="U98" i="3"/>
  <c r="U99" i="3" s="1"/>
  <c r="U94" i="3"/>
  <c r="U95" i="3" s="1"/>
  <c r="U114" i="3"/>
  <c r="U115" i="3" s="1"/>
  <c r="AN118" i="3"/>
  <c r="AN119" i="3" s="1"/>
  <c r="AN122" i="3"/>
  <c r="AN123" i="3" s="1"/>
  <c r="AN126" i="3"/>
  <c r="AN127" i="3" s="1"/>
  <c r="AN114" i="3"/>
  <c r="AN115" i="3" s="1"/>
  <c r="AN110" i="3"/>
  <c r="AN111" i="3" s="1"/>
  <c r="AN106" i="3"/>
  <c r="AN107" i="3" s="1"/>
  <c r="AN102" i="3"/>
  <c r="AN103" i="3" s="1"/>
  <c r="AN130" i="3"/>
  <c r="AN131" i="3" s="1"/>
  <c r="AN98" i="3"/>
  <c r="AN99" i="3" s="1"/>
  <c r="AN94" i="3"/>
  <c r="AN95" i="3" s="1"/>
  <c r="W130" i="3"/>
  <c r="W131" i="3" s="1"/>
  <c r="W122" i="3"/>
  <c r="W123" i="3" s="1"/>
  <c r="W126" i="3"/>
  <c r="W127" i="3" s="1"/>
  <c r="W114" i="3"/>
  <c r="W115" i="3" s="1"/>
  <c r="W110" i="3"/>
  <c r="W111" i="3" s="1"/>
  <c r="W106" i="3"/>
  <c r="W107" i="3" s="1"/>
  <c r="W102" i="3"/>
  <c r="W103" i="3" s="1"/>
  <c r="W98" i="3"/>
  <c r="W99" i="3" s="1"/>
  <c r="W118" i="3"/>
  <c r="W119" i="3" s="1"/>
  <c r="W94" i="3"/>
  <c r="W95" i="3" s="1"/>
  <c r="AP130" i="3"/>
  <c r="AP131" i="3" s="1"/>
  <c r="AP114" i="3"/>
  <c r="AP115" i="3" s="1"/>
  <c r="AP118" i="3"/>
  <c r="AP119" i="3" s="1"/>
  <c r="AP122" i="3"/>
  <c r="AP123" i="3" s="1"/>
  <c r="AP126" i="3"/>
  <c r="AP127" i="3" s="1"/>
  <c r="AP102" i="3"/>
  <c r="AP103" i="3" s="1"/>
  <c r="AP106" i="3"/>
  <c r="AP107" i="3" s="1"/>
  <c r="AP110" i="3"/>
  <c r="AP111" i="3" s="1"/>
  <c r="AP98" i="3"/>
  <c r="AP99" i="3" s="1"/>
  <c r="AP94" i="3"/>
  <c r="AP95" i="3" s="1"/>
  <c r="S130" i="3"/>
  <c r="S131" i="3" s="1"/>
  <c r="S118" i="3"/>
  <c r="S119" i="3" s="1"/>
  <c r="S122" i="3"/>
  <c r="S123" i="3" s="1"/>
  <c r="S114" i="3"/>
  <c r="S115" i="3" s="1"/>
  <c r="S110" i="3"/>
  <c r="S111" i="3" s="1"/>
  <c r="S126" i="3"/>
  <c r="S127" i="3" s="1"/>
  <c r="S106" i="3"/>
  <c r="S107" i="3" s="1"/>
  <c r="S102" i="3"/>
  <c r="S103" i="3" s="1"/>
  <c r="S98" i="3"/>
  <c r="S99" i="3" s="1"/>
  <c r="S94" i="3"/>
  <c r="S95" i="3" s="1"/>
  <c r="BP130" i="3"/>
  <c r="BP131" i="3" s="1"/>
  <c r="BP118" i="3"/>
  <c r="BP119" i="3" s="1"/>
  <c r="BP122" i="3"/>
  <c r="BP123" i="3" s="1"/>
  <c r="BP114" i="3"/>
  <c r="BP115" i="3" s="1"/>
  <c r="BP126" i="3"/>
  <c r="BP127" i="3" s="1"/>
  <c r="BP110" i="3"/>
  <c r="BP111" i="3" s="1"/>
  <c r="BP106" i="3"/>
  <c r="BP107" i="3" s="1"/>
  <c r="BP102" i="3"/>
  <c r="BP103" i="3" s="1"/>
  <c r="BP98" i="3"/>
  <c r="BP99" i="3" s="1"/>
  <c r="BP94" i="3"/>
  <c r="BP95" i="3" s="1"/>
  <c r="Q130" i="3"/>
  <c r="Q131" i="3" s="1"/>
  <c r="Q126" i="3"/>
  <c r="Q127" i="3" s="1"/>
  <c r="Q122" i="3"/>
  <c r="Q123" i="3" s="1"/>
  <c r="Q118" i="3"/>
  <c r="Q119" i="3" s="1"/>
  <c r="Q110" i="3"/>
  <c r="Q111" i="3" s="1"/>
  <c r="Q114" i="3"/>
  <c r="Q115" i="3" s="1"/>
  <c r="Q106" i="3"/>
  <c r="Q107" i="3" s="1"/>
  <c r="Q102" i="3"/>
  <c r="Q103" i="3" s="1"/>
  <c r="Q98" i="3"/>
  <c r="Q99" i="3" s="1"/>
  <c r="Q94" i="3"/>
  <c r="Q95" i="3" s="1"/>
  <c r="L130" i="3"/>
  <c r="L131" i="3" s="1"/>
  <c r="L122" i="3"/>
  <c r="L123" i="3" s="1"/>
  <c r="L126" i="3"/>
  <c r="L127" i="3" s="1"/>
  <c r="L114" i="3"/>
  <c r="L115" i="3" s="1"/>
  <c r="L110" i="3"/>
  <c r="L111" i="3" s="1"/>
  <c r="L118" i="3"/>
  <c r="L119" i="3" s="1"/>
  <c r="L106" i="3"/>
  <c r="L107" i="3" s="1"/>
  <c r="L102" i="3"/>
  <c r="L103" i="3" s="1"/>
  <c r="L98" i="3"/>
  <c r="L99" i="3" s="1"/>
  <c r="L94" i="3"/>
  <c r="L95" i="3" s="1"/>
  <c r="AM122" i="3"/>
  <c r="AM123" i="3" s="1"/>
  <c r="AM126" i="3"/>
  <c r="AM127" i="3" s="1"/>
  <c r="AM114" i="3"/>
  <c r="AM115" i="3" s="1"/>
  <c r="AM130" i="3"/>
  <c r="AM131" i="3" s="1"/>
  <c r="AM110" i="3"/>
  <c r="AM111" i="3" s="1"/>
  <c r="AM106" i="3"/>
  <c r="AM107" i="3" s="1"/>
  <c r="AM102" i="3"/>
  <c r="AM103" i="3" s="1"/>
  <c r="AM118" i="3"/>
  <c r="AM119" i="3" s="1"/>
  <c r="AM98" i="3"/>
  <c r="AM99" i="3" s="1"/>
  <c r="AM94" i="3"/>
  <c r="AM95" i="3" s="1"/>
  <c r="V126" i="3"/>
  <c r="V127" i="3" s="1"/>
  <c r="V114" i="3"/>
  <c r="V115" i="3" s="1"/>
  <c r="V118" i="3"/>
  <c r="V119" i="3" s="1"/>
  <c r="V130" i="3"/>
  <c r="V131" i="3" s="1"/>
  <c r="V98" i="3"/>
  <c r="V99" i="3" s="1"/>
  <c r="V110" i="3"/>
  <c r="V111" i="3" s="1"/>
  <c r="V122" i="3"/>
  <c r="V123" i="3" s="1"/>
  <c r="V106" i="3"/>
  <c r="V107" i="3" s="1"/>
  <c r="V94" i="3"/>
  <c r="V95" i="3" s="1"/>
  <c r="V102" i="3"/>
  <c r="V103" i="3" s="1"/>
  <c r="CB126" i="3"/>
  <c r="CB127" i="3" s="1"/>
  <c r="CB130" i="3"/>
  <c r="CB131" i="3" s="1"/>
  <c r="CB118" i="3"/>
  <c r="CB119" i="3" s="1"/>
  <c r="CB114" i="3"/>
  <c r="CB115" i="3" s="1"/>
  <c r="CB110" i="3"/>
  <c r="CB111" i="3" s="1"/>
  <c r="CB106" i="3"/>
  <c r="CB107" i="3" s="1"/>
  <c r="CB102" i="3"/>
  <c r="CB103" i="3" s="1"/>
  <c r="CB122" i="3"/>
  <c r="CB123" i="3" s="1"/>
  <c r="CB98" i="3"/>
  <c r="CB99" i="3" s="1"/>
  <c r="CB94" i="3"/>
  <c r="CB95" i="3" s="1"/>
  <c r="BA130" i="3"/>
  <c r="BA131" i="3" s="1"/>
  <c r="BA126" i="3"/>
  <c r="BA127" i="3" s="1"/>
  <c r="BA122" i="3"/>
  <c r="BA123" i="3" s="1"/>
  <c r="BA118" i="3"/>
  <c r="BA119" i="3" s="1"/>
  <c r="BA110" i="3"/>
  <c r="BA111" i="3" s="1"/>
  <c r="BA106" i="3"/>
  <c r="BA107" i="3" s="1"/>
  <c r="BA102" i="3"/>
  <c r="BA103" i="3" s="1"/>
  <c r="BA114" i="3"/>
  <c r="BA115" i="3" s="1"/>
  <c r="BA98" i="3"/>
  <c r="BA99" i="3" s="1"/>
  <c r="BA94" i="3"/>
  <c r="BA95" i="3" s="1"/>
  <c r="BT118" i="3"/>
  <c r="BT119" i="3" s="1"/>
  <c r="BT122" i="3"/>
  <c r="BT123" i="3" s="1"/>
  <c r="BT126" i="3"/>
  <c r="BT127" i="3" s="1"/>
  <c r="BT114" i="3"/>
  <c r="BT115" i="3" s="1"/>
  <c r="BT130" i="3"/>
  <c r="BT131" i="3" s="1"/>
  <c r="BT110" i="3"/>
  <c r="BT111" i="3" s="1"/>
  <c r="BT106" i="3"/>
  <c r="BT107" i="3" s="1"/>
  <c r="BT102" i="3"/>
  <c r="BT103" i="3" s="1"/>
  <c r="BT98" i="3"/>
  <c r="BT99" i="3" s="1"/>
  <c r="BT94" i="3"/>
  <c r="BT95" i="3" s="1"/>
  <c r="AX122" i="3"/>
  <c r="AX123" i="3" s="1"/>
  <c r="AX114" i="3"/>
  <c r="AX115" i="3" s="1"/>
  <c r="AX126" i="3"/>
  <c r="AX127" i="3" s="1"/>
  <c r="AX130" i="3"/>
  <c r="AX131" i="3" s="1"/>
  <c r="AX118" i="3"/>
  <c r="AX119" i="3" s="1"/>
  <c r="AX110" i="3"/>
  <c r="AX111" i="3" s="1"/>
  <c r="AX106" i="3"/>
  <c r="AX107" i="3" s="1"/>
  <c r="AX102" i="3"/>
  <c r="AX103" i="3" s="1"/>
  <c r="AX98" i="3"/>
  <c r="AX99" i="3" s="1"/>
  <c r="AX94" i="3"/>
  <c r="AX95" i="3" s="1"/>
  <c r="CD122" i="3"/>
  <c r="CD123" i="3" s="1"/>
  <c r="CD114" i="3"/>
  <c r="CD115" i="3" s="1"/>
  <c r="CD126" i="3"/>
  <c r="CD127" i="3" s="1"/>
  <c r="CD130" i="3"/>
  <c r="CD131" i="3" s="1"/>
  <c r="CD118" i="3"/>
  <c r="CD119" i="3" s="1"/>
  <c r="CD110" i="3"/>
  <c r="CD111" i="3" s="1"/>
  <c r="CD106" i="3"/>
  <c r="CD107" i="3" s="1"/>
  <c r="CD102" i="3"/>
  <c r="CD103" i="3" s="1"/>
  <c r="CD98" i="3"/>
  <c r="CD99" i="3" s="1"/>
  <c r="CD94" i="3"/>
  <c r="CD95" i="3" s="1"/>
  <c r="CJ118" i="3"/>
  <c r="CJ119" i="3" s="1"/>
  <c r="CJ122" i="3"/>
  <c r="CJ123" i="3" s="1"/>
  <c r="CJ126" i="3"/>
  <c r="CJ127" i="3" s="1"/>
  <c r="CJ114" i="3"/>
  <c r="CJ115" i="3" s="1"/>
  <c r="CJ130" i="3"/>
  <c r="CJ131" i="3" s="1"/>
  <c r="CJ110" i="3"/>
  <c r="CJ111" i="3" s="1"/>
  <c r="CJ106" i="3"/>
  <c r="CJ107" i="3" s="1"/>
  <c r="CJ102" i="3"/>
  <c r="CJ103" i="3" s="1"/>
  <c r="CJ98" i="3"/>
  <c r="CJ99" i="3" s="1"/>
  <c r="CJ94" i="3"/>
  <c r="CJ95" i="3" s="1"/>
  <c r="P130" i="3"/>
  <c r="P131" i="3" s="1"/>
  <c r="P126" i="3"/>
  <c r="P127" i="3" s="1"/>
  <c r="P118" i="3"/>
  <c r="P119" i="3" s="1"/>
  <c r="P114" i="3"/>
  <c r="P115" i="3" s="1"/>
  <c r="P110" i="3"/>
  <c r="P111" i="3" s="1"/>
  <c r="P106" i="3"/>
  <c r="P107" i="3" s="1"/>
  <c r="P102" i="3"/>
  <c r="P103" i="3" s="1"/>
  <c r="P98" i="3"/>
  <c r="P99" i="3" s="1"/>
  <c r="P122" i="3"/>
  <c r="P123" i="3" s="1"/>
  <c r="P94" i="3"/>
  <c r="P95" i="3" s="1"/>
  <c r="BS122" i="3"/>
  <c r="BS123" i="3" s="1"/>
  <c r="BS126" i="3"/>
  <c r="BS127" i="3" s="1"/>
  <c r="BS114" i="3"/>
  <c r="BS115" i="3" s="1"/>
  <c r="BS130" i="3"/>
  <c r="BS131" i="3" s="1"/>
  <c r="BS118" i="3"/>
  <c r="BS119" i="3" s="1"/>
  <c r="BS110" i="3"/>
  <c r="BS111" i="3" s="1"/>
  <c r="BS106" i="3"/>
  <c r="BS107" i="3" s="1"/>
  <c r="BS102" i="3"/>
  <c r="BS103" i="3" s="1"/>
  <c r="BS94" i="3"/>
  <c r="BS95" i="3" s="1"/>
  <c r="BS98" i="3"/>
  <c r="BS99" i="3" s="1"/>
  <c r="BB126" i="3"/>
  <c r="BB127" i="3" s="1"/>
  <c r="BB114" i="3"/>
  <c r="BB115" i="3" s="1"/>
  <c r="BB130" i="3"/>
  <c r="BB131" i="3" s="1"/>
  <c r="BB118" i="3"/>
  <c r="BB119" i="3" s="1"/>
  <c r="BB122" i="3"/>
  <c r="BB123" i="3" s="1"/>
  <c r="BB110" i="3"/>
  <c r="BB111" i="3" s="1"/>
  <c r="BB106" i="3"/>
  <c r="BB107" i="3" s="1"/>
  <c r="BB98" i="3"/>
  <c r="BB99" i="3" s="1"/>
  <c r="BB94" i="3"/>
  <c r="BB95" i="3" s="1"/>
  <c r="BB102" i="3"/>
  <c r="BB103" i="3" s="1"/>
  <c r="BU130" i="3"/>
  <c r="BU131" i="3" s="1"/>
  <c r="BU126" i="3"/>
  <c r="BU127" i="3" s="1"/>
  <c r="BU122" i="3"/>
  <c r="BU123" i="3" s="1"/>
  <c r="BU118" i="3"/>
  <c r="BU119" i="3" s="1"/>
  <c r="BU114" i="3"/>
  <c r="BU115" i="3" s="1"/>
  <c r="BU110" i="3"/>
  <c r="BU111" i="3" s="1"/>
  <c r="BU106" i="3"/>
  <c r="BU107" i="3" s="1"/>
  <c r="BU102" i="3"/>
  <c r="BU103" i="3" s="1"/>
  <c r="BU98" i="3"/>
  <c r="BU99" i="3" s="1"/>
  <c r="BU94" i="3"/>
  <c r="BU95" i="3" s="1"/>
  <c r="BD118" i="3"/>
  <c r="BD119" i="3" s="1"/>
  <c r="BD122" i="3"/>
  <c r="BD123" i="3" s="1"/>
  <c r="BD126" i="3"/>
  <c r="BD127" i="3" s="1"/>
  <c r="BD114" i="3"/>
  <c r="BD115" i="3" s="1"/>
  <c r="BD110" i="3"/>
  <c r="BD111" i="3" s="1"/>
  <c r="BD106" i="3"/>
  <c r="BD107" i="3" s="1"/>
  <c r="BD102" i="3"/>
  <c r="BD103" i="3" s="1"/>
  <c r="BD130" i="3"/>
  <c r="BD131" i="3" s="1"/>
  <c r="BD98" i="3"/>
  <c r="BD99" i="3" s="1"/>
  <c r="BD94" i="3"/>
  <c r="BD95" i="3" s="1"/>
  <c r="BR126" i="3"/>
  <c r="BR127" i="3" s="1"/>
  <c r="BR114" i="3"/>
  <c r="BR115" i="3" s="1"/>
  <c r="BR130" i="3"/>
  <c r="BR131" i="3" s="1"/>
  <c r="BR118" i="3"/>
  <c r="BR119" i="3" s="1"/>
  <c r="BR122" i="3"/>
  <c r="BR123" i="3" s="1"/>
  <c r="BR110" i="3"/>
  <c r="BR111" i="3" s="1"/>
  <c r="BR102" i="3"/>
  <c r="BR103" i="3" s="1"/>
  <c r="BR106" i="3"/>
  <c r="BR107" i="3" s="1"/>
  <c r="BR98" i="3"/>
  <c r="BR99" i="3" s="1"/>
  <c r="BR94" i="3"/>
  <c r="BR95" i="3" s="1"/>
  <c r="BN122" i="3"/>
  <c r="BN123" i="3" s="1"/>
  <c r="BN114" i="3"/>
  <c r="BN115" i="3" s="1"/>
  <c r="BN126" i="3"/>
  <c r="BN127" i="3" s="1"/>
  <c r="BN130" i="3"/>
  <c r="BN131" i="3" s="1"/>
  <c r="BN110" i="3"/>
  <c r="BN111" i="3" s="1"/>
  <c r="BN118" i="3"/>
  <c r="BN119" i="3" s="1"/>
  <c r="BN106" i="3"/>
  <c r="BN107" i="3" s="1"/>
  <c r="BN102" i="3"/>
  <c r="BN103" i="3" s="1"/>
  <c r="BN98" i="3"/>
  <c r="BN99" i="3" s="1"/>
  <c r="BN94" i="3"/>
  <c r="BN95" i="3" s="1"/>
  <c r="Z130" i="3"/>
  <c r="Z131" i="3" s="1"/>
  <c r="Z114" i="3"/>
  <c r="Z115" i="3" s="1"/>
  <c r="Z118" i="3"/>
  <c r="Z119" i="3" s="1"/>
  <c r="Z122" i="3"/>
  <c r="Z123" i="3" s="1"/>
  <c r="Z126" i="3"/>
  <c r="Z127" i="3" s="1"/>
  <c r="Z102" i="3"/>
  <c r="Z103" i="3" s="1"/>
  <c r="Z106" i="3"/>
  <c r="Z107" i="3" s="1"/>
  <c r="Z110" i="3"/>
  <c r="Z111" i="3" s="1"/>
  <c r="Z98" i="3"/>
  <c r="Z99" i="3" s="1"/>
  <c r="Z94" i="3"/>
  <c r="Z95" i="3" s="1"/>
  <c r="X130" i="3"/>
  <c r="X131" i="3" s="1"/>
  <c r="X118" i="3"/>
  <c r="X119" i="3" s="1"/>
  <c r="X122" i="3"/>
  <c r="X123" i="3" s="1"/>
  <c r="X126" i="3"/>
  <c r="X127" i="3" s="1"/>
  <c r="X114" i="3"/>
  <c r="X115" i="3" s="1"/>
  <c r="X110" i="3"/>
  <c r="X111" i="3" s="1"/>
  <c r="X106" i="3"/>
  <c r="X107" i="3" s="1"/>
  <c r="X102" i="3"/>
  <c r="X103" i="3" s="1"/>
  <c r="X98" i="3"/>
  <c r="X99" i="3" s="1"/>
  <c r="X94" i="3"/>
  <c r="X95" i="3" s="1"/>
  <c r="AB122" i="3"/>
  <c r="AB123" i="3" s="1"/>
  <c r="AB126" i="3"/>
  <c r="AB127" i="3" s="1"/>
  <c r="AB130" i="3"/>
  <c r="AB131" i="3" s="1"/>
  <c r="AB114" i="3"/>
  <c r="AB115" i="3" s="1"/>
  <c r="AB118" i="3"/>
  <c r="AB119" i="3" s="1"/>
  <c r="AB110" i="3"/>
  <c r="AB111" i="3" s="1"/>
  <c r="AB106" i="3"/>
  <c r="AB107" i="3" s="1"/>
  <c r="AB102" i="3"/>
  <c r="AB103" i="3" s="1"/>
  <c r="AB98" i="3"/>
  <c r="AB99" i="3" s="1"/>
  <c r="AB94" i="3"/>
  <c r="AB95" i="3" s="1"/>
  <c r="R122" i="3"/>
  <c r="R123" i="3" s="1"/>
  <c r="R114" i="3"/>
  <c r="R115" i="3" s="1"/>
  <c r="R126" i="3"/>
  <c r="R127" i="3" s="1"/>
  <c r="R130" i="3"/>
  <c r="R131" i="3" s="1"/>
  <c r="R110" i="3"/>
  <c r="R111" i="3" s="1"/>
  <c r="R118" i="3"/>
  <c r="R119" i="3" s="1"/>
  <c r="R106" i="3"/>
  <c r="R107" i="3" s="1"/>
  <c r="R98" i="3"/>
  <c r="R99" i="3" s="1"/>
  <c r="R102" i="3"/>
  <c r="R103" i="3" s="1"/>
  <c r="R94" i="3"/>
  <c r="R95" i="3" s="1"/>
  <c r="BY130" i="3"/>
  <c r="BY131" i="3" s="1"/>
  <c r="BY126" i="3"/>
  <c r="BY127" i="3" s="1"/>
  <c r="BY122" i="3"/>
  <c r="BY123" i="3" s="1"/>
  <c r="BY118" i="3"/>
  <c r="BY119" i="3" s="1"/>
  <c r="BY114" i="3"/>
  <c r="BY115" i="3" s="1"/>
  <c r="BY110" i="3"/>
  <c r="BY111" i="3" s="1"/>
  <c r="BY106" i="3"/>
  <c r="BY107" i="3" s="1"/>
  <c r="BY102" i="3"/>
  <c r="BY103" i="3" s="1"/>
  <c r="BY98" i="3"/>
  <c r="BY99" i="3" s="1"/>
  <c r="BY94" i="3"/>
  <c r="BY95" i="3" s="1"/>
  <c r="G130" i="3"/>
  <c r="G131" i="3" s="1"/>
  <c r="G122" i="3"/>
  <c r="G123" i="3" s="1"/>
  <c r="G126" i="3"/>
  <c r="G127" i="3" s="1"/>
  <c r="G110" i="3"/>
  <c r="G111" i="3" s="1"/>
  <c r="G114" i="3"/>
  <c r="G115" i="3" s="1"/>
  <c r="G118" i="3"/>
  <c r="G119" i="3" s="1"/>
  <c r="G106" i="3"/>
  <c r="G107" i="3" s="1"/>
  <c r="G102" i="3"/>
  <c r="G103" i="3" s="1"/>
  <c r="G98" i="3"/>
  <c r="G99" i="3" s="1"/>
  <c r="G94" i="3"/>
  <c r="G95" i="3" s="1"/>
  <c r="CH126" i="3"/>
  <c r="CH127" i="3" s="1"/>
  <c r="CH114" i="3"/>
  <c r="CH115" i="3" s="1"/>
  <c r="CH130" i="3"/>
  <c r="CH131" i="3" s="1"/>
  <c r="CH118" i="3"/>
  <c r="CH119" i="3" s="1"/>
  <c r="CH110" i="3"/>
  <c r="CH111" i="3" s="1"/>
  <c r="CH122" i="3"/>
  <c r="CH123" i="3" s="1"/>
  <c r="CH106" i="3"/>
  <c r="CH107" i="3" s="1"/>
  <c r="CH98" i="3"/>
  <c r="CH99" i="3" s="1"/>
  <c r="CH94" i="3"/>
  <c r="CH95" i="3" s="1"/>
  <c r="CH102" i="3"/>
  <c r="CH103" i="3" s="1"/>
  <c r="CG130" i="3"/>
  <c r="CG131" i="3" s="1"/>
  <c r="CG126" i="3"/>
  <c r="CG127" i="3" s="1"/>
  <c r="CG122" i="3"/>
  <c r="CG123" i="3" s="1"/>
  <c r="CG118" i="3"/>
  <c r="CG119" i="3" s="1"/>
  <c r="CG110" i="3"/>
  <c r="CG111" i="3" s="1"/>
  <c r="CG106" i="3"/>
  <c r="CG107" i="3" s="1"/>
  <c r="CG102" i="3"/>
  <c r="CG103" i="3" s="1"/>
  <c r="CG98" i="3"/>
  <c r="CG99" i="3" s="1"/>
  <c r="CG94" i="3"/>
  <c r="CG95" i="3" s="1"/>
  <c r="CG114" i="3"/>
  <c r="CG115" i="3" s="1"/>
  <c r="O130" i="3"/>
  <c r="O131" i="3" s="1"/>
  <c r="O118" i="3"/>
  <c r="O119" i="3" s="1"/>
  <c r="O114" i="3"/>
  <c r="O115" i="3" s="1"/>
  <c r="O110" i="3"/>
  <c r="O111" i="3" s="1"/>
  <c r="O122" i="3"/>
  <c r="O123" i="3" s="1"/>
  <c r="O106" i="3"/>
  <c r="O107" i="3" s="1"/>
  <c r="O102" i="3"/>
  <c r="O103" i="3" s="1"/>
  <c r="O98" i="3"/>
  <c r="O99" i="3" s="1"/>
  <c r="O126" i="3"/>
  <c r="O127" i="3" s="1"/>
  <c r="O94" i="3"/>
  <c r="O95" i="3" s="1"/>
  <c r="K130" i="3"/>
  <c r="K131" i="3" s="1"/>
  <c r="K126" i="3"/>
  <c r="K127" i="3" s="1"/>
  <c r="K114" i="3"/>
  <c r="K115" i="3" s="1"/>
  <c r="K110" i="3"/>
  <c r="K111" i="3" s="1"/>
  <c r="K118" i="3"/>
  <c r="K119" i="3" s="1"/>
  <c r="K106" i="3"/>
  <c r="K107" i="3" s="1"/>
  <c r="K102" i="3"/>
  <c r="K103" i="3" s="1"/>
  <c r="K98" i="3"/>
  <c r="K99" i="3" s="1"/>
  <c r="K122" i="3"/>
  <c r="K123" i="3" s="1"/>
  <c r="K94" i="3"/>
  <c r="K95" i="3" s="1"/>
  <c r="BH122" i="3"/>
  <c r="BH123" i="3" s="1"/>
  <c r="BH126" i="3"/>
  <c r="BH127" i="3" s="1"/>
  <c r="BH130" i="3"/>
  <c r="BH131" i="3" s="1"/>
  <c r="BH114" i="3"/>
  <c r="BH115" i="3" s="1"/>
  <c r="BH110" i="3"/>
  <c r="BH111" i="3" s="1"/>
  <c r="BH106" i="3"/>
  <c r="BH107" i="3" s="1"/>
  <c r="BH102" i="3"/>
  <c r="BH103" i="3" s="1"/>
  <c r="BH118" i="3"/>
  <c r="BH119" i="3" s="1"/>
  <c r="BH98" i="3"/>
  <c r="BH99" i="3" s="1"/>
  <c r="BH94" i="3"/>
  <c r="BH95" i="3" s="1"/>
  <c r="CI122" i="3"/>
  <c r="CI123" i="3" s="1"/>
  <c r="CI126" i="3"/>
  <c r="CI127" i="3" s="1"/>
  <c r="CI114" i="3"/>
  <c r="CI115" i="3" s="1"/>
  <c r="CI130" i="3"/>
  <c r="CI131" i="3" s="1"/>
  <c r="CI110" i="3"/>
  <c r="CI111" i="3" s="1"/>
  <c r="CI106" i="3"/>
  <c r="CI107" i="3" s="1"/>
  <c r="CI102" i="3"/>
  <c r="CI103" i="3" s="1"/>
  <c r="CI98" i="3"/>
  <c r="CI99" i="3" s="1"/>
  <c r="CI94" i="3"/>
  <c r="CI95" i="3" s="1"/>
  <c r="CI118" i="3"/>
  <c r="CI119" i="3" s="1"/>
  <c r="I130" i="3"/>
  <c r="I131" i="3" s="1"/>
  <c r="I126" i="3"/>
  <c r="I127" i="3" s="1"/>
  <c r="I122" i="3"/>
  <c r="I123" i="3" s="1"/>
  <c r="I118" i="3"/>
  <c r="I119" i="3" s="1"/>
  <c r="I114" i="3"/>
  <c r="I115" i="3" s="1"/>
  <c r="I110" i="3"/>
  <c r="I111" i="3" s="1"/>
  <c r="I106" i="3"/>
  <c r="I107" i="3" s="1"/>
  <c r="I102" i="3"/>
  <c r="I103" i="3" s="1"/>
  <c r="I98" i="3"/>
  <c r="I99" i="3" s="1"/>
  <c r="I94" i="3"/>
  <c r="I95" i="3" s="1"/>
  <c r="BF130" i="3"/>
  <c r="BF131" i="3" s="1"/>
  <c r="BF114" i="3"/>
  <c r="BF115" i="3" s="1"/>
  <c r="BF118" i="3"/>
  <c r="BF119" i="3" s="1"/>
  <c r="BF122" i="3"/>
  <c r="BF123" i="3" s="1"/>
  <c r="BF126" i="3"/>
  <c r="BF127" i="3" s="1"/>
  <c r="BF102" i="3"/>
  <c r="BF103" i="3" s="1"/>
  <c r="BF106" i="3"/>
  <c r="BF107" i="3" s="1"/>
  <c r="BF110" i="3"/>
  <c r="BF111" i="3" s="1"/>
  <c r="BF98" i="3"/>
  <c r="BF99" i="3" s="1"/>
  <c r="BF94" i="3"/>
  <c r="BF95" i="3" s="1"/>
  <c r="CE118" i="3"/>
  <c r="CE119" i="3" s="1"/>
  <c r="CE122" i="3"/>
  <c r="CE123" i="3" s="1"/>
  <c r="CE114" i="3"/>
  <c r="CE115" i="3" s="1"/>
  <c r="CE126" i="3"/>
  <c r="CE127" i="3" s="1"/>
  <c r="CE110" i="3"/>
  <c r="CE111" i="3" s="1"/>
  <c r="CE106" i="3"/>
  <c r="CE107" i="3" s="1"/>
  <c r="CE102" i="3"/>
  <c r="CE103" i="3" s="1"/>
  <c r="CE130" i="3"/>
  <c r="CE131" i="3" s="1"/>
  <c r="CE98" i="3"/>
  <c r="CE99" i="3" s="1"/>
  <c r="CE94" i="3"/>
  <c r="CE95" i="3" s="1"/>
  <c r="BJ118" i="3"/>
  <c r="BJ119" i="3" s="1"/>
  <c r="BJ114" i="3"/>
  <c r="BJ115" i="3" s="1"/>
  <c r="BJ122" i="3"/>
  <c r="BJ123" i="3" s="1"/>
  <c r="BJ126" i="3"/>
  <c r="BJ127" i="3" s="1"/>
  <c r="BJ106" i="3"/>
  <c r="BJ107" i="3" s="1"/>
  <c r="BJ130" i="3"/>
  <c r="BJ131" i="3" s="1"/>
  <c r="BJ102" i="3"/>
  <c r="BJ103" i="3" s="1"/>
  <c r="BJ110" i="3"/>
  <c r="BJ111" i="3" s="1"/>
  <c r="BJ98" i="3"/>
  <c r="BJ99" i="3" s="1"/>
  <c r="BJ94" i="3"/>
  <c r="BJ95" i="3" s="1"/>
  <c r="CC130" i="3"/>
  <c r="CC131" i="3" s="1"/>
  <c r="CC126" i="3"/>
  <c r="CC127" i="3" s="1"/>
  <c r="CC122" i="3"/>
  <c r="CC123" i="3" s="1"/>
  <c r="CC118" i="3"/>
  <c r="CC119" i="3" s="1"/>
  <c r="CC114" i="3"/>
  <c r="CC115" i="3" s="1"/>
  <c r="CC110" i="3"/>
  <c r="CC111" i="3" s="1"/>
  <c r="CC106" i="3"/>
  <c r="CC107" i="3" s="1"/>
  <c r="CC102" i="3"/>
  <c r="CC103" i="3" s="1"/>
  <c r="CC98" i="3"/>
  <c r="CC99" i="3" s="1"/>
  <c r="CC94" i="3"/>
  <c r="CC95" i="3" s="1"/>
  <c r="AA126" i="3"/>
  <c r="AA127" i="3" s="1"/>
  <c r="AA130" i="3"/>
  <c r="AA131" i="3" s="1"/>
  <c r="AA114" i="3"/>
  <c r="AA115" i="3" s="1"/>
  <c r="AA118" i="3"/>
  <c r="AA119" i="3" s="1"/>
  <c r="AA122" i="3"/>
  <c r="AA123" i="3" s="1"/>
  <c r="AA110" i="3"/>
  <c r="AA111" i="3" s="1"/>
  <c r="AA106" i="3"/>
  <c r="AA107" i="3" s="1"/>
  <c r="AA102" i="3"/>
  <c r="AA103" i="3" s="1"/>
  <c r="AA94" i="3"/>
  <c r="AA95" i="3" s="1"/>
  <c r="AA98" i="3"/>
  <c r="AA99" i="3" s="1"/>
  <c r="BX122" i="3"/>
  <c r="BX123" i="3" s="1"/>
  <c r="BX126" i="3"/>
  <c r="BX127" i="3" s="1"/>
  <c r="BX130" i="3"/>
  <c r="BX131" i="3" s="1"/>
  <c r="BX114" i="3"/>
  <c r="BX115" i="3" s="1"/>
  <c r="BX118" i="3"/>
  <c r="BX119" i="3" s="1"/>
  <c r="BX110" i="3"/>
  <c r="BX111" i="3" s="1"/>
  <c r="BX106" i="3"/>
  <c r="BX107" i="3" s="1"/>
  <c r="BX102" i="3"/>
  <c r="BX103" i="3" s="1"/>
  <c r="BX98" i="3"/>
  <c r="BX99" i="3" s="1"/>
  <c r="BX94" i="3"/>
  <c r="BX95" i="3" s="1"/>
  <c r="F130" i="3"/>
  <c r="F114" i="3"/>
  <c r="F118" i="3"/>
  <c r="F122" i="3"/>
  <c r="F126" i="3"/>
  <c r="F102" i="3"/>
  <c r="F106" i="3"/>
  <c r="F110" i="3"/>
  <c r="F98" i="3"/>
  <c r="F99" i="3" s="1"/>
  <c r="F94" i="3"/>
  <c r="Y130" i="3"/>
  <c r="Y131" i="3" s="1"/>
  <c r="Y126" i="3"/>
  <c r="Y127" i="3" s="1"/>
  <c r="Y122" i="3"/>
  <c r="Y123" i="3" s="1"/>
  <c r="Y118" i="3"/>
  <c r="Y119" i="3" s="1"/>
  <c r="Y114" i="3"/>
  <c r="Y115" i="3" s="1"/>
  <c r="Y110" i="3"/>
  <c r="Y111" i="3" s="1"/>
  <c r="Y106" i="3"/>
  <c r="Y107" i="3" s="1"/>
  <c r="Y102" i="3"/>
  <c r="Y103" i="3" s="1"/>
  <c r="Y98" i="3"/>
  <c r="Y99" i="3" s="1"/>
  <c r="Y94" i="3"/>
  <c r="Y95" i="3" s="1"/>
  <c r="T130" i="3"/>
  <c r="T131" i="3" s="1"/>
  <c r="T118" i="3"/>
  <c r="T119" i="3" s="1"/>
  <c r="T122" i="3"/>
  <c r="T123" i="3" s="1"/>
  <c r="T114" i="3"/>
  <c r="T115" i="3" s="1"/>
  <c r="T110" i="3"/>
  <c r="T111" i="3" s="1"/>
  <c r="T106" i="3"/>
  <c r="T107" i="3" s="1"/>
  <c r="T102" i="3"/>
  <c r="T103" i="3" s="1"/>
  <c r="T98" i="3"/>
  <c r="T99" i="3" s="1"/>
  <c r="T94" i="3"/>
  <c r="T95" i="3" s="1"/>
  <c r="T126" i="3"/>
  <c r="T127" i="3" s="1"/>
  <c r="AU130" i="3"/>
  <c r="AU131" i="3" s="1"/>
  <c r="AU118" i="3"/>
  <c r="AU119" i="3" s="1"/>
  <c r="AU114" i="3"/>
  <c r="AU115" i="3" s="1"/>
  <c r="AU122" i="3"/>
  <c r="AU123" i="3" s="1"/>
  <c r="AU126" i="3"/>
  <c r="AU127" i="3" s="1"/>
  <c r="AU110" i="3"/>
  <c r="AU111" i="3" s="1"/>
  <c r="AU106" i="3"/>
  <c r="AU107" i="3" s="1"/>
  <c r="AU102" i="3"/>
  <c r="AU103" i="3" s="1"/>
  <c r="AU98" i="3"/>
  <c r="AU99" i="3" s="1"/>
  <c r="AU94" i="3"/>
  <c r="AU95" i="3" s="1"/>
  <c r="CB90" i="3"/>
  <c r="CB91" i="3" s="1"/>
  <c r="CH90" i="3"/>
  <c r="CH91" i="3" s="1"/>
  <c r="CG90" i="3"/>
  <c r="CG91" i="3" s="1"/>
  <c r="CI90" i="3"/>
  <c r="CI91" i="3" s="1"/>
  <c r="CD90" i="3"/>
  <c r="CD91" i="3" s="1"/>
  <c r="BQ90" i="3"/>
  <c r="BQ91" i="3" s="1"/>
  <c r="CJ90" i="3"/>
  <c r="CJ91" i="3" s="1"/>
  <c r="BS90" i="3"/>
  <c r="BS91" i="3" s="1"/>
  <c r="CA90" i="3"/>
  <c r="CA91" i="3" s="1"/>
  <c r="BW90" i="3"/>
  <c r="BW91" i="3" s="1"/>
  <c r="BU90" i="3"/>
  <c r="BU91" i="3" s="1"/>
  <c r="BR90" i="3"/>
  <c r="BR91" i="3" s="1"/>
  <c r="CK90" i="3"/>
  <c r="CK91" i="3" s="1"/>
  <c r="BN90" i="3"/>
  <c r="BN91" i="3" s="1"/>
  <c r="CF90" i="3"/>
  <c r="CF91" i="3" s="1"/>
  <c r="BV90" i="3"/>
  <c r="BV91" i="3" s="1"/>
  <c r="BP90" i="3"/>
  <c r="BP91" i="3" s="1"/>
  <c r="BT90" i="3"/>
  <c r="BT91" i="3" s="1"/>
  <c r="BY90" i="3"/>
  <c r="BY91" i="3" s="1"/>
  <c r="CE90" i="3"/>
  <c r="CE91" i="3" s="1"/>
  <c r="CC90" i="3"/>
  <c r="CC91" i="3" s="1"/>
  <c r="BX90" i="3"/>
  <c r="BX91" i="3" s="1"/>
  <c r="BO90" i="3"/>
  <c r="BO91" i="3" s="1"/>
  <c r="BZ90" i="3"/>
  <c r="BZ91" i="3" s="1"/>
  <c r="L78" i="3"/>
  <c r="AO78" i="3"/>
  <c r="BK78" i="3"/>
  <c r="CF78" i="3"/>
  <c r="AC78" i="3"/>
  <c r="BA78" i="3"/>
  <c r="BW78" i="3"/>
  <c r="P78" i="3"/>
  <c r="AR78" i="3"/>
  <c r="BM78" i="3"/>
  <c r="CI78" i="3"/>
  <c r="AG78" i="3"/>
  <c r="BD78" i="3"/>
  <c r="BY78" i="3"/>
  <c r="K78" i="3"/>
  <c r="AD78" i="3"/>
  <c r="BV78" i="3"/>
  <c r="J78" i="3"/>
  <c r="BR78" i="3"/>
  <c r="F78" i="3"/>
  <c r="BN78" i="3"/>
  <c r="F83" i="3"/>
  <c r="V83" i="3"/>
  <c r="AL83" i="3"/>
  <c r="BB83" i="3"/>
  <c r="BR83" i="3"/>
  <c r="CH83" i="3"/>
  <c r="S83" i="3"/>
  <c r="AI83" i="3"/>
  <c r="AY83" i="3"/>
  <c r="H83" i="3"/>
  <c r="X83" i="3"/>
  <c r="AN83" i="3"/>
  <c r="BD83" i="3"/>
  <c r="I83" i="3"/>
  <c r="Y83" i="3"/>
  <c r="AO83" i="3"/>
  <c r="BE83" i="3"/>
  <c r="CC83" i="3"/>
  <c r="BY83" i="3"/>
  <c r="BU83" i="3"/>
  <c r="BQ83" i="3"/>
  <c r="J79" i="3"/>
  <c r="O79" i="3"/>
  <c r="AE79" i="3"/>
  <c r="AU79" i="3"/>
  <c r="BK79" i="3"/>
  <c r="CA79" i="3"/>
  <c r="L79" i="3"/>
  <c r="U79" i="3"/>
  <c r="AK79" i="3"/>
  <c r="BA79" i="3"/>
  <c r="BQ79" i="3"/>
  <c r="CG79" i="3"/>
  <c r="AL79" i="3"/>
  <c r="BR79" i="3"/>
  <c r="X79" i="3"/>
  <c r="BD79" i="3"/>
  <c r="CJ79" i="3"/>
  <c r="AP79" i="3"/>
  <c r="BV79" i="3"/>
  <c r="AJ79" i="3"/>
  <c r="BP79" i="3"/>
  <c r="L76" i="3"/>
  <c r="AR76" i="3"/>
  <c r="BX76" i="3"/>
  <c r="AC76" i="3"/>
  <c r="BI76" i="3"/>
  <c r="H76" i="3"/>
  <c r="AN76" i="3"/>
  <c r="BT76" i="3"/>
  <c r="Q76" i="3"/>
  <c r="AW76" i="3"/>
  <c r="CC76" i="3"/>
  <c r="AY76" i="3"/>
  <c r="BR76" i="3"/>
  <c r="F76" i="3"/>
  <c r="AE76" i="3"/>
  <c r="AX76" i="3"/>
  <c r="BG76" i="3"/>
  <c r="BZ76" i="3"/>
  <c r="N76" i="3"/>
  <c r="AM76" i="3"/>
  <c r="BF76" i="3"/>
  <c r="H77" i="3"/>
  <c r="T78" i="3"/>
  <c r="AU78" i="3"/>
  <c r="BP78" i="3"/>
  <c r="CK78" i="3"/>
  <c r="AK78" i="3"/>
  <c r="BG78" i="3"/>
  <c r="CB78" i="3"/>
  <c r="X78" i="3"/>
  <c r="AW78" i="3"/>
  <c r="BS78" i="3"/>
  <c r="I78" i="3"/>
  <c r="AN78" i="3"/>
  <c r="BI78" i="3"/>
  <c r="CE78" i="3"/>
  <c r="BZ78" i="3"/>
  <c r="N78" i="3"/>
  <c r="BF78" i="3"/>
  <c r="AI78" i="3"/>
  <c r="BB78" i="3"/>
  <c r="AE78" i="3"/>
  <c r="AX78" i="3"/>
  <c r="J83" i="3"/>
  <c r="Z83" i="3"/>
  <c r="AP83" i="3"/>
  <c r="BF83" i="3"/>
  <c r="BV83" i="3"/>
  <c r="G83" i="3"/>
  <c r="W83" i="3"/>
  <c r="AM83" i="3"/>
  <c r="BC83" i="3"/>
  <c r="L83" i="3"/>
  <c r="AB83" i="3"/>
  <c r="AR83" i="3"/>
  <c r="BH83" i="3"/>
  <c r="M83" i="3"/>
  <c r="AC83" i="3"/>
  <c r="AS83" i="3"/>
  <c r="BI83" i="3"/>
  <c r="CI83" i="3"/>
  <c r="CE83" i="3"/>
  <c r="CA83" i="3"/>
  <c r="BW83" i="3"/>
  <c r="N79" i="3"/>
  <c r="S79" i="3"/>
  <c r="AI79" i="3"/>
  <c r="AY79" i="3"/>
  <c r="BO79" i="3"/>
  <c r="CE79" i="3"/>
  <c r="I79" i="3"/>
  <c r="Y79" i="3"/>
  <c r="AO79" i="3"/>
  <c r="BE79" i="3"/>
  <c r="BU79" i="3"/>
  <c r="CK79" i="3"/>
  <c r="AT79" i="3"/>
  <c r="BZ79" i="3"/>
  <c r="AF79" i="3"/>
  <c r="BL79" i="3"/>
  <c r="R79" i="3"/>
  <c r="AX79" i="3"/>
  <c r="CD79" i="3"/>
  <c r="AR79" i="3"/>
  <c r="BX79" i="3"/>
  <c r="T76" i="3"/>
  <c r="AZ76" i="3"/>
  <c r="CF76" i="3"/>
  <c r="AK76" i="3"/>
  <c r="BQ76" i="3"/>
  <c r="P76" i="3"/>
  <c r="AV76" i="3"/>
  <c r="CB76" i="3"/>
  <c r="Y76" i="3"/>
  <c r="BE76" i="3"/>
  <c r="CK76" i="3"/>
  <c r="AI76" i="3"/>
  <c r="BB76" i="3"/>
  <c r="CA76" i="3"/>
  <c r="O76" i="3"/>
  <c r="AH76" i="3"/>
  <c r="AQ76" i="3"/>
  <c r="BJ76" i="3"/>
  <c r="CI76" i="3"/>
  <c r="W76" i="3"/>
  <c r="AP76" i="3"/>
  <c r="P77" i="3"/>
  <c r="AB78" i="3"/>
  <c r="AZ78" i="3"/>
  <c r="BU78" i="3"/>
  <c r="M78" i="3"/>
  <c r="AQ78" i="3"/>
  <c r="BL78" i="3"/>
  <c r="CG78" i="3"/>
  <c r="AF78" i="3"/>
  <c r="BC78" i="3"/>
  <c r="BX78" i="3"/>
  <c r="Q78" i="3"/>
  <c r="AS78" i="3"/>
  <c r="BO78" i="3"/>
  <c r="CJ78" i="3"/>
  <c r="BJ78" i="3"/>
  <c r="W78" i="3"/>
  <c r="AP78" i="3"/>
  <c r="S78" i="3"/>
  <c r="AL78" i="3"/>
  <c r="O78" i="3"/>
  <c r="AH78" i="3"/>
  <c r="N83" i="3"/>
  <c r="AD83" i="3"/>
  <c r="AT83" i="3"/>
  <c r="BJ83" i="3"/>
  <c r="BZ83" i="3"/>
  <c r="K83" i="3"/>
  <c r="AA83" i="3"/>
  <c r="AQ83" i="3"/>
  <c r="BG83" i="3"/>
  <c r="P83" i="3"/>
  <c r="AF83" i="3"/>
  <c r="AV83" i="3"/>
  <c r="BL83" i="3"/>
  <c r="Q83" i="3"/>
  <c r="AG83" i="3"/>
  <c r="AW83" i="3"/>
  <c r="BS83" i="3"/>
  <c r="BM83" i="3"/>
  <c r="CJ83" i="3"/>
  <c r="CF83" i="3"/>
  <c r="CB83" i="3"/>
  <c r="G79" i="3"/>
  <c r="W79" i="3"/>
  <c r="AM79" i="3"/>
  <c r="BC79" i="3"/>
  <c r="BS79" i="3"/>
  <c r="CI79" i="3"/>
  <c r="M79" i="3"/>
  <c r="AC79" i="3"/>
  <c r="AS79" i="3"/>
  <c r="BI79" i="3"/>
  <c r="BY79" i="3"/>
  <c r="V79" i="3"/>
  <c r="BB79" i="3"/>
  <c r="CH79" i="3"/>
  <c r="AN79" i="3"/>
  <c r="BT79" i="3"/>
  <c r="Z79" i="3"/>
  <c r="BF79" i="3"/>
  <c r="T79" i="3"/>
  <c r="AZ79" i="3"/>
  <c r="CF79" i="3"/>
  <c r="AB76" i="3"/>
  <c r="BH76" i="3"/>
  <c r="M76" i="3"/>
  <c r="AS76" i="3"/>
  <c r="BY76" i="3"/>
  <c r="X76" i="3"/>
  <c r="BD76" i="3"/>
  <c r="CJ76" i="3"/>
  <c r="AG76" i="3"/>
  <c r="BM76" i="3"/>
  <c r="CE76" i="3"/>
  <c r="S76" i="3"/>
  <c r="AL76" i="3"/>
  <c r="BK76" i="3"/>
  <c r="CD76" i="3"/>
  <c r="R76" i="3"/>
  <c r="AA76" i="3"/>
  <c r="AT76" i="3"/>
  <c r="BS76" i="3"/>
  <c r="G76" i="3"/>
  <c r="Z76" i="3"/>
  <c r="X77" i="3"/>
  <c r="AJ78" i="3"/>
  <c r="BE78" i="3"/>
  <c r="CA78" i="3"/>
  <c r="U78" i="3"/>
  <c r="AV78" i="3"/>
  <c r="BQ78" i="3"/>
  <c r="H78" i="3"/>
  <c r="AM78" i="3"/>
  <c r="BH78" i="3"/>
  <c r="CC78" i="3"/>
  <c r="Y78" i="3"/>
  <c r="AY78" i="3"/>
  <c r="BT78" i="3"/>
  <c r="AA78" i="3"/>
  <c r="AT78" i="3"/>
  <c r="G78" i="3"/>
  <c r="Z78" i="3"/>
  <c r="CH78" i="3"/>
  <c r="V78" i="3"/>
  <c r="CD78" i="3"/>
  <c r="R78" i="3"/>
  <c r="R83" i="3"/>
  <c r="AH83" i="3"/>
  <c r="AX83" i="3"/>
  <c r="BN83" i="3"/>
  <c r="CD83" i="3"/>
  <c r="O83" i="3"/>
  <c r="AE83" i="3"/>
  <c r="AU83" i="3"/>
  <c r="BK83" i="3"/>
  <c r="T83" i="3"/>
  <c r="AJ83" i="3"/>
  <c r="AZ83" i="3"/>
  <c r="BP83" i="3"/>
  <c r="U83" i="3"/>
  <c r="AK83" i="3"/>
  <c r="BA83" i="3"/>
  <c r="BX83" i="3"/>
  <c r="BT83" i="3"/>
  <c r="BO83" i="3"/>
  <c r="CK83" i="3"/>
  <c r="CG83" i="3"/>
  <c r="K79" i="3"/>
  <c r="AA79" i="3"/>
  <c r="AQ79" i="3"/>
  <c r="BG79" i="3"/>
  <c r="BW79" i="3"/>
  <c r="H79" i="3"/>
  <c r="Q79" i="3"/>
  <c r="AG79" i="3"/>
  <c r="AW79" i="3"/>
  <c r="BM79" i="3"/>
  <c r="CC79" i="3"/>
  <c r="AD79" i="3"/>
  <c r="BJ79" i="3"/>
  <c r="P79" i="3"/>
  <c r="AV79" i="3"/>
  <c r="CB79" i="3"/>
  <c r="AH79" i="3"/>
  <c r="BN79" i="3"/>
  <c r="AB79" i="3"/>
  <c r="BH79" i="3"/>
  <c r="F79" i="3"/>
  <c r="AJ76" i="3"/>
  <c r="BP76" i="3"/>
  <c r="U76" i="3"/>
  <c r="BA76" i="3"/>
  <c r="CG76" i="3"/>
  <c r="AF76" i="3"/>
  <c r="BL76" i="3"/>
  <c r="I76" i="3"/>
  <c r="AO76" i="3"/>
  <c r="BU76" i="3"/>
  <c r="BO76" i="3"/>
  <c r="CH76" i="3"/>
  <c r="V76" i="3"/>
  <c r="AU76" i="3"/>
  <c r="BN76" i="3"/>
  <c r="BW76" i="3"/>
  <c r="K76" i="3"/>
  <c r="AD76" i="3"/>
  <c r="BC76" i="3"/>
  <c r="BV76" i="3"/>
  <c r="J76" i="3"/>
  <c r="AF77" i="3"/>
  <c r="BD77" i="3"/>
  <c r="CJ77" i="3"/>
  <c r="AG77" i="3"/>
  <c r="BM77" i="3"/>
  <c r="L77" i="3"/>
  <c r="AR77" i="3"/>
  <c r="BX77" i="3"/>
  <c r="AC77" i="3"/>
  <c r="BI77" i="3"/>
  <c r="CA77" i="3"/>
  <c r="O77" i="3"/>
  <c r="AH77" i="3"/>
  <c r="AQ77" i="3"/>
  <c r="BJ77" i="3"/>
  <c r="CI77" i="3"/>
  <c r="W77" i="3"/>
  <c r="AP77" i="3"/>
  <c r="BO77" i="3"/>
  <c r="CH77" i="3"/>
  <c r="V77" i="3"/>
  <c r="O80" i="3"/>
  <c r="AE80" i="3"/>
  <c r="AU80" i="3"/>
  <c r="BK80" i="3"/>
  <c r="CA80" i="3"/>
  <c r="U80" i="3"/>
  <c r="AK80" i="3"/>
  <c r="BA80" i="3"/>
  <c r="BQ80" i="3"/>
  <c r="J80" i="3"/>
  <c r="AP80" i="3"/>
  <c r="BV80" i="3"/>
  <c r="T80" i="3"/>
  <c r="AZ80" i="3"/>
  <c r="CE80" i="3"/>
  <c r="V80" i="3"/>
  <c r="BB80" i="3"/>
  <c r="CF80" i="3"/>
  <c r="X80" i="3"/>
  <c r="BD80" i="3"/>
  <c r="CG80" i="3"/>
  <c r="AN77" i="3"/>
  <c r="AW77" i="3"/>
  <c r="AB77" i="3"/>
  <c r="M77" i="3"/>
  <c r="BY77" i="3"/>
  <c r="BN77" i="3"/>
  <c r="K77" i="3"/>
  <c r="BC77" i="3"/>
  <c r="J77" i="3"/>
  <c r="BB77" i="3"/>
  <c r="W80" i="3"/>
  <c r="BC80" i="3"/>
  <c r="M80" i="3"/>
  <c r="AS80" i="3"/>
  <c r="BY80" i="3"/>
  <c r="BF80" i="3"/>
  <c r="AJ80" i="3"/>
  <c r="F80" i="3"/>
  <c r="BR80" i="3"/>
  <c r="AN80" i="3"/>
  <c r="AV77" i="3"/>
  <c r="Y77" i="3"/>
  <c r="AJ77" i="3"/>
  <c r="U77" i="3"/>
  <c r="CG77" i="3"/>
  <c r="AX77" i="3"/>
  <c r="BZ77" i="3"/>
  <c r="AM77" i="3"/>
  <c r="CE77" i="3"/>
  <c r="AL77" i="3"/>
  <c r="AA80" i="3"/>
  <c r="BG80" i="3"/>
  <c r="Q80" i="3"/>
  <c r="AW80" i="3"/>
  <c r="CC80" i="3"/>
  <c r="BN80" i="3"/>
  <c r="AR80" i="3"/>
  <c r="N80" i="3"/>
  <c r="BZ80" i="3"/>
  <c r="AV80" i="3"/>
  <c r="BL77" i="3"/>
  <c r="I77" i="3"/>
  <c r="AO77" i="3"/>
  <c r="BU77" i="3"/>
  <c r="T77" i="3"/>
  <c r="AZ77" i="3"/>
  <c r="CF77" i="3"/>
  <c r="AK77" i="3"/>
  <c r="BQ77" i="3"/>
  <c r="BK77" i="3"/>
  <c r="CD77" i="3"/>
  <c r="R77" i="3"/>
  <c r="AA77" i="3"/>
  <c r="AT77" i="3"/>
  <c r="BS77" i="3"/>
  <c r="G77" i="3"/>
  <c r="Z77" i="3"/>
  <c r="AY77" i="3"/>
  <c r="BR77" i="3"/>
  <c r="F77" i="3"/>
  <c r="S80" i="3"/>
  <c r="AI80" i="3"/>
  <c r="AY80" i="3"/>
  <c r="BO80" i="3"/>
  <c r="I80" i="3"/>
  <c r="Y80" i="3"/>
  <c r="AO80" i="3"/>
  <c r="BE80" i="3"/>
  <c r="BU80" i="3"/>
  <c r="R80" i="3"/>
  <c r="AX80" i="3"/>
  <c r="CD80" i="3"/>
  <c r="AB80" i="3"/>
  <c r="BH80" i="3"/>
  <c r="CI80" i="3"/>
  <c r="AD80" i="3"/>
  <c r="BJ80" i="3"/>
  <c r="CJ80" i="3"/>
  <c r="AF80" i="3"/>
  <c r="BL80" i="3"/>
  <c r="CK80" i="3"/>
  <c r="BT77" i="3"/>
  <c r="Q77" i="3"/>
  <c r="CC77" i="3"/>
  <c r="BH77" i="3"/>
  <c r="AS77" i="3"/>
  <c r="AU77" i="3"/>
  <c r="BW77" i="3"/>
  <c r="AD77" i="3"/>
  <c r="BV77" i="3"/>
  <c r="AI77" i="3"/>
  <c r="G80" i="3"/>
  <c r="AM80" i="3"/>
  <c r="BS80" i="3"/>
  <c r="AC80" i="3"/>
  <c r="BI80" i="3"/>
  <c r="Z80" i="3"/>
  <c r="CH80" i="3"/>
  <c r="BP80" i="3"/>
  <c r="AL80" i="3"/>
  <c r="H80" i="3"/>
  <c r="BT80" i="3"/>
  <c r="CB77" i="3"/>
  <c r="BE77" i="3"/>
  <c r="CK77" i="3"/>
  <c r="BP77" i="3"/>
  <c r="BA77" i="3"/>
  <c r="AE77" i="3"/>
  <c r="BG77" i="3"/>
  <c r="N77" i="3"/>
  <c r="BF77" i="3"/>
  <c r="S77" i="3"/>
  <c r="K80" i="3"/>
  <c r="AQ80" i="3"/>
  <c r="BW80" i="3"/>
  <c r="AG80" i="3"/>
  <c r="BM80" i="3"/>
  <c r="AH80" i="3"/>
  <c r="L80" i="3"/>
  <c r="BX80" i="3"/>
  <c r="AT80" i="3"/>
  <c r="P80" i="3"/>
  <c r="CB80" i="3"/>
  <c r="I85" i="3"/>
  <c r="Y85" i="3"/>
  <c r="AO85" i="3"/>
  <c r="BE85" i="3"/>
  <c r="BU85" i="3"/>
  <c r="CK85" i="3"/>
  <c r="R85" i="3"/>
  <c r="AH85" i="3"/>
  <c r="AX85" i="3"/>
  <c r="BN85" i="3"/>
  <c r="CD85" i="3"/>
  <c r="O85" i="3"/>
  <c r="AE85" i="3"/>
  <c r="AU85" i="3"/>
  <c r="BK85" i="3"/>
  <c r="CA85" i="3"/>
  <c r="L85" i="3"/>
  <c r="AB85" i="3"/>
  <c r="AR85" i="3"/>
  <c r="BH85" i="3"/>
  <c r="BX85" i="3"/>
  <c r="M85" i="3"/>
  <c r="AC85" i="3"/>
  <c r="AS85" i="3"/>
  <c r="BI85" i="3"/>
  <c r="BY85" i="3"/>
  <c r="F85" i="3"/>
  <c r="V85" i="3"/>
  <c r="AL85" i="3"/>
  <c r="BB85" i="3"/>
  <c r="BR85" i="3"/>
  <c r="CH85" i="3"/>
  <c r="S85" i="3"/>
  <c r="AI85" i="3"/>
  <c r="AY85" i="3"/>
  <c r="BO85" i="3"/>
  <c r="CE85" i="3"/>
  <c r="P85" i="3"/>
  <c r="AF85" i="3"/>
  <c r="AV85" i="3"/>
  <c r="BL85" i="3"/>
  <c r="CB85" i="3"/>
  <c r="Q85" i="3"/>
  <c r="AG85" i="3"/>
  <c r="AW85" i="3"/>
  <c r="BM85" i="3"/>
  <c r="CC85" i="3"/>
  <c r="J85" i="3"/>
  <c r="Z85" i="3"/>
  <c r="AP85" i="3"/>
  <c r="BF85" i="3"/>
  <c r="BV85" i="3"/>
  <c r="G85" i="3"/>
  <c r="W85" i="3"/>
  <c r="AM85" i="3"/>
  <c r="BC85" i="3"/>
  <c r="BS85" i="3"/>
  <c r="CI85" i="3"/>
  <c r="T85" i="3"/>
  <c r="AJ85" i="3"/>
  <c r="AZ85" i="3"/>
  <c r="BP85" i="3"/>
  <c r="CF85" i="3"/>
  <c r="U85" i="3"/>
  <c r="AK85" i="3"/>
  <c r="BA85" i="3"/>
  <c r="BQ85" i="3"/>
  <c r="CG85" i="3"/>
  <c r="N85" i="3"/>
  <c r="AD85" i="3"/>
  <c r="AT85" i="3"/>
  <c r="BJ85" i="3"/>
  <c r="BZ85" i="3"/>
  <c r="K85" i="3"/>
  <c r="AA85" i="3"/>
  <c r="AQ85" i="3"/>
  <c r="BG85" i="3"/>
  <c r="BW85" i="3"/>
  <c r="H85" i="3"/>
  <c r="X85" i="3"/>
  <c r="AN85" i="3"/>
  <c r="BD85" i="3"/>
  <c r="BT85" i="3"/>
  <c r="CJ85" i="3"/>
  <c r="F82" i="3"/>
  <c r="V82" i="3"/>
  <c r="AL82" i="3"/>
  <c r="BB82" i="3"/>
  <c r="BR82" i="3"/>
  <c r="CH82" i="3"/>
  <c r="S82" i="3"/>
  <c r="AI82" i="3"/>
  <c r="AY82" i="3"/>
  <c r="BO82" i="3"/>
  <c r="CE82" i="3"/>
  <c r="P82" i="3"/>
  <c r="AF82" i="3"/>
  <c r="AV82" i="3"/>
  <c r="BL82" i="3"/>
  <c r="CB82" i="3"/>
  <c r="M82" i="3"/>
  <c r="AC82" i="3"/>
  <c r="AS82" i="3"/>
  <c r="BI82" i="3"/>
  <c r="BY82" i="3"/>
  <c r="P75" i="3"/>
  <c r="AV75" i="3"/>
  <c r="CB75" i="3"/>
  <c r="Y75" i="3"/>
  <c r="BE75" i="3"/>
  <c r="CK75" i="3"/>
  <c r="AJ75" i="3"/>
  <c r="BP75" i="3"/>
  <c r="U75" i="3"/>
  <c r="BA75" i="3"/>
  <c r="CG75" i="3"/>
  <c r="BC75" i="3"/>
  <c r="BV75" i="3"/>
  <c r="J75" i="3"/>
  <c r="AY75" i="3"/>
  <c r="BR75" i="3"/>
  <c r="CA75" i="3"/>
  <c r="O75" i="3"/>
  <c r="AH75" i="3"/>
  <c r="AQ75" i="3"/>
  <c r="BJ75" i="3"/>
  <c r="F84" i="3"/>
  <c r="Q84" i="3"/>
  <c r="AG84" i="3"/>
  <c r="AW84" i="3"/>
  <c r="BM84" i="3"/>
  <c r="CC84" i="3"/>
  <c r="N84" i="3"/>
  <c r="AD84" i="3"/>
  <c r="AT84" i="3"/>
  <c r="BJ84" i="3"/>
  <c r="BZ84" i="3"/>
  <c r="O84" i="3"/>
  <c r="AE84" i="3"/>
  <c r="AU84" i="3"/>
  <c r="BK84" i="3"/>
  <c r="CA84" i="3"/>
  <c r="L84" i="3"/>
  <c r="AB84" i="3"/>
  <c r="AR84" i="3"/>
  <c r="BH84" i="3"/>
  <c r="BX84" i="3"/>
  <c r="F81" i="3"/>
  <c r="V81" i="3"/>
  <c r="AL81" i="3"/>
  <c r="BB81" i="3"/>
  <c r="BR81" i="3"/>
  <c r="CH81" i="3"/>
  <c r="S81" i="3"/>
  <c r="AI81" i="3"/>
  <c r="AY81" i="3"/>
  <c r="BO81" i="3"/>
  <c r="CE81" i="3"/>
  <c r="P81" i="3"/>
  <c r="AF81" i="3"/>
  <c r="AV81" i="3"/>
  <c r="BL81" i="3"/>
  <c r="CB81" i="3"/>
  <c r="M81" i="3"/>
  <c r="AC81" i="3"/>
  <c r="AS81" i="3"/>
  <c r="BI81" i="3"/>
  <c r="BY81" i="3"/>
  <c r="J82" i="3"/>
  <c r="Z82" i="3"/>
  <c r="AP82" i="3"/>
  <c r="BF82" i="3"/>
  <c r="BV82" i="3"/>
  <c r="G82" i="3"/>
  <c r="W82" i="3"/>
  <c r="AM82" i="3"/>
  <c r="BC82" i="3"/>
  <c r="BS82" i="3"/>
  <c r="CI82" i="3"/>
  <c r="T82" i="3"/>
  <c r="AJ82" i="3"/>
  <c r="AZ82" i="3"/>
  <c r="BP82" i="3"/>
  <c r="CF82" i="3"/>
  <c r="Q82" i="3"/>
  <c r="AG82" i="3"/>
  <c r="AW82" i="3"/>
  <c r="BM82" i="3"/>
  <c r="CC82" i="3"/>
  <c r="X75" i="3"/>
  <c r="BD75" i="3"/>
  <c r="CJ75" i="3"/>
  <c r="AG75" i="3"/>
  <c r="BM75" i="3"/>
  <c r="L75" i="3"/>
  <c r="AR75" i="3"/>
  <c r="BX75" i="3"/>
  <c r="AC75" i="3"/>
  <c r="BI75" i="3"/>
  <c r="F75" i="3"/>
  <c r="AM75" i="3"/>
  <c r="BF75" i="3"/>
  <c r="H75" i="3"/>
  <c r="AI75" i="3"/>
  <c r="BB75" i="3"/>
  <c r="BK75" i="3"/>
  <c r="CD75" i="3"/>
  <c r="R75" i="3"/>
  <c r="AA75" i="3"/>
  <c r="AT75" i="3"/>
  <c r="J84" i="3"/>
  <c r="U84" i="3"/>
  <c r="AK84" i="3"/>
  <c r="BA84" i="3"/>
  <c r="BQ84" i="3"/>
  <c r="CG84" i="3"/>
  <c r="R84" i="3"/>
  <c r="AH84" i="3"/>
  <c r="AX84" i="3"/>
  <c r="BN84" i="3"/>
  <c r="CD84" i="3"/>
  <c r="S84" i="3"/>
  <c r="AI84" i="3"/>
  <c r="AY84" i="3"/>
  <c r="BO84" i="3"/>
  <c r="CE84" i="3"/>
  <c r="P84" i="3"/>
  <c r="AF84" i="3"/>
  <c r="AV84" i="3"/>
  <c r="BL84" i="3"/>
  <c r="CB84" i="3"/>
  <c r="J81" i="3"/>
  <c r="Z81" i="3"/>
  <c r="AP81" i="3"/>
  <c r="BF81" i="3"/>
  <c r="BV81" i="3"/>
  <c r="G81" i="3"/>
  <c r="W81" i="3"/>
  <c r="AM81" i="3"/>
  <c r="BC81" i="3"/>
  <c r="BS81" i="3"/>
  <c r="CI81" i="3"/>
  <c r="T81" i="3"/>
  <c r="AJ81" i="3"/>
  <c r="AZ81" i="3"/>
  <c r="BP81" i="3"/>
  <c r="CF81" i="3"/>
  <c r="Q81" i="3"/>
  <c r="AG81" i="3"/>
  <c r="AW81" i="3"/>
  <c r="BM81" i="3"/>
  <c r="CC81" i="3"/>
  <c r="N82" i="3"/>
  <c r="AD82" i="3"/>
  <c r="AT82" i="3"/>
  <c r="BJ82" i="3"/>
  <c r="BZ82" i="3"/>
  <c r="K82" i="3"/>
  <c r="AA82" i="3"/>
  <c r="AQ82" i="3"/>
  <c r="BG82" i="3"/>
  <c r="BW82" i="3"/>
  <c r="H82" i="3"/>
  <c r="X82" i="3"/>
  <c r="AN82" i="3"/>
  <c r="BD82" i="3"/>
  <c r="BT82" i="3"/>
  <c r="CJ82" i="3"/>
  <c r="U82" i="3"/>
  <c r="AK82" i="3"/>
  <c r="BA82" i="3"/>
  <c r="BQ82" i="3"/>
  <c r="CG82" i="3"/>
  <c r="AF75" i="3"/>
  <c r="BL75" i="3"/>
  <c r="I75" i="3"/>
  <c r="AO75" i="3"/>
  <c r="BU75" i="3"/>
  <c r="T75" i="3"/>
  <c r="AZ75" i="3"/>
  <c r="CF75" i="3"/>
  <c r="AK75" i="3"/>
  <c r="BQ75" i="3"/>
  <c r="CI75" i="3"/>
  <c r="W75" i="3"/>
  <c r="AP75" i="3"/>
  <c r="CE75" i="3"/>
  <c r="S75" i="3"/>
  <c r="AL75" i="3"/>
  <c r="AU75" i="3"/>
  <c r="BN75" i="3"/>
  <c r="BW75" i="3"/>
  <c r="K75" i="3"/>
  <c r="AD75" i="3"/>
  <c r="H84" i="3"/>
  <c r="Y84" i="3"/>
  <c r="AO84" i="3"/>
  <c r="BE84" i="3"/>
  <c r="BU84" i="3"/>
  <c r="CK84" i="3"/>
  <c r="V84" i="3"/>
  <c r="AL84" i="3"/>
  <c r="BB84" i="3"/>
  <c r="BR84" i="3"/>
  <c r="CH84" i="3"/>
  <c r="W84" i="3"/>
  <c r="AM84" i="3"/>
  <c r="BC84" i="3"/>
  <c r="BS84" i="3"/>
  <c r="CI84" i="3"/>
  <c r="T84" i="3"/>
  <c r="AJ84" i="3"/>
  <c r="AZ84" i="3"/>
  <c r="BP84" i="3"/>
  <c r="CF84" i="3"/>
  <c r="N81" i="3"/>
  <c r="AD81" i="3"/>
  <c r="AT81" i="3"/>
  <c r="BJ81" i="3"/>
  <c r="BZ81" i="3"/>
  <c r="K81" i="3"/>
  <c r="AA81" i="3"/>
  <c r="AQ81" i="3"/>
  <c r="BG81" i="3"/>
  <c r="BW81" i="3"/>
  <c r="H81" i="3"/>
  <c r="X81" i="3"/>
  <c r="AN81" i="3"/>
  <c r="BD81" i="3"/>
  <c r="BT81" i="3"/>
  <c r="CJ81" i="3"/>
  <c r="U81" i="3"/>
  <c r="AK81" i="3"/>
  <c r="BA81" i="3"/>
  <c r="BQ81" i="3"/>
  <c r="CG81" i="3"/>
  <c r="R82" i="3"/>
  <c r="AH82" i="3"/>
  <c r="AX82" i="3"/>
  <c r="BN82" i="3"/>
  <c r="CD82" i="3"/>
  <c r="O82" i="3"/>
  <c r="AE82" i="3"/>
  <c r="AU82" i="3"/>
  <c r="BK82" i="3"/>
  <c r="CA82" i="3"/>
  <c r="L82" i="3"/>
  <c r="AB82" i="3"/>
  <c r="AR82" i="3"/>
  <c r="BH82" i="3"/>
  <c r="BX82" i="3"/>
  <c r="I82" i="3"/>
  <c r="Y82" i="3"/>
  <c r="AO82" i="3"/>
  <c r="BE82" i="3"/>
  <c r="BU82" i="3"/>
  <c r="CK82" i="3"/>
  <c r="AN75" i="3"/>
  <c r="BT75" i="3"/>
  <c r="Q75" i="3"/>
  <c r="AW75" i="3"/>
  <c r="CC75" i="3"/>
  <c r="AB75" i="3"/>
  <c r="BH75" i="3"/>
  <c r="M75" i="3"/>
  <c r="AS75" i="3"/>
  <c r="BY75" i="3"/>
  <c r="BS75" i="3"/>
  <c r="G75" i="3"/>
  <c r="Z75" i="3"/>
  <c r="BO75" i="3"/>
  <c r="CH75" i="3"/>
  <c r="V75" i="3"/>
  <c r="AE75" i="3"/>
  <c r="AX75" i="3"/>
  <c r="BG75" i="3"/>
  <c r="BZ75" i="3"/>
  <c r="N75" i="3"/>
  <c r="M84" i="3"/>
  <c r="AC84" i="3"/>
  <c r="AS84" i="3"/>
  <c r="BI84" i="3"/>
  <c r="BY84" i="3"/>
  <c r="I84" i="3"/>
  <c r="Z84" i="3"/>
  <c r="AP84" i="3"/>
  <c r="BF84" i="3"/>
  <c r="BV84" i="3"/>
  <c r="K84" i="3"/>
  <c r="AA84" i="3"/>
  <c r="AQ84" i="3"/>
  <c r="BG84" i="3"/>
  <c r="BW84" i="3"/>
  <c r="G84" i="3"/>
  <c r="X84" i="3"/>
  <c r="AN84" i="3"/>
  <c r="BD84" i="3"/>
  <c r="BT84" i="3"/>
  <c r="CJ84" i="3"/>
  <c r="R81" i="3"/>
  <c r="AH81" i="3"/>
  <c r="AX81" i="3"/>
  <c r="BN81" i="3"/>
  <c r="CD81" i="3"/>
  <c r="O81" i="3"/>
  <c r="AE81" i="3"/>
  <c r="AU81" i="3"/>
  <c r="BK81" i="3"/>
  <c r="CA81" i="3"/>
  <c r="L81" i="3"/>
  <c r="AB81" i="3"/>
  <c r="AR81" i="3"/>
  <c r="BH81" i="3"/>
  <c r="BX81" i="3"/>
  <c r="I81" i="3"/>
  <c r="Y81" i="3"/>
  <c r="AO81" i="3"/>
  <c r="BE81" i="3"/>
  <c r="BU81" i="3"/>
  <c r="CK81" i="3"/>
  <c r="G45" i="3"/>
  <c r="W45" i="3"/>
  <c r="AM45" i="3"/>
  <c r="BC45" i="3"/>
  <c r="BS45" i="3"/>
  <c r="CI45" i="3"/>
  <c r="T45" i="3"/>
  <c r="AJ45" i="3"/>
  <c r="AZ45" i="3"/>
  <c r="BP45" i="3"/>
  <c r="CF45" i="3"/>
  <c r="Q45" i="3"/>
  <c r="AG45" i="3"/>
  <c r="AW45" i="3"/>
  <c r="BM45" i="3"/>
  <c r="CC45" i="3"/>
  <c r="J45" i="3"/>
  <c r="Z45" i="3"/>
  <c r="AP45" i="3"/>
  <c r="BF45" i="3"/>
  <c r="BV45" i="3"/>
  <c r="I40" i="3"/>
  <c r="AE40" i="3"/>
  <c r="AZ40" i="3"/>
  <c r="BU40" i="3"/>
  <c r="K40" i="3"/>
  <c r="AF40" i="3"/>
  <c r="BA40" i="3"/>
  <c r="BW40" i="3"/>
  <c r="L40" i="3"/>
  <c r="AG40" i="3"/>
  <c r="BC40" i="3"/>
  <c r="BX40" i="3"/>
  <c r="M40" i="3"/>
  <c r="AI40" i="3"/>
  <c r="BD40" i="3"/>
  <c r="BY40" i="3"/>
  <c r="BJ40" i="3"/>
  <c r="BV40" i="3"/>
  <c r="J40" i="3"/>
  <c r="AL40" i="3"/>
  <c r="BN40" i="3"/>
  <c r="H43" i="3"/>
  <c r="X43" i="3"/>
  <c r="AN43" i="3"/>
  <c r="BD43" i="3"/>
  <c r="BT43" i="3"/>
  <c r="CJ43" i="3"/>
  <c r="U43" i="3"/>
  <c r="AK43" i="3"/>
  <c r="BA43" i="3"/>
  <c r="BQ43" i="3"/>
  <c r="CG43" i="3"/>
  <c r="R43" i="3"/>
  <c r="AH43" i="3"/>
  <c r="AX43" i="3"/>
  <c r="BN43" i="3"/>
  <c r="CD43" i="3"/>
  <c r="O43" i="3"/>
  <c r="AE43" i="3"/>
  <c r="AU43" i="3"/>
  <c r="BK43" i="3"/>
  <c r="CA43" i="3"/>
  <c r="K41" i="3"/>
  <c r="AF41" i="3"/>
  <c r="BA41" i="3"/>
  <c r="BW41" i="3"/>
  <c r="L41" i="3"/>
  <c r="AG41" i="3"/>
  <c r="BC41" i="3"/>
  <c r="BX41" i="3"/>
  <c r="M41" i="3"/>
  <c r="AI41" i="3"/>
  <c r="BD41" i="3"/>
  <c r="BY41" i="3"/>
  <c r="O41" i="3"/>
  <c r="AJ41" i="3"/>
  <c r="BE41" i="3"/>
  <c r="CA41" i="3"/>
  <c r="BF41" i="3"/>
  <c r="CH41" i="3"/>
  <c r="V41" i="3"/>
  <c r="AX41" i="3"/>
  <c r="BJ41" i="3"/>
  <c r="H44" i="3"/>
  <c r="K45" i="3"/>
  <c r="AA45" i="3"/>
  <c r="AQ45" i="3"/>
  <c r="BG45" i="3"/>
  <c r="BW45" i="3"/>
  <c r="H45" i="3"/>
  <c r="X45" i="3"/>
  <c r="AN45" i="3"/>
  <c r="BD45" i="3"/>
  <c r="BT45" i="3"/>
  <c r="CJ45" i="3"/>
  <c r="U45" i="3"/>
  <c r="AK45" i="3"/>
  <c r="BA45" i="3"/>
  <c r="BQ45" i="3"/>
  <c r="CG45" i="3"/>
  <c r="N45" i="3"/>
  <c r="AD45" i="3"/>
  <c r="AT45" i="3"/>
  <c r="BJ45" i="3"/>
  <c r="BZ45" i="3"/>
  <c r="O40" i="3"/>
  <c r="AJ40" i="3"/>
  <c r="BE40" i="3"/>
  <c r="CA40" i="3"/>
  <c r="P40" i="3"/>
  <c r="AK40" i="3"/>
  <c r="BG40" i="3"/>
  <c r="CB40" i="3"/>
  <c r="Q40" i="3"/>
  <c r="AM40" i="3"/>
  <c r="BH40" i="3"/>
  <c r="CC40" i="3"/>
  <c r="S40" i="3"/>
  <c r="AN40" i="3"/>
  <c r="BI40" i="3"/>
  <c r="CE40" i="3"/>
  <c r="AT40" i="3"/>
  <c r="BF40" i="3"/>
  <c r="CH40" i="3"/>
  <c r="V40" i="3"/>
  <c r="AX40" i="3"/>
  <c r="L43" i="3"/>
  <c r="AB43" i="3"/>
  <c r="AR43" i="3"/>
  <c r="BH43" i="3"/>
  <c r="BX43" i="3"/>
  <c r="I43" i="3"/>
  <c r="Y43" i="3"/>
  <c r="AO43" i="3"/>
  <c r="BE43" i="3"/>
  <c r="BU43" i="3"/>
  <c r="CK43" i="3"/>
  <c r="V43" i="3"/>
  <c r="AL43" i="3"/>
  <c r="BB43" i="3"/>
  <c r="BR43" i="3"/>
  <c r="CH43" i="3"/>
  <c r="S43" i="3"/>
  <c r="AI43" i="3"/>
  <c r="AY43" i="3"/>
  <c r="BO43" i="3"/>
  <c r="CE43" i="3"/>
  <c r="P41" i="3"/>
  <c r="AK41" i="3"/>
  <c r="BG41" i="3"/>
  <c r="CB41" i="3"/>
  <c r="Q41" i="3"/>
  <c r="AM41" i="3"/>
  <c r="BH41" i="3"/>
  <c r="CC41" i="3"/>
  <c r="S41" i="3"/>
  <c r="AN41" i="3"/>
  <c r="BI41" i="3"/>
  <c r="CE41" i="3"/>
  <c r="T41" i="3"/>
  <c r="AO41" i="3"/>
  <c r="BK41" i="3"/>
  <c r="CF41" i="3"/>
  <c r="O45" i="3"/>
  <c r="AE45" i="3"/>
  <c r="AU45" i="3"/>
  <c r="BK45" i="3"/>
  <c r="CA45" i="3"/>
  <c r="L45" i="3"/>
  <c r="AB45" i="3"/>
  <c r="AR45" i="3"/>
  <c r="BH45" i="3"/>
  <c r="BX45" i="3"/>
  <c r="I45" i="3"/>
  <c r="Y45" i="3"/>
  <c r="AO45" i="3"/>
  <c r="BE45" i="3"/>
  <c r="BU45" i="3"/>
  <c r="CK45" i="3"/>
  <c r="R45" i="3"/>
  <c r="AH45" i="3"/>
  <c r="AX45" i="3"/>
  <c r="BN45" i="3"/>
  <c r="CD45" i="3"/>
  <c r="T40" i="3"/>
  <c r="AO40" i="3"/>
  <c r="BK40" i="3"/>
  <c r="CF40" i="3"/>
  <c r="U40" i="3"/>
  <c r="AQ40" i="3"/>
  <c r="BL40" i="3"/>
  <c r="CG40" i="3"/>
  <c r="W40" i="3"/>
  <c r="AR40" i="3"/>
  <c r="BM40" i="3"/>
  <c r="CI40" i="3"/>
  <c r="X40" i="3"/>
  <c r="AS40" i="3"/>
  <c r="BO40" i="3"/>
  <c r="CJ40" i="3"/>
  <c r="AD40" i="3"/>
  <c r="AP40" i="3"/>
  <c r="BR40" i="3"/>
  <c r="F40" i="3"/>
  <c r="AH40" i="3"/>
  <c r="P43" i="3"/>
  <c r="AF43" i="3"/>
  <c r="AV43" i="3"/>
  <c r="BL43" i="3"/>
  <c r="CB43" i="3"/>
  <c r="M43" i="3"/>
  <c r="AC43" i="3"/>
  <c r="AS43" i="3"/>
  <c r="BI43" i="3"/>
  <c r="BY43" i="3"/>
  <c r="J43" i="3"/>
  <c r="Z43" i="3"/>
  <c r="AP43" i="3"/>
  <c r="BF43" i="3"/>
  <c r="BV43" i="3"/>
  <c r="G43" i="3"/>
  <c r="W43" i="3"/>
  <c r="AM43" i="3"/>
  <c r="BC43" i="3"/>
  <c r="BS43" i="3"/>
  <c r="CI43" i="3"/>
  <c r="U41" i="3"/>
  <c r="AQ41" i="3"/>
  <c r="BL41" i="3"/>
  <c r="CG41" i="3"/>
  <c r="W41" i="3"/>
  <c r="AR41" i="3"/>
  <c r="BM41" i="3"/>
  <c r="CI41" i="3"/>
  <c r="X41" i="3"/>
  <c r="AS41" i="3"/>
  <c r="BO41" i="3"/>
  <c r="CJ41" i="3"/>
  <c r="Y41" i="3"/>
  <c r="AU41" i="3"/>
  <c r="BP41" i="3"/>
  <c r="CK41" i="3"/>
  <c r="Z41" i="3"/>
  <c r="BB41" i="3"/>
  <c r="CD41" i="3"/>
  <c r="R41" i="3"/>
  <c r="AD41" i="3"/>
  <c r="F44" i="3"/>
  <c r="S45" i="3"/>
  <c r="CE45" i="3"/>
  <c r="BL45" i="3"/>
  <c r="AS45" i="3"/>
  <c r="V45" i="3"/>
  <c r="CH45" i="3"/>
  <c r="CK40" i="3"/>
  <c r="G40" i="3"/>
  <c r="H40" i="3"/>
  <c r="BZ40" i="3"/>
  <c r="CD40" i="3"/>
  <c r="AZ43" i="3"/>
  <c r="AG43" i="3"/>
  <c r="N43" i="3"/>
  <c r="BZ43" i="3"/>
  <c r="BG43" i="3"/>
  <c r="AV41" i="3"/>
  <c r="AW41" i="3"/>
  <c r="AY41" i="3"/>
  <c r="AZ41" i="3"/>
  <c r="J41" i="3"/>
  <c r="BN41" i="3"/>
  <c r="N41" i="3"/>
  <c r="K44" i="3"/>
  <c r="AA44" i="3"/>
  <c r="AQ44" i="3"/>
  <c r="BG44" i="3"/>
  <c r="BW44" i="3"/>
  <c r="L44" i="3"/>
  <c r="AB44" i="3"/>
  <c r="AR44" i="3"/>
  <c r="BH44" i="3"/>
  <c r="BX44" i="3"/>
  <c r="M44" i="3"/>
  <c r="AC44" i="3"/>
  <c r="AS44" i="3"/>
  <c r="BI44" i="3"/>
  <c r="BY44" i="3"/>
  <c r="N44" i="3"/>
  <c r="AD44" i="3"/>
  <c r="AT44" i="3"/>
  <c r="BJ44" i="3"/>
  <c r="BZ44" i="3"/>
  <c r="L42" i="3"/>
  <c r="AG42" i="3"/>
  <c r="BC42" i="3"/>
  <c r="BX42" i="3"/>
  <c r="M42" i="3"/>
  <c r="AI42" i="3"/>
  <c r="BD42" i="3"/>
  <c r="BY42" i="3"/>
  <c r="O42" i="3"/>
  <c r="AJ42" i="3"/>
  <c r="BE42" i="3"/>
  <c r="CA42" i="3"/>
  <c r="P42" i="3"/>
  <c r="AK42" i="3"/>
  <c r="BG42" i="3"/>
  <c r="CB42" i="3"/>
  <c r="BB42" i="3"/>
  <c r="CD42" i="3"/>
  <c r="R42" i="3"/>
  <c r="AD42" i="3"/>
  <c r="AP42" i="3"/>
  <c r="AY45" i="3"/>
  <c r="M45" i="3"/>
  <c r="BY45" i="3"/>
  <c r="AU40" i="3"/>
  <c r="AW40" i="3"/>
  <c r="Z40" i="3"/>
  <c r="T43" i="3"/>
  <c r="BM43" i="3"/>
  <c r="AA43" i="3"/>
  <c r="G41" i="3"/>
  <c r="I41" i="3"/>
  <c r="AL41" i="3"/>
  <c r="J44" i="3"/>
  <c r="AI44" i="3"/>
  <c r="BO44" i="3"/>
  <c r="T44" i="3"/>
  <c r="AZ44" i="3"/>
  <c r="CF44" i="3"/>
  <c r="AK44" i="3"/>
  <c r="V44" i="3"/>
  <c r="BB44" i="3"/>
  <c r="AI45" i="3"/>
  <c r="P45" i="3"/>
  <c r="CB45" i="3"/>
  <c r="BI45" i="3"/>
  <c r="AL45" i="3"/>
  <c r="Y40" i="3"/>
  <c r="AA40" i="3"/>
  <c r="AB40" i="3"/>
  <c r="AC40" i="3"/>
  <c r="N40" i="3"/>
  <c r="R40" i="3"/>
  <c r="BP43" i="3"/>
  <c r="AW43" i="3"/>
  <c r="AD43" i="3"/>
  <c r="K43" i="3"/>
  <c r="BW43" i="3"/>
  <c r="BQ41" i="3"/>
  <c r="BS41" i="3"/>
  <c r="BT41" i="3"/>
  <c r="BU41" i="3"/>
  <c r="BR41" i="3"/>
  <c r="AH41" i="3"/>
  <c r="I44" i="3"/>
  <c r="O44" i="3"/>
  <c r="AE44" i="3"/>
  <c r="AU44" i="3"/>
  <c r="BK44" i="3"/>
  <c r="CA44" i="3"/>
  <c r="P44" i="3"/>
  <c r="AF44" i="3"/>
  <c r="AV44" i="3"/>
  <c r="BL44" i="3"/>
  <c r="CB44" i="3"/>
  <c r="Q44" i="3"/>
  <c r="AG44" i="3"/>
  <c r="AW44" i="3"/>
  <c r="BM44" i="3"/>
  <c r="CC44" i="3"/>
  <c r="R44" i="3"/>
  <c r="AH44" i="3"/>
  <c r="AX44" i="3"/>
  <c r="BN44" i="3"/>
  <c r="CD44" i="3"/>
  <c r="Q42" i="3"/>
  <c r="AM42" i="3"/>
  <c r="BH42" i="3"/>
  <c r="CC42" i="3"/>
  <c r="S42" i="3"/>
  <c r="AN42" i="3"/>
  <c r="BI42" i="3"/>
  <c r="CE42" i="3"/>
  <c r="T42" i="3"/>
  <c r="AO42" i="3"/>
  <c r="BK42" i="3"/>
  <c r="CF42" i="3"/>
  <c r="U42" i="3"/>
  <c r="AQ42" i="3"/>
  <c r="BL42" i="3"/>
  <c r="CG42" i="3"/>
  <c r="AL42" i="3"/>
  <c r="BN42" i="3"/>
  <c r="BZ42" i="3"/>
  <c r="N42" i="3"/>
  <c r="Z42" i="3"/>
  <c r="AF45" i="3"/>
  <c r="BB45" i="3"/>
  <c r="AV40" i="3"/>
  <c r="AY40" i="3"/>
  <c r="CF43" i="3"/>
  <c r="AT43" i="3"/>
  <c r="F43" i="3"/>
  <c r="H41" i="3"/>
  <c r="BV41" i="3"/>
  <c r="BZ41" i="3"/>
  <c r="S44" i="3"/>
  <c r="AY44" i="3"/>
  <c r="CE44" i="3"/>
  <c r="AJ44" i="3"/>
  <c r="BP44" i="3"/>
  <c r="U44" i="3"/>
  <c r="BA44" i="3"/>
  <c r="BQ44" i="3"/>
  <c r="CG44" i="3"/>
  <c r="AL44" i="3"/>
  <c r="BR44" i="3"/>
  <c r="BO45" i="3"/>
  <c r="BR45" i="3"/>
  <c r="BT40" i="3"/>
  <c r="CC43" i="3"/>
  <c r="AB41" i="3"/>
  <c r="F41" i="3"/>
  <c r="AM44" i="3"/>
  <c r="X44" i="3"/>
  <c r="CJ44" i="3"/>
  <c r="BU44" i="3"/>
  <c r="BF44" i="3"/>
  <c r="W42" i="3"/>
  <c r="BM42" i="3"/>
  <c r="X42" i="3"/>
  <c r="BO42" i="3"/>
  <c r="Y42" i="3"/>
  <c r="BP42" i="3"/>
  <c r="AA42" i="3"/>
  <c r="BQ42" i="3"/>
  <c r="V42" i="3"/>
  <c r="BJ42" i="3"/>
  <c r="J42" i="3"/>
  <c r="AT42" i="3"/>
  <c r="AC45" i="3"/>
  <c r="AJ43" i="3"/>
  <c r="AQ43" i="3"/>
  <c r="AE41" i="3"/>
  <c r="BS44" i="3"/>
  <c r="AO44" i="3"/>
  <c r="Z44" i="3"/>
  <c r="AR42" i="3"/>
  <c r="AS42" i="3"/>
  <c r="AU42" i="3"/>
  <c r="AV42" i="3"/>
  <c r="AX42" i="3"/>
  <c r="BS40" i="3"/>
  <c r="Q43" i="3"/>
  <c r="AP41" i="3"/>
  <c r="CI44" i="3"/>
  <c r="BE44" i="3"/>
  <c r="G42" i="3"/>
  <c r="H42" i="3"/>
  <c r="I42" i="3"/>
  <c r="K42" i="3"/>
  <c r="BR42" i="3"/>
  <c r="BF42" i="3"/>
  <c r="AV45" i="3"/>
  <c r="BP40" i="3"/>
  <c r="BB40" i="3"/>
  <c r="BJ43" i="3"/>
  <c r="AC41" i="3"/>
  <c r="AT41" i="3"/>
  <c r="BC44" i="3"/>
  <c r="AN44" i="3"/>
  <c r="Y44" i="3"/>
  <c r="CK44" i="3"/>
  <c r="BV44" i="3"/>
  <c r="AB42" i="3"/>
  <c r="BS42" i="3"/>
  <c r="AC42" i="3"/>
  <c r="BT42" i="3"/>
  <c r="AE42" i="3"/>
  <c r="BU42" i="3"/>
  <c r="AF42" i="3"/>
  <c r="BW42" i="3"/>
  <c r="F42" i="3"/>
  <c r="BQ40" i="3"/>
  <c r="G44" i="3"/>
  <c r="BD44" i="3"/>
  <c r="CH44" i="3"/>
  <c r="CI42" i="3"/>
  <c r="CJ42" i="3"/>
  <c r="CK42" i="3"/>
  <c r="CH42" i="3"/>
  <c r="BV42" i="3"/>
  <c r="F45" i="3"/>
  <c r="AA41" i="3"/>
  <c r="W44" i="3"/>
  <c r="BT44" i="3"/>
  <c r="AP44" i="3"/>
  <c r="AW42" i="3"/>
  <c r="AY42" i="3"/>
  <c r="AZ42" i="3"/>
  <c r="BA42" i="3"/>
  <c r="AH42" i="3"/>
  <c r="G47" i="3"/>
  <c r="W47" i="3"/>
  <c r="AM47" i="3"/>
  <c r="BC47" i="3"/>
  <c r="BS47" i="3"/>
  <c r="CI47" i="3"/>
  <c r="T47" i="3"/>
  <c r="AJ47" i="3"/>
  <c r="AZ47" i="3"/>
  <c r="BP47" i="3"/>
  <c r="CF47" i="3"/>
  <c r="Q47" i="3"/>
  <c r="AG47" i="3"/>
  <c r="AW47" i="3"/>
  <c r="BM47" i="3"/>
  <c r="F47" i="3"/>
  <c r="V47" i="3"/>
  <c r="AL47" i="3"/>
  <c r="BB47" i="3"/>
  <c r="BR47" i="3"/>
  <c r="CH47" i="3"/>
  <c r="G46" i="3"/>
  <c r="W46" i="3"/>
  <c r="AM46" i="3"/>
  <c r="BC46" i="3"/>
  <c r="BS46" i="3"/>
  <c r="CI46" i="3"/>
  <c r="T46" i="3"/>
  <c r="AJ46" i="3"/>
  <c r="AZ46" i="3"/>
  <c r="BP46" i="3"/>
  <c r="CF46" i="3"/>
  <c r="Q46" i="3"/>
  <c r="AG46" i="3"/>
  <c r="AW46" i="3"/>
  <c r="BM46" i="3"/>
  <c r="CC46" i="3"/>
  <c r="J46" i="3"/>
  <c r="Z46" i="3"/>
  <c r="AP46" i="3"/>
  <c r="BF46" i="3"/>
  <c r="BV46" i="3"/>
  <c r="G49" i="3"/>
  <c r="W49" i="3"/>
  <c r="AM49" i="3"/>
  <c r="BC49" i="3"/>
  <c r="BS49" i="3"/>
  <c r="CI49" i="3"/>
  <c r="L49" i="3"/>
  <c r="AB49" i="3"/>
  <c r="AR49" i="3"/>
  <c r="BH49" i="3"/>
  <c r="BX49" i="3"/>
  <c r="M49" i="3"/>
  <c r="AC49" i="3"/>
  <c r="AS49" i="3"/>
  <c r="BI49" i="3"/>
  <c r="BY49" i="3"/>
  <c r="J49" i="3"/>
  <c r="Z49" i="3"/>
  <c r="AP49" i="3"/>
  <c r="BF49" i="3"/>
  <c r="BV49" i="3"/>
  <c r="M39" i="3"/>
  <c r="AI39" i="3"/>
  <c r="BD39" i="3"/>
  <c r="BY39" i="3"/>
  <c r="O39" i="3"/>
  <c r="AJ39" i="3"/>
  <c r="BE39" i="3"/>
  <c r="CA39" i="3"/>
  <c r="P39" i="3"/>
  <c r="AK39" i="3"/>
  <c r="BG39" i="3"/>
  <c r="CB39" i="3"/>
  <c r="W39" i="3"/>
  <c r="AR39" i="3"/>
  <c r="BM39" i="3"/>
  <c r="CI39" i="3"/>
  <c r="AX39" i="3"/>
  <c r="BZ39" i="3"/>
  <c r="N39" i="3"/>
  <c r="AP39" i="3"/>
  <c r="BR39" i="3"/>
  <c r="G48" i="3"/>
  <c r="W48" i="3"/>
  <c r="L48" i="3"/>
  <c r="N48" i="3"/>
  <c r="AD48" i="3"/>
  <c r="AU48" i="3"/>
  <c r="BK48" i="3"/>
  <c r="CA48" i="3"/>
  <c r="U48" i="3"/>
  <c r="AN48" i="3"/>
  <c r="BD48" i="3"/>
  <c r="BT48" i="3"/>
  <c r="CJ48" i="3"/>
  <c r="AG48" i="3"/>
  <c r="AW48" i="3"/>
  <c r="BM48" i="3"/>
  <c r="CC48" i="3"/>
  <c r="X48" i="3"/>
  <c r="AP48" i="3"/>
  <c r="BF48" i="3"/>
  <c r="BV48" i="3"/>
  <c r="K47" i="3"/>
  <c r="AA47" i="3"/>
  <c r="AQ47" i="3"/>
  <c r="BG47" i="3"/>
  <c r="BW47" i="3"/>
  <c r="H47" i="3"/>
  <c r="X47" i="3"/>
  <c r="AN47" i="3"/>
  <c r="BD47" i="3"/>
  <c r="BT47" i="3"/>
  <c r="CJ47" i="3"/>
  <c r="U47" i="3"/>
  <c r="AK47" i="3"/>
  <c r="BA47" i="3"/>
  <c r="BQ47" i="3"/>
  <c r="J47" i="3"/>
  <c r="Z47" i="3"/>
  <c r="AP47" i="3"/>
  <c r="BF47" i="3"/>
  <c r="BV47" i="3"/>
  <c r="CC47" i="3"/>
  <c r="K46" i="3"/>
  <c r="AA46" i="3"/>
  <c r="AQ46" i="3"/>
  <c r="BG46" i="3"/>
  <c r="BW46" i="3"/>
  <c r="H46" i="3"/>
  <c r="X46" i="3"/>
  <c r="AN46" i="3"/>
  <c r="BD46" i="3"/>
  <c r="BT46" i="3"/>
  <c r="CJ46" i="3"/>
  <c r="U46" i="3"/>
  <c r="AK46" i="3"/>
  <c r="BA46" i="3"/>
  <c r="BQ46" i="3"/>
  <c r="CG46" i="3"/>
  <c r="N46" i="3"/>
  <c r="AD46" i="3"/>
  <c r="AT46" i="3"/>
  <c r="BJ46" i="3"/>
  <c r="BZ46" i="3"/>
  <c r="K49" i="3"/>
  <c r="AA49" i="3"/>
  <c r="AQ49" i="3"/>
  <c r="BG49" i="3"/>
  <c r="BW49" i="3"/>
  <c r="CF49" i="3"/>
  <c r="P49" i="3"/>
  <c r="AF49" i="3"/>
  <c r="AV49" i="3"/>
  <c r="BL49" i="3"/>
  <c r="CB49" i="3"/>
  <c r="Q49" i="3"/>
  <c r="AG49" i="3"/>
  <c r="AW49" i="3"/>
  <c r="BM49" i="3"/>
  <c r="CC49" i="3"/>
  <c r="N49" i="3"/>
  <c r="AD49" i="3"/>
  <c r="AT49" i="3"/>
  <c r="BJ49" i="3"/>
  <c r="BZ49" i="3"/>
  <c r="S39" i="3"/>
  <c r="AN39" i="3"/>
  <c r="BI39" i="3"/>
  <c r="CE39" i="3"/>
  <c r="T39" i="3"/>
  <c r="AO39" i="3"/>
  <c r="BK39" i="3"/>
  <c r="CF39" i="3"/>
  <c r="U39" i="3"/>
  <c r="AQ39" i="3"/>
  <c r="BL39" i="3"/>
  <c r="CG39" i="3"/>
  <c r="AB39" i="3"/>
  <c r="AW39" i="3"/>
  <c r="BS39" i="3"/>
  <c r="F39" i="3"/>
  <c r="AH39" i="3"/>
  <c r="BJ39" i="3"/>
  <c r="G39" i="3"/>
  <c r="Z39" i="3"/>
  <c r="BB39" i="3"/>
  <c r="K48" i="3"/>
  <c r="AA48" i="3"/>
  <c r="P48" i="3"/>
  <c r="I48" i="3"/>
  <c r="AI48" i="3"/>
  <c r="AY48" i="3"/>
  <c r="BO48" i="3"/>
  <c r="CE48" i="3"/>
  <c r="Z48" i="3"/>
  <c r="AR48" i="3"/>
  <c r="BH48" i="3"/>
  <c r="BX48" i="3"/>
  <c r="Q48" i="3"/>
  <c r="AK48" i="3"/>
  <c r="BA48" i="3"/>
  <c r="BQ48" i="3"/>
  <c r="CG48" i="3"/>
  <c r="AC48" i="3"/>
  <c r="AT48" i="3"/>
  <c r="BJ48" i="3"/>
  <c r="BZ48" i="3"/>
  <c r="O47" i="3"/>
  <c r="AE47" i="3"/>
  <c r="AU47" i="3"/>
  <c r="BK47" i="3"/>
  <c r="CA47" i="3"/>
  <c r="L47" i="3"/>
  <c r="AB47" i="3"/>
  <c r="AR47" i="3"/>
  <c r="BH47" i="3"/>
  <c r="BX47" i="3"/>
  <c r="I47" i="3"/>
  <c r="Y47" i="3"/>
  <c r="AO47" i="3"/>
  <c r="BE47" i="3"/>
  <c r="BU47" i="3"/>
  <c r="N47" i="3"/>
  <c r="AD47" i="3"/>
  <c r="AT47" i="3"/>
  <c r="BJ47" i="3"/>
  <c r="BZ47" i="3"/>
  <c r="CG47" i="3"/>
  <c r="O46" i="3"/>
  <c r="AE46" i="3"/>
  <c r="AU46" i="3"/>
  <c r="BK46" i="3"/>
  <c r="CA46" i="3"/>
  <c r="L46" i="3"/>
  <c r="AB46" i="3"/>
  <c r="AR46" i="3"/>
  <c r="BH46" i="3"/>
  <c r="BX46" i="3"/>
  <c r="I46" i="3"/>
  <c r="Y46" i="3"/>
  <c r="AO46" i="3"/>
  <c r="BE46" i="3"/>
  <c r="BU46" i="3"/>
  <c r="CK46" i="3"/>
  <c r="R46" i="3"/>
  <c r="AH46" i="3"/>
  <c r="AX46" i="3"/>
  <c r="BN46" i="3"/>
  <c r="CD46" i="3"/>
  <c r="O49" i="3"/>
  <c r="AE49" i="3"/>
  <c r="AU49" i="3"/>
  <c r="BK49" i="3"/>
  <c r="CA49" i="3"/>
  <c r="CK49" i="3"/>
  <c r="T49" i="3"/>
  <c r="AJ49" i="3"/>
  <c r="AZ49" i="3"/>
  <c r="BP49" i="3"/>
  <c r="CJ49" i="3"/>
  <c r="U49" i="3"/>
  <c r="AK49" i="3"/>
  <c r="BA49" i="3"/>
  <c r="BQ49" i="3"/>
  <c r="CG49" i="3"/>
  <c r="R49" i="3"/>
  <c r="AH49" i="3"/>
  <c r="AX49" i="3"/>
  <c r="BN49" i="3"/>
  <c r="CD49" i="3"/>
  <c r="X39" i="3"/>
  <c r="AS39" i="3"/>
  <c r="BO39" i="3"/>
  <c r="CJ39" i="3"/>
  <c r="Y39" i="3"/>
  <c r="AU39" i="3"/>
  <c r="BP39" i="3"/>
  <c r="CK39" i="3"/>
  <c r="AA39" i="3"/>
  <c r="AV39" i="3"/>
  <c r="BQ39" i="3"/>
  <c r="L39" i="3"/>
  <c r="AG39" i="3"/>
  <c r="BC39" i="3"/>
  <c r="BX39" i="3"/>
  <c r="CD39" i="3"/>
  <c r="R39" i="3"/>
  <c r="AT39" i="3"/>
  <c r="BV39" i="3"/>
  <c r="J39" i="3"/>
  <c r="AL39" i="3"/>
  <c r="O48" i="3"/>
  <c r="S47" i="3"/>
  <c r="CE47" i="3"/>
  <c r="BL47" i="3"/>
  <c r="AS47" i="3"/>
  <c r="AH47" i="3"/>
  <c r="CK47" i="3"/>
  <c r="BO46" i="3"/>
  <c r="AV46" i="3"/>
  <c r="AC46" i="3"/>
  <c r="F46" i="3"/>
  <c r="BR46" i="3"/>
  <c r="AY49" i="3"/>
  <c r="X49" i="3"/>
  <c r="I49" i="3"/>
  <c r="BU49" i="3"/>
  <c r="BB49" i="3"/>
  <c r="AY39" i="3"/>
  <c r="AZ39" i="3"/>
  <c r="BA39" i="3"/>
  <c r="BH39" i="3"/>
  <c r="AD39" i="3"/>
  <c r="S48" i="3"/>
  <c r="J48" i="3"/>
  <c r="AQ48" i="3"/>
  <c r="BW48" i="3"/>
  <c r="AJ48" i="3"/>
  <c r="BP48" i="3"/>
  <c r="AB48" i="3"/>
  <c r="BI48" i="3"/>
  <c r="R48" i="3"/>
  <c r="BB48" i="3"/>
  <c r="CH48" i="3"/>
  <c r="AV48" i="3"/>
  <c r="AH48" i="3"/>
  <c r="AI47" i="3"/>
  <c r="P47" i="3"/>
  <c r="CB47" i="3"/>
  <c r="BI47" i="3"/>
  <c r="AX47" i="3"/>
  <c r="S46" i="3"/>
  <c r="CE46" i="3"/>
  <c r="BL46" i="3"/>
  <c r="AS46" i="3"/>
  <c r="V46" i="3"/>
  <c r="CH46" i="3"/>
  <c r="BO49" i="3"/>
  <c r="AN49" i="3"/>
  <c r="Y49" i="3"/>
  <c r="F49" i="3"/>
  <c r="BR49" i="3"/>
  <c r="BT39" i="3"/>
  <c r="BU39" i="3"/>
  <c r="BW39" i="3"/>
  <c r="CC39" i="3"/>
  <c r="BF39" i="3"/>
  <c r="AE48" i="3"/>
  <c r="T48" i="3"/>
  <c r="BC48" i="3"/>
  <c r="CI48" i="3"/>
  <c r="CB48" i="3"/>
  <c r="AO48" i="3"/>
  <c r="BU48" i="3"/>
  <c r="BN48" i="3"/>
  <c r="AY47" i="3"/>
  <c r="AF47" i="3"/>
  <c r="M47" i="3"/>
  <c r="BY47" i="3"/>
  <c r="BN47" i="3"/>
  <c r="AI46" i="3"/>
  <c r="P46" i="3"/>
  <c r="CB46" i="3"/>
  <c r="BI46" i="3"/>
  <c r="AL46" i="3"/>
  <c r="S49" i="3"/>
  <c r="CE49" i="3"/>
  <c r="BD49" i="3"/>
  <c r="AO49" i="3"/>
  <c r="V49" i="3"/>
  <c r="CH49" i="3"/>
  <c r="I39" i="3"/>
  <c r="K39" i="3"/>
  <c r="Q39" i="3"/>
  <c r="BN39" i="3"/>
  <c r="CH39" i="3"/>
  <c r="H48" i="3"/>
  <c r="Y48" i="3"/>
  <c r="BG48" i="3"/>
  <c r="M48" i="3"/>
  <c r="AZ48" i="3"/>
  <c r="CF48" i="3"/>
  <c r="AS48" i="3"/>
  <c r="BY48" i="3"/>
  <c r="AL48" i="3"/>
  <c r="BR48" i="3"/>
  <c r="BO47" i="3"/>
  <c r="AV47" i="3"/>
  <c r="AC47" i="3"/>
  <c r="R47" i="3"/>
  <c r="CD47" i="3"/>
  <c r="AY46" i="3"/>
  <c r="AF46" i="3"/>
  <c r="M46" i="3"/>
  <c r="BY46" i="3"/>
  <c r="BB46" i="3"/>
  <c r="AI49" i="3"/>
  <c r="H49" i="3"/>
  <c r="BT49" i="3"/>
  <c r="BE49" i="3"/>
  <c r="AL49" i="3"/>
  <c r="AC39" i="3"/>
  <c r="AE39" i="3"/>
  <c r="AF39" i="3"/>
  <c r="AM39" i="3"/>
  <c r="H39" i="3"/>
  <c r="V39" i="3"/>
  <c r="F48" i="3"/>
  <c r="AM48" i="3"/>
  <c r="BS48" i="3"/>
  <c r="AF48" i="3"/>
  <c r="BL48" i="3"/>
  <c r="V48" i="3"/>
  <c r="BE48" i="3"/>
  <c r="CK48" i="3"/>
  <c r="AX48" i="3"/>
  <c r="CD48" i="3"/>
  <c r="BZ60" i="4"/>
  <c r="BZ61" i="4" s="1"/>
  <c r="BZ121" i="4"/>
  <c r="BZ122" i="4" s="1"/>
  <c r="CF60" i="4"/>
  <c r="CF61" i="4" s="1"/>
  <c r="CF121" i="4"/>
  <c r="CF122" i="4" s="1"/>
  <c r="CB121" i="4"/>
  <c r="CB122" i="4" s="1"/>
  <c r="CB60" i="4"/>
  <c r="CB61" i="4" s="1"/>
  <c r="BS121" i="4"/>
  <c r="BS122" i="4" s="1"/>
  <c r="BS60" i="4"/>
  <c r="BS61" i="4" s="1"/>
  <c r="BO121" i="4"/>
  <c r="BO122" i="4" s="1"/>
  <c r="BO60" i="4"/>
  <c r="BO61" i="4" s="1"/>
  <c r="BW60" i="4"/>
  <c r="BW61" i="4" s="1"/>
  <c r="BW121" i="4"/>
  <c r="BW122" i="4" s="1"/>
  <c r="CH60" i="4"/>
  <c r="CH61" i="4" s="1"/>
  <c r="CH121" i="4"/>
  <c r="CH122" i="4" s="1"/>
  <c r="BU60" i="4"/>
  <c r="BU61" i="4" s="1"/>
  <c r="BU121" i="4"/>
  <c r="BU122" i="4" s="1"/>
  <c r="CK60" i="4"/>
  <c r="CK61" i="4" s="1"/>
  <c r="CK121" i="4"/>
  <c r="CK122" i="4" s="1"/>
  <c r="BT121" i="4"/>
  <c r="BT122" i="4" s="1"/>
  <c r="BT60" i="4"/>
  <c r="BT61" i="4" s="1"/>
  <c r="BX60" i="4"/>
  <c r="BX61" i="4" s="1"/>
  <c r="BX121" i="4"/>
  <c r="BX122" i="4" s="1"/>
  <c r="CI60" i="4"/>
  <c r="CI61" i="4" s="1"/>
  <c r="CI121" i="4"/>
  <c r="CI122" i="4" s="1"/>
  <c r="CJ121" i="4"/>
  <c r="CJ122" i="4" s="1"/>
  <c r="CJ60" i="4"/>
  <c r="CJ61" i="4" s="1"/>
  <c r="BY60" i="4"/>
  <c r="BY61" i="4" s="1"/>
  <c r="BY121" i="4"/>
  <c r="BY122" i="4" s="1"/>
  <c r="BQ60" i="4"/>
  <c r="BQ61" i="4" s="1"/>
  <c r="BQ121" i="4"/>
  <c r="BQ122" i="4" s="1"/>
  <c r="CD60" i="4"/>
  <c r="CD61" i="4" s="1"/>
  <c r="CD121" i="4"/>
  <c r="CD122" i="4" s="1"/>
  <c r="BP60" i="4"/>
  <c r="BP61" i="4" s="1"/>
  <c r="BP121" i="4"/>
  <c r="BP122" i="4" s="1"/>
  <c r="CC60" i="4"/>
  <c r="CC61" i="4" s="1"/>
  <c r="CC121" i="4"/>
  <c r="CC122" i="4" s="1"/>
  <c r="CE121" i="4"/>
  <c r="CE122" i="4" s="1"/>
  <c r="CE60" i="4"/>
  <c r="CE61" i="4" s="1"/>
  <c r="CA60" i="4"/>
  <c r="CA61" i="4" s="1"/>
  <c r="CA121" i="4"/>
  <c r="CA122" i="4" s="1"/>
  <c r="BR60" i="4"/>
  <c r="BR61" i="4" s="1"/>
  <c r="BR121" i="4"/>
  <c r="BR122" i="4" s="1"/>
  <c r="BV60" i="4"/>
  <c r="BV61" i="4" s="1"/>
  <c r="BV121" i="4"/>
  <c r="BV122" i="4" s="1"/>
  <c r="BN60" i="4"/>
  <c r="BN61" i="4" s="1"/>
  <c r="BN121" i="4"/>
  <c r="BN122" i="4" s="1"/>
  <c r="CG60" i="4"/>
  <c r="CG61" i="4" s="1"/>
  <c r="CG121" i="4"/>
  <c r="CG122" i="4" s="1"/>
  <c r="AA121" i="4"/>
  <c r="AA122" i="4" s="1"/>
  <c r="AA60" i="4"/>
  <c r="AA61" i="4" s="1"/>
  <c r="BC121" i="4"/>
  <c r="BC122" i="4" s="1"/>
  <c r="BC60" i="4"/>
  <c r="BC61" i="4" s="1"/>
  <c r="BI60" i="4"/>
  <c r="BI61" i="4" s="1"/>
  <c r="BI121" i="4"/>
  <c r="BI122" i="4" s="1"/>
  <c r="BG121" i="4"/>
  <c r="BG122" i="4" s="1"/>
  <c r="BG60" i="4"/>
  <c r="BG61" i="4" s="1"/>
  <c r="H121" i="4"/>
  <c r="H122" i="4" s="1"/>
  <c r="H60" i="4"/>
  <c r="H61" i="4" s="1"/>
  <c r="BJ60" i="4"/>
  <c r="BJ61" i="4" s="1"/>
  <c r="BJ121" i="4"/>
  <c r="BJ122" i="4" s="1"/>
  <c r="BF121" i="4"/>
  <c r="BF122" i="4" s="1"/>
  <c r="BF60" i="4"/>
  <c r="BF61" i="4" s="1"/>
  <c r="I121" i="4"/>
  <c r="I122" i="4" s="1"/>
  <c r="I60" i="4"/>
  <c r="I61" i="4" s="1"/>
  <c r="AX121" i="4"/>
  <c r="AX122" i="4" s="1"/>
  <c r="AX60" i="4"/>
  <c r="AX61" i="4" s="1"/>
  <c r="AO121" i="4"/>
  <c r="AO122" i="4" s="1"/>
  <c r="AO60" i="4"/>
  <c r="AO61" i="4" s="1"/>
  <c r="S88" i="5"/>
  <c r="S64" i="5"/>
  <c r="S153" i="5"/>
  <c r="K80" i="5"/>
  <c r="K37" i="5"/>
  <c r="K148" i="5"/>
  <c r="K149" i="5" s="1"/>
  <c r="H153" i="5"/>
  <c r="H88" i="5"/>
  <c r="H64" i="5"/>
  <c r="P88" i="5"/>
  <c r="P153" i="5"/>
  <c r="P64" i="5"/>
  <c r="BE153" i="5"/>
  <c r="BE88" i="5"/>
  <c r="BE64" i="5"/>
  <c r="AH39" i="8"/>
  <c r="AH38" i="8"/>
  <c r="AH37" i="8"/>
  <c r="AC38" i="8"/>
  <c r="AC39" i="8"/>
  <c r="AC37" i="8"/>
  <c r="I37" i="8"/>
  <c r="I39" i="8"/>
  <c r="I38" i="8"/>
  <c r="W37" i="8"/>
  <c r="W38" i="8"/>
  <c r="W39" i="8"/>
  <c r="AB38" i="8"/>
  <c r="AB37" i="8"/>
  <c r="AB39" i="8"/>
  <c r="AT39" i="8"/>
  <c r="AT37" i="8"/>
  <c r="AT38" i="8"/>
  <c r="BF38" i="8"/>
  <c r="BF37" i="8"/>
  <c r="BF39" i="8"/>
  <c r="BG39" i="8"/>
  <c r="BG38" i="8"/>
  <c r="BG37" i="8"/>
  <c r="BI38" i="8"/>
  <c r="BI39" i="8"/>
  <c r="BI37" i="8"/>
  <c r="AH78" i="10"/>
  <c r="AH48" i="10"/>
  <c r="AT78" i="10"/>
  <c r="AT48" i="10"/>
  <c r="I78" i="10"/>
  <c r="I48" i="10"/>
  <c r="BF48" i="10"/>
  <c r="BF78" i="10"/>
  <c r="O48" i="10"/>
  <c r="O78" i="10"/>
  <c r="R48" i="10"/>
  <c r="R78" i="10"/>
  <c r="AK48" i="10"/>
  <c r="AK78" i="10"/>
  <c r="AR78" i="10"/>
  <c r="AR48" i="10"/>
  <c r="AU331" i="3"/>
  <c r="AU53" i="3"/>
  <c r="AU54" i="3" s="1"/>
  <c r="AU332" i="3"/>
  <c r="AU300" i="3"/>
  <c r="AU301" i="3" s="1"/>
  <c r="AU330" i="3"/>
  <c r="AU371" i="3"/>
  <c r="AU264" i="3"/>
  <c r="AU265" i="3" s="1"/>
  <c r="AU183" i="3"/>
  <c r="AU184" i="3" s="1"/>
  <c r="AU224" i="3"/>
  <c r="AU225" i="3" s="1"/>
  <c r="AB90" i="3"/>
  <c r="AB91" i="3" s="1"/>
  <c r="R90" i="3"/>
  <c r="R91" i="3" s="1"/>
  <c r="K264" i="3"/>
  <c r="K265" i="3" s="1"/>
  <c r="K53" i="3"/>
  <c r="K54" i="3" s="1"/>
  <c r="K300" i="3"/>
  <c r="K301" i="3" s="1"/>
  <c r="K371" i="3"/>
  <c r="K330" i="3"/>
  <c r="K331" i="3"/>
  <c r="K224" i="3"/>
  <c r="K225" i="3" s="1"/>
  <c r="K183" i="3"/>
  <c r="K184" i="3" s="1"/>
  <c r="K332" i="3"/>
  <c r="G90" i="3"/>
  <c r="G91" i="3" s="1"/>
  <c r="BF53" i="3"/>
  <c r="BF54" i="3" s="1"/>
  <c r="BF330" i="3"/>
  <c r="BF300" i="3"/>
  <c r="BF301" i="3" s="1"/>
  <c r="BF332" i="3"/>
  <c r="BF183" i="3"/>
  <c r="BF184" i="3" s="1"/>
  <c r="BF224" i="3"/>
  <c r="BF225" i="3" s="1"/>
  <c r="BF331" i="3"/>
  <c r="BF264" i="3"/>
  <c r="BF265" i="3" s="1"/>
  <c r="BF371" i="3"/>
  <c r="AA371" i="3"/>
  <c r="AA330" i="3"/>
  <c r="AA300" i="3"/>
  <c r="AA301" i="3" s="1"/>
  <c r="AA331" i="3"/>
  <c r="AA224" i="3"/>
  <c r="AA225" i="3" s="1"/>
  <c r="AA264" i="3"/>
  <c r="AA265" i="3" s="1"/>
  <c r="AA53" i="3"/>
  <c r="AA54" i="3" s="1"/>
  <c r="AA183" i="3"/>
  <c r="AA184" i="3" s="1"/>
  <c r="AA332" i="3"/>
  <c r="AG330" i="3"/>
  <c r="AG331" i="3"/>
  <c r="AG183" i="3"/>
  <c r="AG184" i="3" s="1"/>
  <c r="AG264" i="3"/>
  <c r="AG265" i="3" s="1"/>
  <c r="AG300" i="3"/>
  <c r="AG301" i="3" s="1"/>
  <c r="AG371" i="3"/>
  <c r="AG332" i="3"/>
  <c r="AG53" i="3"/>
  <c r="AG54" i="3" s="1"/>
  <c r="AG224" i="3"/>
  <c r="AG225" i="3" s="1"/>
  <c r="K90" i="3"/>
  <c r="K91" i="3" s="1"/>
  <c r="BH90" i="3"/>
  <c r="BH91" i="3" s="1"/>
  <c r="AN224" i="3"/>
  <c r="AN225" i="3" s="1"/>
  <c r="AN371" i="3"/>
  <c r="AN330" i="3"/>
  <c r="AN331" i="3"/>
  <c r="AN183" i="3"/>
  <c r="AN184" i="3" s="1"/>
  <c r="AN53" i="3"/>
  <c r="AN54" i="3" s="1"/>
  <c r="AN264" i="3"/>
  <c r="AN265" i="3" s="1"/>
  <c r="AN332" i="3"/>
  <c r="AN300" i="3"/>
  <c r="AN301" i="3" s="1"/>
  <c r="AC264" i="3"/>
  <c r="AC265" i="3" s="1"/>
  <c r="AC300" i="3"/>
  <c r="AC301" i="3" s="1"/>
  <c r="AC332" i="3"/>
  <c r="AC371" i="3"/>
  <c r="AC224" i="3"/>
  <c r="AC225" i="3" s="1"/>
  <c r="AC331" i="3"/>
  <c r="AC183" i="3"/>
  <c r="AC184" i="3" s="1"/>
  <c r="AC53" i="3"/>
  <c r="AC54" i="3" s="1"/>
  <c r="AC330" i="3"/>
  <c r="BF90" i="3"/>
  <c r="BF91" i="3" s="1"/>
  <c r="BJ90" i="3"/>
  <c r="BJ91" i="3" s="1"/>
  <c r="Q300" i="3"/>
  <c r="Q301" i="3" s="1"/>
  <c r="Q331" i="3"/>
  <c r="Q371" i="3"/>
  <c r="Q53" i="3"/>
  <c r="Q54" i="3" s="1"/>
  <c r="Q332" i="3"/>
  <c r="Q224" i="3"/>
  <c r="Q225" i="3" s="1"/>
  <c r="Q183" i="3"/>
  <c r="Q184" i="3" s="1"/>
  <c r="Q330" i="3"/>
  <c r="Q264" i="3"/>
  <c r="Q265" i="3" s="1"/>
  <c r="AA90" i="3"/>
  <c r="AA91" i="3" s="1"/>
  <c r="X332" i="3"/>
  <c r="X183" i="3"/>
  <c r="X184" i="3" s="1"/>
  <c r="X53" i="3"/>
  <c r="X54" i="3" s="1"/>
  <c r="X330" i="3"/>
  <c r="X224" i="3"/>
  <c r="X225" i="3" s="1"/>
  <c r="X371" i="3"/>
  <c r="X264" i="3"/>
  <c r="X265" i="3" s="1"/>
  <c r="X300" i="3"/>
  <c r="X301" i="3" s="1"/>
  <c r="X331" i="3"/>
  <c r="Z300" i="3"/>
  <c r="Z301" i="3" s="1"/>
  <c r="Z371" i="3"/>
  <c r="Z330" i="3"/>
  <c r="Z183" i="3"/>
  <c r="Z184" i="3" s="1"/>
  <c r="Z224" i="3"/>
  <c r="Z225" i="3" s="1"/>
  <c r="Z332" i="3"/>
  <c r="Z264" i="3"/>
  <c r="Z265" i="3" s="1"/>
  <c r="Z331" i="3"/>
  <c r="Z53" i="3"/>
  <c r="Z54" i="3" s="1"/>
  <c r="O121" i="4"/>
  <c r="O122" i="4" s="1"/>
  <c r="O60" i="4"/>
  <c r="O61" i="4" s="1"/>
  <c r="BH60" i="4"/>
  <c r="BH61" i="4" s="1"/>
  <c r="BH121" i="4"/>
  <c r="BH122" i="4" s="1"/>
  <c r="BD60" i="4"/>
  <c r="BD61" i="4" s="1"/>
  <c r="BD121" i="4"/>
  <c r="BD122" i="4" s="1"/>
  <c r="Q121" i="4"/>
  <c r="Q122" i="4" s="1"/>
  <c r="Q60" i="4"/>
  <c r="Q61" i="4" s="1"/>
  <c r="J121" i="4"/>
  <c r="J122" i="4" s="1"/>
  <c r="J60" i="4"/>
  <c r="J61" i="4" s="1"/>
  <c r="V60" i="4"/>
  <c r="V61" i="4" s="1"/>
  <c r="V121" i="4"/>
  <c r="V122" i="4" s="1"/>
  <c r="N60" i="4"/>
  <c r="N61" i="4" s="1"/>
  <c r="N121" i="4"/>
  <c r="N122" i="4" s="1"/>
  <c r="BM121" i="4"/>
  <c r="BM122" i="4" s="1"/>
  <c r="BM60" i="4"/>
  <c r="BM61" i="4" s="1"/>
  <c r="AH64" i="5"/>
  <c r="AH153" i="5"/>
  <c r="AH88" i="5"/>
  <c r="M64" i="5"/>
  <c r="M88" i="5"/>
  <c r="M153" i="5"/>
  <c r="AC148" i="5"/>
  <c r="AC149" i="5" s="1"/>
  <c r="AC80" i="5"/>
  <c r="AC37" i="5"/>
  <c r="U88" i="5"/>
  <c r="U153" i="5"/>
  <c r="U64" i="5"/>
  <c r="AF88" i="5"/>
  <c r="AF153" i="5"/>
  <c r="AF64" i="5"/>
  <c r="AC64" i="5"/>
  <c r="AC88" i="5"/>
  <c r="AC153" i="5"/>
  <c r="AN153" i="5"/>
  <c r="AN64" i="5"/>
  <c r="AN88" i="5"/>
  <c r="G37" i="5"/>
  <c r="G80" i="5"/>
  <c r="G148" i="5"/>
  <c r="G149" i="5" s="1"/>
  <c r="AK64" i="5"/>
  <c r="AK153" i="5"/>
  <c r="AK88" i="5"/>
  <c r="AV88" i="5"/>
  <c r="AV64" i="5"/>
  <c r="AV153" i="5"/>
  <c r="O80" i="5"/>
  <c r="O148" i="5"/>
  <c r="O149" i="5" s="1"/>
  <c r="O37" i="5"/>
  <c r="AS88" i="5"/>
  <c r="AS153" i="5"/>
  <c r="AS64" i="5"/>
  <c r="BD64" i="5"/>
  <c r="BD153" i="5"/>
  <c r="BD88" i="5"/>
  <c r="W37" i="5"/>
  <c r="W148" i="5"/>
  <c r="W149" i="5" s="1"/>
  <c r="W80" i="5"/>
  <c r="BA153" i="5"/>
  <c r="BA64" i="5"/>
  <c r="BA88" i="5"/>
  <c r="BL88" i="5"/>
  <c r="BL153" i="5"/>
  <c r="BL64" i="5"/>
  <c r="Y148" i="5"/>
  <c r="Y149" i="5" s="1"/>
  <c r="Y37" i="5"/>
  <c r="Y80" i="5"/>
  <c r="M37" i="5"/>
  <c r="M148" i="5"/>
  <c r="M149" i="5" s="1"/>
  <c r="M80" i="5"/>
  <c r="AE80" i="5"/>
  <c r="AE37" i="5"/>
  <c r="AE148" i="5"/>
  <c r="AE149" i="5" s="1"/>
  <c r="BI88" i="5"/>
  <c r="BI153" i="5"/>
  <c r="BI64" i="5"/>
  <c r="U148" i="5"/>
  <c r="U149" i="5" s="1"/>
  <c r="U80" i="5"/>
  <c r="U37" i="5"/>
  <c r="AM148" i="5"/>
  <c r="AM149" i="5" s="1"/>
  <c r="AM37" i="5"/>
  <c r="AM80" i="5"/>
  <c r="AG64" i="5"/>
  <c r="AG88" i="5"/>
  <c r="AG153" i="5"/>
  <c r="X37" i="8"/>
  <c r="X38" i="8"/>
  <c r="X39" i="8"/>
  <c r="Y38" i="8"/>
  <c r="Y37" i="8"/>
  <c r="Y39" i="8"/>
  <c r="Q37" i="8"/>
  <c r="Q39" i="8"/>
  <c r="Q38" i="8"/>
  <c r="AJ38" i="8"/>
  <c r="AJ39" i="8"/>
  <c r="AJ37" i="8"/>
  <c r="AN39" i="8"/>
  <c r="AN38" i="8"/>
  <c r="AN37" i="8"/>
  <c r="AL38" i="8"/>
  <c r="AL37" i="8"/>
  <c r="AL39" i="8"/>
  <c r="BE39" i="8"/>
  <c r="BE37" i="8"/>
  <c r="BE38" i="8"/>
  <c r="J37" i="8"/>
  <c r="J39" i="8"/>
  <c r="J38" i="8"/>
  <c r="K37" i="8"/>
  <c r="K38" i="8"/>
  <c r="K39" i="8"/>
  <c r="M37" i="8"/>
  <c r="M38" i="8"/>
  <c r="M39" i="8"/>
  <c r="T48" i="10"/>
  <c r="T78" i="10"/>
  <c r="AV78" i="10"/>
  <c r="AV48" i="10"/>
  <c r="AX48" i="10"/>
  <c r="AX78" i="10"/>
  <c r="BK48" i="10"/>
  <c r="BK78" i="10"/>
  <c r="H78" i="10"/>
  <c r="H48" i="10"/>
  <c r="W48" i="10"/>
  <c r="W78" i="10"/>
  <c r="AD78" i="10"/>
  <c r="AD48" i="10"/>
  <c r="Z78" i="10"/>
  <c r="Z48" i="10"/>
  <c r="BA48" i="10"/>
  <c r="BA78" i="10"/>
  <c r="AZ78" i="10"/>
  <c r="AZ48" i="10"/>
  <c r="S53" i="3"/>
  <c r="S54" i="3" s="1"/>
  <c r="S300" i="3"/>
  <c r="S301" i="3" s="1"/>
  <c r="S331" i="3"/>
  <c r="S264" i="3"/>
  <c r="S265" i="3" s="1"/>
  <c r="S330" i="3"/>
  <c r="S224" i="3"/>
  <c r="S225" i="3" s="1"/>
  <c r="S332" i="3"/>
  <c r="S371" i="3"/>
  <c r="S183" i="3"/>
  <c r="S184" i="3" s="1"/>
  <c r="AW183" i="3"/>
  <c r="AW184" i="3" s="1"/>
  <c r="AW264" i="3"/>
  <c r="AW265" i="3" s="1"/>
  <c r="AW330" i="3"/>
  <c r="AW224" i="3"/>
  <c r="AW225" i="3" s="1"/>
  <c r="AW300" i="3"/>
  <c r="AW301" i="3" s="1"/>
  <c r="AW371" i="3"/>
  <c r="AW331" i="3"/>
  <c r="AW53" i="3"/>
  <c r="AW54" i="3" s="1"/>
  <c r="AW332" i="3"/>
  <c r="AR90" i="3"/>
  <c r="AR91" i="3" s="1"/>
  <c r="BD331" i="3"/>
  <c r="BD300" i="3"/>
  <c r="BD301" i="3" s="1"/>
  <c r="BD371" i="3"/>
  <c r="BD224" i="3"/>
  <c r="BD225" i="3" s="1"/>
  <c r="BD264" i="3"/>
  <c r="BD265" i="3" s="1"/>
  <c r="BD53" i="3"/>
  <c r="BD54" i="3" s="1"/>
  <c r="BD183" i="3"/>
  <c r="BD184" i="3" s="1"/>
  <c r="BD332" i="3"/>
  <c r="BD330" i="3"/>
  <c r="R331" i="3"/>
  <c r="R371" i="3"/>
  <c r="R224" i="3"/>
  <c r="R225" i="3" s="1"/>
  <c r="R332" i="3"/>
  <c r="R53" i="3"/>
  <c r="R54" i="3" s="1"/>
  <c r="R264" i="3"/>
  <c r="R265" i="3" s="1"/>
  <c r="R183" i="3"/>
  <c r="R184" i="3" s="1"/>
  <c r="R330" i="3"/>
  <c r="R300" i="3"/>
  <c r="R301" i="3" s="1"/>
  <c r="AL300" i="3"/>
  <c r="AL301" i="3" s="1"/>
  <c r="AL331" i="3"/>
  <c r="AL224" i="3"/>
  <c r="AL225" i="3" s="1"/>
  <c r="AL53" i="3"/>
  <c r="AL54" i="3" s="1"/>
  <c r="AL332" i="3"/>
  <c r="AL330" i="3"/>
  <c r="AL183" i="3"/>
  <c r="AL184" i="3" s="1"/>
  <c r="AL371" i="3"/>
  <c r="AL264" i="3"/>
  <c r="AL265" i="3" s="1"/>
  <c r="AY332" i="3"/>
  <c r="AY331" i="3"/>
  <c r="AY264" i="3"/>
  <c r="AY265" i="3" s="1"/>
  <c r="AY53" i="3"/>
  <c r="AY54" i="3" s="1"/>
  <c r="AY183" i="3"/>
  <c r="AY184" i="3" s="1"/>
  <c r="AY330" i="3"/>
  <c r="AY224" i="3"/>
  <c r="AY225" i="3" s="1"/>
  <c r="AY371" i="3"/>
  <c r="AY300" i="3"/>
  <c r="AY301" i="3" s="1"/>
  <c r="O330" i="3"/>
  <c r="O371" i="3"/>
  <c r="O53" i="3"/>
  <c r="O54" i="3" s="1"/>
  <c r="O224" i="3"/>
  <c r="O225" i="3" s="1"/>
  <c r="O183" i="3"/>
  <c r="O184" i="3" s="1"/>
  <c r="O332" i="3"/>
  <c r="O264" i="3"/>
  <c r="O265" i="3" s="1"/>
  <c r="O300" i="3"/>
  <c r="O301" i="3" s="1"/>
  <c r="O331" i="3"/>
  <c r="AZ53" i="3"/>
  <c r="AZ54" i="3" s="1"/>
  <c r="AZ330" i="3"/>
  <c r="AZ371" i="3"/>
  <c r="AZ300" i="3"/>
  <c r="AZ301" i="3" s="1"/>
  <c r="AZ332" i="3"/>
  <c r="AZ264" i="3"/>
  <c r="AZ265" i="3" s="1"/>
  <c r="AZ331" i="3"/>
  <c r="AZ183" i="3"/>
  <c r="AZ184" i="3" s="1"/>
  <c r="AZ224" i="3"/>
  <c r="AZ225" i="3" s="1"/>
  <c r="AS224" i="3"/>
  <c r="AS225" i="3" s="1"/>
  <c r="AS332" i="3"/>
  <c r="AS371" i="3"/>
  <c r="AS53" i="3"/>
  <c r="AS54" i="3" s="1"/>
  <c r="AS183" i="3"/>
  <c r="AS184" i="3" s="1"/>
  <c r="AS264" i="3"/>
  <c r="AS265" i="3" s="1"/>
  <c r="AS330" i="3"/>
  <c r="AS300" i="3"/>
  <c r="AS301" i="3" s="1"/>
  <c r="AS331" i="3"/>
  <c r="AO90" i="3"/>
  <c r="AO91" i="3" s="1"/>
  <c r="N90" i="3"/>
  <c r="N91" i="3" s="1"/>
  <c r="AG90" i="3"/>
  <c r="AG91" i="3" s="1"/>
  <c r="T60" i="4"/>
  <c r="T61" i="4" s="1"/>
  <c r="T121" i="4"/>
  <c r="T122" i="4" s="1"/>
  <c r="P60" i="4"/>
  <c r="P61" i="4" s="1"/>
  <c r="P121" i="4"/>
  <c r="P122" i="4" s="1"/>
  <c r="G121" i="4"/>
  <c r="G122" i="4" s="1"/>
  <c r="G60" i="4"/>
  <c r="G61" i="4" s="1"/>
  <c r="AY121" i="4"/>
  <c r="AY122" i="4" s="1"/>
  <c r="AY60" i="4"/>
  <c r="AY61" i="4" s="1"/>
  <c r="AZ60" i="4"/>
  <c r="AZ61" i="4" s="1"/>
  <c r="AZ121" i="4"/>
  <c r="AZ122" i="4" s="1"/>
  <c r="AV60" i="4"/>
  <c r="AV61" i="4" s="1"/>
  <c r="AV121" i="4"/>
  <c r="AV122" i="4" s="1"/>
  <c r="AI121" i="4"/>
  <c r="AI122" i="4" s="1"/>
  <c r="AI60" i="4"/>
  <c r="AI61" i="4" s="1"/>
  <c r="K121" i="4"/>
  <c r="K122" i="4" s="1"/>
  <c r="K60" i="4"/>
  <c r="K61" i="4" s="1"/>
  <c r="AM121" i="4"/>
  <c r="AM122" i="4" s="1"/>
  <c r="AM60" i="4"/>
  <c r="AM61" i="4" s="1"/>
  <c r="AW121" i="4"/>
  <c r="AW122" i="4" s="1"/>
  <c r="AW60" i="4"/>
  <c r="AW61" i="4" s="1"/>
  <c r="T37" i="5"/>
  <c r="T148" i="5"/>
  <c r="T149" i="5" s="1"/>
  <c r="T80" i="5"/>
  <c r="AU80" i="5"/>
  <c r="AU148" i="5"/>
  <c r="AU149" i="5" s="1"/>
  <c r="AU37" i="5"/>
  <c r="S80" i="5"/>
  <c r="S37" i="5"/>
  <c r="S148" i="5"/>
  <c r="S149" i="5" s="1"/>
  <c r="AK80" i="5"/>
  <c r="AK37" i="5"/>
  <c r="AK148" i="5"/>
  <c r="AK149" i="5" s="1"/>
  <c r="BC80" i="5"/>
  <c r="BC148" i="5"/>
  <c r="BC149" i="5" s="1"/>
  <c r="BC37" i="5"/>
  <c r="AA148" i="5"/>
  <c r="AA149" i="5" s="1"/>
  <c r="AA80" i="5"/>
  <c r="AA37" i="5"/>
  <c r="AS37" i="5"/>
  <c r="AS80" i="5"/>
  <c r="AS148" i="5"/>
  <c r="AS149" i="5" s="1"/>
  <c r="BK80" i="5"/>
  <c r="BK37" i="5"/>
  <c r="BK148" i="5"/>
  <c r="BK149" i="5" s="1"/>
  <c r="AI80" i="5"/>
  <c r="AI148" i="5"/>
  <c r="AI149" i="5" s="1"/>
  <c r="AI37" i="5"/>
  <c r="BA37" i="5"/>
  <c r="BA148" i="5"/>
  <c r="BA149" i="5" s="1"/>
  <c r="BA80" i="5"/>
  <c r="AQ37" i="5"/>
  <c r="AQ148" i="5"/>
  <c r="AQ149" i="5" s="1"/>
  <c r="AQ80" i="5"/>
  <c r="BI80" i="5"/>
  <c r="BI148" i="5"/>
  <c r="BI149" i="5" s="1"/>
  <c r="BI37" i="5"/>
  <c r="AP64" i="5"/>
  <c r="AP153" i="5"/>
  <c r="AP88" i="5"/>
  <c r="AY148" i="5"/>
  <c r="AY149" i="5" s="1"/>
  <c r="AY80" i="5"/>
  <c r="AY37" i="5"/>
  <c r="BG37" i="5"/>
  <c r="BG148" i="5"/>
  <c r="BG149" i="5" s="1"/>
  <c r="BG80" i="5"/>
  <c r="F38" i="8"/>
  <c r="F39" i="8"/>
  <c r="F37" i="8"/>
  <c r="AM38" i="8"/>
  <c r="AM37" i="8"/>
  <c r="AM39" i="8"/>
  <c r="AE39" i="8"/>
  <c r="AE38" i="8"/>
  <c r="AE37" i="8"/>
  <c r="AV39" i="8"/>
  <c r="AV37" i="8"/>
  <c r="AV38" i="8"/>
  <c r="BB37" i="8"/>
  <c r="BB38" i="8"/>
  <c r="BB39" i="8"/>
  <c r="BK37" i="8"/>
  <c r="BK38" i="8"/>
  <c r="BK39" i="8"/>
  <c r="R37" i="8"/>
  <c r="R38" i="8"/>
  <c r="R39" i="8"/>
  <c r="S39" i="8"/>
  <c r="S38" i="8"/>
  <c r="S37" i="8"/>
  <c r="U37" i="8"/>
  <c r="U39" i="8"/>
  <c r="U38" i="8"/>
  <c r="N78" i="10"/>
  <c r="N48" i="10"/>
  <c r="BC78" i="10"/>
  <c r="BC48" i="10"/>
  <c r="AL48" i="10"/>
  <c r="AL78" i="10"/>
  <c r="P48" i="10"/>
  <c r="P78" i="10"/>
  <c r="AC78" i="10"/>
  <c r="AC48" i="10"/>
  <c r="AE78" i="10"/>
  <c r="AE48" i="10"/>
  <c r="BI48" i="10"/>
  <c r="BI78" i="10"/>
  <c r="BH78" i="10"/>
  <c r="BH48" i="10"/>
  <c r="BE300" i="3"/>
  <c r="BE301" i="3" s="1"/>
  <c r="BE53" i="3"/>
  <c r="BE54" i="3" s="1"/>
  <c r="BE330" i="3"/>
  <c r="BE183" i="3"/>
  <c r="BE184" i="3" s="1"/>
  <c r="BE371" i="3"/>
  <c r="BE332" i="3"/>
  <c r="BE224" i="3"/>
  <c r="BE225" i="3" s="1"/>
  <c r="BE264" i="3"/>
  <c r="BE265" i="3" s="1"/>
  <c r="BE331" i="3"/>
  <c r="AJ90" i="3"/>
  <c r="AJ91" i="3" s="1"/>
  <c r="BK90" i="3"/>
  <c r="BK91" i="3" s="1"/>
  <c r="BL183" i="3"/>
  <c r="BL184" i="3" s="1"/>
  <c r="BL331" i="3"/>
  <c r="BL330" i="3"/>
  <c r="BL264" i="3"/>
  <c r="BL265" i="3" s="1"/>
  <c r="BL332" i="3"/>
  <c r="BL371" i="3"/>
  <c r="BL53" i="3"/>
  <c r="BL54" i="3" s="1"/>
  <c r="BL300" i="3"/>
  <c r="BL301" i="3" s="1"/>
  <c r="BL224" i="3"/>
  <c r="BL225" i="3" s="1"/>
  <c r="BG90" i="3"/>
  <c r="BG91" i="3" s="1"/>
  <c r="BI90" i="3"/>
  <c r="BI91" i="3" s="1"/>
  <c r="AT90" i="3"/>
  <c r="AT91" i="3" s="1"/>
  <c r="BM90" i="3"/>
  <c r="BM91" i="3" s="1"/>
  <c r="AC90" i="3"/>
  <c r="AC91" i="3" s="1"/>
  <c r="AV90" i="3"/>
  <c r="AV91" i="3" s="1"/>
  <c r="AE90" i="3"/>
  <c r="AE91" i="3" s="1"/>
  <c r="AS90" i="3"/>
  <c r="AS91" i="3" s="1"/>
  <c r="BL90" i="3"/>
  <c r="BL91" i="3" s="1"/>
  <c r="BK330" i="3"/>
  <c r="BK332" i="3"/>
  <c r="BK300" i="3"/>
  <c r="BK301" i="3" s="1"/>
  <c r="BK264" i="3"/>
  <c r="BK265" i="3" s="1"/>
  <c r="BK224" i="3"/>
  <c r="BK225" i="3" s="1"/>
  <c r="BK53" i="3"/>
  <c r="BK54" i="3" s="1"/>
  <c r="BK371" i="3"/>
  <c r="BK183" i="3"/>
  <c r="BK184" i="3" s="1"/>
  <c r="BK331" i="3"/>
  <c r="BJ371" i="3"/>
  <c r="BJ53" i="3"/>
  <c r="BJ54" i="3" s="1"/>
  <c r="BJ264" i="3"/>
  <c r="BJ265" i="3" s="1"/>
  <c r="BJ224" i="3"/>
  <c r="BJ225" i="3" s="1"/>
  <c r="BJ332" i="3"/>
  <c r="BJ330" i="3"/>
  <c r="BJ300" i="3"/>
  <c r="BJ301" i="3" s="1"/>
  <c r="BJ331" i="3"/>
  <c r="BJ183" i="3"/>
  <c r="BJ184" i="3" s="1"/>
  <c r="BB331" i="3"/>
  <c r="BB224" i="3"/>
  <c r="BB225" i="3" s="1"/>
  <c r="BB183" i="3"/>
  <c r="BB184" i="3" s="1"/>
  <c r="BB330" i="3"/>
  <c r="BB332" i="3"/>
  <c r="BB371" i="3"/>
  <c r="BB264" i="3"/>
  <c r="BB265" i="3" s="1"/>
  <c r="BB300" i="3"/>
  <c r="BB301" i="3" s="1"/>
  <c r="BB53" i="3"/>
  <c r="BB54" i="3" s="1"/>
  <c r="AQ121" i="4"/>
  <c r="AQ122" i="4" s="1"/>
  <c r="AQ60" i="4"/>
  <c r="AQ61" i="4" s="1"/>
  <c r="S121" i="4"/>
  <c r="S122" i="4" s="1"/>
  <c r="S60" i="4"/>
  <c r="S61" i="4" s="1"/>
  <c r="U60" i="4"/>
  <c r="U61" i="4" s="1"/>
  <c r="U121" i="4"/>
  <c r="U122" i="4" s="1"/>
  <c r="AT60" i="4"/>
  <c r="AT61" i="4" s="1"/>
  <c r="AT121" i="4"/>
  <c r="AT122" i="4" s="1"/>
  <c r="BB121" i="4"/>
  <c r="BB122" i="4" s="1"/>
  <c r="BB60" i="4"/>
  <c r="BB61" i="4" s="1"/>
  <c r="Y121" i="4"/>
  <c r="Y122" i="4" s="1"/>
  <c r="Y60" i="4"/>
  <c r="Y61" i="4" s="1"/>
  <c r="AL148" i="5"/>
  <c r="AL149" i="5" s="1"/>
  <c r="AL80" i="5"/>
  <c r="AL37" i="5"/>
  <c r="AZ153" i="5"/>
  <c r="AZ64" i="5"/>
  <c r="AZ88" i="5"/>
  <c r="Z88" i="5"/>
  <c r="Z64" i="5"/>
  <c r="Z153" i="5"/>
  <c r="AW148" i="5"/>
  <c r="AW149" i="5" s="1"/>
  <c r="AW37" i="5"/>
  <c r="AW80" i="5"/>
  <c r="BE80" i="5"/>
  <c r="BE148" i="5"/>
  <c r="BE149" i="5" s="1"/>
  <c r="BE37" i="5"/>
  <c r="J153" i="5"/>
  <c r="J64" i="5"/>
  <c r="J88" i="5"/>
  <c r="BM37" i="5"/>
  <c r="BM80" i="5"/>
  <c r="BM148" i="5"/>
  <c r="BM149" i="5" s="1"/>
  <c r="F153" i="5"/>
  <c r="F88" i="5"/>
  <c r="F91" i="7"/>
  <c r="F64" i="5"/>
  <c r="N64" i="5"/>
  <c r="N88" i="5"/>
  <c r="N153" i="5"/>
  <c r="BF153" i="5"/>
  <c r="BF64" i="5"/>
  <c r="BF88" i="5"/>
  <c r="V88" i="5"/>
  <c r="V153" i="5"/>
  <c r="V64" i="5"/>
  <c r="K88" i="5"/>
  <c r="K64" i="5"/>
  <c r="K153" i="5"/>
  <c r="AD64" i="5"/>
  <c r="AD88" i="5"/>
  <c r="AD153" i="5"/>
  <c r="AW88" i="5"/>
  <c r="AW153" i="5"/>
  <c r="AW64" i="5"/>
  <c r="AO37" i="5"/>
  <c r="AO80" i="5"/>
  <c r="AO148" i="5"/>
  <c r="AO149" i="5" s="1"/>
  <c r="H37" i="8"/>
  <c r="H39" i="8"/>
  <c r="H38" i="8"/>
  <c r="V38" i="8"/>
  <c r="V39" i="8"/>
  <c r="V37" i="8"/>
  <c r="AZ37" i="8"/>
  <c r="AZ38" i="8"/>
  <c r="AZ39" i="8"/>
  <c r="AR39" i="8"/>
  <c r="AR37" i="8"/>
  <c r="AR38" i="8"/>
  <c r="BJ38" i="8"/>
  <c r="BJ37" i="8"/>
  <c r="BJ39" i="8"/>
  <c r="BM39" i="8"/>
  <c r="BM38" i="8"/>
  <c r="BM37" i="8"/>
  <c r="Q78" i="10"/>
  <c r="Q48" i="10"/>
  <c r="BL78" i="10"/>
  <c r="BL48" i="10"/>
  <c r="X78" i="10"/>
  <c r="X48" i="10"/>
  <c r="AS48" i="10"/>
  <c r="AS78" i="10"/>
  <c r="BB48" i="10"/>
  <c r="BB78" i="10"/>
  <c r="AY48" i="10"/>
  <c r="AY78" i="10"/>
  <c r="M78" i="10"/>
  <c r="M48" i="10"/>
  <c r="AY90" i="3"/>
  <c r="AY91" i="3" s="1"/>
  <c r="V330" i="3"/>
  <c r="V183" i="3"/>
  <c r="V184" i="3" s="1"/>
  <c r="V371" i="3"/>
  <c r="V332" i="3"/>
  <c r="V224" i="3"/>
  <c r="V225" i="3" s="1"/>
  <c r="V300" i="3"/>
  <c r="V301" i="3" s="1"/>
  <c r="V331" i="3"/>
  <c r="V264" i="3"/>
  <c r="V265" i="3" s="1"/>
  <c r="V53" i="3"/>
  <c r="V54" i="3" s="1"/>
  <c r="T330" i="3"/>
  <c r="T264" i="3"/>
  <c r="T265" i="3" s="1"/>
  <c r="T300" i="3"/>
  <c r="T301" i="3" s="1"/>
  <c r="T332" i="3"/>
  <c r="T331" i="3"/>
  <c r="T371" i="3"/>
  <c r="T183" i="3"/>
  <c r="T184" i="3" s="1"/>
  <c r="T53" i="3"/>
  <c r="T54" i="3" s="1"/>
  <c r="T224" i="3"/>
  <c r="T225" i="3" s="1"/>
  <c r="M90" i="3"/>
  <c r="M91" i="3" s="1"/>
  <c r="AF90" i="3"/>
  <c r="AF91" i="3" s="1"/>
  <c r="AE300" i="3"/>
  <c r="AE301" i="3" s="1"/>
  <c r="AE331" i="3"/>
  <c r="AE264" i="3"/>
  <c r="AE265" i="3" s="1"/>
  <c r="AE330" i="3"/>
  <c r="AE53" i="3"/>
  <c r="AE54" i="3" s="1"/>
  <c r="AE183" i="3"/>
  <c r="AE184" i="3" s="1"/>
  <c r="AE332" i="3"/>
  <c r="AE371" i="3"/>
  <c r="AE224" i="3"/>
  <c r="AE225" i="3" s="1"/>
  <c r="AX300" i="3"/>
  <c r="AX301" i="3" s="1"/>
  <c r="AX332" i="3"/>
  <c r="AX183" i="3"/>
  <c r="AX184" i="3" s="1"/>
  <c r="AX330" i="3"/>
  <c r="AX264" i="3"/>
  <c r="AX265" i="3" s="1"/>
  <c r="AX371" i="3"/>
  <c r="AX224" i="3"/>
  <c r="AX225" i="3" s="1"/>
  <c r="AX331" i="3"/>
  <c r="AX53" i="3"/>
  <c r="AX54" i="3" s="1"/>
  <c r="AP90" i="3"/>
  <c r="AP91" i="3" s="1"/>
  <c r="Y371" i="3"/>
  <c r="Y331" i="3"/>
  <c r="Y183" i="3"/>
  <c r="Y184" i="3" s="1"/>
  <c r="Y264" i="3"/>
  <c r="Y265" i="3" s="1"/>
  <c r="Y53" i="3"/>
  <c r="Y54" i="3" s="1"/>
  <c r="Y300" i="3"/>
  <c r="Y301" i="3" s="1"/>
  <c r="Y224" i="3"/>
  <c r="Y225" i="3" s="1"/>
  <c r="Y332" i="3"/>
  <c r="Y330" i="3"/>
  <c r="S90" i="3"/>
  <c r="S91" i="3" s="1"/>
  <c r="AF330" i="3"/>
  <c r="AF224" i="3"/>
  <c r="AF225" i="3" s="1"/>
  <c r="AF332" i="3"/>
  <c r="AF183" i="3"/>
  <c r="AF184" i="3" s="1"/>
  <c r="AF53" i="3"/>
  <c r="AF54" i="3" s="1"/>
  <c r="AF371" i="3"/>
  <c r="AF264" i="3"/>
  <c r="AF265" i="3" s="1"/>
  <c r="AF300" i="3"/>
  <c r="AF301" i="3" s="1"/>
  <c r="AF331" i="3"/>
  <c r="AH53" i="3"/>
  <c r="AH54" i="3" s="1"/>
  <c r="AH264" i="3"/>
  <c r="AH265" i="3" s="1"/>
  <c r="AH224" i="3"/>
  <c r="AH225" i="3" s="1"/>
  <c r="AH300" i="3"/>
  <c r="AH301" i="3" s="1"/>
  <c r="AH330" i="3"/>
  <c r="AH331" i="3"/>
  <c r="AH183" i="3"/>
  <c r="AH184" i="3" s="1"/>
  <c r="AH371" i="3"/>
  <c r="AH332" i="3"/>
  <c r="V90" i="3"/>
  <c r="V91" i="3" s="1"/>
  <c r="AI331" i="3"/>
  <c r="AI183" i="3"/>
  <c r="AI184" i="3" s="1"/>
  <c r="AI330" i="3"/>
  <c r="AI300" i="3"/>
  <c r="AI301" i="3" s="1"/>
  <c r="AI53" i="3"/>
  <c r="AI54" i="3" s="1"/>
  <c r="AI264" i="3"/>
  <c r="AI265" i="3" s="1"/>
  <c r="AI371" i="3"/>
  <c r="AI332" i="3"/>
  <c r="AI224" i="3"/>
  <c r="AI225" i="3" s="1"/>
  <c r="N264" i="3"/>
  <c r="N265" i="3" s="1"/>
  <c r="N300" i="3"/>
  <c r="N301" i="3" s="1"/>
  <c r="N330" i="3"/>
  <c r="N331" i="3"/>
  <c r="N53" i="3"/>
  <c r="N54" i="3" s="1"/>
  <c r="N371" i="3"/>
  <c r="N224" i="3"/>
  <c r="N225" i="3" s="1"/>
  <c r="N183" i="3"/>
  <c r="N184" i="3" s="1"/>
  <c r="N332" i="3"/>
  <c r="F183" i="3"/>
  <c r="F371" i="3"/>
  <c r="F224" i="3"/>
  <c r="F331" i="3"/>
  <c r="F332" i="3"/>
  <c r="F53" i="3"/>
  <c r="F264" i="3"/>
  <c r="F300" i="3"/>
  <c r="F330" i="3"/>
  <c r="AT300" i="3"/>
  <c r="AT301" i="3" s="1"/>
  <c r="AT330" i="3"/>
  <c r="AT183" i="3"/>
  <c r="AT184" i="3" s="1"/>
  <c r="AT264" i="3"/>
  <c r="AT265" i="3" s="1"/>
  <c r="AT332" i="3"/>
  <c r="AT224" i="3"/>
  <c r="AT225" i="3" s="1"/>
  <c r="AT371" i="3"/>
  <c r="AT53" i="3"/>
  <c r="AT54" i="3" s="1"/>
  <c r="AT331" i="3"/>
  <c r="AD332" i="3"/>
  <c r="AD264" i="3"/>
  <c r="AD265" i="3" s="1"/>
  <c r="AD330" i="3"/>
  <c r="AD331" i="3"/>
  <c r="AD371" i="3"/>
  <c r="AD224" i="3"/>
  <c r="AD225" i="3" s="1"/>
  <c r="AD53" i="3"/>
  <c r="AD54" i="3" s="1"/>
  <c r="AD183" i="3"/>
  <c r="AD184" i="3" s="1"/>
  <c r="AD300" i="3"/>
  <c r="AD301" i="3" s="1"/>
  <c r="X60" i="4"/>
  <c r="X61" i="4" s="1"/>
  <c r="X121" i="4"/>
  <c r="X122" i="4" s="1"/>
  <c r="AR60" i="4"/>
  <c r="AR61" i="4" s="1"/>
  <c r="AR121" i="4"/>
  <c r="AR122" i="4" s="1"/>
  <c r="AN60" i="4"/>
  <c r="AN61" i="4" s="1"/>
  <c r="AN121" i="4"/>
  <c r="AN122" i="4" s="1"/>
  <c r="M121" i="4"/>
  <c r="M122" i="4" s="1"/>
  <c r="M60" i="4"/>
  <c r="M61" i="4" s="1"/>
  <c r="AB121" i="4"/>
  <c r="AB122" i="4" s="1"/>
  <c r="AB60" i="4"/>
  <c r="AB61" i="4" s="1"/>
  <c r="AL60" i="4"/>
  <c r="AL61" i="4" s="1"/>
  <c r="AL121" i="4"/>
  <c r="AL122" i="4" s="1"/>
  <c r="AD121" i="4"/>
  <c r="AD122" i="4" s="1"/>
  <c r="AD60" i="4"/>
  <c r="AD61" i="4" s="1"/>
  <c r="R60" i="4"/>
  <c r="R61" i="4" s="1"/>
  <c r="R121" i="4"/>
  <c r="R122" i="4" s="1"/>
  <c r="AL88" i="5"/>
  <c r="AL64" i="5"/>
  <c r="AL153" i="5"/>
  <c r="BD148" i="5"/>
  <c r="BD149" i="5" s="1"/>
  <c r="BD80" i="5"/>
  <c r="BD37" i="5"/>
  <c r="AA88" i="5"/>
  <c r="AA64" i="5"/>
  <c r="AA153" i="5"/>
  <c r="AT88" i="5"/>
  <c r="AT153" i="5"/>
  <c r="AT64" i="5"/>
  <c r="AI88" i="5"/>
  <c r="AI64" i="5"/>
  <c r="AI153" i="5"/>
  <c r="BB64" i="5"/>
  <c r="BB153" i="5"/>
  <c r="BB88" i="5"/>
  <c r="AQ64" i="5"/>
  <c r="AQ88" i="5"/>
  <c r="AQ153" i="5"/>
  <c r="BJ64" i="5"/>
  <c r="BJ88" i="5"/>
  <c r="BJ153" i="5"/>
  <c r="AY64" i="5"/>
  <c r="AY88" i="5"/>
  <c r="AY153" i="5"/>
  <c r="BG64" i="5"/>
  <c r="BG153" i="5"/>
  <c r="BG88" i="5"/>
  <c r="Q37" i="5"/>
  <c r="Q80" i="5"/>
  <c r="Q148" i="5"/>
  <c r="Q149" i="5" s="1"/>
  <c r="BM64" i="5"/>
  <c r="BM88" i="5"/>
  <c r="BM153" i="5"/>
  <c r="Z38" i="8"/>
  <c r="Z37" i="8"/>
  <c r="Z39" i="8"/>
  <c r="G38" i="8"/>
  <c r="G37" i="8"/>
  <c r="G39" i="8"/>
  <c r="P38" i="8"/>
  <c r="P37" i="8"/>
  <c r="P39" i="8"/>
  <c r="AG39" i="8"/>
  <c r="AG38" i="8"/>
  <c r="AG37" i="8"/>
  <c r="BL39" i="8"/>
  <c r="BL38" i="8"/>
  <c r="BL37" i="8"/>
  <c r="BD38" i="8"/>
  <c r="BD39" i="8"/>
  <c r="BD37" i="8"/>
  <c r="AM78" i="10"/>
  <c r="AM48" i="10"/>
  <c r="BJ48" i="10"/>
  <c r="BJ78" i="10"/>
  <c r="BD78" i="10"/>
  <c r="BD48" i="10"/>
  <c r="AO78" i="10"/>
  <c r="AO48" i="10"/>
  <c r="BG78" i="10"/>
  <c r="BG48" i="10"/>
  <c r="AF78" i="10"/>
  <c r="AF48" i="10"/>
  <c r="K48" i="10"/>
  <c r="K78" i="10"/>
  <c r="U78" i="10"/>
  <c r="U48" i="10"/>
  <c r="AB331" i="3"/>
  <c r="AB53" i="3"/>
  <c r="AB54" i="3" s="1"/>
  <c r="AB332" i="3"/>
  <c r="AB371" i="3"/>
  <c r="AB224" i="3"/>
  <c r="AB225" i="3" s="1"/>
  <c r="AB183" i="3"/>
  <c r="AB184" i="3" s="1"/>
  <c r="AB330" i="3"/>
  <c r="AB264" i="3"/>
  <c r="AB265" i="3" s="1"/>
  <c r="AB300" i="3"/>
  <c r="AB301" i="3" s="1"/>
  <c r="X90" i="3"/>
  <c r="X91" i="3" s="1"/>
  <c r="O90" i="3"/>
  <c r="O91" i="3" s="1"/>
  <c r="I90" i="3"/>
  <c r="I91" i="3" s="1"/>
  <c r="BH264" i="3"/>
  <c r="BH265" i="3" s="1"/>
  <c r="BH331" i="3"/>
  <c r="BH300" i="3"/>
  <c r="BH301" i="3" s="1"/>
  <c r="BH330" i="3"/>
  <c r="BH183" i="3"/>
  <c r="BH184" i="3" s="1"/>
  <c r="BH371" i="3"/>
  <c r="BH224" i="3"/>
  <c r="BH225" i="3" s="1"/>
  <c r="BH53" i="3"/>
  <c r="BH54" i="3" s="1"/>
  <c r="BH332" i="3"/>
  <c r="F90" i="3"/>
  <c r="Y90" i="3"/>
  <c r="Y91" i="3" s="1"/>
  <c r="T90" i="3"/>
  <c r="T91" i="3" s="1"/>
  <c r="AU90" i="3"/>
  <c r="AU91" i="3" s="1"/>
  <c r="AS60" i="4"/>
  <c r="AS61" i="4" s="1"/>
  <c r="AS121" i="4"/>
  <c r="AS122" i="4" s="1"/>
  <c r="BA121" i="4"/>
  <c r="BA122" i="4" s="1"/>
  <c r="BA60" i="4"/>
  <c r="BA61" i="4" s="1"/>
  <c r="AJ60" i="4"/>
  <c r="AJ61" i="4" s="1"/>
  <c r="AJ121" i="4"/>
  <c r="AJ122" i="4" s="1"/>
  <c r="AF60" i="4"/>
  <c r="AF61" i="4" s="1"/>
  <c r="AF121" i="4"/>
  <c r="AF122" i="4" s="1"/>
  <c r="L60" i="4"/>
  <c r="L61" i="4" s="1"/>
  <c r="L121" i="4"/>
  <c r="L122" i="4" s="1"/>
  <c r="BL60" i="4"/>
  <c r="BL61" i="4" s="1"/>
  <c r="BL121" i="4"/>
  <c r="BL122" i="4" s="1"/>
  <c r="BE121" i="4"/>
  <c r="BE122" i="4" s="1"/>
  <c r="BE60" i="4"/>
  <c r="BE61" i="4" s="1"/>
  <c r="AP60" i="4"/>
  <c r="AP61" i="4" s="1"/>
  <c r="AP121" i="4"/>
  <c r="AP122" i="4" s="1"/>
  <c r="AH60" i="4"/>
  <c r="AH61" i="4" s="1"/>
  <c r="AH121" i="4"/>
  <c r="AH122" i="4" s="1"/>
  <c r="X88" i="5"/>
  <c r="X153" i="5"/>
  <c r="X64" i="5"/>
  <c r="H37" i="5"/>
  <c r="H148" i="5"/>
  <c r="H149" i="5" s="1"/>
  <c r="H80" i="5"/>
  <c r="P37" i="5"/>
  <c r="P148" i="5"/>
  <c r="P149" i="5" s="1"/>
  <c r="P80" i="5"/>
  <c r="F148" i="5"/>
  <c r="F149" i="5" s="1"/>
  <c r="F37" i="5"/>
  <c r="F80" i="5"/>
  <c r="X80" i="5"/>
  <c r="X37" i="5"/>
  <c r="X148" i="5"/>
  <c r="X149" i="5" s="1"/>
  <c r="N80" i="5"/>
  <c r="N37" i="5"/>
  <c r="N148" i="5"/>
  <c r="N149" i="5" s="1"/>
  <c r="AF37" i="5"/>
  <c r="AF80" i="5"/>
  <c r="AF148" i="5"/>
  <c r="AF149" i="5" s="1"/>
  <c r="V80" i="5"/>
  <c r="V148" i="5"/>
  <c r="V149" i="5" s="1"/>
  <c r="V37" i="5"/>
  <c r="AN80" i="5"/>
  <c r="AN148" i="5"/>
  <c r="AN149" i="5" s="1"/>
  <c r="AN37" i="5"/>
  <c r="L148" i="5"/>
  <c r="L149" i="5" s="1"/>
  <c r="L80" i="5"/>
  <c r="L37" i="5"/>
  <c r="AD37" i="5"/>
  <c r="AD80" i="5"/>
  <c r="AD148" i="5"/>
  <c r="AD149" i="5" s="1"/>
  <c r="AV37" i="5"/>
  <c r="AV80" i="5"/>
  <c r="AV148" i="5"/>
  <c r="AV149" i="5" s="1"/>
  <c r="Y64" i="5"/>
  <c r="Y88" i="5"/>
  <c r="Y153" i="5"/>
  <c r="I148" i="5"/>
  <c r="I149" i="5" s="1"/>
  <c r="I80" i="5"/>
  <c r="I37" i="5"/>
  <c r="AI37" i="8"/>
  <c r="AI38" i="8"/>
  <c r="AI39" i="8"/>
  <c r="AK39" i="8"/>
  <c r="AK37" i="8"/>
  <c r="AK38" i="8"/>
  <c r="AD39" i="8"/>
  <c r="AD37" i="8"/>
  <c r="AD38" i="8"/>
  <c r="AU37" i="8"/>
  <c r="AU39" i="8"/>
  <c r="AU38" i="8"/>
  <c r="AG78" i="10"/>
  <c r="AG48" i="10"/>
  <c r="AQ78" i="10"/>
  <c r="AQ48" i="10"/>
  <c r="AW78" i="10"/>
  <c r="AW48" i="10"/>
  <c r="L78" i="10"/>
  <c r="L48" i="10"/>
  <c r="S78" i="10"/>
  <c r="S48" i="10"/>
  <c r="P90" i="3"/>
  <c r="P91" i="3" s="1"/>
  <c r="AO332" i="3"/>
  <c r="AO224" i="3"/>
  <c r="AO225" i="3" s="1"/>
  <c r="AO300" i="3"/>
  <c r="AO301" i="3" s="1"/>
  <c r="AO371" i="3"/>
  <c r="AO330" i="3"/>
  <c r="AO183" i="3"/>
  <c r="AO184" i="3" s="1"/>
  <c r="AO331" i="3"/>
  <c r="AO53" i="3"/>
  <c r="AO54" i="3" s="1"/>
  <c r="AO264" i="3"/>
  <c r="AO265" i="3" s="1"/>
  <c r="AZ90" i="3"/>
  <c r="AZ91" i="3" s="1"/>
  <c r="AV332" i="3"/>
  <c r="AV183" i="3"/>
  <c r="AV184" i="3" s="1"/>
  <c r="AV300" i="3"/>
  <c r="AV301" i="3" s="1"/>
  <c r="AV224" i="3"/>
  <c r="AV225" i="3" s="1"/>
  <c r="AV371" i="3"/>
  <c r="AV53" i="3"/>
  <c r="AV54" i="3" s="1"/>
  <c r="AV264" i="3"/>
  <c r="AV265" i="3" s="1"/>
  <c r="AV330" i="3"/>
  <c r="AV331" i="3"/>
  <c r="AH90" i="3"/>
  <c r="AH91" i="3" s="1"/>
  <c r="BB90" i="3"/>
  <c r="BB91" i="3" s="1"/>
  <c r="AK90" i="3"/>
  <c r="AK91" i="3" s="1"/>
  <c r="BD90" i="3"/>
  <c r="BD91" i="3" s="1"/>
  <c r="H300" i="3"/>
  <c r="H301" i="3" s="1"/>
  <c r="H371" i="3"/>
  <c r="H264" i="3"/>
  <c r="H265" i="3" s="1"/>
  <c r="H332" i="3"/>
  <c r="H183" i="3"/>
  <c r="H184" i="3" s="1"/>
  <c r="H330" i="3"/>
  <c r="H331" i="3"/>
  <c r="H224" i="3"/>
  <c r="H225" i="3" s="1"/>
  <c r="H53" i="3"/>
  <c r="H54" i="3" s="1"/>
  <c r="BC90" i="3"/>
  <c r="BC91" i="3" s="1"/>
  <c r="I330" i="3"/>
  <c r="I264" i="3"/>
  <c r="I265" i="3" s="1"/>
  <c r="I371" i="3"/>
  <c r="I183" i="3"/>
  <c r="I184" i="3" s="1"/>
  <c r="I332" i="3"/>
  <c r="I224" i="3"/>
  <c r="I225" i="3" s="1"/>
  <c r="I53" i="3"/>
  <c r="I54" i="3" s="1"/>
  <c r="I300" i="3"/>
  <c r="I301" i="3" s="1"/>
  <c r="I331" i="3"/>
  <c r="AI90" i="3"/>
  <c r="AI91" i="3" s="1"/>
  <c r="P300" i="3"/>
  <c r="P301" i="3" s="1"/>
  <c r="P332" i="3"/>
  <c r="P371" i="3"/>
  <c r="P331" i="3"/>
  <c r="P224" i="3"/>
  <c r="P225" i="3" s="1"/>
  <c r="P183" i="3"/>
  <c r="P184" i="3" s="1"/>
  <c r="P264" i="3"/>
  <c r="P265" i="3" s="1"/>
  <c r="P330" i="3"/>
  <c r="P53" i="3"/>
  <c r="P54" i="3" s="1"/>
  <c r="Z90" i="3"/>
  <c r="Z91" i="3" s="1"/>
  <c r="AE60" i="4"/>
  <c r="AE61" i="4" s="1"/>
  <c r="AE121" i="4"/>
  <c r="AE122" i="4" s="1"/>
  <c r="AU60" i="4"/>
  <c r="AU61" i="4" s="1"/>
  <c r="AU121" i="4"/>
  <c r="AU122" i="4" s="1"/>
  <c r="F60" i="4"/>
  <c r="F121" i="4"/>
  <c r="J37" i="5"/>
  <c r="J80" i="5"/>
  <c r="J148" i="5"/>
  <c r="J149" i="5" s="1"/>
  <c r="AB37" i="5"/>
  <c r="AB148" i="5"/>
  <c r="AB149" i="5" s="1"/>
  <c r="AB80" i="5"/>
  <c r="AT148" i="5"/>
  <c r="AT149" i="5" s="1"/>
  <c r="AT80" i="5"/>
  <c r="AT37" i="5"/>
  <c r="BL148" i="5"/>
  <c r="BL149" i="5" s="1"/>
  <c r="BL80" i="5"/>
  <c r="BL37" i="5"/>
  <c r="G64" i="5"/>
  <c r="G153" i="5"/>
  <c r="G88" i="5"/>
  <c r="R148" i="5"/>
  <c r="R149" i="5" s="1"/>
  <c r="R37" i="5"/>
  <c r="R80" i="5"/>
  <c r="AJ80" i="5"/>
  <c r="AJ148" i="5"/>
  <c r="AJ149" i="5" s="1"/>
  <c r="AJ37" i="5"/>
  <c r="BB80" i="5"/>
  <c r="BB148" i="5"/>
  <c r="BB149" i="5" s="1"/>
  <c r="BB37" i="5"/>
  <c r="O153" i="5"/>
  <c r="O88" i="5"/>
  <c r="O64" i="5"/>
  <c r="Z80" i="5"/>
  <c r="Z148" i="5"/>
  <c r="Z149" i="5" s="1"/>
  <c r="Z37" i="5"/>
  <c r="AR37" i="5"/>
  <c r="AR148" i="5"/>
  <c r="AR149" i="5" s="1"/>
  <c r="AR80" i="5"/>
  <c r="BJ148" i="5"/>
  <c r="BJ149" i="5" s="1"/>
  <c r="BJ80" i="5"/>
  <c r="BJ37" i="5"/>
  <c r="L88" i="5"/>
  <c r="L64" i="5"/>
  <c r="L153" i="5"/>
  <c r="W153" i="5"/>
  <c r="W88" i="5"/>
  <c r="W64" i="5"/>
  <c r="AH37" i="5"/>
  <c r="AH80" i="5"/>
  <c r="AH148" i="5"/>
  <c r="AH149" i="5" s="1"/>
  <c r="AZ37" i="5"/>
  <c r="AZ80" i="5"/>
  <c r="AZ148" i="5"/>
  <c r="AZ149" i="5" s="1"/>
  <c r="T88" i="5"/>
  <c r="T64" i="5"/>
  <c r="T153" i="5"/>
  <c r="AE88" i="5"/>
  <c r="AE64" i="5"/>
  <c r="AE153" i="5"/>
  <c r="AP80" i="5"/>
  <c r="AP148" i="5"/>
  <c r="AP149" i="5" s="1"/>
  <c r="AP37" i="5"/>
  <c r="BH148" i="5"/>
  <c r="BH149" i="5" s="1"/>
  <c r="BH37" i="5"/>
  <c r="BH80" i="5"/>
  <c r="AB153" i="5"/>
  <c r="AB88" i="5"/>
  <c r="AB64" i="5"/>
  <c r="AM64" i="5"/>
  <c r="AM153" i="5"/>
  <c r="AM88" i="5"/>
  <c r="AX37" i="5"/>
  <c r="AX148" i="5"/>
  <c r="AX149" i="5" s="1"/>
  <c r="AX80" i="5"/>
  <c r="AJ153" i="5"/>
  <c r="AJ88" i="5"/>
  <c r="AJ64" i="5"/>
  <c r="AU153" i="5"/>
  <c r="AU88" i="5"/>
  <c r="AU64" i="5"/>
  <c r="BF148" i="5"/>
  <c r="BF149" i="5" s="1"/>
  <c r="BF80" i="5"/>
  <c r="BF37" i="5"/>
  <c r="AR64" i="5"/>
  <c r="AR153" i="5"/>
  <c r="AR88" i="5"/>
  <c r="BC88" i="5"/>
  <c r="BC153" i="5"/>
  <c r="BC64" i="5"/>
  <c r="AO88" i="5"/>
  <c r="AO153" i="5"/>
  <c r="AO64" i="5"/>
  <c r="AG148" i="5"/>
  <c r="AG149" i="5" s="1"/>
  <c r="AG80" i="5"/>
  <c r="AG37" i="5"/>
  <c r="N37" i="8"/>
  <c r="N38" i="8"/>
  <c r="N39" i="8"/>
  <c r="AW38" i="8"/>
  <c r="AW39" i="8"/>
  <c r="AW37" i="8"/>
  <c r="T39" i="8"/>
  <c r="T38" i="8"/>
  <c r="T37" i="8"/>
  <c r="AP38" i="8"/>
  <c r="AP37" i="8"/>
  <c r="AP39" i="8"/>
  <c r="AQ38" i="8"/>
  <c r="AQ39" i="8"/>
  <c r="AQ37" i="8"/>
  <c r="AS38" i="8"/>
  <c r="AS37" i="8"/>
  <c r="AS39" i="8"/>
  <c r="AO39" i="8"/>
  <c r="AO37" i="8"/>
  <c r="AO38" i="8"/>
  <c r="BH37" i="8"/>
  <c r="BH38" i="8"/>
  <c r="BH39" i="8"/>
  <c r="V48" i="10"/>
  <c r="V78" i="10"/>
  <c r="AP78" i="10"/>
  <c r="AP48" i="10"/>
  <c r="Y48" i="10"/>
  <c r="Y78" i="10"/>
  <c r="BE78" i="10"/>
  <c r="BE48" i="10"/>
  <c r="AB78" i="10"/>
  <c r="AB48" i="10"/>
  <c r="AA78" i="10"/>
  <c r="AA48" i="10"/>
  <c r="J90" i="3"/>
  <c r="J91" i="3" s="1"/>
  <c r="J331" i="3"/>
  <c r="J330" i="3"/>
  <c r="J264" i="3"/>
  <c r="J265" i="3" s="1"/>
  <c r="J300" i="3"/>
  <c r="J301" i="3" s="1"/>
  <c r="J183" i="3"/>
  <c r="J184" i="3" s="1"/>
  <c r="J371" i="3"/>
  <c r="J332" i="3"/>
  <c r="J224" i="3"/>
  <c r="J225" i="3" s="1"/>
  <c r="J53" i="3"/>
  <c r="J54" i="3" s="1"/>
  <c r="BM371" i="3"/>
  <c r="BM53" i="3"/>
  <c r="BM54" i="3" s="1"/>
  <c r="BM224" i="3"/>
  <c r="BM225" i="3" s="1"/>
  <c r="BM331" i="3"/>
  <c r="BM300" i="3"/>
  <c r="BM301" i="3" s="1"/>
  <c r="BM264" i="3"/>
  <c r="BM265" i="3" s="1"/>
  <c r="BM332" i="3"/>
  <c r="BM183" i="3"/>
  <c r="BM184" i="3" s="1"/>
  <c r="BM330" i="3"/>
  <c r="AL90" i="3"/>
  <c r="AL91" i="3" s="1"/>
  <c r="BE90" i="3"/>
  <c r="BE91" i="3" s="1"/>
  <c r="BG330" i="3"/>
  <c r="BG331" i="3"/>
  <c r="BG183" i="3"/>
  <c r="BG184" i="3" s="1"/>
  <c r="BG371" i="3"/>
  <c r="BG264" i="3"/>
  <c r="BG265" i="3" s="1"/>
  <c r="BG332" i="3"/>
  <c r="BG53" i="3"/>
  <c r="BG54" i="3" s="1"/>
  <c r="BG224" i="3"/>
  <c r="BG225" i="3" s="1"/>
  <c r="BG300" i="3"/>
  <c r="BG301" i="3" s="1"/>
  <c r="W330" i="3"/>
  <c r="W331" i="3"/>
  <c r="W183" i="3"/>
  <c r="W184" i="3" s="1"/>
  <c r="W53" i="3"/>
  <c r="W54" i="3" s="1"/>
  <c r="W332" i="3"/>
  <c r="W224" i="3"/>
  <c r="W225" i="3" s="1"/>
  <c r="W300" i="3"/>
  <c r="W301" i="3" s="1"/>
  <c r="W371" i="3"/>
  <c r="W264" i="3"/>
  <c r="W265" i="3" s="1"/>
  <c r="AP183" i="3"/>
  <c r="AP184" i="3" s="1"/>
  <c r="AP371" i="3"/>
  <c r="AP224" i="3"/>
  <c r="AP225" i="3" s="1"/>
  <c r="AP300" i="3"/>
  <c r="AP301" i="3" s="1"/>
  <c r="AP331" i="3"/>
  <c r="AP330" i="3"/>
  <c r="AP53" i="3"/>
  <c r="AP54" i="3" s="1"/>
  <c r="AP264" i="3"/>
  <c r="AP265" i="3" s="1"/>
  <c r="AP332" i="3"/>
  <c r="BC331" i="3"/>
  <c r="BC371" i="3"/>
  <c r="BC53" i="3"/>
  <c r="BC54" i="3" s="1"/>
  <c r="BC183" i="3"/>
  <c r="BC184" i="3" s="1"/>
  <c r="BC300" i="3"/>
  <c r="BC301" i="3" s="1"/>
  <c r="BC332" i="3"/>
  <c r="BC264" i="3"/>
  <c r="BC265" i="3" s="1"/>
  <c r="BC330" i="3"/>
  <c r="BC224" i="3"/>
  <c r="BC225" i="3" s="1"/>
  <c r="AQ371" i="3"/>
  <c r="AQ224" i="3"/>
  <c r="AQ225" i="3" s="1"/>
  <c r="AQ331" i="3"/>
  <c r="AQ300" i="3"/>
  <c r="AQ301" i="3" s="1"/>
  <c r="AQ53" i="3"/>
  <c r="AQ54" i="3" s="1"/>
  <c r="AQ330" i="3"/>
  <c r="AQ183" i="3"/>
  <c r="AQ184" i="3" s="1"/>
  <c r="AQ264" i="3"/>
  <c r="AQ265" i="3" s="1"/>
  <c r="AQ332" i="3"/>
  <c r="G371" i="3"/>
  <c r="G224" i="3"/>
  <c r="G225" i="3" s="1"/>
  <c r="G330" i="3"/>
  <c r="G264" i="3"/>
  <c r="G265" i="3" s="1"/>
  <c r="G53" i="3"/>
  <c r="G54" i="3" s="1"/>
  <c r="G331" i="3"/>
  <c r="G183" i="3"/>
  <c r="G184" i="3" s="1"/>
  <c r="G300" i="3"/>
  <c r="G301" i="3" s="1"/>
  <c r="G332" i="3"/>
  <c r="AQ90" i="3"/>
  <c r="AQ91" i="3" s="1"/>
  <c r="AR264" i="3"/>
  <c r="AR265" i="3" s="1"/>
  <c r="AR300" i="3"/>
  <c r="AR301" i="3" s="1"/>
  <c r="AR331" i="3"/>
  <c r="AR183" i="3"/>
  <c r="AR184" i="3" s="1"/>
  <c r="AR53" i="3"/>
  <c r="AR54" i="3" s="1"/>
  <c r="AR371" i="3"/>
  <c r="AR224" i="3"/>
  <c r="AR225" i="3" s="1"/>
  <c r="AR332" i="3"/>
  <c r="AR330" i="3"/>
  <c r="H90" i="3"/>
  <c r="H91" i="3" s="1"/>
  <c r="U264" i="3"/>
  <c r="U265" i="3" s="1"/>
  <c r="U371" i="3"/>
  <c r="U331" i="3"/>
  <c r="U53" i="3"/>
  <c r="U54" i="3" s="1"/>
  <c r="U330" i="3"/>
  <c r="U224" i="3"/>
  <c r="U225" i="3" s="1"/>
  <c r="U183" i="3"/>
  <c r="U184" i="3" s="1"/>
  <c r="U300" i="3"/>
  <c r="U301" i="3" s="1"/>
  <c r="U332" i="3"/>
  <c r="AK121" i="4"/>
  <c r="AK122" i="4" s="1"/>
  <c r="AK60" i="4"/>
  <c r="AK61" i="4" s="1"/>
  <c r="W60" i="4"/>
  <c r="W61" i="4" s="1"/>
  <c r="W121" i="4"/>
  <c r="W122" i="4" s="1"/>
  <c r="BK60" i="4"/>
  <c r="BK61" i="4" s="1"/>
  <c r="BK121" i="4"/>
  <c r="BK122" i="4" s="1"/>
  <c r="AC60" i="4"/>
  <c r="AC61" i="4" s="1"/>
  <c r="AC121" i="4"/>
  <c r="AC122" i="4" s="1"/>
  <c r="AG121" i="4"/>
  <c r="AG122" i="4" s="1"/>
  <c r="AG60" i="4"/>
  <c r="AG61" i="4" s="1"/>
  <c r="Z121" i="4"/>
  <c r="Z122" i="4" s="1"/>
  <c r="Z60" i="4"/>
  <c r="Z61" i="4" s="1"/>
  <c r="BK88" i="5"/>
  <c r="BK64" i="5"/>
  <c r="BK153" i="5"/>
  <c r="Q88" i="5"/>
  <c r="Q153" i="5"/>
  <c r="Q64" i="5"/>
  <c r="BH88" i="5"/>
  <c r="BH64" i="5"/>
  <c r="BH153" i="5"/>
  <c r="R88" i="5"/>
  <c r="R64" i="5"/>
  <c r="R153" i="5"/>
  <c r="AX64" i="5"/>
  <c r="AX88" i="5"/>
  <c r="AX153" i="5"/>
  <c r="I153" i="5"/>
  <c r="I88" i="5"/>
  <c r="I64" i="5"/>
  <c r="AA39" i="8"/>
  <c r="AA37" i="8"/>
  <c r="AA38" i="8"/>
  <c r="O37" i="8"/>
  <c r="O39" i="8"/>
  <c r="O38" i="8"/>
  <c r="AF39" i="8"/>
  <c r="AF38" i="8"/>
  <c r="AF37" i="8"/>
  <c r="AX39" i="8"/>
  <c r="AX38" i="8"/>
  <c r="AX37" i="8"/>
  <c r="AY38" i="8"/>
  <c r="AY37" i="8"/>
  <c r="AY39" i="8"/>
  <c r="BA39" i="8"/>
  <c r="BA38" i="8"/>
  <c r="BA37" i="8"/>
  <c r="L39" i="8"/>
  <c r="L37" i="8"/>
  <c r="L38" i="8"/>
  <c r="BC37" i="8"/>
  <c r="BC38" i="8"/>
  <c r="BC39" i="8"/>
  <c r="F78" i="10"/>
  <c r="F79" i="10" s="1"/>
  <c r="F48" i="10"/>
  <c r="F49" i="10" s="1"/>
  <c r="AN78" i="10"/>
  <c r="AN48" i="10"/>
  <c r="AU48" i="10"/>
  <c r="AU78" i="10"/>
  <c r="G78" i="10"/>
  <c r="G48" i="10"/>
  <c r="J78" i="10"/>
  <c r="J48" i="10"/>
  <c r="BM48" i="10"/>
  <c r="BM78" i="10"/>
  <c r="AJ78" i="10"/>
  <c r="AJ48" i="10"/>
  <c r="AI78" i="10"/>
  <c r="AI48" i="10"/>
  <c r="AD90" i="3"/>
  <c r="AD91" i="3" s="1"/>
  <c r="AW90" i="3"/>
  <c r="AW91" i="3" s="1"/>
  <c r="AM53" i="3"/>
  <c r="AM54" i="3" s="1"/>
  <c r="AM332" i="3"/>
  <c r="AM264" i="3"/>
  <c r="AM265" i="3" s="1"/>
  <c r="AM371" i="3"/>
  <c r="AM330" i="3"/>
  <c r="AM224" i="3"/>
  <c r="AM225" i="3" s="1"/>
  <c r="AM183" i="3"/>
  <c r="AM184" i="3" s="1"/>
  <c r="AM300" i="3"/>
  <c r="AM301" i="3" s="1"/>
  <c r="AM331" i="3"/>
  <c r="L332" i="3"/>
  <c r="L183" i="3"/>
  <c r="L184" i="3" s="1"/>
  <c r="L224" i="3"/>
  <c r="L225" i="3" s="1"/>
  <c r="L53" i="3"/>
  <c r="L54" i="3" s="1"/>
  <c r="L300" i="3"/>
  <c r="L301" i="3" s="1"/>
  <c r="L264" i="3"/>
  <c r="L265" i="3" s="1"/>
  <c r="L371" i="3"/>
  <c r="L331" i="3"/>
  <c r="L330" i="3"/>
  <c r="U90" i="3"/>
  <c r="U91" i="3" s="1"/>
  <c r="AN90" i="3"/>
  <c r="AN91" i="3" s="1"/>
  <c r="AJ264" i="3"/>
  <c r="AJ265" i="3" s="1"/>
  <c r="AJ224" i="3"/>
  <c r="AJ225" i="3" s="1"/>
  <c r="AJ331" i="3"/>
  <c r="AJ371" i="3"/>
  <c r="AJ330" i="3"/>
  <c r="AJ332" i="3"/>
  <c r="AJ53" i="3"/>
  <c r="AJ54" i="3" s="1"/>
  <c r="AJ183" i="3"/>
  <c r="AJ184" i="3" s="1"/>
  <c r="AJ300" i="3"/>
  <c r="AJ301" i="3" s="1"/>
  <c r="W90" i="3"/>
  <c r="W91" i="3" s="1"/>
  <c r="Q90" i="3"/>
  <c r="Q91" i="3" s="1"/>
  <c r="L90" i="3"/>
  <c r="L91" i="3" s="1"/>
  <c r="AM90" i="3"/>
  <c r="AM91" i="3" s="1"/>
  <c r="BA90" i="3"/>
  <c r="BA91" i="3" s="1"/>
  <c r="BA371" i="3"/>
  <c r="BA300" i="3"/>
  <c r="BA301" i="3" s="1"/>
  <c r="BA330" i="3"/>
  <c r="BA332" i="3"/>
  <c r="BA331" i="3"/>
  <c r="BA183" i="3"/>
  <c r="BA184" i="3" s="1"/>
  <c r="BA224" i="3"/>
  <c r="BA225" i="3" s="1"/>
  <c r="BA53" i="3"/>
  <c r="BA54" i="3" s="1"/>
  <c r="BA264" i="3"/>
  <c r="BA265" i="3" s="1"/>
  <c r="BI300" i="3"/>
  <c r="BI301" i="3" s="1"/>
  <c r="BI331" i="3"/>
  <c r="BI224" i="3"/>
  <c r="BI225" i="3" s="1"/>
  <c r="BI371" i="3"/>
  <c r="BI53" i="3"/>
  <c r="BI54" i="3" s="1"/>
  <c r="BI183" i="3"/>
  <c r="BI184" i="3" s="1"/>
  <c r="BI330" i="3"/>
  <c r="BI332" i="3"/>
  <c r="BI264" i="3"/>
  <c r="BI265" i="3" s="1"/>
  <c r="AK53" i="3"/>
  <c r="AK54" i="3" s="1"/>
  <c r="AK330" i="3"/>
  <c r="AK332" i="3"/>
  <c r="AK224" i="3"/>
  <c r="AK225" i="3" s="1"/>
  <c r="AK331" i="3"/>
  <c r="AK300" i="3"/>
  <c r="AK301" i="3" s="1"/>
  <c r="AK264" i="3"/>
  <c r="AK265" i="3" s="1"/>
  <c r="AK183" i="3"/>
  <c r="AK184" i="3" s="1"/>
  <c r="AK371" i="3"/>
  <c r="M224" i="3"/>
  <c r="M225" i="3" s="1"/>
  <c r="M371" i="3"/>
  <c r="M183" i="3"/>
  <c r="M184" i="3" s="1"/>
  <c r="M264" i="3"/>
  <c r="M265" i="3" s="1"/>
  <c r="M330" i="3"/>
  <c r="M300" i="3"/>
  <c r="M301" i="3" s="1"/>
  <c r="M332" i="3"/>
  <c r="M53" i="3"/>
  <c r="M54" i="3" s="1"/>
  <c r="M331" i="3"/>
  <c r="AX90" i="3"/>
  <c r="AX91" i="3" s="1"/>
  <c r="F52" i="7" l="1"/>
  <c r="F95" i="3"/>
  <c r="F96" i="3" s="1"/>
  <c r="F103" i="3"/>
  <c r="F104" i="3" s="1"/>
  <c r="F115" i="3"/>
  <c r="F116" i="3" s="1"/>
  <c r="F127" i="3"/>
  <c r="F128" i="3" s="1"/>
  <c r="F131" i="3"/>
  <c r="F132" i="3" s="1"/>
  <c r="F122" i="4"/>
  <c r="F123" i="4" s="1"/>
  <c r="G123" i="4" s="1"/>
  <c r="F54" i="3"/>
  <c r="F55" i="3" s="1"/>
  <c r="G55" i="3" s="1"/>
  <c r="F111" i="3"/>
  <c r="F112" i="3" s="1"/>
  <c r="G112" i="3" s="1"/>
  <c r="F123" i="3"/>
  <c r="F124" i="3" s="1"/>
  <c r="F61" i="4"/>
  <c r="F62" i="4" s="1"/>
  <c r="G62" i="4" s="1"/>
  <c r="H62" i="4" s="1"/>
  <c r="I62" i="4" s="1"/>
  <c r="J62" i="4" s="1"/>
  <c r="K62" i="4" s="1"/>
  <c r="L62" i="4" s="1"/>
  <c r="M62" i="4" s="1"/>
  <c r="N62" i="4" s="1"/>
  <c r="O62" i="4" s="1"/>
  <c r="P62" i="4" s="1"/>
  <c r="Q62" i="4" s="1"/>
  <c r="R62" i="4" s="1"/>
  <c r="S62" i="4" s="1"/>
  <c r="T62" i="4" s="1"/>
  <c r="U62" i="4" s="1"/>
  <c r="V62" i="4" s="1"/>
  <c r="W62" i="4" s="1"/>
  <c r="X62" i="4" s="1"/>
  <c r="Y62" i="4" s="1"/>
  <c r="Z62" i="4" s="1"/>
  <c r="AA62" i="4" s="1"/>
  <c r="AB62" i="4" s="1"/>
  <c r="AC62" i="4" s="1"/>
  <c r="AD62" i="4" s="1"/>
  <c r="AE62" i="4" s="1"/>
  <c r="AF62" i="4" s="1"/>
  <c r="AG62" i="4" s="1"/>
  <c r="AH62" i="4" s="1"/>
  <c r="AI62" i="4" s="1"/>
  <c r="AJ62" i="4" s="1"/>
  <c r="AK62" i="4" s="1"/>
  <c r="AL62" i="4" s="1"/>
  <c r="AM62" i="4" s="1"/>
  <c r="AN62" i="4" s="1"/>
  <c r="AO62" i="4" s="1"/>
  <c r="AP62" i="4" s="1"/>
  <c r="AQ62" i="4" s="1"/>
  <c r="AR62" i="4" s="1"/>
  <c r="AS62" i="4" s="1"/>
  <c r="AT62" i="4" s="1"/>
  <c r="AU62" i="4" s="1"/>
  <c r="AV62" i="4" s="1"/>
  <c r="AW62" i="4" s="1"/>
  <c r="AX62" i="4" s="1"/>
  <c r="AY62" i="4" s="1"/>
  <c r="AZ62" i="4" s="1"/>
  <c r="BA62" i="4" s="1"/>
  <c r="BB62" i="4" s="1"/>
  <c r="BC62" i="4" s="1"/>
  <c r="BD62" i="4" s="1"/>
  <c r="BE62" i="4" s="1"/>
  <c r="BF62" i="4" s="1"/>
  <c r="BG62" i="4" s="1"/>
  <c r="BH62" i="4" s="1"/>
  <c r="BI62" i="4" s="1"/>
  <c r="BJ62" i="4" s="1"/>
  <c r="BK62" i="4" s="1"/>
  <c r="BL62" i="4" s="1"/>
  <c r="BM62" i="4" s="1"/>
  <c r="BN62" i="4" s="1"/>
  <c r="BO62" i="4" s="1"/>
  <c r="BP62" i="4" s="1"/>
  <c r="BQ62" i="4" s="1"/>
  <c r="BR62" i="4" s="1"/>
  <c r="BS62" i="4" s="1"/>
  <c r="BT62" i="4" s="1"/>
  <c r="BU62" i="4" s="1"/>
  <c r="BV62" i="4" s="1"/>
  <c r="BW62" i="4" s="1"/>
  <c r="BX62" i="4" s="1"/>
  <c r="BY62" i="4" s="1"/>
  <c r="BZ62" i="4" s="1"/>
  <c r="CA62" i="4" s="1"/>
  <c r="CB62" i="4" s="1"/>
  <c r="CC62" i="4" s="1"/>
  <c r="CD62" i="4" s="1"/>
  <c r="CE62" i="4" s="1"/>
  <c r="CF62" i="4" s="1"/>
  <c r="CG62" i="4" s="1"/>
  <c r="CH62" i="4" s="1"/>
  <c r="CI62" i="4" s="1"/>
  <c r="CJ62" i="4" s="1"/>
  <c r="CK62" i="4" s="1"/>
  <c r="F91" i="3"/>
  <c r="F92" i="3" s="1"/>
  <c r="F107" i="3"/>
  <c r="F108" i="3" s="1"/>
  <c r="F119" i="3"/>
  <c r="F120" i="3" s="1"/>
  <c r="F301" i="3"/>
  <c r="F302" i="3" s="1"/>
  <c r="G302" i="3" s="1"/>
  <c r="F265" i="3"/>
  <c r="F266" i="3" s="1"/>
  <c r="G266" i="3" s="1"/>
  <c r="F225" i="3"/>
  <c r="F226" i="3" s="1"/>
  <c r="G226" i="3" s="1"/>
  <c r="F184" i="3"/>
  <c r="F185" i="3" s="1"/>
  <c r="G185" i="3" s="1"/>
  <c r="AH260" i="3"/>
  <c r="F287" i="3"/>
  <c r="AK287" i="3"/>
  <c r="AN288" i="3"/>
  <c r="BH287" i="3"/>
  <c r="BW289" i="3"/>
  <c r="K289" i="3"/>
  <c r="AE288" i="3"/>
  <c r="AY287" i="3"/>
  <c r="U287" i="3"/>
  <c r="BF287" i="3"/>
  <c r="CK288" i="3"/>
  <c r="BU289" i="3"/>
  <c r="BY288" i="3"/>
  <c r="M288" i="3"/>
  <c r="AG287" i="3"/>
  <c r="AC287" i="3"/>
  <c r="AL288" i="3"/>
  <c r="BD289" i="3"/>
  <c r="BX288" i="3"/>
  <c r="L288" i="3"/>
  <c r="AF287" i="3"/>
  <c r="AW288" i="3"/>
  <c r="BV289" i="3"/>
  <c r="BN287" i="3"/>
  <c r="AU289" i="3"/>
  <c r="BO288" i="3"/>
  <c r="CI287" i="3"/>
  <c r="W287" i="3"/>
  <c r="BR289" i="3"/>
  <c r="F289" i="3"/>
  <c r="Z288" i="3"/>
  <c r="AT287" i="3"/>
  <c r="BH289" i="3"/>
  <c r="AF288" i="3"/>
  <c r="AZ287" i="3"/>
  <c r="BO289" i="3"/>
  <c r="CI288" i="3"/>
  <c r="W288" i="3"/>
  <c r="AQ287" i="3"/>
  <c r="CD289" i="3"/>
  <c r="AX287" i="3"/>
  <c r="AO288" i="3"/>
  <c r="AW289" i="3"/>
  <c r="BQ288" i="3"/>
  <c r="CK287" i="3"/>
  <c r="Y287" i="3"/>
  <c r="BP289" i="3"/>
  <c r="CD287" i="3"/>
  <c r="AV289" i="3"/>
  <c r="BP288" i="3"/>
  <c r="CJ287" i="3"/>
  <c r="X287" i="3"/>
  <c r="Q288" i="3"/>
  <c r="BF289" i="3"/>
  <c r="CC289" i="3"/>
  <c r="AM289" i="3"/>
  <c r="BG288" i="3"/>
  <c r="CA287" i="3"/>
  <c r="O287" i="3"/>
  <c r="BJ289" i="3"/>
  <c r="CD288" i="3"/>
  <c r="R288" i="3"/>
  <c r="AL287" i="3"/>
  <c r="BQ289" i="3"/>
  <c r="AB289" i="3"/>
  <c r="X288" i="3"/>
  <c r="AR287" i="3"/>
  <c r="BG289" i="3"/>
  <c r="CA288" i="3"/>
  <c r="O288" i="3"/>
  <c r="AI287" i="3"/>
  <c r="AH289" i="3"/>
  <c r="AP287" i="3"/>
  <c r="BA287" i="3"/>
  <c r="AO289" i="3"/>
  <c r="BI288" i="3"/>
  <c r="CC287" i="3"/>
  <c r="Q287" i="3"/>
  <c r="AJ289" i="3"/>
  <c r="CK289" i="3"/>
  <c r="AN289" i="3"/>
  <c r="BH288" i="3"/>
  <c r="CB287" i="3"/>
  <c r="P287" i="3"/>
  <c r="BY287" i="3"/>
  <c r="U289" i="3"/>
  <c r="T289" i="3"/>
  <c r="P288" i="3"/>
  <c r="AJ287" i="3"/>
  <c r="AY289" i="3"/>
  <c r="BS288" i="3"/>
  <c r="G288" i="3"/>
  <c r="AA287" i="3"/>
  <c r="CH288" i="3"/>
  <c r="AH287" i="3"/>
  <c r="CF289" i="3"/>
  <c r="AG289" i="3"/>
  <c r="BA288" i="3"/>
  <c r="BU287" i="3"/>
  <c r="I287" i="3"/>
  <c r="BT288" i="3"/>
  <c r="BM289" i="3"/>
  <c r="AF289" i="3"/>
  <c r="AZ288" i="3"/>
  <c r="BT287" i="3"/>
  <c r="H287" i="3"/>
  <c r="BI287" i="3"/>
  <c r="J289" i="3"/>
  <c r="CI289" i="3"/>
  <c r="W289" i="3"/>
  <c r="AQ288" i="3"/>
  <c r="BK287" i="3"/>
  <c r="BI289" i="3"/>
  <c r="AT289" i="3"/>
  <c r="BN288" i="3"/>
  <c r="CH287" i="3"/>
  <c r="V287" i="3"/>
  <c r="CG287" i="3"/>
  <c r="BD288" i="3"/>
  <c r="BX287" i="3"/>
  <c r="L287" i="3"/>
  <c r="AA289" i="3"/>
  <c r="AU288" i="3"/>
  <c r="BO287" i="3"/>
  <c r="AK289" i="3"/>
  <c r="F288" i="3"/>
  <c r="J287" i="3"/>
  <c r="Z289" i="3"/>
  <c r="I289" i="3"/>
  <c r="AC288" i="3"/>
  <c r="AW287" i="3"/>
  <c r="BM288" i="3"/>
  <c r="R289" i="3"/>
  <c r="BT289" i="3"/>
  <c r="H289" i="3"/>
  <c r="AB288" i="3"/>
  <c r="AV287" i="3"/>
  <c r="M289" i="3"/>
  <c r="AZ289" i="3"/>
  <c r="AD288" i="3"/>
  <c r="BK289" i="3"/>
  <c r="CE288" i="3"/>
  <c r="S288" i="3"/>
  <c r="AM287" i="3"/>
  <c r="CH289" i="3"/>
  <c r="V289" i="3"/>
  <c r="AP288" i="3"/>
  <c r="BJ287" i="3"/>
  <c r="BQ287" i="3"/>
  <c r="AV288" i="3"/>
  <c r="BP287" i="3"/>
  <c r="CE289" i="3"/>
  <c r="S289" i="3"/>
  <c r="AM288" i="3"/>
  <c r="BG287" i="3"/>
  <c r="Y288" i="3"/>
  <c r="H288" i="3"/>
  <c r="CE287" i="3"/>
  <c r="R287" i="3"/>
  <c r="AS288" i="3"/>
  <c r="I288" i="3"/>
  <c r="P289" i="3"/>
  <c r="CG289" i="3"/>
  <c r="BB288" i="3"/>
  <c r="G289" i="3"/>
  <c r="AU287" i="3"/>
  <c r="AD289" i="3"/>
  <c r="BR287" i="3"/>
  <c r="CF287" i="3"/>
  <c r="BW287" i="3"/>
  <c r="BA289" i="3"/>
  <c r="AK288" i="3"/>
  <c r="BN289" i="3"/>
  <c r="CF288" i="3"/>
  <c r="AS289" i="3"/>
  <c r="N288" i="3"/>
  <c r="BW288" i="3"/>
  <c r="AE287" i="3"/>
  <c r="N289" i="3"/>
  <c r="BB287" i="3"/>
  <c r="AG288" i="3"/>
  <c r="AI289" i="3"/>
  <c r="V288" i="3"/>
  <c r="Y289" i="3"/>
  <c r="AO287" i="3"/>
  <c r="CB289" i="3"/>
  <c r="BL287" i="3"/>
  <c r="L289" i="3"/>
  <c r="K288" i="3"/>
  <c r="BZ289" i="3"/>
  <c r="AH288" i="3"/>
  <c r="CB288" i="3"/>
  <c r="BK288" i="3"/>
  <c r="BV287" i="3"/>
  <c r="Q289" i="3"/>
  <c r="BY289" i="3"/>
  <c r="BL289" i="3"/>
  <c r="BD287" i="3"/>
  <c r="AP289" i="3"/>
  <c r="AE289" i="3"/>
  <c r="BS287" i="3"/>
  <c r="BB289" i="3"/>
  <c r="J288" i="3"/>
  <c r="BL288" i="3"/>
  <c r="BC288" i="3"/>
  <c r="Z287" i="3"/>
  <c r="CG288" i="3"/>
  <c r="AC289" i="3"/>
  <c r="X289" i="3"/>
  <c r="AN287" i="3"/>
  <c r="BZ288" i="3"/>
  <c r="O289" i="3"/>
  <c r="BC287" i="3"/>
  <c r="AL289" i="3"/>
  <c r="BZ287" i="3"/>
  <c r="AB287" i="3"/>
  <c r="S287" i="3"/>
  <c r="AR289" i="3"/>
  <c r="U288" i="3"/>
  <c r="AX289" i="3"/>
  <c r="AR288" i="3"/>
  <c r="CC288" i="3"/>
  <c r="BE289" i="3"/>
  <c r="AY288" i="3"/>
  <c r="G287" i="3"/>
  <c r="BV288" i="3"/>
  <c r="AD287" i="3"/>
  <c r="M287" i="3"/>
  <c r="BF288" i="3"/>
  <c r="T287" i="3"/>
  <c r="K287" i="3"/>
  <c r="CJ288" i="3"/>
  <c r="BM287" i="3"/>
  <c r="BR288" i="3"/>
  <c r="AJ288" i="3"/>
  <c r="CA289" i="3"/>
  <c r="AI288" i="3"/>
  <c r="BE288" i="3"/>
  <c r="N287" i="3"/>
  <c r="BU288" i="3"/>
  <c r="AQ289" i="3"/>
  <c r="BJ288" i="3"/>
  <c r="AT288" i="3"/>
  <c r="BE287" i="3"/>
  <c r="CJ289" i="3"/>
  <c r="T288" i="3"/>
  <c r="BX289" i="3"/>
  <c r="BS289" i="3"/>
  <c r="AA288" i="3"/>
  <c r="AS287" i="3"/>
  <c r="AX288" i="3"/>
  <c r="BC289" i="3"/>
  <c r="CE260" i="3"/>
  <c r="AO260" i="3"/>
  <c r="N260" i="3"/>
  <c r="AF260" i="3"/>
  <c r="CC260" i="3"/>
  <c r="CA260" i="3"/>
  <c r="BT260" i="3"/>
  <c r="CH260" i="3"/>
  <c r="CF260" i="3"/>
  <c r="CI260" i="3"/>
  <c r="BY260" i="3"/>
  <c r="BO260" i="3"/>
  <c r="BV260" i="3"/>
  <c r="D259" i="3"/>
  <c r="CK260" i="3"/>
  <c r="CJ260" i="3"/>
  <c r="D255" i="3"/>
  <c r="BW260" i="3"/>
  <c r="BZ260" i="3"/>
  <c r="BS260" i="3"/>
  <c r="CG260" i="3"/>
  <c r="CB260" i="3"/>
  <c r="D254" i="3"/>
  <c r="BQ260" i="3"/>
  <c r="D257" i="3"/>
  <c r="BP260" i="3"/>
  <c r="BU260" i="3"/>
  <c r="CD260" i="3"/>
  <c r="D256" i="3"/>
  <c r="BX260" i="3"/>
  <c r="BR260" i="3"/>
  <c r="D253" i="3"/>
  <c r="D258" i="3"/>
  <c r="D252" i="3"/>
  <c r="BN260" i="3"/>
  <c r="D251" i="3"/>
  <c r="BA260" i="3"/>
  <c r="BD260" i="3"/>
  <c r="AX260" i="3"/>
  <c r="F100" i="3"/>
  <c r="S260" i="3"/>
  <c r="T260" i="3"/>
  <c r="BM260" i="3"/>
  <c r="AS260" i="3"/>
  <c r="BB260" i="3"/>
  <c r="I86" i="3"/>
  <c r="K86" i="3"/>
  <c r="W260" i="3"/>
  <c r="AV260" i="3"/>
  <c r="U86" i="3"/>
  <c r="Z86" i="3"/>
  <c r="BZ86" i="3"/>
  <c r="AX86" i="3"/>
  <c r="BO86" i="3"/>
  <c r="BT86" i="3"/>
  <c r="BE86" i="3"/>
  <c r="BJ86" i="3"/>
  <c r="CE86" i="3"/>
  <c r="Q86" i="3"/>
  <c r="AJ86" i="3"/>
  <c r="L260" i="3"/>
  <c r="AL86" i="3"/>
  <c r="AK260" i="3"/>
  <c r="CC86" i="3"/>
  <c r="AJ260" i="3"/>
  <c r="BY86" i="3"/>
  <c r="BN86" i="3"/>
  <c r="BQ86" i="3"/>
  <c r="CD86" i="3"/>
  <c r="D84" i="3"/>
  <c r="CK86" i="3"/>
  <c r="D85" i="3"/>
  <c r="D80" i="3"/>
  <c r="BU86" i="3"/>
  <c r="CA86" i="3"/>
  <c r="BV86" i="3"/>
  <c r="D79" i="3"/>
  <c r="D83" i="3"/>
  <c r="CF86" i="3"/>
  <c r="BX86" i="3"/>
  <c r="BR86" i="3"/>
  <c r="BP86" i="3"/>
  <c r="D82" i="3"/>
  <c r="D77" i="3"/>
  <c r="D76" i="3"/>
  <c r="CH86" i="3"/>
  <c r="BS86" i="3"/>
  <c r="BW86" i="3"/>
  <c r="CI86" i="3"/>
  <c r="CJ86" i="3"/>
  <c r="D81" i="3"/>
  <c r="CG86" i="3"/>
  <c r="CB86" i="3"/>
  <c r="D78" i="3"/>
  <c r="AM260" i="3"/>
  <c r="BK260" i="3"/>
  <c r="BL260" i="3"/>
  <c r="V260" i="3"/>
  <c r="BE260" i="3"/>
  <c r="Q260" i="3"/>
  <c r="AG260" i="3"/>
  <c r="AA260" i="3"/>
  <c r="BF260" i="3"/>
  <c r="AN260" i="3"/>
  <c r="D75" i="3"/>
  <c r="BC260" i="3"/>
  <c r="U260" i="3"/>
  <c r="AP260" i="3"/>
  <c r="BL86" i="3"/>
  <c r="AZ260" i="3"/>
  <c r="AE86" i="3"/>
  <c r="AA86" i="3"/>
  <c r="H86" i="3"/>
  <c r="AT86" i="3"/>
  <c r="AP86" i="3"/>
  <c r="AB86" i="3"/>
  <c r="Y260" i="3"/>
  <c r="AR86" i="3"/>
  <c r="S86" i="3"/>
  <c r="AY260" i="3"/>
  <c r="AO86" i="3"/>
  <c r="X260" i="3"/>
  <c r="AH86" i="3"/>
  <c r="T86" i="3"/>
  <c r="M86" i="3"/>
  <c r="AI86" i="3"/>
  <c r="I260" i="3"/>
  <c r="V86" i="3"/>
  <c r="AL260" i="3"/>
  <c r="AW260" i="3"/>
  <c r="Y86" i="3"/>
  <c r="AU86" i="3"/>
  <c r="O260" i="3"/>
  <c r="N86" i="3"/>
  <c r="G86" i="3"/>
  <c r="AF86" i="3"/>
  <c r="AZ86" i="3"/>
  <c r="F260" i="3"/>
  <c r="BG260" i="3"/>
  <c r="AV86" i="3"/>
  <c r="O86" i="3"/>
  <c r="X86" i="3"/>
  <c r="BA86" i="3"/>
  <c r="AK86" i="3"/>
  <c r="R86" i="3"/>
  <c r="L86" i="3"/>
  <c r="J260" i="3"/>
  <c r="BC86" i="3"/>
  <c r="BM86" i="3"/>
  <c r="AQ260" i="3"/>
  <c r="BI260" i="3"/>
  <c r="AD86" i="3"/>
  <c r="BD86" i="3"/>
  <c r="G260" i="3"/>
  <c r="P260" i="3"/>
  <c r="AR260" i="3"/>
  <c r="AE260" i="3"/>
  <c r="AU260" i="3"/>
  <c r="AW86" i="3"/>
  <c r="R260" i="3"/>
  <c r="AB260" i="3"/>
  <c r="W86" i="3"/>
  <c r="K260" i="3"/>
  <c r="H260" i="3"/>
  <c r="BB86" i="3"/>
  <c r="AC86" i="3"/>
  <c r="BK86" i="3"/>
  <c r="AS86" i="3"/>
  <c r="AG86" i="3"/>
  <c r="AN86" i="3"/>
  <c r="AI260" i="3"/>
  <c r="AT260" i="3"/>
  <c r="AY86" i="3"/>
  <c r="M260" i="3"/>
  <c r="BJ260" i="3"/>
  <c r="BH260" i="3"/>
  <c r="BG86" i="3"/>
  <c r="P86" i="3"/>
  <c r="BI86" i="3"/>
  <c r="BH86" i="3"/>
  <c r="F86" i="3"/>
  <c r="AD260" i="3"/>
  <c r="J86" i="3"/>
  <c r="AC260" i="3"/>
  <c r="AQ86" i="3"/>
  <c r="Z260" i="3"/>
  <c r="G79" i="10"/>
  <c r="H79" i="10" s="1"/>
  <c r="I79" i="10" s="1"/>
  <c r="J79" i="10" s="1"/>
  <c r="K79" i="10" s="1"/>
  <c r="L79" i="10" s="1"/>
  <c r="M79" i="10" s="1"/>
  <c r="N79" i="10" s="1"/>
  <c r="O79" i="10" s="1"/>
  <c r="P79" i="10" s="1"/>
  <c r="Q79" i="10" s="1"/>
  <c r="R79" i="10" s="1"/>
  <c r="S79" i="10" s="1"/>
  <c r="T79" i="10" s="1"/>
  <c r="U79" i="10" s="1"/>
  <c r="V79" i="10" s="1"/>
  <c r="W79" i="10" s="1"/>
  <c r="X79" i="10" s="1"/>
  <c r="Y79" i="10" s="1"/>
  <c r="Z79" i="10" s="1"/>
  <c r="AA79" i="10" s="1"/>
  <c r="AB79" i="10" s="1"/>
  <c r="AC79" i="10" s="1"/>
  <c r="AD79" i="10" s="1"/>
  <c r="AE79" i="10" s="1"/>
  <c r="AF79" i="10" s="1"/>
  <c r="AG79" i="10" s="1"/>
  <c r="AH79" i="10" s="1"/>
  <c r="AI79" i="10" s="1"/>
  <c r="AJ79" i="10" s="1"/>
  <c r="AK79" i="10" s="1"/>
  <c r="AL79" i="10" s="1"/>
  <c r="AM79" i="10" s="1"/>
  <c r="AN79" i="10" s="1"/>
  <c r="AO79" i="10" s="1"/>
  <c r="AP79" i="10" s="1"/>
  <c r="AQ79" i="10" s="1"/>
  <c r="AR79" i="10" s="1"/>
  <c r="AS79" i="10" s="1"/>
  <c r="AT79" i="10" s="1"/>
  <c r="AU79" i="10" s="1"/>
  <c r="AV79" i="10" s="1"/>
  <c r="AW79" i="10" s="1"/>
  <c r="AX79" i="10" s="1"/>
  <c r="AY79" i="10" s="1"/>
  <c r="AZ79" i="10" s="1"/>
  <c r="BA79" i="10" s="1"/>
  <c r="BB79" i="10" s="1"/>
  <c r="BC79" i="10" s="1"/>
  <c r="BD79" i="10" s="1"/>
  <c r="BE79" i="10" s="1"/>
  <c r="BF79" i="10" s="1"/>
  <c r="BG79" i="10" s="1"/>
  <c r="BH79" i="10" s="1"/>
  <c r="BI79" i="10" s="1"/>
  <c r="BJ79" i="10" s="1"/>
  <c r="BK79" i="10" s="1"/>
  <c r="BL79" i="10" s="1"/>
  <c r="BM79" i="10" s="1"/>
  <c r="BN79" i="10" s="1"/>
  <c r="BO79" i="10" s="1"/>
  <c r="BP79" i="10" s="1"/>
  <c r="BQ79" i="10" s="1"/>
  <c r="BR79" i="10" s="1"/>
  <c r="BS79" i="10" s="1"/>
  <c r="BT79" i="10" s="1"/>
  <c r="BU79" i="10" s="1"/>
  <c r="BV79" i="10" s="1"/>
  <c r="BW79" i="10" s="1"/>
  <c r="BX79" i="10" s="1"/>
  <c r="BY79" i="10" s="1"/>
  <c r="BZ79" i="10" s="1"/>
  <c r="CA79" i="10" s="1"/>
  <c r="CB79" i="10" s="1"/>
  <c r="CC79" i="10" s="1"/>
  <c r="CD79" i="10" s="1"/>
  <c r="CE79" i="10" s="1"/>
  <c r="CF79" i="10" s="1"/>
  <c r="CG79" i="10" s="1"/>
  <c r="CH79" i="10" s="1"/>
  <c r="CI79" i="10" s="1"/>
  <c r="CJ79" i="10" s="1"/>
  <c r="CK79" i="10" s="1"/>
  <c r="AM86" i="3"/>
  <c r="BF86" i="3"/>
  <c r="F167" i="7"/>
  <c r="F119" i="7"/>
  <c r="F68" i="10" s="1"/>
  <c r="G49" i="10"/>
  <c r="H49" i="10" s="1"/>
  <c r="I49" i="10" s="1"/>
  <c r="J49" i="10" s="1"/>
  <c r="K49" i="10" s="1"/>
  <c r="L49" i="10" s="1"/>
  <c r="M49" i="10" s="1"/>
  <c r="N49" i="10" s="1"/>
  <c r="O49" i="10" s="1"/>
  <c r="P49" i="10" s="1"/>
  <c r="Q49" i="10" s="1"/>
  <c r="R49" i="10" s="1"/>
  <c r="S49" i="10" s="1"/>
  <c r="T49" i="10" s="1"/>
  <c r="U49" i="10" s="1"/>
  <c r="V49" i="10" s="1"/>
  <c r="W49" i="10" s="1"/>
  <c r="X49" i="10" s="1"/>
  <c r="Y49" i="10" s="1"/>
  <c r="Z49" i="10" s="1"/>
  <c r="AA49" i="10" s="1"/>
  <c r="AB49" i="10" s="1"/>
  <c r="AC49" i="10" s="1"/>
  <c r="AD49" i="10" s="1"/>
  <c r="AE49" i="10" s="1"/>
  <c r="AF49" i="10" s="1"/>
  <c r="AG49" i="10" s="1"/>
  <c r="AH49" i="10" s="1"/>
  <c r="AI49" i="10" s="1"/>
  <c r="AJ49" i="10" s="1"/>
  <c r="AK49" i="10" s="1"/>
  <c r="AL49" i="10" s="1"/>
  <c r="AM49" i="10" s="1"/>
  <c r="AN49" i="10" s="1"/>
  <c r="AO49" i="10" s="1"/>
  <c r="AP49" i="10" s="1"/>
  <c r="AQ49" i="10" s="1"/>
  <c r="AR49" i="10" s="1"/>
  <c r="AS49" i="10" s="1"/>
  <c r="AT49" i="10" s="1"/>
  <c r="AU49" i="10" s="1"/>
  <c r="AV49" i="10" s="1"/>
  <c r="AW49" i="10" s="1"/>
  <c r="AX49" i="10" s="1"/>
  <c r="AY49" i="10" s="1"/>
  <c r="AZ49" i="10" s="1"/>
  <c r="BA49" i="10" s="1"/>
  <c r="BB49" i="10" s="1"/>
  <c r="BC49" i="10" s="1"/>
  <c r="BD49" i="10" s="1"/>
  <c r="BE49" i="10" s="1"/>
  <c r="BF49" i="10" s="1"/>
  <c r="BG49" i="10" s="1"/>
  <c r="BH49" i="10" s="1"/>
  <c r="BI49" i="10" s="1"/>
  <c r="BJ49" i="10" s="1"/>
  <c r="BK49" i="10" s="1"/>
  <c r="BL49" i="10" s="1"/>
  <c r="BM49" i="10" s="1"/>
  <c r="BN49" i="10" s="1"/>
  <c r="BO49" i="10" s="1"/>
  <c r="BP49" i="10" s="1"/>
  <c r="BQ49" i="10" s="1"/>
  <c r="BR49" i="10" s="1"/>
  <c r="BS49" i="10" s="1"/>
  <c r="BT49" i="10" s="1"/>
  <c r="BU49" i="10" s="1"/>
  <c r="BV49" i="10" s="1"/>
  <c r="BW49" i="10" s="1"/>
  <c r="BX49" i="10" s="1"/>
  <c r="BY49" i="10" s="1"/>
  <c r="BZ49" i="10" s="1"/>
  <c r="CA49" i="10" s="1"/>
  <c r="CB49" i="10" s="1"/>
  <c r="CC49" i="10" s="1"/>
  <c r="CD49" i="10" s="1"/>
  <c r="CE49" i="10" s="1"/>
  <c r="CF49" i="10" s="1"/>
  <c r="CG49" i="10" s="1"/>
  <c r="CH49" i="10" s="1"/>
  <c r="CI49" i="10" s="1"/>
  <c r="CJ49" i="10" s="1"/>
  <c r="CK49" i="10" s="1"/>
  <c r="F139" i="3" l="1"/>
  <c r="G104" i="3"/>
  <c r="H104" i="3" s="1"/>
  <c r="I104" i="3" s="1"/>
  <c r="J104" i="3" s="1"/>
  <c r="K104" i="3" s="1"/>
  <c r="L104" i="3" s="1"/>
  <c r="M104" i="3" s="1"/>
  <c r="N104" i="3" s="1"/>
  <c r="O104" i="3" s="1"/>
  <c r="P104" i="3" s="1"/>
  <c r="Q104" i="3" s="1"/>
  <c r="R104" i="3" s="1"/>
  <c r="S104" i="3" s="1"/>
  <c r="T104" i="3" s="1"/>
  <c r="U104" i="3" s="1"/>
  <c r="V104" i="3" s="1"/>
  <c r="W104" i="3" s="1"/>
  <c r="X104" i="3" s="1"/>
  <c r="Y104" i="3" s="1"/>
  <c r="Z104" i="3" s="1"/>
  <c r="AA104" i="3" s="1"/>
  <c r="AB104" i="3" s="1"/>
  <c r="AC104" i="3" s="1"/>
  <c r="AD104" i="3" s="1"/>
  <c r="AE104" i="3" s="1"/>
  <c r="AF104" i="3" s="1"/>
  <c r="AG104" i="3" s="1"/>
  <c r="AH104" i="3" s="1"/>
  <c r="AI104" i="3" s="1"/>
  <c r="AJ104" i="3" s="1"/>
  <c r="AK104" i="3" s="1"/>
  <c r="AL104" i="3" s="1"/>
  <c r="AM104" i="3" s="1"/>
  <c r="AN104" i="3" s="1"/>
  <c r="AO104" i="3" s="1"/>
  <c r="AP104" i="3" s="1"/>
  <c r="AQ104" i="3" s="1"/>
  <c r="AR104" i="3" s="1"/>
  <c r="AS104" i="3" s="1"/>
  <c r="AT104" i="3" s="1"/>
  <c r="AU104" i="3" s="1"/>
  <c r="AV104" i="3" s="1"/>
  <c r="AW104" i="3" s="1"/>
  <c r="AX104" i="3" s="1"/>
  <c r="AY104" i="3" s="1"/>
  <c r="AZ104" i="3" s="1"/>
  <c r="BA104" i="3" s="1"/>
  <c r="BB104" i="3" s="1"/>
  <c r="BC104" i="3" s="1"/>
  <c r="BD104" i="3" s="1"/>
  <c r="BE104" i="3" s="1"/>
  <c r="BF104" i="3" s="1"/>
  <c r="BG104" i="3" s="1"/>
  <c r="BH104" i="3" s="1"/>
  <c r="BI104" i="3" s="1"/>
  <c r="BJ104" i="3" s="1"/>
  <c r="BK104" i="3" s="1"/>
  <c r="BL104" i="3" s="1"/>
  <c r="BM104" i="3" s="1"/>
  <c r="BN104" i="3" s="1"/>
  <c r="BO104" i="3" s="1"/>
  <c r="BP104" i="3" s="1"/>
  <c r="BQ104" i="3" s="1"/>
  <c r="BR104" i="3" s="1"/>
  <c r="BS104" i="3" s="1"/>
  <c r="BT104" i="3" s="1"/>
  <c r="BU104" i="3" s="1"/>
  <c r="BV104" i="3" s="1"/>
  <c r="BW104" i="3" s="1"/>
  <c r="BX104" i="3" s="1"/>
  <c r="BY104" i="3" s="1"/>
  <c r="BZ104" i="3" s="1"/>
  <c r="CA104" i="3" s="1"/>
  <c r="CB104" i="3" s="1"/>
  <c r="CC104" i="3" s="1"/>
  <c r="CD104" i="3" s="1"/>
  <c r="CE104" i="3" s="1"/>
  <c r="CF104" i="3" s="1"/>
  <c r="CG104" i="3" s="1"/>
  <c r="CH104" i="3" s="1"/>
  <c r="CI104" i="3" s="1"/>
  <c r="CJ104" i="3" s="1"/>
  <c r="CK104" i="3" s="1"/>
  <c r="CK139" i="3" s="1"/>
  <c r="G108" i="3"/>
  <c r="G140" i="3" s="1"/>
  <c r="F140" i="3"/>
  <c r="G141" i="3"/>
  <c r="H112" i="3"/>
  <c r="I112" i="3" s="1"/>
  <c r="J112" i="3" s="1"/>
  <c r="K112" i="3" s="1"/>
  <c r="L112" i="3" s="1"/>
  <c r="M112" i="3" s="1"/>
  <c r="N112" i="3" s="1"/>
  <c r="O112" i="3" s="1"/>
  <c r="P112" i="3" s="1"/>
  <c r="Q112" i="3" s="1"/>
  <c r="R112" i="3" s="1"/>
  <c r="S112" i="3" s="1"/>
  <c r="T112" i="3" s="1"/>
  <c r="U112" i="3" s="1"/>
  <c r="V112" i="3" s="1"/>
  <c r="W112" i="3" s="1"/>
  <c r="X112" i="3" s="1"/>
  <c r="Y112" i="3" s="1"/>
  <c r="Z112" i="3" s="1"/>
  <c r="AA112" i="3" s="1"/>
  <c r="AB112" i="3" s="1"/>
  <c r="AC112" i="3" s="1"/>
  <c r="AD112" i="3" s="1"/>
  <c r="AE112" i="3" s="1"/>
  <c r="AF112" i="3" s="1"/>
  <c r="AG112" i="3" s="1"/>
  <c r="AH112" i="3" s="1"/>
  <c r="AI112" i="3" s="1"/>
  <c r="AJ112" i="3" s="1"/>
  <c r="AK112" i="3" s="1"/>
  <c r="AL112" i="3" s="1"/>
  <c r="AM112" i="3" s="1"/>
  <c r="AN112" i="3" s="1"/>
  <c r="AO112" i="3" s="1"/>
  <c r="AP112" i="3" s="1"/>
  <c r="AQ112" i="3" s="1"/>
  <c r="AR112" i="3" s="1"/>
  <c r="AS112" i="3" s="1"/>
  <c r="AT112" i="3" s="1"/>
  <c r="AU112" i="3" s="1"/>
  <c r="AV112" i="3" s="1"/>
  <c r="AW112" i="3" s="1"/>
  <c r="AX112" i="3" s="1"/>
  <c r="AY112" i="3" s="1"/>
  <c r="AZ112" i="3" s="1"/>
  <c r="BA112" i="3" s="1"/>
  <c r="BB112" i="3" s="1"/>
  <c r="BC112" i="3" s="1"/>
  <c r="BD112" i="3" s="1"/>
  <c r="BE112" i="3" s="1"/>
  <c r="BF112" i="3" s="1"/>
  <c r="BG112" i="3" s="1"/>
  <c r="BH112" i="3" s="1"/>
  <c r="BI112" i="3" s="1"/>
  <c r="BJ112" i="3" s="1"/>
  <c r="BK112" i="3" s="1"/>
  <c r="BL112" i="3" s="1"/>
  <c r="BM112" i="3" s="1"/>
  <c r="BN112" i="3" s="1"/>
  <c r="BO112" i="3" s="1"/>
  <c r="BP112" i="3" s="1"/>
  <c r="BQ112" i="3" s="1"/>
  <c r="BR112" i="3" s="1"/>
  <c r="BS112" i="3" s="1"/>
  <c r="BT112" i="3" s="1"/>
  <c r="BU112" i="3" s="1"/>
  <c r="BV112" i="3" s="1"/>
  <c r="BW112" i="3" s="1"/>
  <c r="BX112" i="3" s="1"/>
  <c r="BY112" i="3" s="1"/>
  <c r="BZ112" i="3" s="1"/>
  <c r="CA112" i="3" s="1"/>
  <c r="CB112" i="3" s="1"/>
  <c r="CC112" i="3" s="1"/>
  <c r="CD112" i="3" s="1"/>
  <c r="CE112" i="3" s="1"/>
  <c r="CF112" i="3" s="1"/>
  <c r="CG112" i="3" s="1"/>
  <c r="CH112" i="3" s="1"/>
  <c r="CI112" i="3" s="1"/>
  <c r="CJ112" i="3" s="1"/>
  <c r="CK112" i="3" s="1"/>
  <c r="CK141" i="3" s="1"/>
  <c r="G128" i="3"/>
  <c r="H128" i="3" s="1"/>
  <c r="I128" i="3" s="1"/>
  <c r="J128" i="3" s="1"/>
  <c r="K128" i="3" s="1"/>
  <c r="L128" i="3" s="1"/>
  <c r="M128" i="3" s="1"/>
  <c r="N128" i="3" s="1"/>
  <c r="O128" i="3" s="1"/>
  <c r="P128" i="3" s="1"/>
  <c r="Q128" i="3" s="1"/>
  <c r="R128" i="3" s="1"/>
  <c r="S128" i="3" s="1"/>
  <c r="T128" i="3" s="1"/>
  <c r="U128" i="3" s="1"/>
  <c r="V128" i="3" s="1"/>
  <c r="W128" i="3" s="1"/>
  <c r="X128" i="3" s="1"/>
  <c r="Y128" i="3" s="1"/>
  <c r="Z128" i="3" s="1"/>
  <c r="AA128" i="3" s="1"/>
  <c r="AB128" i="3" s="1"/>
  <c r="AC128" i="3" s="1"/>
  <c r="AD128" i="3" s="1"/>
  <c r="AE128" i="3" s="1"/>
  <c r="AF128" i="3" s="1"/>
  <c r="AG128" i="3" s="1"/>
  <c r="AH128" i="3" s="1"/>
  <c r="AI128" i="3" s="1"/>
  <c r="AJ128" i="3" s="1"/>
  <c r="AK128" i="3" s="1"/>
  <c r="AL128" i="3" s="1"/>
  <c r="AM128" i="3" s="1"/>
  <c r="AN128" i="3" s="1"/>
  <c r="AO128" i="3" s="1"/>
  <c r="AP128" i="3" s="1"/>
  <c r="AQ128" i="3" s="1"/>
  <c r="AR128" i="3" s="1"/>
  <c r="AS128" i="3" s="1"/>
  <c r="AT128" i="3" s="1"/>
  <c r="AU128" i="3" s="1"/>
  <c r="AV128" i="3" s="1"/>
  <c r="AW128" i="3" s="1"/>
  <c r="AX128" i="3" s="1"/>
  <c r="AY128" i="3" s="1"/>
  <c r="AZ128" i="3" s="1"/>
  <c r="BA128" i="3" s="1"/>
  <c r="BB128" i="3" s="1"/>
  <c r="BC128" i="3" s="1"/>
  <c r="BD128" i="3" s="1"/>
  <c r="BE128" i="3" s="1"/>
  <c r="BF128" i="3" s="1"/>
  <c r="BG128" i="3" s="1"/>
  <c r="BH128" i="3" s="1"/>
  <c r="BI128" i="3" s="1"/>
  <c r="BJ128" i="3" s="1"/>
  <c r="BK128" i="3" s="1"/>
  <c r="BL128" i="3" s="1"/>
  <c r="BM128" i="3" s="1"/>
  <c r="BN128" i="3" s="1"/>
  <c r="BO128" i="3" s="1"/>
  <c r="BP128" i="3" s="1"/>
  <c r="BQ128" i="3" s="1"/>
  <c r="BR128" i="3" s="1"/>
  <c r="BS128" i="3" s="1"/>
  <c r="BT128" i="3" s="1"/>
  <c r="BU128" i="3" s="1"/>
  <c r="BV128" i="3" s="1"/>
  <c r="BW128" i="3" s="1"/>
  <c r="BX128" i="3" s="1"/>
  <c r="BY128" i="3" s="1"/>
  <c r="BZ128" i="3" s="1"/>
  <c r="CA128" i="3" s="1"/>
  <c r="CB128" i="3" s="1"/>
  <c r="CC128" i="3" s="1"/>
  <c r="CD128" i="3" s="1"/>
  <c r="CE128" i="3" s="1"/>
  <c r="CF128" i="3" s="1"/>
  <c r="CG128" i="3" s="1"/>
  <c r="CH128" i="3" s="1"/>
  <c r="CI128" i="3" s="1"/>
  <c r="CJ128" i="3" s="1"/>
  <c r="CK128" i="3" s="1"/>
  <c r="CK145" i="3" s="1"/>
  <c r="F145" i="3"/>
  <c r="G92" i="3"/>
  <c r="G136" i="3" s="1"/>
  <c r="F136" i="3"/>
  <c r="G116" i="3"/>
  <c r="H116" i="3" s="1"/>
  <c r="I116" i="3" s="1"/>
  <c r="J116" i="3" s="1"/>
  <c r="K116" i="3" s="1"/>
  <c r="L116" i="3" s="1"/>
  <c r="M116" i="3" s="1"/>
  <c r="N116" i="3" s="1"/>
  <c r="O116" i="3" s="1"/>
  <c r="P116" i="3" s="1"/>
  <c r="Q116" i="3" s="1"/>
  <c r="R116" i="3" s="1"/>
  <c r="S116" i="3" s="1"/>
  <c r="T116" i="3" s="1"/>
  <c r="U116" i="3" s="1"/>
  <c r="V116" i="3" s="1"/>
  <c r="W116" i="3" s="1"/>
  <c r="X116" i="3" s="1"/>
  <c r="Y116" i="3" s="1"/>
  <c r="Z116" i="3" s="1"/>
  <c r="AA116" i="3" s="1"/>
  <c r="AB116" i="3" s="1"/>
  <c r="AC116" i="3" s="1"/>
  <c r="AD116" i="3" s="1"/>
  <c r="AE116" i="3" s="1"/>
  <c r="AF116" i="3" s="1"/>
  <c r="AG116" i="3" s="1"/>
  <c r="AH116" i="3" s="1"/>
  <c r="AI116" i="3" s="1"/>
  <c r="AJ116" i="3" s="1"/>
  <c r="AK116" i="3" s="1"/>
  <c r="AL116" i="3" s="1"/>
  <c r="AM116" i="3" s="1"/>
  <c r="AN116" i="3" s="1"/>
  <c r="AO116" i="3" s="1"/>
  <c r="AP116" i="3" s="1"/>
  <c r="AQ116" i="3" s="1"/>
  <c r="AR116" i="3" s="1"/>
  <c r="AS116" i="3" s="1"/>
  <c r="AT116" i="3" s="1"/>
  <c r="AU116" i="3" s="1"/>
  <c r="AV116" i="3" s="1"/>
  <c r="AW116" i="3" s="1"/>
  <c r="AX116" i="3" s="1"/>
  <c r="AY116" i="3" s="1"/>
  <c r="AZ116" i="3" s="1"/>
  <c r="BA116" i="3" s="1"/>
  <c r="BB116" i="3" s="1"/>
  <c r="BC116" i="3" s="1"/>
  <c r="BD116" i="3" s="1"/>
  <c r="BE116" i="3" s="1"/>
  <c r="BF116" i="3" s="1"/>
  <c r="BG116" i="3" s="1"/>
  <c r="BH116" i="3" s="1"/>
  <c r="BI116" i="3" s="1"/>
  <c r="BJ116" i="3" s="1"/>
  <c r="BK116" i="3" s="1"/>
  <c r="BL116" i="3" s="1"/>
  <c r="BM116" i="3" s="1"/>
  <c r="BN116" i="3" s="1"/>
  <c r="BO116" i="3" s="1"/>
  <c r="BP116" i="3" s="1"/>
  <c r="BQ116" i="3" s="1"/>
  <c r="BR116" i="3" s="1"/>
  <c r="BS116" i="3" s="1"/>
  <c r="BT116" i="3" s="1"/>
  <c r="BU116" i="3" s="1"/>
  <c r="BV116" i="3" s="1"/>
  <c r="BW116" i="3" s="1"/>
  <c r="BX116" i="3" s="1"/>
  <c r="BY116" i="3" s="1"/>
  <c r="BZ116" i="3" s="1"/>
  <c r="CA116" i="3" s="1"/>
  <c r="CB116" i="3" s="1"/>
  <c r="CC116" i="3" s="1"/>
  <c r="CD116" i="3" s="1"/>
  <c r="CE116" i="3" s="1"/>
  <c r="CF116" i="3" s="1"/>
  <c r="CG116" i="3" s="1"/>
  <c r="CH116" i="3" s="1"/>
  <c r="CI116" i="3" s="1"/>
  <c r="CJ116" i="3" s="1"/>
  <c r="CK116" i="3" s="1"/>
  <c r="CK142" i="3" s="1"/>
  <c r="F142" i="3"/>
  <c r="F143" i="3"/>
  <c r="G120" i="3"/>
  <c r="H120" i="3" s="1"/>
  <c r="I120" i="3" s="1"/>
  <c r="J120" i="3" s="1"/>
  <c r="F144" i="3"/>
  <c r="G124" i="3"/>
  <c r="H124" i="3" s="1"/>
  <c r="I124" i="3" s="1"/>
  <c r="J124" i="3" s="1"/>
  <c r="K124" i="3" s="1"/>
  <c r="L124" i="3" s="1"/>
  <c r="M124" i="3" s="1"/>
  <c r="N124" i="3" s="1"/>
  <c r="O124" i="3" s="1"/>
  <c r="P124" i="3" s="1"/>
  <c r="Q124" i="3" s="1"/>
  <c r="R124" i="3" s="1"/>
  <c r="S124" i="3" s="1"/>
  <c r="T124" i="3" s="1"/>
  <c r="U124" i="3" s="1"/>
  <c r="V124" i="3" s="1"/>
  <c r="W124" i="3" s="1"/>
  <c r="X124" i="3" s="1"/>
  <c r="Y124" i="3" s="1"/>
  <c r="Z124" i="3" s="1"/>
  <c r="AA124" i="3" s="1"/>
  <c r="AB124" i="3" s="1"/>
  <c r="AC124" i="3" s="1"/>
  <c r="AD124" i="3" s="1"/>
  <c r="AE124" i="3" s="1"/>
  <c r="AF124" i="3" s="1"/>
  <c r="AG124" i="3" s="1"/>
  <c r="AH124" i="3" s="1"/>
  <c r="AI124" i="3" s="1"/>
  <c r="AJ124" i="3" s="1"/>
  <c r="AK124" i="3" s="1"/>
  <c r="AL124" i="3" s="1"/>
  <c r="AM124" i="3" s="1"/>
  <c r="AN124" i="3" s="1"/>
  <c r="AO124" i="3" s="1"/>
  <c r="AP124" i="3" s="1"/>
  <c r="AQ124" i="3" s="1"/>
  <c r="AR124" i="3" s="1"/>
  <c r="AS124" i="3" s="1"/>
  <c r="AT124" i="3" s="1"/>
  <c r="AU124" i="3" s="1"/>
  <c r="AV124" i="3" s="1"/>
  <c r="AW124" i="3" s="1"/>
  <c r="AX124" i="3" s="1"/>
  <c r="AY124" i="3" s="1"/>
  <c r="AZ124" i="3" s="1"/>
  <c r="BA124" i="3" s="1"/>
  <c r="BB124" i="3" s="1"/>
  <c r="BC124" i="3" s="1"/>
  <c r="BD124" i="3" s="1"/>
  <c r="G132" i="3"/>
  <c r="H132" i="3" s="1"/>
  <c r="I132" i="3" s="1"/>
  <c r="J132" i="3" s="1"/>
  <c r="K132" i="3" s="1"/>
  <c r="L132" i="3" s="1"/>
  <c r="M132" i="3" s="1"/>
  <c r="N132" i="3" s="1"/>
  <c r="O132" i="3" s="1"/>
  <c r="P132" i="3" s="1"/>
  <c r="Q132" i="3" s="1"/>
  <c r="R132" i="3" s="1"/>
  <c r="S132" i="3" s="1"/>
  <c r="T132" i="3" s="1"/>
  <c r="U132" i="3" s="1"/>
  <c r="V132" i="3" s="1"/>
  <c r="W132" i="3" s="1"/>
  <c r="X132" i="3" s="1"/>
  <c r="Y132" i="3" s="1"/>
  <c r="Z132" i="3" s="1"/>
  <c r="AA132" i="3" s="1"/>
  <c r="AB132" i="3" s="1"/>
  <c r="AC132" i="3" s="1"/>
  <c r="AD132" i="3" s="1"/>
  <c r="AE132" i="3" s="1"/>
  <c r="AF132" i="3" s="1"/>
  <c r="AG132" i="3" s="1"/>
  <c r="AH132" i="3" s="1"/>
  <c r="AI132" i="3" s="1"/>
  <c r="AJ132" i="3" s="1"/>
  <c r="AK132" i="3" s="1"/>
  <c r="AL132" i="3" s="1"/>
  <c r="AM132" i="3" s="1"/>
  <c r="AN132" i="3" s="1"/>
  <c r="AO132" i="3" s="1"/>
  <c r="AP132" i="3" s="1"/>
  <c r="AQ132" i="3" s="1"/>
  <c r="AR132" i="3" s="1"/>
  <c r="AS132" i="3" s="1"/>
  <c r="AT132" i="3" s="1"/>
  <c r="AU132" i="3" s="1"/>
  <c r="AV132" i="3" s="1"/>
  <c r="AW132" i="3" s="1"/>
  <c r="AX132" i="3" s="1"/>
  <c r="AY132" i="3" s="1"/>
  <c r="AZ132" i="3" s="1"/>
  <c r="BA132" i="3" s="1"/>
  <c r="BB132" i="3" s="1"/>
  <c r="BC132" i="3" s="1"/>
  <c r="BD132" i="3" s="1"/>
  <c r="BE132" i="3" s="1"/>
  <c r="BF132" i="3" s="1"/>
  <c r="BG132" i="3" s="1"/>
  <c r="BH132" i="3" s="1"/>
  <c r="BI132" i="3" s="1"/>
  <c r="BJ132" i="3" s="1"/>
  <c r="BK132" i="3" s="1"/>
  <c r="BL132" i="3" s="1"/>
  <c r="BM132" i="3" s="1"/>
  <c r="BN132" i="3" s="1"/>
  <c r="BO132" i="3" s="1"/>
  <c r="BP132" i="3" s="1"/>
  <c r="BQ132" i="3" s="1"/>
  <c r="BR132" i="3" s="1"/>
  <c r="BS132" i="3" s="1"/>
  <c r="BT132" i="3" s="1"/>
  <c r="BU132" i="3" s="1"/>
  <c r="BV132" i="3" s="1"/>
  <c r="BW132" i="3" s="1"/>
  <c r="BX132" i="3" s="1"/>
  <c r="BY132" i="3" s="1"/>
  <c r="BZ132" i="3" s="1"/>
  <c r="CA132" i="3" s="1"/>
  <c r="CB132" i="3" s="1"/>
  <c r="CC132" i="3" s="1"/>
  <c r="CD132" i="3" s="1"/>
  <c r="CE132" i="3" s="1"/>
  <c r="CF132" i="3" s="1"/>
  <c r="CG132" i="3" s="1"/>
  <c r="CH132" i="3" s="1"/>
  <c r="CI132" i="3" s="1"/>
  <c r="CJ132" i="3" s="1"/>
  <c r="CK132" i="3" s="1"/>
  <c r="F146" i="3"/>
  <c r="G96" i="3"/>
  <c r="H96" i="3" s="1"/>
  <c r="I96" i="3" s="1"/>
  <c r="J96" i="3" s="1"/>
  <c r="K96" i="3" s="1"/>
  <c r="L96" i="3" s="1"/>
  <c r="M96" i="3" s="1"/>
  <c r="N96" i="3" s="1"/>
  <c r="O96" i="3" s="1"/>
  <c r="P96" i="3" s="1"/>
  <c r="Q96" i="3" s="1"/>
  <c r="R96" i="3" s="1"/>
  <c r="S96" i="3" s="1"/>
  <c r="T96" i="3" s="1"/>
  <c r="U96" i="3" s="1"/>
  <c r="V96" i="3" s="1"/>
  <c r="W96" i="3" s="1"/>
  <c r="X96" i="3" s="1"/>
  <c r="Y96" i="3" s="1"/>
  <c r="Z96" i="3" s="1"/>
  <c r="AA96" i="3" s="1"/>
  <c r="AB96" i="3" s="1"/>
  <c r="AC96" i="3" s="1"/>
  <c r="AD96" i="3" s="1"/>
  <c r="AE96" i="3" s="1"/>
  <c r="AF96" i="3" s="1"/>
  <c r="AG96" i="3" s="1"/>
  <c r="AH96" i="3" s="1"/>
  <c r="AI96" i="3" s="1"/>
  <c r="AJ96" i="3" s="1"/>
  <c r="AK96" i="3" s="1"/>
  <c r="AL96" i="3" s="1"/>
  <c r="AM96" i="3" s="1"/>
  <c r="AN96" i="3" s="1"/>
  <c r="AO96" i="3" s="1"/>
  <c r="AP96" i="3" s="1"/>
  <c r="AQ96" i="3" s="1"/>
  <c r="AR96" i="3" s="1"/>
  <c r="AS96" i="3" s="1"/>
  <c r="AT96" i="3" s="1"/>
  <c r="AU96" i="3" s="1"/>
  <c r="AV96" i="3" s="1"/>
  <c r="AW96" i="3" s="1"/>
  <c r="AX96" i="3" s="1"/>
  <c r="AY96" i="3" s="1"/>
  <c r="AZ96" i="3" s="1"/>
  <c r="BA96" i="3" s="1"/>
  <c r="BB96" i="3" s="1"/>
  <c r="BC96" i="3" s="1"/>
  <c r="BD96" i="3" s="1"/>
  <c r="BE96" i="3" s="1"/>
  <c r="BF96" i="3" s="1"/>
  <c r="BG96" i="3" s="1"/>
  <c r="BH96" i="3" s="1"/>
  <c r="BI96" i="3" s="1"/>
  <c r="BJ96" i="3" s="1"/>
  <c r="BK96" i="3" s="1"/>
  <c r="BL96" i="3" s="1"/>
  <c r="BM96" i="3" s="1"/>
  <c r="BN96" i="3" s="1"/>
  <c r="BO96" i="3" s="1"/>
  <c r="BP96" i="3" s="1"/>
  <c r="BQ96" i="3" s="1"/>
  <c r="BR96" i="3" s="1"/>
  <c r="BS96" i="3" s="1"/>
  <c r="BT96" i="3" s="1"/>
  <c r="BU96" i="3" s="1"/>
  <c r="BV96" i="3" s="1"/>
  <c r="BW96" i="3" s="1"/>
  <c r="BX96" i="3" s="1"/>
  <c r="BY96" i="3" s="1"/>
  <c r="BZ96" i="3" s="1"/>
  <c r="CA96" i="3" s="1"/>
  <c r="CB96" i="3" s="1"/>
  <c r="CC96" i="3" s="1"/>
  <c r="CD96" i="3" s="1"/>
  <c r="CE96" i="3" s="1"/>
  <c r="CF96" i="3" s="1"/>
  <c r="CG96" i="3" s="1"/>
  <c r="CH96" i="3" s="1"/>
  <c r="CI96" i="3" s="1"/>
  <c r="CJ96" i="3" s="1"/>
  <c r="CK96" i="3" s="1"/>
  <c r="CK137" i="3" s="1"/>
  <c r="F137" i="3"/>
  <c r="F141" i="3"/>
  <c r="BP290" i="3"/>
  <c r="BY290" i="3"/>
  <c r="BW290" i="3"/>
  <c r="BR290" i="3"/>
  <c r="BT290" i="3"/>
  <c r="BX290" i="3"/>
  <c r="CD290" i="3"/>
  <c r="BN290" i="3"/>
  <c r="BZ290" i="3"/>
  <c r="CC290" i="3"/>
  <c r="CE290" i="3"/>
  <c r="CG290" i="3"/>
  <c r="BQ290" i="3"/>
  <c r="CK290" i="3"/>
  <c r="CI290" i="3"/>
  <c r="CH290" i="3"/>
  <c r="BO290" i="3"/>
  <c r="BU290" i="3"/>
  <c r="CB290" i="3"/>
  <c r="CJ290" i="3"/>
  <c r="BV290" i="3"/>
  <c r="CA290" i="3"/>
  <c r="BS290" i="3"/>
  <c r="CF290" i="3"/>
  <c r="G145" i="3"/>
  <c r="F138" i="3"/>
  <c r="G100" i="3"/>
  <c r="H100" i="3" s="1"/>
  <c r="I100" i="3" s="1"/>
  <c r="J100" i="3" s="1"/>
  <c r="K100" i="3" s="1"/>
  <c r="L100" i="3" s="1"/>
  <c r="M100" i="3" s="1"/>
  <c r="N100" i="3" s="1"/>
  <c r="O100" i="3" s="1"/>
  <c r="P100" i="3" s="1"/>
  <c r="Q100" i="3" s="1"/>
  <c r="R100" i="3" s="1"/>
  <c r="S100" i="3" s="1"/>
  <c r="T100" i="3" s="1"/>
  <c r="U100" i="3" s="1"/>
  <c r="V100" i="3" s="1"/>
  <c r="W100" i="3" s="1"/>
  <c r="X100" i="3" s="1"/>
  <c r="Y100" i="3" s="1"/>
  <c r="Z100" i="3" s="1"/>
  <c r="AA100" i="3" s="1"/>
  <c r="AB100" i="3" s="1"/>
  <c r="AC100" i="3" s="1"/>
  <c r="AD100" i="3" s="1"/>
  <c r="AE100" i="3" s="1"/>
  <c r="AF100" i="3" s="1"/>
  <c r="AG100" i="3" s="1"/>
  <c r="AH100" i="3" s="1"/>
  <c r="AI100" i="3" s="1"/>
  <c r="AJ100" i="3" s="1"/>
  <c r="AK100" i="3" s="1"/>
  <c r="AL100" i="3" s="1"/>
  <c r="AM100" i="3" s="1"/>
  <c r="AN100" i="3" s="1"/>
  <c r="AO100" i="3" s="1"/>
  <c r="AP100" i="3" s="1"/>
  <c r="AQ100" i="3" s="1"/>
  <c r="AR100" i="3" s="1"/>
  <c r="AS100" i="3" s="1"/>
  <c r="AT100" i="3" s="1"/>
  <c r="AU100" i="3" s="1"/>
  <c r="AV100" i="3" s="1"/>
  <c r="AW100" i="3" s="1"/>
  <c r="AX100" i="3" s="1"/>
  <c r="AY100" i="3" s="1"/>
  <c r="AZ100" i="3" s="1"/>
  <c r="BA100" i="3" s="1"/>
  <c r="BB100" i="3" s="1"/>
  <c r="BC100" i="3" s="1"/>
  <c r="BD100" i="3" s="1"/>
  <c r="BE100" i="3" s="1"/>
  <c r="BF100" i="3" s="1"/>
  <c r="BG100" i="3" s="1"/>
  <c r="BH100" i="3" s="1"/>
  <c r="BI100" i="3" s="1"/>
  <c r="BJ100" i="3" s="1"/>
  <c r="BK100" i="3" s="1"/>
  <c r="BL100" i="3" s="1"/>
  <c r="BM100" i="3" s="1"/>
  <c r="BN100" i="3" s="1"/>
  <c r="BO100" i="3" s="1"/>
  <c r="BP100" i="3" s="1"/>
  <c r="BQ100" i="3" s="1"/>
  <c r="BR100" i="3" s="1"/>
  <c r="BS100" i="3" s="1"/>
  <c r="BT100" i="3" s="1"/>
  <c r="BU100" i="3" s="1"/>
  <c r="BV100" i="3" s="1"/>
  <c r="BW100" i="3" s="1"/>
  <c r="BX100" i="3" s="1"/>
  <c r="BY100" i="3" s="1"/>
  <c r="BZ100" i="3" s="1"/>
  <c r="CA100" i="3" s="1"/>
  <c r="CB100" i="3" s="1"/>
  <c r="CC100" i="3" s="1"/>
  <c r="CD100" i="3" s="1"/>
  <c r="CE100" i="3" s="1"/>
  <c r="CF100" i="3" s="1"/>
  <c r="CG100" i="3" s="1"/>
  <c r="CH100" i="3" s="1"/>
  <c r="CI100" i="3" s="1"/>
  <c r="CJ100" i="3" s="1"/>
  <c r="CK100" i="3" s="1"/>
  <c r="AK139" i="3"/>
  <c r="AV139" i="3"/>
  <c r="X139" i="3"/>
  <c r="P139" i="3"/>
  <c r="J139" i="3"/>
  <c r="K139" i="3"/>
  <c r="G139" i="3"/>
  <c r="Y139" i="3"/>
  <c r="L139" i="3"/>
  <c r="AB139" i="3"/>
  <c r="I139" i="3"/>
  <c r="H139" i="3"/>
  <c r="H145" i="3"/>
  <c r="R145" i="3"/>
  <c r="AE145" i="3"/>
  <c r="U145" i="3"/>
  <c r="G146" i="3"/>
  <c r="I146" i="3"/>
  <c r="D86" i="3"/>
  <c r="D260" i="3"/>
  <c r="F290" i="3"/>
  <c r="Y290" i="3"/>
  <c r="AQ290" i="3"/>
  <c r="I290" i="3"/>
  <c r="AW290" i="3"/>
  <c r="AZ290" i="3"/>
  <c r="BE290" i="3"/>
  <c r="BM290" i="3"/>
  <c r="AN290" i="3"/>
  <c r="AK290" i="3"/>
  <c r="G290" i="3"/>
  <c r="AY290" i="3"/>
  <c r="AX290" i="3"/>
  <c r="BG290" i="3"/>
  <c r="O290" i="3"/>
  <c r="BA290" i="3"/>
  <c r="AF290" i="3"/>
  <c r="K290" i="3"/>
  <c r="BH290" i="3"/>
  <c r="BD290" i="3"/>
  <c r="Z290" i="3"/>
  <c r="AS290" i="3"/>
  <c r="P290" i="3"/>
  <c r="BL290" i="3"/>
  <c r="AI290" i="3"/>
  <c r="H185" i="3"/>
  <c r="AG290" i="3"/>
  <c r="AU290" i="3"/>
  <c r="X290" i="3"/>
  <c r="M290" i="3"/>
  <c r="BI290" i="3"/>
  <c r="AJ290" i="3"/>
  <c r="AD290" i="3"/>
  <c r="H55" i="3"/>
  <c r="H302" i="3"/>
  <c r="AE290" i="3"/>
  <c r="AO290" i="3"/>
  <c r="H123" i="4"/>
  <c r="T290" i="3"/>
  <c r="AL290" i="3"/>
  <c r="J290" i="3"/>
  <c r="BF290" i="3"/>
  <c r="H290" i="3"/>
  <c r="AP290" i="3"/>
  <c r="N290" i="3"/>
  <c r="AC290" i="3"/>
  <c r="AB290" i="3"/>
  <c r="AT290" i="3"/>
  <c r="AR290" i="3"/>
  <c r="R290" i="3"/>
  <c r="BJ290" i="3"/>
  <c r="BB290" i="3"/>
  <c r="AV290" i="3"/>
  <c r="BK290" i="3"/>
  <c r="W290" i="3"/>
  <c r="H266" i="3"/>
  <c r="Q290" i="3"/>
  <c r="AH290" i="3"/>
  <c r="AM290" i="3"/>
  <c r="V290" i="3"/>
  <c r="BC290" i="3"/>
  <c r="U290" i="3"/>
  <c r="AA290" i="3"/>
  <c r="S290" i="3"/>
  <c r="L290" i="3"/>
  <c r="H226" i="3"/>
  <c r="U139" i="3" l="1"/>
  <c r="AE139" i="3"/>
  <c r="X145" i="3"/>
  <c r="AJ139" i="3"/>
  <c r="BX139" i="3"/>
  <c r="P145" i="3"/>
  <c r="BE139" i="3"/>
  <c r="AC139" i="3"/>
  <c r="AB145" i="3"/>
  <c r="AO139" i="3"/>
  <c r="CD139" i="3"/>
  <c r="AH145" i="3"/>
  <c r="AS139" i="3"/>
  <c r="BB139" i="3"/>
  <c r="CB139" i="3"/>
  <c r="BA139" i="3"/>
  <c r="CI139" i="3"/>
  <c r="AU139" i="3"/>
  <c r="BS139" i="3"/>
  <c r="BN139" i="3"/>
  <c r="BH139" i="3"/>
  <c r="AL139" i="3"/>
  <c r="BP139" i="3"/>
  <c r="BC139" i="3"/>
  <c r="BF139" i="3"/>
  <c r="AR139" i="3"/>
  <c r="AG139" i="3"/>
  <c r="AT139" i="3"/>
  <c r="U141" i="3"/>
  <c r="BR139" i="3"/>
  <c r="T139" i="3"/>
  <c r="Z139" i="3"/>
  <c r="AY139" i="3"/>
  <c r="M139" i="3"/>
  <c r="AM139" i="3"/>
  <c r="BD139" i="3"/>
  <c r="AQ139" i="3"/>
  <c r="AF139" i="3"/>
  <c r="N139" i="3"/>
  <c r="AZ139" i="3"/>
  <c r="O139" i="3"/>
  <c r="BU139" i="3"/>
  <c r="BO139" i="3"/>
  <c r="AA139" i="3"/>
  <c r="AH139" i="3"/>
  <c r="V139" i="3"/>
  <c r="Q139" i="3"/>
  <c r="S139" i="3"/>
  <c r="AP139" i="3"/>
  <c r="W139" i="3"/>
  <c r="AD139" i="3"/>
  <c r="R139" i="3"/>
  <c r="W141" i="3"/>
  <c r="BL145" i="3"/>
  <c r="BN145" i="3"/>
  <c r="BF145" i="3"/>
  <c r="N142" i="3"/>
  <c r="H141" i="3"/>
  <c r="P141" i="3"/>
  <c r="V141" i="3"/>
  <c r="CE139" i="3"/>
  <c r="AK141" i="3"/>
  <c r="AE141" i="3"/>
  <c r="BJ139" i="3"/>
  <c r="BY139" i="3"/>
  <c r="BG139" i="3"/>
  <c r="AW145" i="3"/>
  <c r="BD145" i="3"/>
  <c r="AU145" i="3"/>
  <c r="BO145" i="3"/>
  <c r="J145" i="3"/>
  <c r="AO145" i="3"/>
  <c r="AI145" i="3"/>
  <c r="Q142" i="3"/>
  <c r="J141" i="3"/>
  <c r="AB141" i="3"/>
  <c r="H146" i="3"/>
  <c r="H92" i="3"/>
  <c r="I92" i="3" s="1"/>
  <c r="J92" i="3" s="1"/>
  <c r="K92" i="3" s="1"/>
  <c r="L92" i="3" s="1"/>
  <c r="M92" i="3" s="1"/>
  <c r="N92" i="3" s="1"/>
  <c r="O92" i="3" s="1"/>
  <c r="P92" i="3" s="1"/>
  <c r="Q92" i="3" s="1"/>
  <c r="R92" i="3" s="1"/>
  <c r="S92" i="3" s="1"/>
  <c r="T92" i="3" s="1"/>
  <c r="U92" i="3" s="1"/>
  <c r="V92" i="3" s="1"/>
  <c r="W92" i="3" s="1"/>
  <c r="X92" i="3" s="1"/>
  <c r="Y92" i="3" s="1"/>
  <c r="Z92" i="3" s="1"/>
  <c r="AA92" i="3" s="1"/>
  <c r="AB92" i="3" s="1"/>
  <c r="AC92" i="3" s="1"/>
  <c r="AD92" i="3" s="1"/>
  <c r="AE92" i="3" s="1"/>
  <c r="AF92" i="3" s="1"/>
  <c r="AG92" i="3" s="1"/>
  <c r="AH92" i="3" s="1"/>
  <c r="AI92" i="3" s="1"/>
  <c r="AJ92" i="3" s="1"/>
  <c r="AK92" i="3" s="1"/>
  <c r="AL92" i="3" s="1"/>
  <c r="AM92" i="3" s="1"/>
  <c r="AN92" i="3" s="1"/>
  <c r="AO92" i="3" s="1"/>
  <c r="AP92" i="3" s="1"/>
  <c r="AQ92" i="3" s="1"/>
  <c r="AR92" i="3" s="1"/>
  <c r="AS92" i="3" s="1"/>
  <c r="AT92" i="3" s="1"/>
  <c r="AU92" i="3" s="1"/>
  <c r="AV92" i="3" s="1"/>
  <c r="AW92" i="3" s="1"/>
  <c r="AX92" i="3" s="1"/>
  <c r="AY92" i="3" s="1"/>
  <c r="AZ92" i="3" s="1"/>
  <c r="BA92" i="3" s="1"/>
  <c r="BB92" i="3" s="1"/>
  <c r="BC92" i="3" s="1"/>
  <c r="BD92" i="3" s="1"/>
  <c r="BE92" i="3" s="1"/>
  <c r="BF92" i="3" s="1"/>
  <c r="BG92" i="3" s="1"/>
  <c r="BH92" i="3" s="1"/>
  <c r="BI92" i="3" s="1"/>
  <c r="BJ92" i="3" s="1"/>
  <c r="BK92" i="3" s="1"/>
  <c r="BL92" i="3" s="1"/>
  <c r="BM92" i="3" s="1"/>
  <c r="BN92" i="3" s="1"/>
  <c r="BO92" i="3" s="1"/>
  <c r="BP92" i="3" s="1"/>
  <c r="BQ92" i="3" s="1"/>
  <c r="BR92" i="3" s="1"/>
  <c r="BS92" i="3" s="1"/>
  <c r="BT92" i="3" s="1"/>
  <c r="BU92" i="3" s="1"/>
  <c r="BV92" i="3" s="1"/>
  <c r="BW92" i="3" s="1"/>
  <c r="BX92" i="3" s="1"/>
  <c r="BY92" i="3" s="1"/>
  <c r="BZ92" i="3" s="1"/>
  <c r="CA92" i="3" s="1"/>
  <c r="CB92" i="3" s="1"/>
  <c r="CC92" i="3" s="1"/>
  <c r="CD92" i="3" s="1"/>
  <c r="CE92" i="3" s="1"/>
  <c r="CF92" i="3" s="1"/>
  <c r="CG92" i="3" s="1"/>
  <c r="CH92" i="3" s="1"/>
  <c r="CI92" i="3" s="1"/>
  <c r="CJ92" i="3" s="1"/>
  <c r="CK92" i="3" s="1"/>
  <c r="AN141" i="3"/>
  <c r="AL141" i="3"/>
  <c r="Y142" i="3"/>
  <c r="BG141" i="3"/>
  <c r="BD141" i="3"/>
  <c r="AE142" i="3"/>
  <c r="K141" i="3"/>
  <c r="X141" i="3"/>
  <c r="AA141" i="3"/>
  <c r="BQ141" i="3"/>
  <c r="CC139" i="3"/>
  <c r="CJ139" i="3"/>
  <c r="BV141" i="3"/>
  <c r="AT141" i="3"/>
  <c r="BR141" i="3"/>
  <c r="K137" i="3"/>
  <c r="AZ141" i="3"/>
  <c r="BA141" i="3"/>
  <c r="CB145" i="3"/>
  <c r="BM145" i="3"/>
  <c r="AX145" i="3"/>
  <c r="BT145" i="3"/>
  <c r="BV145" i="3"/>
  <c r="AY145" i="3"/>
  <c r="BA145" i="3"/>
  <c r="AQ144" i="3"/>
  <c r="L142" i="3"/>
  <c r="BH145" i="3"/>
  <c r="BG145" i="3"/>
  <c r="CA145" i="3"/>
  <c r="AV145" i="3"/>
  <c r="AB144" i="3"/>
  <c r="S142" i="3"/>
  <c r="AM141" i="3"/>
  <c r="AS141" i="3"/>
  <c r="AG141" i="3"/>
  <c r="AO141" i="3"/>
  <c r="BA142" i="3"/>
  <c r="AZ142" i="3"/>
  <c r="CC142" i="3"/>
  <c r="AP144" i="3"/>
  <c r="BZ142" i="3"/>
  <c r="AJ142" i="3"/>
  <c r="M144" i="3"/>
  <c r="G144" i="3"/>
  <c r="N144" i="3"/>
  <c r="AV144" i="3"/>
  <c r="BN142" i="3"/>
  <c r="T144" i="3"/>
  <c r="W144" i="3"/>
  <c r="AN142" i="3"/>
  <c r="AP141" i="3"/>
  <c r="CI141" i="3"/>
  <c r="BP141" i="3"/>
  <c r="AU141" i="3"/>
  <c r="AV141" i="3"/>
  <c r="CE141" i="3"/>
  <c r="CD141" i="3"/>
  <c r="CG145" i="3"/>
  <c r="CD145" i="3"/>
  <c r="AT142" i="3"/>
  <c r="J142" i="3"/>
  <c r="CA142" i="3"/>
  <c r="X142" i="3"/>
  <c r="AC142" i="3"/>
  <c r="BL142" i="3"/>
  <c r="AP145" i="3"/>
  <c r="AR145" i="3"/>
  <c r="BJ145" i="3"/>
  <c r="BI145" i="3"/>
  <c r="BK145" i="3"/>
  <c r="CC145" i="3"/>
  <c r="O145" i="3"/>
  <c r="L145" i="3"/>
  <c r="AT145" i="3"/>
  <c r="AK145" i="3"/>
  <c r="H144" i="3"/>
  <c r="AY144" i="3"/>
  <c r="O144" i="3"/>
  <c r="BO142" i="3"/>
  <c r="BM142" i="3"/>
  <c r="Z142" i="3"/>
  <c r="BB142" i="3"/>
  <c r="U142" i="3"/>
  <c r="K142" i="3"/>
  <c r="R141" i="3"/>
  <c r="BE141" i="3"/>
  <c r="AH141" i="3"/>
  <c r="AJ141" i="3"/>
  <c r="O141" i="3"/>
  <c r="AQ141" i="3"/>
  <c r="M141" i="3"/>
  <c r="T141" i="3"/>
  <c r="N141" i="3"/>
  <c r="AR141" i="3"/>
  <c r="L141" i="3"/>
  <c r="CG139" i="3"/>
  <c r="CA139" i="3"/>
  <c r="BQ139" i="3"/>
  <c r="BV139" i="3"/>
  <c r="BM139" i="3"/>
  <c r="BU141" i="3"/>
  <c r="CB141" i="3"/>
  <c r="AH144" i="3"/>
  <c r="AW144" i="3"/>
  <c r="BU142" i="3"/>
  <c r="AW141" i="3"/>
  <c r="Q141" i="3"/>
  <c r="BW141" i="3"/>
  <c r="Y141" i="3"/>
  <c r="I141" i="3"/>
  <c r="BO141" i="3"/>
  <c r="AX141" i="3"/>
  <c r="AI141" i="3"/>
  <c r="S141" i="3"/>
  <c r="AD141" i="3"/>
  <c r="AC141" i="3"/>
  <c r="BK141" i="3"/>
  <c r="Z141" i="3"/>
  <c r="BI141" i="3"/>
  <c r="AF141" i="3"/>
  <c r="BK139" i="3"/>
  <c r="BL139" i="3"/>
  <c r="AW139" i="3"/>
  <c r="AN139" i="3"/>
  <c r="CF139" i="3"/>
  <c r="AX139" i="3"/>
  <c r="BI139" i="3"/>
  <c r="BT139" i="3"/>
  <c r="CH139" i="3"/>
  <c r="AI139" i="3"/>
  <c r="BW139" i="3"/>
  <c r="BZ139" i="3"/>
  <c r="CJ142" i="3"/>
  <c r="CI142" i="3"/>
  <c r="AP137" i="3"/>
  <c r="T137" i="3"/>
  <c r="BP137" i="3"/>
  <c r="H143" i="3"/>
  <c r="BJ142" i="3"/>
  <c r="BH142" i="3"/>
  <c r="AU142" i="3"/>
  <c r="AS142" i="3"/>
  <c r="CB142" i="3"/>
  <c r="AC137" i="3"/>
  <c r="AJ137" i="3"/>
  <c r="AY137" i="3"/>
  <c r="P137" i="3"/>
  <c r="CG137" i="3"/>
  <c r="V137" i="3"/>
  <c r="AB137" i="3"/>
  <c r="AM142" i="3"/>
  <c r="AK142" i="3"/>
  <c r="BT142" i="3"/>
  <c r="CH142" i="3"/>
  <c r="AL142" i="3"/>
  <c r="BE142" i="3"/>
  <c r="BS142" i="3"/>
  <c r="AN137" i="3"/>
  <c r="AQ137" i="3"/>
  <c r="CJ137" i="3"/>
  <c r="BR137" i="3"/>
  <c r="K120" i="3"/>
  <c r="J143" i="3"/>
  <c r="BX141" i="3"/>
  <c r="CA141" i="3"/>
  <c r="BY141" i="3"/>
  <c r="BL141" i="3"/>
  <c r="BJ141" i="3"/>
  <c r="BH141" i="3"/>
  <c r="BC141" i="3"/>
  <c r="AY141" i="3"/>
  <c r="AZ137" i="3"/>
  <c r="W137" i="3"/>
  <c r="N137" i="3"/>
  <c r="AH137" i="3"/>
  <c r="AE137" i="3"/>
  <c r="CF137" i="3"/>
  <c r="AU137" i="3"/>
  <c r="G143" i="3"/>
  <c r="CH141" i="3"/>
  <c r="BM141" i="3"/>
  <c r="CG141" i="3"/>
  <c r="BZ141" i="3"/>
  <c r="BS141" i="3"/>
  <c r="BB141" i="3"/>
  <c r="CC141" i="3"/>
  <c r="CJ141" i="3"/>
  <c r="BF141" i="3"/>
  <c r="BT141" i="3"/>
  <c r="CF141" i="3"/>
  <c r="BN141" i="3"/>
  <c r="I137" i="3"/>
  <c r="CD137" i="3"/>
  <c r="BV137" i="3"/>
  <c r="CE137" i="3"/>
  <c r="BE137" i="3"/>
  <c r="L137" i="3"/>
  <c r="G137" i="3"/>
  <c r="BE124" i="3"/>
  <c r="BD144" i="3"/>
  <c r="AA144" i="3"/>
  <c r="AI144" i="3"/>
  <c r="X144" i="3"/>
  <c r="BC144" i="3"/>
  <c r="AT144" i="3"/>
  <c r="BB144" i="3"/>
  <c r="Z144" i="3"/>
  <c r="AG144" i="3"/>
  <c r="AO144" i="3"/>
  <c r="AF144" i="3"/>
  <c r="AN144" i="3"/>
  <c r="L144" i="3"/>
  <c r="BM137" i="3"/>
  <c r="BQ137" i="3"/>
  <c r="BA137" i="3"/>
  <c r="BX137" i="3"/>
  <c r="AT137" i="3"/>
  <c r="BW137" i="3"/>
  <c r="BB137" i="3"/>
  <c r="BD137" i="3"/>
  <c r="AO137" i="3"/>
  <c r="BT137" i="3"/>
  <c r="AS137" i="3"/>
  <c r="BS137" i="3"/>
  <c r="AM145" i="3"/>
  <c r="W145" i="3"/>
  <c r="Z145" i="3"/>
  <c r="AG145" i="3"/>
  <c r="AJ145" i="3"/>
  <c r="BS145" i="3"/>
  <c r="BU145" i="3"/>
  <c r="AL145" i="3"/>
  <c r="AS145" i="3"/>
  <c r="CJ145" i="3"/>
  <c r="BC145" i="3"/>
  <c r="AC145" i="3"/>
  <c r="BP145" i="3"/>
  <c r="BW145" i="3"/>
  <c r="BZ145" i="3"/>
  <c r="I145" i="3"/>
  <c r="Q145" i="3"/>
  <c r="AA145" i="3"/>
  <c r="AD145" i="3"/>
  <c r="N145" i="3"/>
  <c r="AR144" i="3"/>
  <c r="Q144" i="3"/>
  <c r="AZ144" i="3"/>
  <c r="AK144" i="3"/>
  <c r="I144" i="3"/>
  <c r="AM144" i="3"/>
  <c r="P144" i="3"/>
  <c r="AU144" i="3"/>
  <c r="S144" i="3"/>
  <c r="R144" i="3"/>
  <c r="AL144" i="3"/>
  <c r="J144" i="3"/>
  <c r="AS144" i="3"/>
  <c r="BA144" i="3"/>
  <c r="Y144" i="3"/>
  <c r="I142" i="3"/>
  <c r="P142" i="3"/>
  <c r="W142" i="3"/>
  <c r="AD142" i="3"/>
  <c r="R142" i="3"/>
  <c r="AY142" i="3"/>
  <c r="BF142" i="3"/>
  <c r="AW142" i="3"/>
  <c r="BD142" i="3"/>
  <c r="AR142" i="3"/>
  <c r="BY142" i="3"/>
  <c r="CF142" i="3"/>
  <c r="H142" i="3"/>
  <c r="O142" i="3"/>
  <c r="V142" i="3"/>
  <c r="BC142" i="3"/>
  <c r="AQ142" i="3"/>
  <c r="AX142" i="3"/>
  <c r="AO142" i="3"/>
  <c r="AV142" i="3"/>
  <c r="BV142" i="3"/>
  <c r="O137" i="3"/>
  <c r="AL137" i="3"/>
  <c r="BO137" i="3"/>
  <c r="H137" i="3"/>
  <c r="AK137" i="3"/>
  <c r="X137" i="3"/>
  <c r="AG137" i="3"/>
  <c r="BL137" i="3"/>
  <c r="AR137" i="3"/>
  <c r="BF137" i="3"/>
  <c r="BH137" i="3"/>
  <c r="Z137" i="3"/>
  <c r="BC137" i="3"/>
  <c r="BZ137" i="3"/>
  <c r="AI137" i="3"/>
  <c r="BK137" i="3"/>
  <c r="CH137" i="3"/>
  <c r="CC137" i="3"/>
  <c r="Y137" i="3"/>
  <c r="M137" i="3"/>
  <c r="H108" i="3"/>
  <c r="I108" i="3" s="1"/>
  <c r="J108" i="3" s="1"/>
  <c r="K108" i="3" s="1"/>
  <c r="L108" i="3" s="1"/>
  <c r="M108" i="3" s="1"/>
  <c r="N108" i="3" s="1"/>
  <c r="O108" i="3" s="1"/>
  <c r="P108" i="3" s="1"/>
  <c r="Q108" i="3" s="1"/>
  <c r="R108" i="3" s="1"/>
  <c r="S108" i="3" s="1"/>
  <c r="T108" i="3" s="1"/>
  <c r="U108" i="3" s="1"/>
  <c r="V108" i="3" s="1"/>
  <c r="W108" i="3" s="1"/>
  <c r="X108" i="3" s="1"/>
  <c r="Y108" i="3" s="1"/>
  <c r="Z108" i="3" s="1"/>
  <c r="AA108" i="3" s="1"/>
  <c r="AB108" i="3" s="1"/>
  <c r="AC108" i="3" s="1"/>
  <c r="AD108" i="3" s="1"/>
  <c r="AE108" i="3" s="1"/>
  <c r="AF108" i="3" s="1"/>
  <c r="AG108" i="3" s="1"/>
  <c r="AH108" i="3" s="1"/>
  <c r="AI108" i="3" s="1"/>
  <c r="AJ108" i="3" s="1"/>
  <c r="AK108" i="3" s="1"/>
  <c r="AL108" i="3" s="1"/>
  <c r="AM108" i="3" s="1"/>
  <c r="AN108" i="3" s="1"/>
  <c r="AO108" i="3" s="1"/>
  <c r="AP108" i="3" s="1"/>
  <c r="AQ108" i="3" s="1"/>
  <c r="AR108" i="3" s="1"/>
  <c r="AS108" i="3" s="1"/>
  <c r="AT108" i="3" s="1"/>
  <c r="AU108" i="3" s="1"/>
  <c r="AV108" i="3" s="1"/>
  <c r="AW108" i="3" s="1"/>
  <c r="AX108" i="3" s="1"/>
  <c r="AY108" i="3" s="1"/>
  <c r="AZ108" i="3" s="1"/>
  <c r="BA108" i="3" s="1"/>
  <c r="BB108" i="3" s="1"/>
  <c r="BC108" i="3" s="1"/>
  <c r="BD108" i="3" s="1"/>
  <c r="BE108" i="3" s="1"/>
  <c r="BF108" i="3" s="1"/>
  <c r="BG108" i="3" s="1"/>
  <c r="BH108" i="3" s="1"/>
  <c r="BI108" i="3" s="1"/>
  <c r="BJ108" i="3" s="1"/>
  <c r="BK108" i="3" s="1"/>
  <c r="BL108" i="3" s="1"/>
  <c r="BM108" i="3" s="1"/>
  <c r="BN108" i="3" s="1"/>
  <c r="BO108" i="3" s="1"/>
  <c r="BP108" i="3" s="1"/>
  <c r="BQ108" i="3" s="1"/>
  <c r="BR108" i="3" s="1"/>
  <c r="BS108" i="3" s="1"/>
  <c r="BT108" i="3" s="1"/>
  <c r="BU108" i="3" s="1"/>
  <c r="BV108" i="3" s="1"/>
  <c r="BW108" i="3" s="1"/>
  <c r="BX108" i="3" s="1"/>
  <c r="BY108" i="3" s="1"/>
  <c r="BZ108" i="3" s="1"/>
  <c r="CA108" i="3" s="1"/>
  <c r="CB108" i="3" s="1"/>
  <c r="CC108" i="3" s="1"/>
  <c r="CD108" i="3" s="1"/>
  <c r="CE108" i="3" s="1"/>
  <c r="CF108" i="3" s="1"/>
  <c r="CG108" i="3" s="1"/>
  <c r="CH108" i="3" s="1"/>
  <c r="CI108" i="3" s="1"/>
  <c r="CJ108" i="3" s="1"/>
  <c r="CK108" i="3" s="1"/>
  <c r="BQ145" i="3"/>
  <c r="CE145" i="3"/>
  <c r="CH145" i="3"/>
  <c r="T145" i="3"/>
  <c r="Y145" i="3"/>
  <c r="AN145" i="3"/>
  <c r="BX145" i="3"/>
  <c r="S145" i="3"/>
  <c r="V145" i="3"/>
  <c r="BB145" i="3"/>
  <c r="AF145" i="3"/>
  <c r="M145" i="3"/>
  <c r="BE145" i="3"/>
  <c r="AZ145" i="3"/>
  <c r="AQ145" i="3"/>
  <c r="BR145" i="3"/>
  <c r="CF145" i="3"/>
  <c r="CI145" i="3"/>
  <c r="K145" i="3"/>
  <c r="BY145" i="3"/>
  <c r="AX144" i="3"/>
  <c r="U144" i="3"/>
  <c r="AC144" i="3"/>
  <c r="AJ144" i="3"/>
  <c r="V144" i="3"/>
  <c r="K144" i="3"/>
  <c r="AE144" i="3"/>
  <c r="AD144" i="3"/>
  <c r="BQ142" i="3"/>
  <c r="BX142" i="3"/>
  <c r="CE142" i="3"/>
  <c r="G142" i="3"/>
  <c r="BG142" i="3"/>
  <c r="AB142" i="3"/>
  <c r="AI142" i="3"/>
  <c r="AP142" i="3"/>
  <c r="AG142" i="3"/>
  <c r="CG142" i="3"/>
  <c r="BR142" i="3"/>
  <c r="BI142" i="3"/>
  <c r="BP142" i="3"/>
  <c r="BW142" i="3"/>
  <c r="BK142" i="3"/>
  <c r="M142" i="3"/>
  <c r="T142" i="3"/>
  <c r="AA142" i="3"/>
  <c r="AH142" i="3"/>
  <c r="CD142" i="3"/>
  <c r="AF142" i="3"/>
  <c r="J137" i="3"/>
  <c r="AM137" i="3"/>
  <c r="BJ137" i="3"/>
  <c r="R137" i="3"/>
  <c r="BU137" i="3"/>
  <c r="Q137" i="3"/>
  <c r="AX137" i="3"/>
  <c r="CA137" i="3"/>
  <c r="S137" i="3"/>
  <c r="AF137" i="3"/>
  <c r="BI137" i="3"/>
  <c r="AV137" i="3"/>
  <c r="BY137" i="3"/>
  <c r="U137" i="3"/>
  <c r="AD137" i="3"/>
  <c r="BG137" i="3"/>
  <c r="CI137" i="3"/>
  <c r="AA137" i="3"/>
  <c r="BN137" i="3"/>
  <c r="AW137" i="3"/>
  <c r="CB137" i="3"/>
  <c r="I143" i="3"/>
  <c r="G138" i="3"/>
  <c r="J146" i="3"/>
  <c r="F147" i="3"/>
  <c r="I123" i="4"/>
  <c r="I226" i="3"/>
  <c r="I266" i="3"/>
  <c r="I55" i="3"/>
  <c r="I185" i="3"/>
  <c r="I302" i="3"/>
  <c r="H136" i="3" l="1"/>
  <c r="I136" i="3"/>
  <c r="D139" i="3"/>
  <c r="D141" i="3"/>
  <c r="H140" i="3"/>
  <c r="L120" i="3"/>
  <c r="K143" i="3"/>
  <c r="D145" i="3"/>
  <c r="D142" i="3"/>
  <c r="D137" i="3"/>
  <c r="BF124" i="3"/>
  <c r="BE144" i="3"/>
  <c r="H138" i="3"/>
  <c r="I140" i="3"/>
  <c r="K146" i="3"/>
  <c r="G147" i="3"/>
  <c r="J136" i="3"/>
  <c r="J55" i="3"/>
  <c r="J226" i="3"/>
  <c r="J185" i="3"/>
  <c r="J302" i="3"/>
  <c r="J266" i="3"/>
  <c r="J123" i="4"/>
  <c r="M120" i="3" l="1"/>
  <c r="L143" i="3"/>
  <c r="BG124" i="3"/>
  <c r="BF144" i="3"/>
  <c r="I138" i="3"/>
  <c r="J140" i="3"/>
  <c r="L146" i="3"/>
  <c r="G375" i="3" a="1"/>
  <c r="H147" i="3"/>
  <c r="K123" i="4"/>
  <c r="K55" i="3"/>
  <c r="K266" i="3"/>
  <c r="K226" i="3"/>
  <c r="K302" i="3"/>
  <c r="K185" i="3"/>
  <c r="M143" i="3" l="1"/>
  <c r="N120" i="3"/>
  <c r="BH124" i="3"/>
  <c r="BG144" i="3"/>
  <c r="L136" i="3"/>
  <c r="K136" i="3"/>
  <c r="J138" i="3"/>
  <c r="K140" i="3"/>
  <c r="M146" i="3"/>
  <c r="H375" i="3" a="1"/>
  <c r="I147" i="3"/>
  <c r="L185" i="3"/>
  <c r="L266" i="3"/>
  <c r="M136" i="3"/>
  <c r="L55" i="3"/>
  <c r="L302" i="3"/>
  <c r="L226" i="3"/>
  <c r="L123" i="4"/>
  <c r="O120" i="3" l="1"/>
  <c r="N143" i="3"/>
  <c r="BI124" i="3"/>
  <c r="BH144" i="3"/>
  <c r="K138" i="3"/>
  <c r="L140" i="3"/>
  <c r="N146" i="3"/>
  <c r="I375" i="3" a="1"/>
  <c r="J147" i="3"/>
  <c r="M302" i="3"/>
  <c r="M55" i="3"/>
  <c r="M266" i="3"/>
  <c r="M123" i="4"/>
  <c r="M226" i="3"/>
  <c r="N136" i="3"/>
  <c r="M185" i="3"/>
  <c r="P120" i="3" l="1"/>
  <c r="O143" i="3"/>
  <c r="BJ124" i="3"/>
  <c r="BI144" i="3"/>
  <c r="K147" i="3"/>
  <c r="L138" i="3"/>
  <c r="M140" i="3"/>
  <c r="O146" i="3"/>
  <c r="J375" i="3" a="1"/>
  <c r="N185" i="3"/>
  <c r="N123" i="4"/>
  <c r="N55" i="3"/>
  <c r="N226" i="3"/>
  <c r="O136" i="3"/>
  <c r="N266" i="3"/>
  <c r="N302" i="3"/>
  <c r="Q120" i="3" l="1"/>
  <c r="P143" i="3"/>
  <c r="BK124" i="3"/>
  <c r="BJ144" i="3"/>
  <c r="L147" i="3"/>
  <c r="M138" i="3"/>
  <c r="N140" i="3"/>
  <c r="P146" i="3"/>
  <c r="K375" i="3" a="1"/>
  <c r="O55" i="3"/>
  <c r="O123" i="4"/>
  <c r="O266" i="3"/>
  <c r="P136" i="3"/>
  <c r="O185" i="3"/>
  <c r="O302" i="3"/>
  <c r="O226" i="3"/>
  <c r="R120" i="3" l="1"/>
  <c r="Q143" i="3"/>
  <c r="BL124" i="3"/>
  <c r="BK144" i="3"/>
  <c r="M147" i="3"/>
  <c r="N138" i="3"/>
  <c r="O140" i="3"/>
  <c r="Q146" i="3"/>
  <c r="L375" i="3" a="1"/>
  <c r="P123" i="4"/>
  <c r="P266" i="3"/>
  <c r="Q136" i="3"/>
  <c r="P226" i="3"/>
  <c r="P302" i="3"/>
  <c r="P185" i="3"/>
  <c r="P55" i="3"/>
  <c r="S120" i="3" l="1"/>
  <c r="R143" i="3"/>
  <c r="BM124" i="3"/>
  <c r="BL144" i="3"/>
  <c r="N147" i="3"/>
  <c r="O138" i="3"/>
  <c r="P140" i="3"/>
  <c r="R146" i="3"/>
  <c r="M375" i="3" a="1"/>
  <c r="Q302" i="3"/>
  <c r="Q266" i="3"/>
  <c r="Q123" i="4"/>
  <c r="R136" i="3"/>
  <c r="Q55" i="3"/>
  <c r="Q226" i="3"/>
  <c r="Q185" i="3"/>
  <c r="T120" i="3" l="1"/>
  <c r="S143" i="3"/>
  <c r="BN124" i="3"/>
  <c r="BM144" i="3"/>
  <c r="O147" i="3"/>
  <c r="P138" i="3"/>
  <c r="Q140" i="3"/>
  <c r="S146" i="3"/>
  <c r="N375" i="3" a="1"/>
  <c r="R226" i="3"/>
  <c r="R185" i="3"/>
  <c r="R266" i="3"/>
  <c r="S136" i="3"/>
  <c r="R302" i="3"/>
  <c r="R55" i="3"/>
  <c r="R123" i="4"/>
  <c r="U120" i="3" l="1"/>
  <c r="T143" i="3"/>
  <c r="BO124" i="3"/>
  <c r="BN144" i="3"/>
  <c r="P147" i="3"/>
  <c r="Q138" i="3"/>
  <c r="R140" i="3"/>
  <c r="T146" i="3"/>
  <c r="O375" i="3" a="1"/>
  <c r="S226" i="3"/>
  <c r="S123" i="4"/>
  <c r="S185" i="3"/>
  <c r="S55" i="3"/>
  <c r="S266" i="3"/>
  <c r="S302" i="3"/>
  <c r="T136" i="3"/>
  <c r="V120" i="3" l="1"/>
  <c r="U143" i="3"/>
  <c r="BP124" i="3"/>
  <c r="BO144" i="3"/>
  <c r="Q147" i="3"/>
  <c r="R138" i="3"/>
  <c r="S140" i="3"/>
  <c r="U146" i="3"/>
  <c r="P375" i="3" a="1"/>
  <c r="T123" i="4"/>
  <c r="T302" i="3"/>
  <c r="T185" i="3"/>
  <c r="U136" i="3"/>
  <c r="T55" i="3"/>
  <c r="T226" i="3"/>
  <c r="T266" i="3"/>
  <c r="W120" i="3" l="1"/>
  <c r="V143" i="3"/>
  <c r="BQ124" i="3"/>
  <c r="BP144" i="3"/>
  <c r="R147" i="3"/>
  <c r="S138" i="3"/>
  <c r="T140" i="3"/>
  <c r="V146" i="3"/>
  <c r="Q375" i="3" a="1"/>
  <c r="V136" i="3"/>
  <c r="U185" i="3"/>
  <c r="U266" i="3"/>
  <c r="U55" i="3"/>
  <c r="U226" i="3"/>
  <c r="U302" i="3"/>
  <c r="U123" i="4"/>
  <c r="X120" i="3" l="1"/>
  <c r="W143" i="3"/>
  <c r="BR124" i="3"/>
  <c r="BQ144" i="3"/>
  <c r="S147" i="3"/>
  <c r="T138" i="3"/>
  <c r="U140" i="3"/>
  <c r="W146" i="3"/>
  <c r="V266" i="3"/>
  <c r="V123" i="4"/>
  <c r="V226" i="3"/>
  <c r="V55" i="3"/>
  <c r="W136" i="3"/>
  <c r="V302" i="3"/>
  <c r="V185" i="3"/>
  <c r="Y120" i="3" l="1"/>
  <c r="X143" i="3"/>
  <c r="BS124" i="3"/>
  <c r="BR144" i="3"/>
  <c r="T147" i="3"/>
  <c r="U138" i="3"/>
  <c r="V140" i="3"/>
  <c r="X146" i="3"/>
  <c r="W302" i="3"/>
  <c r="W266" i="3"/>
  <c r="W185" i="3"/>
  <c r="W226" i="3"/>
  <c r="W123" i="4"/>
  <c r="W55" i="3"/>
  <c r="X136" i="3"/>
  <c r="Z120" i="3" l="1"/>
  <c r="Y143" i="3"/>
  <c r="BT124" i="3"/>
  <c r="BS144" i="3"/>
  <c r="U147" i="3"/>
  <c r="V138" i="3"/>
  <c r="W140" i="3"/>
  <c r="Y146" i="3"/>
  <c r="T375" i="3" a="1"/>
  <c r="X302" i="3"/>
  <c r="X123" i="4"/>
  <c r="X266" i="3"/>
  <c r="Y136" i="3"/>
  <c r="X226" i="3"/>
  <c r="X55" i="3"/>
  <c r="X185" i="3"/>
  <c r="AA120" i="3" l="1"/>
  <c r="Z143" i="3"/>
  <c r="BU124" i="3"/>
  <c r="BT144" i="3"/>
  <c r="V147" i="3"/>
  <c r="W138" i="3"/>
  <c r="X140" i="3"/>
  <c r="Z146" i="3"/>
  <c r="U375" i="3" a="1"/>
  <c r="Y55" i="3"/>
  <c r="Y266" i="3"/>
  <c r="Y226" i="3"/>
  <c r="Y123" i="4"/>
  <c r="Y185" i="3"/>
  <c r="Z136" i="3"/>
  <c r="Y302" i="3"/>
  <c r="AB120" i="3" l="1"/>
  <c r="AA143" i="3"/>
  <c r="BV124" i="3"/>
  <c r="BU144" i="3"/>
  <c r="W147" i="3"/>
  <c r="X138" i="3"/>
  <c r="Y140" i="3"/>
  <c r="AA146" i="3"/>
  <c r="V375" i="3" a="1"/>
  <c r="Z123" i="4"/>
  <c r="Z302" i="3"/>
  <c r="Z266" i="3"/>
  <c r="AA136" i="3"/>
  <c r="Z226" i="3"/>
  <c r="Z185" i="3"/>
  <c r="Z55" i="3"/>
  <c r="AC120" i="3" l="1"/>
  <c r="AB143" i="3"/>
  <c r="BW124" i="3"/>
  <c r="BV144" i="3"/>
  <c r="X147" i="3"/>
  <c r="Y138" i="3"/>
  <c r="Z140" i="3"/>
  <c r="AB146" i="3"/>
  <c r="W375" i="3" a="1"/>
  <c r="X375" i="3" a="1"/>
  <c r="AA123" i="4"/>
  <c r="AA185" i="3"/>
  <c r="AA266" i="3"/>
  <c r="AA226" i="3"/>
  <c r="AA55" i="3"/>
  <c r="AB136" i="3"/>
  <c r="AA302" i="3"/>
  <c r="AD120" i="3" l="1"/>
  <c r="AC143" i="3"/>
  <c r="BX124" i="3"/>
  <c r="BW144" i="3"/>
  <c r="Y147" i="3"/>
  <c r="Z138" i="3"/>
  <c r="AA140" i="3"/>
  <c r="AC146" i="3"/>
  <c r="Y375" i="3" a="1"/>
  <c r="AC136" i="3"/>
  <c r="AB302" i="3"/>
  <c r="AB55" i="3"/>
  <c r="AB266" i="3"/>
  <c r="AB185" i="3"/>
  <c r="AB226" i="3"/>
  <c r="AB123" i="4"/>
  <c r="AE120" i="3" l="1"/>
  <c r="AD143" i="3"/>
  <c r="BY124" i="3"/>
  <c r="BX144" i="3"/>
  <c r="Z147" i="3"/>
  <c r="AA138" i="3"/>
  <c r="AB140" i="3"/>
  <c r="AD146" i="3"/>
  <c r="AC226" i="3"/>
  <c r="AC266" i="3"/>
  <c r="AC55" i="3"/>
  <c r="AC123" i="4"/>
  <c r="AC185" i="3"/>
  <c r="AD136" i="3"/>
  <c r="AC302" i="3"/>
  <c r="AF120" i="3" l="1"/>
  <c r="AE143" i="3"/>
  <c r="BZ124" i="3"/>
  <c r="BY144" i="3"/>
  <c r="AA147" i="3"/>
  <c r="AB138" i="3"/>
  <c r="AC140" i="3"/>
  <c r="AE146" i="3"/>
  <c r="Z375" i="3" a="1"/>
  <c r="AE136" i="3"/>
  <c r="AD302" i="3"/>
  <c r="AD123" i="4"/>
  <c r="AD226" i="3"/>
  <c r="AD185" i="3"/>
  <c r="AD266" i="3"/>
  <c r="AD55" i="3"/>
  <c r="AF143" i="3" l="1"/>
  <c r="AG120" i="3"/>
  <c r="CA124" i="3"/>
  <c r="BZ144" i="3"/>
  <c r="AB147" i="3"/>
  <c r="AC138" i="3"/>
  <c r="AD140" i="3"/>
  <c r="AF146" i="3"/>
  <c r="AA375" i="3" a="1"/>
  <c r="AE55" i="3"/>
  <c r="AE266" i="3"/>
  <c r="AE302" i="3"/>
  <c r="AF136" i="3"/>
  <c r="AE185" i="3"/>
  <c r="AE226" i="3"/>
  <c r="AE123" i="4"/>
  <c r="AH120" i="3" l="1"/>
  <c r="AG143" i="3"/>
  <c r="CB124" i="3"/>
  <c r="CA144" i="3"/>
  <c r="AC147" i="3"/>
  <c r="AD138" i="3"/>
  <c r="AE140" i="3"/>
  <c r="AG146" i="3"/>
  <c r="AB375" i="3" a="1"/>
  <c r="AF123" i="4"/>
  <c r="AG136" i="3"/>
  <c r="AF185" i="3"/>
  <c r="AF266" i="3"/>
  <c r="AF55" i="3"/>
  <c r="AF302" i="3"/>
  <c r="AF226" i="3"/>
  <c r="AI120" i="3" l="1"/>
  <c r="AH143" i="3"/>
  <c r="CC124" i="3"/>
  <c r="CB144" i="3"/>
  <c r="AD147" i="3"/>
  <c r="AE138" i="3"/>
  <c r="AF140" i="3"/>
  <c r="AH146" i="3"/>
  <c r="AC375" i="3" a="1"/>
  <c r="AG266" i="3"/>
  <c r="AG302" i="3"/>
  <c r="AG185" i="3"/>
  <c r="AG55" i="3"/>
  <c r="AG226" i="3"/>
  <c r="AH136" i="3"/>
  <c r="AG123" i="4"/>
  <c r="AI143" i="3" l="1"/>
  <c r="AJ120" i="3"/>
  <c r="CD124" i="3"/>
  <c r="CC144" i="3"/>
  <c r="AE147" i="3"/>
  <c r="AF138" i="3"/>
  <c r="AG140" i="3"/>
  <c r="AI146" i="3"/>
  <c r="AH123" i="4"/>
  <c r="AI136" i="3"/>
  <c r="AH226" i="3"/>
  <c r="AH55" i="3"/>
  <c r="AH185" i="3"/>
  <c r="AH266" i="3"/>
  <c r="AH302" i="3"/>
  <c r="AK120" i="3" l="1"/>
  <c r="AJ143" i="3"/>
  <c r="CE124" i="3"/>
  <c r="CD144" i="3"/>
  <c r="AF147" i="3"/>
  <c r="AG138" i="3"/>
  <c r="AH140" i="3"/>
  <c r="AJ146" i="3"/>
  <c r="AE375" i="3" a="1"/>
  <c r="AI226" i="3"/>
  <c r="AI266" i="3"/>
  <c r="AI185" i="3"/>
  <c r="AI55" i="3"/>
  <c r="AI123" i="4"/>
  <c r="AJ136" i="3"/>
  <c r="AI302" i="3"/>
  <c r="AL120" i="3" l="1"/>
  <c r="AK143" i="3"/>
  <c r="CF124" i="3"/>
  <c r="CE144" i="3"/>
  <c r="AG147" i="3"/>
  <c r="AH138" i="3"/>
  <c r="AI140" i="3"/>
  <c r="AK146" i="3"/>
  <c r="AF375" i="3" a="1"/>
  <c r="AJ266" i="3"/>
  <c r="AJ185" i="3"/>
  <c r="AJ302" i="3"/>
  <c r="AJ226" i="3"/>
  <c r="AK136" i="3"/>
  <c r="AJ123" i="4"/>
  <c r="AJ55" i="3"/>
  <c r="AM120" i="3" l="1"/>
  <c r="AL143" i="3"/>
  <c r="CG124" i="3"/>
  <c r="CF144" i="3"/>
  <c r="AH147" i="3"/>
  <c r="AI138" i="3"/>
  <c r="AJ140" i="3"/>
  <c r="AL146" i="3"/>
  <c r="AG375" i="3" a="1"/>
  <c r="AK226" i="3"/>
  <c r="AK185" i="3"/>
  <c r="AK123" i="4"/>
  <c r="AK55" i="3"/>
  <c r="AK266" i="3"/>
  <c r="AK302" i="3"/>
  <c r="AL136" i="3"/>
  <c r="AN120" i="3" l="1"/>
  <c r="AM143" i="3"/>
  <c r="CH124" i="3"/>
  <c r="CG144" i="3"/>
  <c r="AI147" i="3"/>
  <c r="AJ138" i="3"/>
  <c r="AK140" i="3"/>
  <c r="AM146" i="3"/>
  <c r="AH375" i="3" a="1"/>
  <c r="AL123" i="4"/>
  <c r="AL185" i="3"/>
  <c r="AM136" i="3"/>
  <c r="AL226" i="3"/>
  <c r="AL55" i="3"/>
  <c r="AL302" i="3"/>
  <c r="AL266" i="3"/>
  <c r="AO120" i="3" l="1"/>
  <c r="AN143" i="3"/>
  <c r="CI124" i="3"/>
  <c r="CH144" i="3"/>
  <c r="AJ147" i="3"/>
  <c r="AK138" i="3"/>
  <c r="AL140" i="3"/>
  <c r="AN146" i="3"/>
  <c r="AI375" i="3" a="1"/>
  <c r="AM266" i="3"/>
  <c r="AM123" i="4"/>
  <c r="AM185" i="3"/>
  <c r="AM302" i="3"/>
  <c r="AM55" i="3"/>
  <c r="AM226" i="3"/>
  <c r="AN136" i="3"/>
  <c r="AP120" i="3" l="1"/>
  <c r="AO143" i="3"/>
  <c r="CJ124" i="3"/>
  <c r="CI144" i="3"/>
  <c r="AK147" i="3"/>
  <c r="AL138" i="3"/>
  <c r="AM140" i="3"/>
  <c r="AO146" i="3"/>
  <c r="AJ375" i="3" a="1"/>
  <c r="AO136" i="3"/>
  <c r="AN55" i="3"/>
  <c r="AN226" i="3"/>
  <c r="AN185" i="3"/>
  <c r="AN266" i="3"/>
  <c r="AN302" i="3"/>
  <c r="AN123" i="4"/>
  <c r="AQ120" i="3" l="1"/>
  <c r="AP143" i="3"/>
  <c r="CK124" i="3"/>
  <c r="CK144" i="3" s="1"/>
  <c r="CJ144" i="3"/>
  <c r="AL147" i="3"/>
  <c r="AM138" i="3"/>
  <c r="AN140" i="3"/>
  <c r="AP146" i="3"/>
  <c r="AO123" i="4"/>
  <c r="AO226" i="3"/>
  <c r="AO302" i="3"/>
  <c r="AP136" i="3"/>
  <c r="AO185" i="3"/>
  <c r="AO55" i="3"/>
  <c r="AO266" i="3"/>
  <c r="AQ143" i="3" l="1"/>
  <c r="AR120" i="3"/>
  <c r="D144" i="3"/>
  <c r="AM147" i="3"/>
  <c r="AN138" i="3"/>
  <c r="AO140" i="3"/>
  <c r="AQ146" i="3"/>
  <c r="AL375" i="3" a="1"/>
  <c r="AP266" i="3"/>
  <c r="AP226" i="3"/>
  <c r="AP302" i="3"/>
  <c r="AP55" i="3"/>
  <c r="AP185" i="3"/>
  <c r="AP123" i="4"/>
  <c r="AQ136" i="3"/>
  <c r="AS120" i="3" l="1"/>
  <c r="AR143" i="3"/>
  <c r="AN147" i="3"/>
  <c r="AO138" i="3"/>
  <c r="AP140" i="3"/>
  <c r="AR146" i="3"/>
  <c r="AM375" i="3" a="1"/>
  <c r="AQ55" i="3"/>
  <c r="AR136" i="3"/>
  <c r="AQ185" i="3"/>
  <c r="AQ123" i="4"/>
  <c r="AQ302" i="3"/>
  <c r="AQ266" i="3"/>
  <c r="AQ226" i="3"/>
  <c r="AT120" i="3" l="1"/>
  <c r="AS143" i="3"/>
  <c r="AO147" i="3"/>
  <c r="AP138" i="3"/>
  <c r="AQ140" i="3"/>
  <c r="AS146" i="3"/>
  <c r="AN375" i="3" a="1"/>
  <c r="AR266" i="3"/>
  <c r="AR302" i="3"/>
  <c r="AR55" i="3"/>
  <c r="AR226" i="3"/>
  <c r="AR123" i="4"/>
  <c r="AR185" i="3"/>
  <c r="AS136" i="3"/>
  <c r="AT143" i="3" l="1"/>
  <c r="AU120" i="3"/>
  <c r="AP147" i="3"/>
  <c r="AQ138" i="3"/>
  <c r="AR140" i="3"/>
  <c r="AT146" i="3"/>
  <c r="AO375" i="3" a="1"/>
  <c r="AS226" i="3"/>
  <c r="AS302" i="3"/>
  <c r="AS185" i="3"/>
  <c r="AS55" i="3"/>
  <c r="AS123" i="4"/>
  <c r="AT136" i="3"/>
  <c r="AS266" i="3"/>
  <c r="AV120" i="3" l="1"/>
  <c r="AU143" i="3"/>
  <c r="AQ147" i="3"/>
  <c r="AR138" i="3"/>
  <c r="AS140" i="3"/>
  <c r="AU146" i="3"/>
  <c r="AT55" i="3"/>
  <c r="AT185" i="3"/>
  <c r="AU136" i="3"/>
  <c r="AT123" i="4"/>
  <c r="AT266" i="3"/>
  <c r="AT302" i="3"/>
  <c r="AT226" i="3"/>
  <c r="AW120" i="3" l="1"/>
  <c r="AV143" i="3"/>
  <c r="AR147" i="3"/>
  <c r="AS138" i="3"/>
  <c r="AT140" i="3"/>
  <c r="AV146" i="3"/>
  <c r="AR375" i="3" a="1"/>
  <c r="AU55" i="3"/>
  <c r="AV136" i="3"/>
  <c r="AU266" i="3"/>
  <c r="AU123" i="4"/>
  <c r="AU185" i="3"/>
  <c r="AU226" i="3"/>
  <c r="AU302" i="3"/>
  <c r="AW143" i="3" l="1"/>
  <c r="AX120" i="3"/>
  <c r="AS147" i="3"/>
  <c r="AT138" i="3"/>
  <c r="AU140" i="3"/>
  <c r="AW146" i="3"/>
  <c r="AV266" i="3"/>
  <c r="AV55" i="3"/>
  <c r="AV123" i="4"/>
  <c r="AV302" i="3"/>
  <c r="AV226" i="3"/>
  <c r="AV185" i="3"/>
  <c r="AW136" i="3"/>
  <c r="AY120" i="3" l="1"/>
  <c r="AX143" i="3"/>
  <c r="AT147" i="3"/>
  <c r="AU138" i="3"/>
  <c r="AV140" i="3"/>
  <c r="AX146" i="3"/>
  <c r="AS375" i="3" a="1"/>
  <c r="AW123" i="4"/>
  <c r="AX136" i="3"/>
  <c r="AW226" i="3"/>
  <c r="AW266" i="3"/>
  <c r="AW185" i="3"/>
  <c r="AW302" i="3"/>
  <c r="AW55" i="3"/>
  <c r="AZ120" i="3" l="1"/>
  <c r="AY143" i="3"/>
  <c r="AU147" i="3"/>
  <c r="AV138" i="3"/>
  <c r="AW140" i="3"/>
  <c r="AY146" i="3"/>
  <c r="AT375" i="3" a="1"/>
  <c r="AX302" i="3"/>
  <c r="AX123" i="4"/>
  <c r="AX226" i="3"/>
  <c r="AX55" i="3"/>
  <c r="AX266" i="3"/>
  <c r="AY136" i="3"/>
  <c r="AX185" i="3"/>
  <c r="AZ143" i="3" l="1"/>
  <c r="BA120" i="3"/>
  <c r="AV147" i="3"/>
  <c r="AW138" i="3"/>
  <c r="AX140" i="3"/>
  <c r="AZ146" i="3"/>
  <c r="AV375" i="3" a="1"/>
  <c r="AU375" i="3" a="1"/>
  <c r="AY226" i="3"/>
  <c r="AY266" i="3"/>
  <c r="AY185" i="3"/>
  <c r="AZ136" i="3"/>
  <c r="AY123" i="4"/>
  <c r="AY55" i="3"/>
  <c r="AY302" i="3"/>
  <c r="BB120" i="3" l="1"/>
  <c r="BA143" i="3"/>
  <c r="AW147" i="3"/>
  <c r="AX138" i="3"/>
  <c r="AY140" i="3"/>
  <c r="BA146" i="3"/>
  <c r="AZ302" i="3"/>
  <c r="AZ266" i="3"/>
  <c r="AZ226" i="3"/>
  <c r="BA136" i="3"/>
  <c r="AZ185" i="3"/>
  <c r="AZ55" i="3"/>
  <c r="AZ123" i="4"/>
  <c r="BC120" i="3" l="1"/>
  <c r="BB143" i="3"/>
  <c r="AX147" i="3"/>
  <c r="AY138" i="3"/>
  <c r="AZ140" i="3"/>
  <c r="BB146" i="3"/>
  <c r="AW375" i="3" a="1"/>
  <c r="BA226" i="3"/>
  <c r="BB136" i="3"/>
  <c r="BA266" i="3"/>
  <c r="BA55" i="3"/>
  <c r="BA123" i="4"/>
  <c r="BA302" i="3"/>
  <c r="BA185" i="3"/>
  <c r="BD120" i="3" l="1"/>
  <c r="BC143" i="3"/>
  <c r="AY147" i="3"/>
  <c r="AZ138" i="3"/>
  <c r="BA140" i="3"/>
  <c r="BC146" i="3"/>
  <c r="AX375" i="3" a="1"/>
  <c r="BB123" i="4"/>
  <c r="BB302" i="3"/>
  <c r="BB55" i="3"/>
  <c r="BB185" i="3"/>
  <c r="BB266" i="3"/>
  <c r="BB226" i="3"/>
  <c r="BC136" i="3"/>
  <c r="BE120" i="3" l="1"/>
  <c r="BD143" i="3"/>
  <c r="AZ147" i="3"/>
  <c r="BA138" i="3"/>
  <c r="BB140" i="3"/>
  <c r="BD146" i="3"/>
  <c r="AY375" i="3" a="1"/>
  <c r="BC55" i="3"/>
  <c r="BD136" i="3"/>
  <c r="BC266" i="3"/>
  <c r="BC185" i="3"/>
  <c r="BC123" i="4"/>
  <c r="BC226" i="3"/>
  <c r="BC302" i="3"/>
  <c r="BF120" i="3" l="1"/>
  <c r="BE143" i="3"/>
  <c r="BA147" i="3"/>
  <c r="BB138" i="3"/>
  <c r="BC140" i="3"/>
  <c r="BE146" i="3"/>
  <c r="AZ375" i="3" a="1"/>
  <c r="BD185" i="3"/>
  <c r="BE136" i="3"/>
  <c r="BD302" i="3"/>
  <c r="BD266" i="3"/>
  <c r="BD226" i="3"/>
  <c r="BD123" i="4"/>
  <c r="BD55" i="3"/>
  <c r="BF143" i="3" l="1"/>
  <c r="BG120" i="3"/>
  <c r="BB147" i="3"/>
  <c r="BC138" i="3"/>
  <c r="BD140" i="3"/>
  <c r="BF146" i="3"/>
  <c r="BA375" i="3" a="1"/>
  <c r="BF136" i="3"/>
  <c r="BE123" i="4"/>
  <c r="BE302" i="3"/>
  <c r="BE55" i="3"/>
  <c r="BE226" i="3"/>
  <c r="BE266" i="3"/>
  <c r="BE185" i="3"/>
  <c r="BG143" i="3" l="1"/>
  <c r="BH120" i="3"/>
  <c r="BC147" i="3"/>
  <c r="BD138" i="3"/>
  <c r="BE140" i="3"/>
  <c r="BG146" i="3"/>
  <c r="BB375" i="3" a="1"/>
  <c r="BF302" i="3"/>
  <c r="BF266" i="3"/>
  <c r="BG136" i="3"/>
  <c r="BF55" i="3"/>
  <c r="BF123" i="4"/>
  <c r="BF185" i="3"/>
  <c r="BF226" i="3"/>
  <c r="BI120" i="3" l="1"/>
  <c r="BH143" i="3"/>
  <c r="BD147" i="3"/>
  <c r="BE138" i="3"/>
  <c r="BF140" i="3"/>
  <c r="BH146" i="3"/>
  <c r="BC375" i="3" a="1"/>
  <c r="BG266" i="3"/>
  <c r="BH136" i="3"/>
  <c r="BG55" i="3"/>
  <c r="BG226" i="3"/>
  <c r="BG302" i="3"/>
  <c r="BG185" i="3"/>
  <c r="BG123" i="4"/>
  <c r="BJ120" i="3" l="1"/>
  <c r="BI143" i="3"/>
  <c r="BE147" i="3"/>
  <c r="BF138" i="3"/>
  <c r="BG140" i="3"/>
  <c r="BI146" i="3"/>
  <c r="BD375" i="3" a="1"/>
  <c r="BH226" i="3"/>
  <c r="BH266" i="3"/>
  <c r="BH302" i="3"/>
  <c r="BH185" i="3"/>
  <c r="BH123" i="4"/>
  <c r="BI136" i="3"/>
  <c r="BH55" i="3"/>
  <c r="BK120" i="3" l="1"/>
  <c r="BJ143" i="3"/>
  <c r="BF147" i="3"/>
  <c r="BG138" i="3"/>
  <c r="BH140" i="3"/>
  <c r="BJ146" i="3"/>
  <c r="BE375" i="3" a="1"/>
  <c r="BI302" i="3"/>
  <c r="BI226" i="3"/>
  <c r="BI55" i="3"/>
  <c r="BI185" i="3"/>
  <c r="BI266" i="3"/>
  <c r="BJ136" i="3"/>
  <c r="BI123" i="4"/>
  <c r="BL120" i="3" l="1"/>
  <c r="BK143" i="3"/>
  <c r="BG147" i="3"/>
  <c r="BH138" i="3"/>
  <c r="BI140" i="3"/>
  <c r="BK146" i="3"/>
  <c r="BF375" i="3" a="1"/>
  <c r="BJ55" i="3"/>
  <c r="BJ226" i="3"/>
  <c r="BJ302" i="3"/>
  <c r="BJ123" i="4"/>
  <c r="BK136" i="3"/>
  <c r="BJ266" i="3"/>
  <c r="BJ185" i="3"/>
  <c r="BM120" i="3" l="1"/>
  <c r="BL143" i="3"/>
  <c r="BH147" i="3"/>
  <c r="BI138" i="3"/>
  <c r="BJ140" i="3"/>
  <c r="BL146" i="3"/>
  <c r="BK123" i="4"/>
  <c r="BL136" i="3"/>
  <c r="BK302" i="3"/>
  <c r="BK266" i="3"/>
  <c r="BK185" i="3"/>
  <c r="BK55" i="3"/>
  <c r="BK226" i="3"/>
  <c r="BN120" i="3" l="1"/>
  <c r="BM143" i="3"/>
  <c r="BI147" i="3"/>
  <c r="BJ138" i="3"/>
  <c r="BK140" i="3"/>
  <c r="BM146" i="3"/>
  <c r="BH375" i="3" a="1"/>
  <c r="BL185" i="3"/>
  <c r="BL226" i="3"/>
  <c r="BL266" i="3"/>
  <c r="BL55" i="3"/>
  <c r="BL302" i="3"/>
  <c r="BL123" i="4"/>
  <c r="BN143" i="3" l="1"/>
  <c r="BO120" i="3"/>
  <c r="BJ147" i="3"/>
  <c r="BM136" i="3"/>
  <c r="BK138" i="3"/>
  <c r="BL140" i="3"/>
  <c r="BN146" i="3"/>
  <c r="BI375" i="3" a="1"/>
  <c r="BM185" i="3"/>
  <c r="BM302" i="3"/>
  <c r="BM226" i="3"/>
  <c r="BM55" i="3"/>
  <c r="BM266" i="3"/>
  <c r="BM123" i="4"/>
  <c r="BN123" i="4" s="1"/>
  <c r="BO123" i="4" s="1"/>
  <c r="BP123" i="4" s="1"/>
  <c r="BQ123" i="4" s="1"/>
  <c r="BR123" i="4" s="1"/>
  <c r="BS123" i="4" s="1"/>
  <c r="BT123" i="4" s="1"/>
  <c r="BU123" i="4" s="1"/>
  <c r="BV123" i="4" s="1"/>
  <c r="BW123" i="4" s="1"/>
  <c r="BX123" i="4" s="1"/>
  <c r="BY123" i="4" s="1"/>
  <c r="BZ123" i="4" s="1"/>
  <c r="CA123" i="4" s="1"/>
  <c r="CB123" i="4" s="1"/>
  <c r="CC123" i="4" s="1"/>
  <c r="CD123" i="4" s="1"/>
  <c r="CE123" i="4" s="1"/>
  <c r="CF123" i="4" s="1"/>
  <c r="CG123" i="4" s="1"/>
  <c r="CH123" i="4" s="1"/>
  <c r="CI123" i="4" s="1"/>
  <c r="CJ123" i="4" s="1"/>
  <c r="CK123" i="4" s="1"/>
  <c r="F127" i="4" s="1" a="1"/>
  <c r="F66" i="4" a="1"/>
  <c r="BO143" i="3" l="1"/>
  <c r="BP120" i="3"/>
  <c r="BN302" i="3"/>
  <c r="BO302" i="3" s="1"/>
  <c r="BP302" i="3" s="1"/>
  <c r="BQ302" i="3" s="1"/>
  <c r="BR302" i="3" s="1"/>
  <c r="BS302" i="3" s="1"/>
  <c r="BT302" i="3" s="1"/>
  <c r="BU302" i="3" s="1"/>
  <c r="BV302" i="3" s="1"/>
  <c r="BW302" i="3" s="1"/>
  <c r="BX302" i="3" s="1"/>
  <c r="BY302" i="3" s="1"/>
  <c r="BZ302" i="3" s="1"/>
  <c r="CA302" i="3" s="1"/>
  <c r="CB302" i="3" s="1"/>
  <c r="CC302" i="3" s="1"/>
  <c r="CD302" i="3" s="1"/>
  <c r="CE302" i="3" s="1"/>
  <c r="CF302" i="3" s="1"/>
  <c r="CG302" i="3" s="1"/>
  <c r="CH302" i="3" s="1"/>
  <c r="CI302" i="3" s="1"/>
  <c r="CJ302" i="3" s="1"/>
  <c r="CK302" i="3" s="1"/>
  <c r="F306" i="3" s="1" a="1"/>
  <c r="BN266" i="3"/>
  <c r="BO266" i="3" s="1"/>
  <c r="BP266" i="3" s="1"/>
  <c r="BQ266" i="3" s="1"/>
  <c r="BR266" i="3" s="1"/>
  <c r="BS266" i="3" s="1"/>
  <c r="BT266" i="3" s="1"/>
  <c r="BU266" i="3" s="1"/>
  <c r="BV266" i="3" s="1"/>
  <c r="BW266" i="3" s="1"/>
  <c r="BX266" i="3" s="1"/>
  <c r="BY266" i="3" s="1"/>
  <c r="BZ266" i="3" s="1"/>
  <c r="CA266" i="3" s="1"/>
  <c r="CB266" i="3" s="1"/>
  <c r="CC266" i="3" s="1"/>
  <c r="CD266" i="3" s="1"/>
  <c r="CE266" i="3" s="1"/>
  <c r="CF266" i="3" s="1"/>
  <c r="CG266" i="3" s="1"/>
  <c r="CH266" i="3" s="1"/>
  <c r="CI266" i="3" s="1"/>
  <c r="CJ266" i="3" s="1"/>
  <c r="CK266" i="3" s="1"/>
  <c r="F270" i="3" s="1" a="1"/>
  <c r="BN226" i="3"/>
  <c r="BO226" i="3" s="1"/>
  <c r="BP226" i="3" s="1"/>
  <c r="BQ226" i="3" s="1"/>
  <c r="BR226" i="3" s="1"/>
  <c r="BS226" i="3" s="1"/>
  <c r="BT226" i="3" s="1"/>
  <c r="BU226" i="3" s="1"/>
  <c r="BV226" i="3" s="1"/>
  <c r="BW226" i="3" s="1"/>
  <c r="BX226" i="3" s="1"/>
  <c r="BY226" i="3" s="1"/>
  <c r="BZ226" i="3" s="1"/>
  <c r="CA226" i="3" s="1"/>
  <c r="CB226" i="3" s="1"/>
  <c r="CC226" i="3" s="1"/>
  <c r="CD226" i="3" s="1"/>
  <c r="CE226" i="3" s="1"/>
  <c r="CF226" i="3" s="1"/>
  <c r="CG226" i="3" s="1"/>
  <c r="CH226" i="3" s="1"/>
  <c r="CI226" i="3" s="1"/>
  <c r="CJ226" i="3" s="1"/>
  <c r="CK226" i="3" s="1"/>
  <c r="F230" i="3" s="1" a="1"/>
  <c r="BN185" i="3"/>
  <c r="BO185" i="3" s="1"/>
  <c r="BP185" i="3" s="1"/>
  <c r="BQ185" i="3" s="1"/>
  <c r="BR185" i="3" s="1"/>
  <c r="BS185" i="3" s="1"/>
  <c r="BT185" i="3" s="1"/>
  <c r="BU185" i="3" s="1"/>
  <c r="BV185" i="3" s="1"/>
  <c r="BW185" i="3" s="1"/>
  <c r="BX185" i="3" s="1"/>
  <c r="BY185" i="3" s="1"/>
  <c r="BZ185" i="3" s="1"/>
  <c r="CA185" i="3" s="1"/>
  <c r="CB185" i="3" s="1"/>
  <c r="CC185" i="3" s="1"/>
  <c r="CD185" i="3" s="1"/>
  <c r="CE185" i="3" s="1"/>
  <c r="CF185" i="3" s="1"/>
  <c r="CG185" i="3" s="1"/>
  <c r="CH185" i="3" s="1"/>
  <c r="CI185" i="3" s="1"/>
  <c r="CJ185" i="3" s="1"/>
  <c r="CK185" i="3" s="1"/>
  <c r="F189" i="3" s="1" a="1"/>
  <c r="BK147" i="3"/>
  <c r="BL138" i="3"/>
  <c r="BN136" i="3"/>
  <c r="BM140" i="3"/>
  <c r="BO146" i="3"/>
  <c r="BJ375" i="3" a="1"/>
  <c r="BN55" i="3"/>
  <c r="G66" i="4"/>
  <c r="K66" i="4"/>
  <c r="O66" i="4"/>
  <c r="S66" i="4"/>
  <c r="W66" i="4"/>
  <c r="AA66" i="4"/>
  <c r="AE66" i="4"/>
  <c r="AI66" i="4"/>
  <c r="AM66" i="4"/>
  <c r="AQ66" i="4"/>
  <c r="AU66" i="4"/>
  <c r="AY66" i="4"/>
  <c r="BC66" i="4"/>
  <c r="BG66" i="4"/>
  <c r="BK66" i="4"/>
  <c r="BO66" i="4"/>
  <c r="BS66" i="4"/>
  <c r="BW66" i="4"/>
  <c r="CA66" i="4"/>
  <c r="CE66" i="4"/>
  <c r="CI66" i="4"/>
  <c r="G67" i="4"/>
  <c r="K67" i="4"/>
  <c r="O67" i="4"/>
  <c r="S67" i="4"/>
  <c r="W67" i="4"/>
  <c r="AA67" i="4"/>
  <c r="AE67" i="4"/>
  <c r="AI67" i="4"/>
  <c r="AM67" i="4"/>
  <c r="AQ67" i="4"/>
  <c r="AU67" i="4"/>
  <c r="AY67" i="4"/>
  <c r="BC67" i="4"/>
  <c r="BG67" i="4"/>
  <c r="BK67" i="4"/>
  <c r="BO67" i="4"/>
  <c r="BS67" i="4"/>
  <c r="BW67" i="4"/>
  <c r="CA67" i="4"/>
  <c r="CE67" i="4"/>
  <c r="CI67" i="4"/>
  <c r="G68" i="4"/>
  <c r="K68" i="4"/>
  <c r="O68" i="4"/>
  <c r="S68" i="4"/>
  <c r="W68" i="4"/>
  <c r="AA68" i="4"/>
  <c r="AE68" i="4"/>
  <c r="AI68" i="4"/>
  <c r="AM68" i="4"/>
  <c r="AQ68" i="4"/>
  <c r="AU68" i="4"/>
  <c r="AY68" i="4"/>
  <c r="BC68" i="4"/>
  <c r="BG68" i="4"/>
  <c r="BK68" i="4"/>
  <c r="BO68" i="4"/>
  <c r="BS68" i="4"/>
  <c r="BW68" i="4"/>
  <c r="CA68" i="4"/>
  <c r="CE68" i="4"/>
  <c r="CI68" i="4"/>
  <c r="G69" i="4"/>
  <c r="K69" i="4"/>
  <c r="O69" i="4"/>
  <c r="S69" i="4"/>
  <c r="W69" i="4"/>
  <c r="AA69" i="4"/>
  <c r="AE69" i="4"/>
  <c r="AI69" i="4"/>
  <c r="AM69" i="4"/>
  <c r="AQ69" i="4"/>
  <c r="AU69" i="4"/>
  <c r="AY69" i="4"/>
  <c r="BC69" i="4"/>
  <c r="BG69" i="4"/>
  <c r="BK69" i="4"/>
  <c r="BO69" i="4"/>
  <c r="BS69" i="4"/>
  <c r="BW69" i="4"/>
  <c r="CA69" i="4"/>
  <c r="CE69" i="4"/>
  <c r="CI69" i="4"/>
  <c r="G70" i="4"/>
  <c r="K70" i="4"/>
  <c r="O70" i="4"/>
  <c r="S70" i="4"/>
  <c r="W70" i="4"/>
  <c r="AA70" i="4"/>
  <c r="AE70" i="4"/>
  <c r="AI70" i="4"/>
  <c r="AM70" i="4"/>
  <c r="AQ70" i="4"/>
  <c r="AU70" i="4"/>
  <c r="AY70" i="4"/>
  <c r="BC70" i="4"/>
  <c r="BG70" i="4"/>
  <c r="BK70" i="4"/>
  <c r="BO70" i="4"/>
  <c r="BS70" i="4"/>
  <c r="BW70" i="4"/>
  <c r="CA70" i="4"/>
  <c r="CE70" i="4"/>
  <c r="CI70" i="4"/>
  <c r="G71" i="4"/>
  <c r="K71" i="4"/>
  <c r="O71" i="4"/>
  <c r="S71" i="4"/>
  <c r="W71" i="4"/>
  <c r="AA71" i="4"/>
  <c r="AE71" i="4"/>
  <c r="AI71" i="4"/>
  <c r="AM71" i="4"/>
  <c r="AQ71" i="4"/>
  <c r="AU71" i="4"/>
  <c r="AY71" i="4"/>
  <c r="BC71" i="4"/>
  <c r="BG71" i="4"/>
  <c r="BK71" i="4"/>
  <c r="BO71" i="4"/>
  <c r="BS71" i="4"/>
  <c r="BW71" i="4"/>
  <c r="CA71" i="4"/>
  <c r="CE71" i="4"/>
  <c r="CI71" i="4"/>
  <c r="H66" i="4"/>
  <c r="L66" i="4"/>
  <c r="P66" i="4"/>
  <c r="T66" i="4"/>
  <c r="X66" i="4"/>
  <c r="AB66" i="4"/>
  <c r="AF66" i="4"/>
  <c r="AJ66" i="4"/>
  <c r="AN66" i="4"/>
  <c r="AR66" i="4"/>
  <c r="AV66" i="4"/>
  <c r="AZ66" i="4"/>
  <c r="BD66" i="4"/>
  <c r="BH66" i="4"/>
  <c r="BL66" i="4"/>
  <c r="BP66" i="4"/>
  <c r="BT66" i="4"/>
  <c r="BX66" i="4"/>
  <c r="CB66" i="4"/>
  <c r="CF66" i="4"/>
  <c r="CJ66" i="4"/>
  <c r="H67" i="4"/>
  <c r="L67" i="4"/>
  <c r="P67" i="4"/>
  <c r="T67" i="4"/>
  <c r="X67" i="4"/>
  <c r="AB67" i="4"/>
  <c r="AF67" i="4"/>
  <c r="AJ67" i="4"/>
  <c r="AN67" i="4"/>
  <c r="AR67" i="4"/>
  <c r="AV67" i="4"/>
  <c r="AZ67" i="4"/>
  <c r="BD67" i="4"/>
  <c r="BH67" i="4"/>
  <c r="BL67" i="4"/>
  <c r="BP67" i="4"/>
  <c r="BT67" i="4"/>
  <c r="BX67" i="4"/>
  <c r="CB67" i="4"/>
  <c r="CF67" i="4"/>
  <c r="CJ67" i="4"/>
  <c r="H68" i="4"/>
  <c r="L68" i="4"/>
  <c r="P68" i="4"/>
  <c r="T68" i="4"/>
  <c r="X68" i="4"/>
  <c r="AB68" i="4"/>
  <c r="AF68" i="4"/>
  <c r="AJ68" i="4"/>
  <c r="AN68" i="4"/>
  <c r="AR68" i="4"/>
  <c r="AV68" i="4"/>
  <c r="AZ68" i="4"/>
  <c r="BD68" i="4"/>
  <c r="BH68" i="4"/>
  <c r="BL68" i="4"/>
  <c r="BP68" i="4"/>
  <c r="BT68" i="4"/>
  <c r="BX68" i="4"/>
  <c r="CB68" i="4"/>
  <c r="CF68" i="4"/>
  <c r="CJ68" i="4"/>
  <c r="H69" i="4"/>
  <c r="L69" i="4"/>
  <c r="P69" i="4"/>
  <c r="T69" i="4"/>
  <c r="X69" i="4"/>
  <c r="AB69" i="4"/>
  <c r="AF69" i="4"/>
  <c r="AJ69" i="4"/>
  <c r="AN69" i="4"/>
  <c r="AR69" i="4"/>
  <c r="AV69" i="4"/>
  <c r="AZ69" i="4"/>
  <c r="BD69" i="4"/>
  <c r="BH69" i="4"/>
  <c r="BL69" i="4"/>
  <c r="BP69" i="4"/>
  <c r="BT69" i="4"/>
  <c r="BX69" i="4"/>
  <c r="CB69" i="4"/>
  <c r="CF69" i="4"/>
  <c r="CJ69" i="4"/>
  <c r="H70" i="4"/>
  <c r="L70" i="4"/>
  <c r="P70" i="4"/>
  <c r="T70" i="4"/>
  <c r="X70" i="4"/>
  <c r="AB70" i="4"/>
  <c r="AF70" i="4"/>
  <c r="AJ70" i="4"/>
  <c r="AN70" i="4"/>
  <c r="AR70" i="4"/>
  <c r="AV70" i="4"/>
  <c r="AZ70" i="4"/>
  <c r="BD70" i="4"/>
  <c r="BH70" i="4"/>
  <c r="BL70" i="4"/>
  <c r="BP70" i="4"/>
  <c r="BT70" i="4"/>
  <c r="BX70" i="4"/>
  <c r="CB70" i="4"/>
  <c r="CF70" i="4"/>
  <c r="CJ70" i="4"/>
  <c r="H71" i="4"/>
  <c r="L71" i="4"/>
  <c r="P71" i="4"/>
  <c r="T71" i="4"/>
  <c r="X71" i="4"/>
  <c r="AB71" i="4"/>
  <c r="AF71" i="4"/>
  <c r="AJ71" i="4"/>
  <c r="AN71" i="4"/>
  <c r="AR71" i="4"/>
  <c r="AV71" i="4"/>
  <c r="AZ71" i="4"/>
  <c r="BD71" i="4"/>
  <c r="BH71" i="4"/>
  <c r="BL71" i="4"/>
  <c r="BP71" i="4"/>
  <c r="BT71" i="4"/>
  <c r="BX71" i="4"/>
  <c r="CB71" i="4"/>
  <c r="CF71" i="4"/>
  <c r="CJ71" i="4"/>
  <c r="M66" i="4"/>
  <c r="U66" i="4"/>
  <c r="AC66" i="4"/>
  <c r="AK66" i="4"/>
  <c r="AS66" i="4"/>
  <c r="BA66" i="4"/>
  <c r="BI66" i="4"/>
  <c r="BQ66" i="4"/>
  <c r="BY66" i="4"/>
  <c r="CG66" i="4"/>
  <c r="I67" i="4"/>
  <c r="Q67" i="4"/>
  <c r="Y67" i="4"/>
  <c r="AG67" i="4"/>
  <c r="AO67" i="4"/>
  <c r="AW67" i="4"/>
  <c r="BE67" i="4"/>
  <c r="BM67" i="4"/>
  <c r="BU67" i="4"/>
  <c r="CC67" i="4"/>
  <c r="CK67" i="4"/>
  <c r="M68" i="4"/>
  <c r="U68" i="4"/>
  <c r="AC68" i="4"/>
  <c r="AK68" i="4"/>
  <c r="AS68" i="4"/>
  <c r="BA68" i="4"/>
  <c r="BI68" i="4"/>
  <c r="BQ68" i="4"/>
  <c r="BY68" i="4"/>
  <c r="CG68" i="4"/>
  <c r="I69" i="4"/>
  <c r="Q69" i="4"/>
  <c r="Y69" i="4"/>
  <c r="AG69" i="4"/>
  <c r="AO69" i="4"/>
  <c r="AW69" i="4"/>
  <c r="BE69" i="4"/>
  <c r="BM69" i="4"/>
  <c r="BU69" i="4"/>
  <c r="CC69" i="4"/>
  <c r="CK69" i="4"/>
  <c r="M70" i="4"/>
  <c r="U70" i="4"/>
  <c r="AC70" i="4"/>
  <c r="AK70" i="4"/>
  <c r="AS70" i="4"/>
  <c r="BA70" i="4"/>
  <c r="BI70" i="4"/>
  <c r="BQ70" i="4"/>
  <c r="BY70" i="4"/>
  <c r="CG70" i="4"/>
  <c r="I71" i="4"/>
  <c r="Q71" i="4"/>
  <c r="Y71" i="4"/>
  <c r="AG71" i="4"/>
  <c r="AO71" i="4"/>
  <c r="AW71" i="4"/>
  <c r="BE71" i="4"/>
  <c r="BM71" i="4"/>
  <c r="BU71" i="4"/>
  <c r="CC71" i="4"/>
  <c r="CK71" i="4"/>
  <c r="F66" i="4"/>
  <c r="N66" i="4"/>
  <c r="V66" i="4"/>
  <c r="AD66" i="4"/>
  <c r="AL66" i="4"/>
  <c r="AT66" i="4"/>
  <c r="BB66" i="4"/>
  <c r="BJ66" i="4"/>
  <c r="BR66" i="4"/>
  <c r="BZ66" i="4"/>
  <c r="CH66" i="4"/>
  <c r="J67" i="4"/>
  <c r="R67" i="4"/>
  <c r="Z67" i="4"/>
  <c r="AH67" i="4"/>
  <c r="AP67" i="4"/>
  <c r="AX67" i="4"/>
  <c r="BF67" i="4"/>
  <c r="BN67" i="4"/>
  <c r="BV67" i="4"/>
  <c r="CD67" i="4"/>
  <c r="F68" i="4"/>
  <c r="N68" i="4"/>
  <c r="V68" i="4"/>
  <c r="AD68" i="4"/>
  <c r="AL68" i="4"/>
  <c r="AT68" i="4"/>
  <c r="BB68" i="4"/>
  <c r="BJ68" i="4"/>
  <c r="BR68" i="4"/>
  <c r="BZ68" i="4"/>
  <c r="CH68" i="4"/>
  <c r="J69" i="4"/>
  <c r="R69" i="4"/>
  <c r="Z69" i="4"/>
  <c r="AH69" i="4"/>
  <c r="AP69" i="4"/>
  <c r="AX69" i="4"/>
  <c r="BF69" i="4"/>
  <c r="BN69" i="4"/>
  <c r="BV69" i="4"/>
  <c r="CD69" i="4"/>
  <c r="F70" i="4"/>
  <c r="N70" i="4"/>
  <c r="V70" i="4"/>
  <c r="AD70" i="4"/>
  <c r="AL70" i="4"/>
  <c r="AT70" i="4"/>
  <c r="BB70" i="4"/>
  <c r="BJ70" i="4"/>
  <c r="BR70" i="4"/>
  <c r="BZ70" i="4"/>
  <c r="CH70" i="4"/>
  <c r="J71" i="4"/>
  <c r="R71" i="4"/>
  <c r="Z71" i="4"/>
  <c r="AH71" i="4"/>
  <c r="AP71" i="4"/>
  <c r="AX71" i="4"/>
  <c r="BF71" i="4"/>
  <c r="BN71" i="4"/>
  <c r="BV71" i="4"/>
  <c r="CD71" i="4"/>
  <c r="I66" i="4"/>
  <c r="Y66" i="4"/>
  <c r="AO66" i="4"/>
  <c r="BE66" i="4"/>
  <c r="BU66" i="4"/>
  <c r="CK66" i="4"/>
  <c r="U67" i="4"/>
  <c r="AK67" i="4"/>
  <c r="BA67" i="4"/>
  <c r="BQ67" i="4"/>
  <c r="CG67" i="4"/>
  <c r="Q68" i="4"/>
  <c r="AG68" i="4"/>
  <c r="AW68" i="4"/>
  <c r="BM68" i="4"/>
  <c r="CC68" i="4"/>
  <c r="M69" i="4"/>
  <c r="AC69" i="4"/>
  <c r="AS69" i="4"/>
  <c r="BI69" i="4"/>
  <c r="BY69" i="4"/>
  <c r="I70" i="4"/>
  <c r="Y70" i="4"/>
  <c r="AO70" i="4"/>
  <c r="BE70" i="4"/>
  <c r="BU70" i="4"/>
  <c r="CK70" i="4"/>
  <c r="U71" i="4"/>
  <c r="AK71" i="4"/>
  <c r="BA71" i="4"/>
  <c r="BQ71" i="4"/>
  <c r="CG71" i="4"/>
  <c r="Q66" i="4"/>
  <c r="AW66" i="4"/>
  <c r="CC66" i="4"/>
  <c r="AC67" i="4"/>
  <c r="BY67" i="4"/>
  <c r="Y68" i="4"/>
  <c r="BE68" i="4"/>
  <c r="CK68" i="4"/>
  <c r="AK69" i="4"/>
  <c r="BQ69" i="4"/>
  <c r="Q70" i="4"/>
  <c r="AW70" i="4"/>
  <c r="CC70" i="4"/>
  <c r="AC71" i="4"/>
  <c r="BI71" i="4"/>
  <c r="R66" i="4"/>
  <c r="AH66" i="4"/>
  <c r="AX66" i="4"/>
  <c r="BN66" i="4"/>
  <c r="CD66" i="4"/>
  <c r="N67" i="4"/>
  <c r="AD67" i="4"/>
  <c r="AT67" i="4"/>
  <c r="BJ67" i="4"/>
  <c r="BZ67" i="4"/>
  <c r="J68" i="4"/>
  <c r="Z68" i="4"/>
  <c r="AP68" i="4"/>
  <c r="BF68" i="4"/>
  <c r="BV68" i="4"/>
  <c r="F69" i="4"/>
  <c r="V69" i="4"/>
  <c r="AL69" i="4"/>
  <c r="BB69" i="4"/>
  <c r="BR69" i="4"/>
  <c r="CH69" i="4"/>
  <c r="R70" i="4"/>
  <c r="AX70" i="4"/>
  <c r="BN70" i="4"/>
  <c r="CD70" i="4"/>
  <c r="N71" i="4"/>
  <c r="AD71" i="4"/>
  <c r="AT71" i="4"/>
  <c r="BJ71" i="4"/>
  <c r="BZ71" i="4"/>
  <c r="J66" i="4"/>
  <c r="Z66" i="4"/>
  <c r="AP66" i="4"/>
  <c r="BF66" i="4"/>
  <c r="BV66" i="4"/>
  <c r="F67" i="4"/>
  <c r="V67" i="4"/>
  <c r="AL67" i="4"/>
  <c r="BB67" i="4"/>
  <c r="BR67" i="4"/>
  <c r="CH67" i="4"/>
  <c r="R68" i="4"/>
  <c r="AH68" i="4"/>
  <c r="AX68" i="4"/>
  <c r="BN68" i="4"/>
  <c r="CD68" i="4"/>
  <c r="N69" i="4"/>
  <c r="AD69" i="4"/>
  <c r="AT69" i="4"/>
  <c r="BJ69" i="4"/>
  <c r="BZ69" i="4"/>
  <c r="J70" i="4"/>
  <c r="Z70" i="4"/>
  <c r="AP70" i="4"/>
  <c r="BF70" i="4"/>
  <c r="BV70" i="4"/>
  <c r="F71" i="4"/>
  <c r="V71" i="4"/>
  <c r="AL71" i="4"/>
  <c r="BB71" i="4"/>
  <c r="BR71" i="4"/>
  <c r="CH71" i="4"/>
  <c r="AG66" i="4"/>
  <c r="BM66" i="4"/>
  <c r="M67" i="4"/>
  <c r="AS67" i="4"/>
  <c r="BI67" i="4"/>
  <c r="I68" i="4"/>
  <c r="AO68" i="4"/>
  <c r="BU68" i="4"/>
  <c r="U69" i="4"/>
  <c r="BA69" i="4"/>
  <c r="CG69" i="4"/>
  <c r="AG70" i="4"/>
  <c r="BM70" i="4"/>
  <c r="M71" i="4"/>
  <c r="AS71" i="4"/>
  <c r="BY71" i="4"/>
  <c r="AH70" i="4"/>
  <c r="F127" i="4"/>
  <c r="J127" i="4"/>
  <c r="N127" i="4"/>
  <c r="R127" i="4"/>
  <c r="V127" i="4"/>
  <c r="Z127" i="4"/>
  <c r="AD127" i="4"/>
  <c r="AH127" i="4"/>
  <c r="AL127" i="4"/>
  <c r="AP127" i="4"/>
  <c r="AT127" i="4"/>
  <c r="AX127" i="4"/>
  <c r="BB127" i="4"/>
  <c r="BF127" i="4"/>
  <c r="BJ127" i="4"/>
  <c r="BN127" i="4"/>
  <c r="BR127" i="4"/>
  <c r="BV127" i="4"/>
  <c r="BZ127" i="4"/>
  <c r="CD127" i="4"/>
  <c r="CH127" i="4"/>
  <c r="F128" i="4"/>
  <c r="J128" i="4"/>
  <c r="N128" i="4"/>
  <c r="R128" i="4"/>
  <c r="V128" i="4"/>
  <c r="Z128" i="4"/>
  <c r="AD128" i="4"/>
  <c r="AH128" i="4"/>
  <c r="AL128" i="4"/>
  <c r="AP128" i="4"/>
  <c r="AT128" i="4"/>
  <c r="AX128" i="4"/>
  <c r="BB128" i="4"/>
  <c r="BF128" i="4"/>
  <c r="BJ128" i="4"/>
  <c r="BN128" i="4"/>
  <c r="BR128" i="4"/>
  <c r="BV128" i="4"/>
  <c r="BZ128" i="4"/>
  <c r="CD128" i="4"/>
  <c r="CH128" i="4"/>
  <c r="F129" i="4"/>
  <c r="J129" i="4"/>
  <c r="N129" i="4"/>
  <c r="R129" i="4"/>
  <c r="V129" i="4"/>
  <c r="Z129" i="4"/>
  <c r="AD129" i="4"/>
  <c r="AH129" i="4"/>
  <c r="AL129" i="4"/>
  <c r="AP129" i="4"/>
  <c r="AT129" i="4"/>
  <c r="AX129" i="4"/>
  <c r="BB129" i="4"/>
  <c r="BF129" i="4"/>
  <c r="BJ129" i="4"/>
  <c r="BN129" i="4"/>
  <c r="BR129" i="4"/>
  <c r="BV129" i="4"/>
  <c r="BZ129" i="4"/>
  <c r="CD129" i="4"/>
  <c r="CH129" i="4"/>
  <c r="F130" i="4"/>
  <c r="J130" i="4"/>
  <c r="N130" i="4"/>
  <c r="R130" i="4"/>
  <c r="V130" i="4"/>
  <c r="Z130" i="4"/>
  <c r="AD130" i="4"/>
  <c r="AH130" i="4"/>
  <c r="AL130" i="4"/>
  <c r="AP130" i="4"/>
  <c r="AT130" i="4"/>
  <c r="AX130" i="4"/>
  <c r="BB130" i="4"/>
  <c r="BF130" i="4"/>
  <c r="BJ130" i="4"/>
  <c r="BN130" i="4"/>
  <c r="BR130" i="4"/>
  <c r="BV130" i="4"/>
  <c r="BZ130" i="4"/>
  <c r="CD130" i="4"/>
  <c r="CH130" i="4"/>
  <c r="F131" i="4"/>
  <c r="G127" i="4"/>
  <c r="L127" i="4"/>
  <c r="Q127" i="4"/>
  <c r="W127" i="4"/>
  <c r="AB127" i="4"/>
  <c r="AG127" i="4"/>
  <c r="AM127" i="4"/>
  <c r="AR127" i="4"/>
  <c r="AW127" i="4"/>
  <c r="BC127" i="4"/>
  <c r="BH127" i="4"/>
  <c r="BM127" i="4"/>
  <c r="BS127" i="4"/>
  <c r="BX127" i="4"/>
  <c r="CC127" i="4"/>
  <c r="CI127" i="4"/>
  <c r="H128" i="4"/>
  <c r="M128" i="4"/>
  <c r="S128" i="4"/>
  <c r="X128" i="4"/>
  <c r="AC128" i="4"/>
  <c r="AI128" i="4"/>
  <c r="AN128" i="4"/>
  <c r="AS128" i="4"/>
  <c r="AY128" i="4"/>
  <c r="BD128" i="4"/>
  <c r="BI128" i="4"/>
  <c r="BO128" i="4"/>
  <c r="BT128" i="4"/>
  <c r="BY128" i="4"/>
  <c r="CE128" i="4"/>
  <c r="CJ128" i="4"/>
  <c r="I129" i="4"/>
  <c r="O129" i="4"/>
  <c r="T129" i="4"/>
  <c r="Y129" i="4"/>
  <c r="AE129" i="4"/>
  <c r="AJ129" i="4"/>
  <c r="AO129" i="4"/>
  <c r="AU129" i="4"/>
  <c r="AZ129" i="4"/>
  <c r="BE129" i="4"/>
  <c r="BK129" i="4"/>
  <c r="BP129" i="4"/>
  <c r="BU129" i="4"/>
  <c r="CA129" i="4"/>
  <c r="CF129" i="4"/>
  <c r="CK129" i="4"/>
  <c r="K130" i="4"/>
  <c r="P130" i="4"/>
  <c r="U130" i="4"/>
  <c r="AA130" i="4"/>
  <c r="AF130" i="4"/>
  <c r="AK130" i="4"/>
  <c r="AQ130" i="4"/>
  <c r="AV130" i="4"/>
  <c r="BA130" i="4"/>
  <c r="BG130" i="4"/>
  <c r="BL130" i="4"/>
  <c r="BQ130" i="4"/>
  <c r="BW130" i="4"/>
  <c r="CB130" i="4"/>
  <c r="CG130" i="4"/>
  <c r="G131" i="4"/>
  <c r="K131" i="4"/>
  <c r="O131" i="4"/>
  <c r="S131" i="4"/>
  <c r="W131" i="4"/>
  <c r="AA131" i="4"/>
  <c r="AE131" i="4"/>
  <c r="AI131" i="4"/>
  <c r="AM131" i="4"/>
  <c r="AQ131" i="4"/>
  <c r="AU131" i="4"/>
  <c r="AY131" i="4"/>
  <c r="BC131" i="4"/>
  <c r="BG131" i="4"/>
  <c r="BK131" i="4"/>
  <c r="BO131" i="4"/>
  <c r="BS131" i="4"/>
  <c r="BW131" i="4"/>
  <c r="CA131" i="4"/>
  <c r="CE131" i="4"/>
  <c r="CI131" i="4"/>
  <c r="G132" i="4"/>
  <c r="H127" i="4"/>
  <c r="M127" i="4"/>
  <c r="S127" i="4"/>
  <c r="X127" i="4"/>
  <c r="AC127" i="4"/>
  <c r="AI127" i="4"/>
  <c r="AN127" i="4"/>
  <c r="AS127" i="4"/>
  <c r="AY127" i="4"/>
  <c r="BD127" i="4"/>
  <c r="BI127" i="4"/>
  <c r="BO127" i="4"/>
  <c r="BT127" i="4"/>
  <c r="BY127" i="4"/>
  <c r="CE127" i="4"/>
  <c r="CJ127" i="4"/>
  <c r="I128" i="4"/>
  <c r="O128" i="4"/>
  <c r="T128" i="4"/>
  <c r="Y128" i="4"/>
  <c r="AE128" i="4"/>
  <c r="AJ128" i="4"/>
  <c r="AO128" i="4"/>
  <c r="AU128" i="4"/>
  <c r="AZ128" i="4"/>
  <c r="BE128" i="4"/>
  <c r="BK128" i="4"/>
  <c r="BP128" i="4"/>
  <c r="BU128" i="4"/>
  <c r="CA128" i="4"/>
  <c r="CF128" i="4"/>
  <c r="CK128" i="4"/>
  <c r="K129" i="4"/>
  <c r="P129" i="4"/>
  <c r="U129" i="4"/>
  <c r="AA129" i="4"/>
  <c r="AF129" i="4"/>
  <c r="AK129" i="4"/>
  <c r="AQ129" i="4"/>
  <c r="AV129" i="4"/>
  <c r="BA129" i="4"/>
  <c r="BG129" i="4"/>
  <c r="BL129" i="4"/>
  <c r="BQ129" i="4"/>
  <c r="BW129" i="4"/>
  <c r="CB129" i="4"/>
  <c r="CG129" i="4"/>
  <c r="G130" i="4"/>
  <c r="L130" i="4"/>
  <c r="Q130" i="4"/>
  <c r="W130" i="4"/>
  <c r="AB130" i="4"/>
  <c r="AG130" i="4"/>
  <c r="AM130" i="4"/>
  <c r="AR130" i="4"/>
  <c r="AW130" i="4"/>
  <c r="BC130" i="4"/>
  <c r="BH130" i="4"/>
  <c r="BM130" i="4"/>
  <c r="BS130" i="4"/>
  <c r="BX130" i="4"/>
  <c r="CC130" i="4"/>
  <c r="CI130" i="4"/>
  <c r="H131" i="4"/>
  <c r="I127" i="4"/>
  <c r="T127" i="4"/>
  <c r="AE127" i="4"/>
  <c r="AO127" i="4"/>
  <c r="AZ127" i="4"/>
  <c r="BK127" i="4"/>
  <c r="BU127" i="4"/>
  <c r="CF127" i="4"/>
  <c r="K128" i="4"/>
  <c r="U128" i="4"/>
  <c r="AF128" i="4"/>
  <c r="AQ128" i="4"/>
  <c r="BA128" i="4"/>
  <c r="BL128" i="4"/>
  <c r="BW128" i="4"/>
  <c r="CG128" i="4"/>
  <c r="L129" i="4"/>
  <c r="W129" i="4"/>
  <c r="AG129" i="4"/>
  <c r="AR129" i="4"/>
  <c r="BC129" i="4"/>
  <c r="BM129" i="4"/>
  <c r="BX129" i="4"/>
  <c r="CI129" i="4"/>
  <c r="M130" i="4"/>
  <c r="X130" i="4"/>
  <c r="AI130" i="4"/>
  <c r="AS130" i="4"/>
  <c r="BD130" i="4"/>
  <c r="BO130" i="4"/>
  <c r="BY130" i="4"/>
  <c r="CJ130" i="4"/>
  <c r="L131" i="4"/>
  <c r="Q131" i="4"/>
  <c r="V131" i="4"/>
  <c r="AB131" i="4"/>
  <c r="AG131" i="4"/>
  <c r="AL131" i="4"/>
  <c r="AR131" i="4"/>
  <c r="AW131" i="4"/>
  <c r="BB131" i="4"/>
  <c r="BH131" i="4"/>
  <c r="BM131" i="4"/>
  <c r="BR131" i="4"/>
  <c r="BX131" i="4"/>
  <c r="CC131" i="4"/>
  <c r="CH131" i="4"/>
  <c r="H132" i="4"/>
  <c r="L132" i="4"/>
  <c r="P132" i="4"/>
  <c r="T132" i="4"/>
  <c r="X132" i="4"/>
  <c r="AB132" i="4"/>
  <c r="AF132" i="4"/>
  <c r="AJ132" i="4"/>
  <c r="AN132" i="4"/>
  <c r="AR132" i="4"/>
  <c r="AV132" i="4"/>
  <c r="AZ132" i="4"/>
  <c r="BD132" i="4"/>
  <c r="BH132" i="4"/>
  <c r="BL132" i="4"/>
  <c r="BP132" i="4"/>
  <c r="BT132" i="4"/>
  <c r="BX132" i="4"/>
  <c r="CB132" i="4"/>
  <c r="CF132" i="4"/>
  <c r="CJ132" i="4"/>
  <c r="K127" i="4"/>
  <c r="U127" i="4"/>
  <c r="AF127" i="4"/>
  <c r="AQ127" i="4"/>
  <c r="BA127" i="4"/>
  <c r="BL127" i="4"/>
  <c r="BW127" i="4"/>
  <c r="CG127" i="4"/>
  <c r="L128" i="4"/>
  <c r="W128" i="4"/>
  <c r="AG128" i="4"/>
  <c r="AR128" i="4"/>
  <c r="BC128" i="4"/>
  <c r="BM128" i="4"/>
  <c r="BX128" i="4"/>
  <c r="CI128" i="4"/>
  <c r="M129" i="4"/>
  <c r="X129" i="4"/>
  <c r="AI129" i="4"/>
  <c r="AS129" i="4"/>
  <c r="BD129" i="4"/>
  <c r="BO129" i="4"/>
  <c r="BY129" i="4"/>
  <c r="CJ129" i="4"/>
  <c r="O130" i="4"/>
  <c r="Y130" i="4"/>
  <c r="AJ130" i="4"/>
  <c r="AU130" i="4"/>
  <c r="BE130" i="4"/>
  <c r="BP130" i="4"/>
  <c r="CA130" i="4"/>
  <c r="CK130" i="4"/>
  <c r="M131" i="4"/>
  <c r="R131" i="4"/>
  <c r="X131" i="4"/>
  <c r="AC131" i="4"/>
  <c r="AH131" i="4"/>
  <c r="AN131" i="4"/>
  <c r="AS131" i="4"/>
  <c r="AX131" i="4"/>
  <c r="BD131" i="4"/>
  <c r="BI131" i="4"/>
  <c r="BN131" i="4"/>
  <c r="BT131" i="4"/>
  <c r="BY131" i="4"/>
  <c r="CD131" i="4"/>
  <c r="CJ131" i="4"/>
  <c r="I132" i="4"/>
  <c r="M132" i="4"/>
  <c r="Q132" i="4"/>
  <c r="U132" i="4"/>
  <c r="Y132" i="4"/>
  <c r="AC132" i="4"/>
  <c r="AG132" i="4"/>
  <c r="AK132" i="4"/>
  <c r="AO132" i="4"/>
  <c r="AS132" i="4"/>
  <c r="AW132" i="4"/>
  <c r="BA132" i="4"/>
  <c r="BE132" i="4"/>
  <c r="BI132" i="4"/>
  <c r="BM132" i="4"/>
  <c r="BQ132" i="4"/>
  <c r="BU132" i="4"/>
  <c r="BY132" i="4"/>
  <c r="CC132" i="4"/>
  <c r="CG132" i="4"/>
  <c r="CK132" i="4"/>
  <c r="O127" i="4"/>
  <c r="AJ127" i="4"/>
  <c r="BE127" i="4"/>
  <c r="CA127" i="4"/>
  <c r="P128" i="4"/>
  <c r="AK128" i="4"/>
  <c r="BG128" i="4"/>
  <c r="CB128" i="4"/>
  <c r="Q129" i="4"/>
  <c r="AM129" i="4"/>
  <c r="BH129" i="4"/>
  <c r="CC129" i="4"/>
  <c r="S130" i="4"/>
  <c r="AN130" i="4"/>
  <c r="BI130" i="4"/>
  <c r="CE130" i="4"/>
  <c r="N131" i="4"/>
  <c r="Y131" i="4"/>
  <c r="AJ131" i="4"/>
  <c r="AT131" i="4"/>
  <c r="BE131" i="4"/>
  <c r="BP131" i="4"/>
  <c r="BZ131" i="4"/>
  <c r="CK131" i="4"/>
  <c r="N132" i="4"/>
  <c r="V132" i="4"/>
  <c r="AD132" i="4"/>
  <c r="AL132" i="4"/>
  <c r="AT132" i="4"/>
  <c r="BB132" i="4"/>
  <c r="BJ132" i="4"/>
  <c r="BR132" i="4"/>
  <c r="BZ132" i="4"/>
  <c r="CH132" i="4"/>
  <c r="P127" i="4"/>
  <c r="AK127" i="4"/>
  <c r="BG127" i="4"/>
  <c r="CB127" i="4"/>
  <c r="Q128" i="4"/>
  <c r="AM128" i="4"/>
  <c r="BH128" i="4"/>
  <c r="CC128" i="4"/>
  <c r="S129" i="4"/>
  <c r="AN129" i="4"/>
  <c r="BI129" i="4"/>
  <c r="CE129" i="4"/>
  <c r="T130" i="4"/>
  <c r="AO130" i="4"/>
  <c r="BK130" i="4"/>
  <c r="CF130" i="4"/>
  <c r="P131" i="4"/>
  <c r="Z131" i="4"/>
  <c r="AK131" i="4"/>
  <c r="AV131" i="4"/>
  <c r="BF131" i="4"/>
  <c r="BQ131" i="4"/>
  <c r="CB131" i="4"/>
  <c r="F132" i="4"/>
  <c r="O132" i="4"/>
  <c r="W132" i="4"/>
  <c r="AE132" i="4"/>
  <c r="AM132" i="4"/>
  <c r="AU132" i="4"/>
  <c r="BC132" i="4"/>
  <c r="BK132" i="4"/>
  <c r="BS132" i="4"/>
  <c r="CA132" i="4"/>
  <c r="CI132" i="4"/>
  <c r="Y127" i="4"/>
  <c r="BP127" i="4"/>
  <c r="AA128" i="4"/>
  <c r="BQ128" i="4"/>
  <c r="AB129" i="4"/>
  <c r="BS129" i="4"/>
  <c r="AC130" i="4"/>
  <c r="BT130" i="4"/>
  <c r="T131" i="4"/>
  <c r="AO131" i="4"/>
  <c r="BJ131" i="4"/>
  <c r="CF131" i="4"/>
  <c r="R132" i="4"/>
  <c r="AH132" i="4"/>
  <c r="AX132" i="4"/>
  <c r="BN132" i="4"/>
  <c r="CD132" i="4"/>
  <c r="AA127" i="4"/>
  <c r="BQ127" i="4"/>
  <c r="AB128" i="4"/>
  <c r="BS128" i="4"/>
  <c r="AC129" i="4"/>
  <c r="BT129" i="4"/>
  <c r="AE130" i="4"/>
  <c r="BU130" i="4"/>
  <c r="U131" i="4"/>
  <c r="AP131" i="4"/>
  <c r="BL131" i="4"/>
  <c r="CG131" i="4"/>
  <c r="S132" i="4"/>
  <c r="AI132" i="4"/>
  <c r="AY132" i="4"/>
  <c r="BO132" i="4"/>
  <c r="CE132" i="4"/>
  <c r="AU127" i="4"/>
  <c r="AV128" i="4"/>
  <c r="AW129" i="4"/>
  <c r="AY130" i="4"/>
  <c r="AD131" i="4"/>
  <c r="BU131" i="4"/>
  <c r="Z132" i="4"/>
  <c r="BF132" i="4"/>
  <c r="AV127" i="4"/>
  <c r="AW128" i="4"/>
  <c r="AY129" i="4"/>
  <c r="AZ130" i="4"/>
  <c r="AF131" i="4"/>
  <c r="BV131" i="4"/>
  <c r="AA132" i="4"/>
  <c r="BG132" i="4"/>
  <c r="CK127" i="4"/>
  <c r="H130" i="4"/>
  <c r="AZ131" i="4"/>
  <c r="AP132" i="4"/>
  <c r="I131" i="4"/>
  <c r="H129" i="4"/>
  <c r="K132" i="4"/>
  <c r="BW132" i="4"/>
  <c r="G128" i="4"/>
  <c r="I130" i="4"/>
  <c r="BA131" i="4"/>
  <c r="AQ132" i="4"/>
  <c r="G129" i="4"/>
  <c r="J132" i="4"/>
  <c r="BV132" i="4"/>
  <c r="J131" i="4"/>
  <c r="BP143" i="3" l="1"/>
  <c r="BQ120" i="3"/>
  <c r="M306" i="3"/>
  <c r="U306" i="3"/>
  <c r="AC306" i="3"/>
  <c r="AK306" i="3"/>
  <c r="AS306" i="3"/>
  <c r="BA306" i="3"/>
  <c r="BI306" i="3"/>
  <c r="BQ306" i="3"/>
  <c r="BY306" i="3"/>
  <c r="CG306" i="3"/>
  <c r="I307" i="3"/>
  <c r="Q307" i="3"/>
  <c r="Y307" i="3"/>
  <c r="AG307" i="3"/>
  <c r="AO307" i="3"/>
  <c r="AW307" i="3"/>
  <c r="BE307" i="3"/>
  <c r="BM307" i="3"/>
  <c r="BU307" i="3"/>
  <c r="CC307" i="3"/>
  <c r="CK307" i="3"/>
  <c r="M308" i="3"/>
  <c r="U308" i="3"/>
  <c r="AC308" i="3"/>
  <c r="AK308" i="3"/>
  <c r="AS308" i="3"/>
  <c r="BA308" i="3"/>
  <c r="BI308" i="3"/>
  <c r="BQ308" i="3"/>
  <c r="BY308" i="3"/>
  <c r="CG308" i="3"/>
  <c r="R306" i="3"/>
  <c r="AL307" i="3"/>
  <c r="BR307" i="3"/>
  <c r="Z308" i="3"/>
  <c r="AX308" i="3"/>
  <c r="F306" i="3"/>
  <c r="N306" i="3"/>
  <c r="V306" i="3"/>
  <c r="AD306" i="3"/>
  <c r="AL306" i="3"/>
  <c r="AT306" i="3"/>
  <c r="BB306" i="3"/>
  <c r="BJ306" i="3"/>
  <c r="BR306" i="3"/>
  <c r="BZ306" i="3"/>
  <c r="CH306" i="3"/>
  <c r="J307" i="3"/>
  <c r="R307" i="3"/>
  <c r="Z307" i="3"/>
  <c r="AH307" i="3"/>
  <c r="AP307" i="3"/>
  <c r="AX307" i="3"/>
  <c r="BF307" i="3"/>
  <c r="BN307" i="3"/>
  <c r="BV307" i="3"/>
  <c r="CD307" i="3"/>
  <c r="F308" i="3"/>
  <c r="N308" i="3"/>
  <c r="V308" i="3"/>
  <c r="AD308" i="3"/>
  <c r="AL308" i="3"/>
  <c r="AT308" i="3"/>
  <c r="BB308" i="3"/>
  <c r="BJ308" i="3"/>
  <c r="BR308" i="3"/>
  <c r="BZ308" i="3"/>
  <c r="CH308" i="3"/>
  <c r="R308" i="3"/>
  <c r="G306" i="3"/>
  <c r="O306" i="3"/>
  <c r="W306" i="3"/>
  <c r="AE306" i="3"/>
  <c r="AM306" i="3"/>
  <c r="AU306" i="3"/>
  <c r="BC306" i="3"/>
  <c r="BK306" i="3"/>
  <c r="BS306" i="3"/>
  <c r="CA306" i="3"/>
  <c r="CI306" i="3"/>
  <c r="K307" i="3"/>
  <c r="S307" i="3"/>
  <c r="AA307" i="3"/>
  <c r="AI307" i="3"/>
  <c r="AQ307" i="3"/>
  <c r="AY307" i="3"/>
  <c r="BG307" i="3"/>
  <c r="BO307" i="3"/>
  <c r="BW307" i="3"/>
  <c r="CE307" i="3"/>
  <c r="G308" i="3"/>
  <c r="O308" i="3"/>
  <c r="W308" i="3"/>
  <c r="AE308" i="3"/>
  <c r="AM308" i="3"/>
  <c r="AU308" i="3"/>
  <c r="BC308" i="3"/>
  <c r="BK308" i="3"/>
  <c r="BS308" i="3"/>
  <c r="CA308" i="3"/>
  <c r="CI308" i="3"/>
  <c r="Z306" i="3"/>
  <c r="AD307" i="3"/>
  <c r="BB307" i="3"/>
  <c r="J308" i="3"/>
  <c r="AP308" i="3"/>
  <c r="BV308" i="3"/>
  <c r="H306" i="3"/>
  <c r="P306" i="3"/>
  <c r="X306" i="3"/>
  <c r="AF306" i="3"/>
  <c r="AN306" i="3"/>
  <c r="AV306" i="3"/>
  <c r="BD306" i="3"/>
  <c r="BL306" i="3"/>
  <c r="BT306" i="3"/>
  <c r="CB306" i="3"/>
  <c r="CJ306" i="3"/>
  <c r="L307" i="3"/>
  <c r="T307" i="3"/>
  <c r="AB307" i="3"/>
  <c r="AJ307" i="3"/>
  <c r="AR307" i="3"/>
  <c r="AZ307" i="3"/>
  <c r="BH307" i="3"/>
  <c r="BP307" i="3"/>
  <c r="BX307" i="3"/>
  <c r="CF307" i="3"/>
  <c r="H308" i="3"/>
  <c r="P308" i="3"/>
  <c r="X308" i="3"/>
  <c r="AF308" i="3"/>
  <c r="AN308" i="3"/>
  <c r="AV308" i="3"/>
  <c r="BD308" i="3"/>
  <c r="BL308" i="3"/>
  <c r="BT308" i="3"/>
  <c r="CB308" i="3"/>
  <c r="CJ308" i="3"/>
  <c r="F307" i="3"/>
  <c r="BN308" i="3"/>
  <c r="I306" i="3"/>
  <c r="Q306" i="3"/>
  <c r="Y306" i="3"/>
  <c r="AG306" i="3"/>
  <c r="AO306" i="3"/>
  <c r="AW306" i="3"/>
  <c r="BE306" i="3"/>
  <c r="BM306" i="3"/>
  <c r="BU306" i="3"/>
  <c r="CC306" i="3"/>
  <c r="CK306" i="3"/>
  <c r="M307" i="3"/>
  <c r="U307" i="3"/>
  <c r="AC307" i="3"/>
  <c r="AK307" i="3"/>
  <c r="AS307" i="3"/>
  <c r="BA307" i="3"/>
  <c r="BI307" i="3"/>
  <c r="BQ307" i="3"/>
  <c r="BY307" i="3"/>
  <c r="CG307" i="3"/>
  <c r="I308" i="3"/>
  <c r="Q308" i="3"/>
  <c r="Y308" i="3"/>
  <c r="AG308" i="3"/>
  <c r="AO308" i="3"/>
  <c r="AW308" i="3"/>
  <c r="BE308" i="3"/>
  <c r="BM308" i="3"/>
  <c r="BU308" i="3"/>
  <c r="CC308" i="3"/>
  <c r="CK308" i="3"/>
  <c r="J306" i="3"/>
  <c r="AH306" i="3"/>
  <c r="AX306" i="3"/>
  <c r="BF306" i="3"/>
  <c r="BN306" i="3"/>
  <c r="BV306" i="3"/>
  <c r="CD306" i="3"/>
  <c r="V307" i="3"/>
  <c r="AT307" i="3"/>
  <c r="BJ307" i="3"/>
  <c r="BZ307" i="3"/>
  <c r="AH308" i="3"/>
  <c r="BF308" i="3"/>
  <c r="K306" i="3"/>
  <c r="S306" i="3"/>
  <c r="AA306" i="3"/>
  <c r="AI306" i="3"/>
  <c r="AQ306" i="3"/>
  <c r="AY306" i="3"/>
  <c r="BG306" i="3"/>
  <c r="BO306" i="3"/>
  <c r="BW306" i="3"/>
  <c r="CE306" i="3"/>
  <c r="G307" i="3"/>
  <c r="O307" i="3"/>
  <c r="W307" i="3"/>
  <c r="AE307" i="3"/>
  <c r="AM307" i="3"/>
  <c r="AU307" i="3"/>
  <c r="BC307" i="3"/>
  <c r="BK307" i="3"/>
  <c r="BS307" i="3"/>
  <c r="CA307" i="3"/>
  <c r="CI307" i="3"/>
  <c r="K308" i="3"/>
  <c r="S308" i="3"/>
  <c r="AA308" i="3"/>
  <c r="AI308" i="3"/>
  <c r="AQ308" i="3"/>
  <c r="AY308" i="3"/>
  <c r="BG308" i="3"/>
  <c r="BO308" i="3"/>
  <c r="BW308" i="3"/>
  <c r="CE308" i="3"/>
  <c r="AP306" i="3"/>
  <c r="CH307" i="3"/>
  <c r="CD308" i="3"/>
  <c r="L306" i="3"/>
  <c r="T306" i="3"/>
  <c r="AB306" i="3"/>
  <c r="AJ306" i="3"/>
  <c r="AR306" i="3"/>
  <c r="AZ306" i="3"/>
  <c r="BH306" i="3"/>
  <c r="BP306" i="3"/>
  <c r="BX306" i="3"/>
  <c r="CF306" i="3"/>
  <c r="H307" i="3"/>
  <c r="P307" i="3"/>
  <c r="X307" i="3"/>
  <c r="AF307" i="3"/>
  <c r="AN307" i="3"/>
  <c r="AV307" i="3"/>
  <c r="BD307" i="3"/>
  <c r="BL307" i="3"/>
  <c r="BT307" i="3"/>
  <c r="CB307" i="3"/>
  <c r="CJ307" i="3"/>
  <c r="L308" i="3"/>
  <c r="T308" i="3"/>
  <c r="AB308" i="3"/>
  <c r="AJ308" i="3"/>
  <c r="AR308" i="3"/>
  <c r="AZ308" i="3"/>
  <c r="BH308" i="3"/>
  <c r="BP308" i="3"/>
  <c r="BX308" i="3"/>
  <c r="CF308" i="3"/>
  <c r="N307" i="3"/>
  <c r="F270" i="3"/>
  <c r="N270" i="3"/>
  <c r="V270" i="3"/>
  <c r="AD270" i="3"/>
  <c r="AL270" i="3"/>
  <c r="AT270" i="3"/>
  <c r="BB270" i="3"/>
  <c r="BJ270" i="3"/>
  <c r="BR270" i="3"/>
  <c r="BZ270" i="3"/>
  <c r="CH270" i="3"/>
  <c r="J271" i="3"/>
  <c r="R271" i="3"/>
  <c r="Z271" i="3"/>
  <c r="AH271" i="3"/>
  <c r="AP271" i="3"/>
  <c r="AX271" i="3"/>
  <c r="BF271" i="3"/>
  <c r="BN271" i="3"/>
  <c r="BV271" i="3"/>
  <c r="CD271" i="3"/>
  <c r="F272" i="3"/>
  <c r="N272" i="3"/>
  <c r="V272" i="3"/>
  <c r="AD272" i="3"/>
  <c r="AL272" i="3"/>
  <c r="AT272" i="3"/>
  <c r="BB272" i="3"/>
  <c r="BJ272" i="3"/>
  <c r="BR272" i="3"/>
  <c r="BZ272" i="3"/>
  <c r="CH272" i="3"/>
  <c r="J273" i="3"/>
  <c r="R273" i="3"/>
  <c r="Z273" i="3"/>
  <c r="AH273" i="3"/>
  <c r="AP273" i="3"/>
  <c r="AX273" i="3"/>
  <c r="BF273" i="3"/>
  <c r="BN273" i="3"/>
  <c r="BV273" i="3"/>
  <c r="CD273" i="3"/>
  <c r="F274" i="3"/>
  <c r="N274" i="3"/>
  <c r="V274" i="3"/>
  <c r="AD274" i="3"/>
  <c r="AL274" i="3"/>
  <c r="AT274" i="3"/>
  <c r="BB274" i="3"/>
  <c r="BJ274" i="3"/>
  <c r="BR274" i="3"/>
  <c r="BZ274" i="3"/>
  <c r="CH274" i="3"/>
  <c r="J275" i="3"/>
  <c r="R275" i="3"/>
  <c r="Z275" i="3"/>
  <c r="AH275" i="3"/>
  <c r="AP275" i="3"/>
  <c r="AX275" i="3"/>
  <c r="BF275" i="3"/>
  <c r="BN275" i="3"/>
  <c r="BV275" i="3"/>
  <c r="CD275" i="3"/>
  <c r="F276" i="3"/>
  <c r="N276" i="3"/>
  <c r="V276" i="3"/>
  <c r="AD276" i="3"/>
  <c r="AL276" i="3"/>
  <c r="AT276" i="3"/>
  <c r="BB276" i="3"/>
  <c r="BJ276" i="3"/>
  <c r="BR276" i="3"/>
  <c r="BZ276" i="3"/>
  <c r="CH276" i="3"/>
  <c r="J277" i="3"/>
  <c r="R277" i="3"/>
  <c r="Z277" i="3"/>
  <c r="AH277" i="3"/>
  <c r="AP277" i="3"/>
  <c r="AX277" i="3"/>
  <c r="BF277" i="3"/>
  <c r="BN277" i="3"/>
  <c r="BV277" i="3"/>
  <c r="CD277" i="3"/>
  <c r="F278" i="3"/>
  <c r="G270" i="3"/>
  <c r="O270" i="3"/>
  <c r="W270" i="3"/>
  <c r="AE270" i="3"/>
  <c r="AM270" i="3"/>
  <c r="AU270" i="3"/>
  <c r="BC270" i="3"/>
  <c r="BK270" i="3"/>
  <c r="BS270" i="3"/>
  <c r="CA270" i="3"/>
  <c r="CI270" i="3"/>
  <c r="K271" i="3"/>
  <c r="S271" i="3"/>
  <c r="AA271" i="3"/>
  <c r="AI271" i="3"/>
  <c r="AQ271" i="3"/>
  <c r="AY271" i="3"/>
  <c r="BG271" i="3"/>
  <c r="BO271" i="3"/>
  <c r="BW271" i="3"/>
  <c r="CE271" i="3"/>
  <c r="G272" i="3"/>
  <c r="O272" i="3"/>
  <c r="W272" i="3"/>
  <c r="AE272" i="3"/>
  <c r="AM272" i="3"/>
  <c r="AU272" i="3"/>
  <c r="BC272" i="3"/>
  <c r="BK272" i="3"/>
  <c r="BS272" i="3"/>
  <c r="CA272" i="3"/>
  <c r="CI272" i="3"/>
  <c r="K273" i="3"/>
  <c r="S273" i="3"/>
  <c r="AA273" i="3"/>
  <c r="AI273" i="3"/>
  <c r="AQ273" i="3"/>
  <c r="AY273" i="3"/>
  <c r="BG273" i="3"/>
  <c r="BO273" i="3"/>
  <c r="BW273" i="3"/>
  <c r="CE273" i="3"/>
  <c r="G274" i="3"/>
  <c r="O274" i="3"/>
  <c r="W274" i="3"/>
  <c r="AE274" i="3"/>
  <c r="AM274" i="3"/>
  <c r="AU274" i="3"/>
  <c r="BC274" i="3"/>
  <c r="BK274" i="3"/>
  <c r="BS274" i="3"/>
  <c r="CA274" i="3"/>
  <c r="CI274" i="3"/>
  <c r="K275" i="3"/>
  <c r="S275" i="3"/>
  <c r="AA275" i="3"/>
  <c r="AI275" i="3"/>
  <c r="AQ275" i="3"/>
  <c r="AY275" i="3"/>
  <c r="BG275" i="3"/>
  <c r="BO275" i="3"/>
  <c r="BW275" i="3"/>
  <c r="CE275" i="3"/>
  <c r="G276" i="3"/>
  <c r="O276" i="3"/>
  <c r="W276" i="3"/>
  <c r="AE276" i="3"/>
  <c r="AM276" i="3"/>
  <c r="AU276" i="3"/>
  <c r="BC276" i="3"/>
  <c r="BK276" i="3"/>
  <c r="BS276" i="3"/>
  <c r="CA276" i="3"/>
  <c r="CI276" i="3"/>
  <c r="K277" i="3"/>
  <c r="S277" i="3"/>
  <c r="AA277" i="3"/>
  <c r="AI277" i="3"/>
  <c r="AQ277" i="3"/>
  <c r="AY277" i="3"/>
  <c r="BG277" i="3"/>
  <c r="BO277" i="3"/>
  <c r="BW277" i="3"/>
  <c r="CE277" i="3"/>
  <c r="G278" i="3"/>
  <c r="H270" i="3"/>
  <c r="P270" i="3"/>
  <c r="X270" i="3"/>
  <c r="AF270" i="3"/>
  <c r="AN270" i="3"/>
  <c r="AV270" i="3"/>
  <c r="BD270" i="3"/>
  <c r="BL270" i="3"/>
  <c r="BT270" i="3"/>
  <c r="CB270" i="3"/>
  <c r="CJ270" i="3"/>
  <c r="L271" i="3"/>
  <c r="T271" i="3"/>
  <c r="AB271" i="3"/>
  <c r="AJ271" i="3"/>
  <c r="AR271" i="3"/>
  <c r="AZ271" i="3"/>
  <c r="BH271" i="3"/>
  <c r="BP271" i="3"/>
  <c r="BX271" i="3"/>
  <c r="CF271" i="3"/>
  <c r="H272" i="3"/>
  <c r="P272" i="3"/>
  <c r="X272" i="3"/>
  <c r="AF272" i="3"/>
  <c r="AN272" i="3"/>
  <c r="AV272" i="3"/>
  <c r="BD272" i="3"/>
  <c r="BL272" i="3"/>
  <c r="BT272" i="3"/>
  <c r="CB272" i="3"/>
  <c r="CJ272" i="3"/>
  <c r="L273" i="3"/>
  <c r="T273" i="3"/>
  <c r="AB273" i="3"/>
  <c r="AJ273" i="3"/>
  <c r="AR273" i="3"/>
  <c r="AZ273" i="3"/>
  <c r="BH273" i="3"/>
  <c r="BP273" i="3"/>
  <c r="BX273" i="3"/>
  <c r="CF273" i="3"/>
  <c r="H274" i="3"/>
  <c r="P274" i="3"/>
  <c r="X274" i="3"/>
  <c r="AF274" i="3"/>
  <c r="AN274" i="3"/>
  <c r="AV274" i="3"/>
  <c r="BD274" i="3"/>
  <c r="BL274" i="3"/>
  <c r="BT274" i="3"/>
  <c r="CB274" i="3"/>
  <c r="CJ274" i="3"/>
  <c r="L275" i="3"/>
  <c r="T275" i="3"/>
  <c r="AB275" i="3"/>
  <c r="AJ275" i="3"/>
  <c r="AR275" i="3"/>
  <c r="AZ275" i="3"/>
  <c r="BH275" i="3"/>
  <c r="BP275" i="3"/>
  <c r="BX275" i="3"/>
  <c r="CF275" i="3"/>
  <c r="H276" i="3"/>
  <c r="P276" i="3"/>
  <c r="X276" i="3"/>
  <c r="AF276" i="3"/>
  <c r="AN276" i="3"/>
  <c r="AV276" i="3"/>
  <c r="BD276" i="3"/>
  <c r="BL276" i="3"/>
  <c r="BT276" i="3"/>
  <c r="CB276" i="3"/>
  <c r="CJ276" i="3"/>
  <c r="L277" i="3"/>
  <c r="T277" i="3"/>
  <c r="AB277" i="3"/>
  <c r="AJ277" i="3"/>
  <c r="I270" i="3"/>
  <c r="Q270" i="3"/>
  <c r="Y270" i="3"/>
  <c r="AG270" i="3"/>
  <c r="AO270" i="3"/>
  <c r="AW270" i="3"/>
  <c r="BE270" i="3"/>
  <c r="BM270" i="3"/>
  <c r="BU270" i="3"/>
  <c r="CC270" i="3"/>
  <c r="CK270" i="3"/>
  <c r="M271" i="3"/>
  <c r="U271" i="3"/>
  <c r="AC271" i="3"/>
  <c r="AK271" i="3"/>
  <c r="AS271" i="3"/>
  <c r="BA271" i="3"/>
  <c r="BI271" i="3"/>
  <c r="BQ271" i="3"/>
  <c r="BY271" i="3"/>
  <c r="CG271" i="3"/>
  <c r="I272" i="3"/>
  <c r="Q272" i="3"/>
  <c r="Y272" i="3"/>
  <c r="AG272" i="3"/>
  <c r="AO272" i="3"/>
  <c r="AW272" i="3"/>
  <c r="BE272" i="3"/>
  <c r="BM272" i="3"/>
  <c r="BU272" i="3"/>
  <c r="CC272" i="3"/>
  <c r="CK272" i="3"/>
  <c r="M273" i="3"/>
  <c r="U273" i="3"/>
  <c r="AC273" i="3"/>
  <c r="AK273" i="3"/>
  <c r="AS273" i="3"/>
  <c r="BA273" i="3"/>
  <c r="BI273" i="3"/>
  <c r="BQ273" i="3"/>
  <c r="BY273" i="3"/>
  <c r="CG273" i="3"/>
  <c r="I274" i="3"/>
  <c r="Q274" i="3"/>
  <c r="Y274" i="3"/>
  <c r="AG274" i="3"/>
  <c r="AO274" i="3"/>
  <c r="AW274" i="3"/>
  <c r="BE274" i="3"/>
  <c r="BM274" i="3"/>
  <c r="BU274" i="3"/>
  <c r="CC274" i="3"/>
  <c r="CK274" i="3"/>
  <c r="M275" i="3"/>
  <c r="U275" i="3"/>
  <c r="AC275" i="3"/>
  <c r="AK275" i="3"/>
  <c r="AS275" i="3"/>
  <c r="BA275" i="3"/>
  <c r="BI275" i="3"/>
  <c r="BQ275" i="3"/>
  <c r="BY275" i="3"/>
  <c r="CG275" i="3"/>
  <c r="I276" i="3"/>
  <c r="Q276" i="3"/>
  <c r="Y276" i="3"/>
  <c r="AG276" i="3"/>
  <c r="AO276" i="3"/>
  <c r="AW276" i="3"/>
  <c r="BE276" i="3"/>
  <c r="BM276" i="3"/>
  <c r="BU276" i="3"/>
  <c r="CC276" i="3"/>
  <c r="CK276" i="3"/>
  <c r="M277" i="3"/>
  <c r="U277" i="3"/>
  <c r="AC277" i="3"/>
  <c r="AK277" i="3"/>
  <c r="AS277" i="3"/>
  <c r="J270" i="3"/>
  <c r="R270" i="3"/>
  <c r="Z270" i="3"/>
  <c r="AH270" i="3"/>
  <c r="AP270" i="3"/>
  <c r="AX270" i="3"/>
  <c r="BF270" i="3"/>
  <c r="BN270" i="3"/>
  <c r="BV270" i="3"/>
  <c r="CD270" i="3"/>
  <c r="F271" i="3"/>
  <c r="N271" i="3"/>
  <c r="V271" i="3"/>
  <c r="AD271" i="3"/>
  <c r="AL271" i="3"/>
  <c r="AT271" i="3"/>
  <c r="BB271" i="3"/>
  <c r="BJ271" i="3"/>
  <c r="BR271" i="3"/>
  <c r="BZ271" i="3"/>
  <c r="CH271" i="3"/>
  <c r="J272" i="3"/>
  <c r="R272" i="3"/>
  <c r="Z272" i="3"/>
  <c r="AH272" i="3"/>
  <c r="AP272" i="3"/>
  <c r="AX272" i="3"/>
  <c r="BF272" i="3"/>
  <c r="BN272" i="3"/>
  <c r="BV272" i="3"/>
  <c r="CD272" i="3"/>
  <c r="F273" i="3"/>
  <c r="N273" i="3"/>
  <c r="V273" i="3"/>
  <c r="AD273" i="3"/>
  <c r="AL273" i="3"/>
  <c r="AT273" i="3"/>
  <c r="BB273" i="3"/>
  <c r="BJ273" i="3"/>
  <c r="BR273" i="3"/>
  <c r="BZ273" i="3"/>
  <c r="CH273" i="3"/>
  <c r="J274" i="3"/>
  <c r="R274" i="3"/>
  <c r="Z274" i="3"/>
  <c r="AH274" i="3"/>
  <c r="AP274" i="3"/>
  <c r="AX274" i="3"/>
  <c r="BF274" i="3"/>
  <c r="BN274" i="3"/>
  <c r="BV274" i="3"/>
  <c r="CD274" i="3"/>
  <c r="F275" i="3"/>
  <c r="N275" i="3"/>
  <c r="V275" i="3"/>
  <c r="AD275" i="3"/>
  <c r="AL275" i="3"/>
  <c r="AT275" i="3"/>
  <c r="K270" i="3"/>
  <c r="S270" i="3"/>
  <c r="AA270" i="3"/>
  <c r="AI270" i="3"/>
  <c r="AQ270" i="3"/>
  <c r="AY270" i="3"/>
  <c r="BG270" i="3"/>
  <c r="BO270" i="3"/>
  <c r="BW270" i="3"/>
  <c r="CE270" i="3"/>
  <c r="G271" i="3"/>
  <c r="O271" i="3"/>
  <c r="W271" i="3"/>
  <c r="AE271" i="3"/>
  <c r="AM271" i="3"/>
  <c r="AU271" i="3"/>
  <c r="BC271" i="3"/>
  <c r="BK271" i="3"/>
  <c r="BS271" i="3"/>
  <c r="CA271" i="3"/>
  <c r="CI271" i="3"/>
  <c r="K272" i="3"/>
  <c r="S272" i="3"/>
  <c r="AA272" i="3"/>
  <c r="AI272" i="3"/>
  <c r="AQ272" i="3"/>
  <c r="AY272" i="3"/>
  <c r="BG272" i="3"/>
  <c r="BO272" i="3"/>
  <c r="BW272" i="3"/>
  <c r="CE272" i="3"/>
  <c r="G273" i="3"/>
  <c r="O273" i="3"/>
  <c r="W273" i="3"/>
  <c r="AE273" i="3"/>
  <c r="AM273" i="3"/>
  <c r="AU273" i="3"/>
  <c r="BC273" i="3"/>
  <c r="BK273" i="3"/>
  <c r="BS273" i="3"/>
  <c r="CA273" i="3"/>
  <c r="CI273" i="3"/>
  <c r="K274" i="3"/>
  <c r="S274" i="3"/>
  <c r="AA274" i="3"/>
  <c r="AI274" i="3"/>
  <c r="AQ274" i="3"/>
  <c r="AY274" i="3"/>
  <c r="BG274" i="3"/>
  <c r="BO274" i="3"/>
  <c r="BW274" i="3"/>
  <c r="CE274" i="3"/>
  <c r="G275" i="3"/>
  <c r="O275" i="3"/>
  <c r="W275" i="3"/>
  <c r="AE275" i="3"/>
  <c r="AM275" i="3"/>
  <c r="AU275" i="3"/>
  <c r="BC275" i="3"/>
  <c r="BK275" i="3"/>
  <c r="BS275" i="3"/>
  <c r="CA275" i="3"/>
  <c r="CI275" i="3"/>
  <c r="K276" i="3"/>
  <c r="S276" i="3"/>
  <c r="AA276" i="3"/>
  <c r="AI276" i="3"/>
  <c r="AQ276" i="3"/>
  <c r="AY276" i="3"/>
  <c r="BG276" i="3"/>
  <c r="BO276" i="3"/>
  <c r="BW276" i="3"/>
  <c r="CE276" i="3"/>
  <c r="G277" i="3"/>
  <c r="O277" i="3"/>
  <c r="W277" i="3"/>
  <c r="L270" i="3"/>
  <c r="AR270" i="3"/>
  <c r="BX270" i="3"/>
  <c r="X271" i="3"/>
  <c r="BD271" i="3"/>
  <c r="CJ271" i="3"/>
  <c r="AJ272" i="3"/>
  <c r="BP272" i="3"/>
  <c r="P273" i="3"/>
  <c r="AV273" i="3"/>
  <c r="CB273" i="3"/>
  <c r="AB274" i="3"/>
  <c r="BH274" i="3"/>
  <c r="H275" i="3"/>
  <c r="AN275" i="3"/>
  <c r="BL275" i="3"/>
  <c r="CH275" i="3"/>
  <c r="U276" i="3"/>
  <c r="AR276" i="3"/>
  <c r="BN276" i="3"/>
  <c r="CG276" i="3"/>
  <c r="X277" i="3"/>
  <c r="AN277" i="3"/>
  <c r="BA277" i="3"/>
  <c r="BK277" i="3"/>
  <c r="BU277" i="3"/>
  <c r="CG277" i="3"/>
  <c r="K278" i="3"/>
  <c r="S278" i="3"/>
  <c r="AA278" i="3"/>
  <c r="AI278" i="3"/>
  <c r="AQ278" i="3"/>
  <c r="AY278" i="3"/>
  <c r="BG278" i="3"/>
  <c r="BO278" i="3"/>
  <c r="BW278" i="3"/>
  <c r="CE278" i="3"/>
  <c r="M270" i="3"/>
  <c r="AS270" i="3"/>
  <c r="BY270" i="3"/>
  <c r="Y271" i="3"/>
  <c r="BE271" i="3"/>
  <c r="CK271" i="3"/>
  <c r="AK272" i="3"/>
  <c r="BQ272" i="3"/>
  <c r="Q273" i="3"/>
  <c r="AW273" i="3"/>
  <c r="CC273" i="3"/>
  <c r="AC274" i="3"/>
  <c r="BI274" i="3"/>
  <c r="I275" i="3"/>
  <c r="AO275" i="3"/>
  <c r="BM275" i="3"/>
  <c r="CJ275" i="3"/>
  <c r="Z276" i="3"/>
  <c r="AS276" i="3"/>
  <c r="BP276" i="3"/>
  <c r="F277" i="3"/>
  <c r="Y277" i="3"/>
  <c r="AO277" i="3"/>
  <c r="BB277" i="3"/>
  <c r="BL277" i="3"/>
  <c r="BX277" i="3"/>
  <c r="CH277" i="3"/>
  <c r="L278" i="3"/>
  <c r="T278" i="3"/>
  <c r="AB278" i="3"/>
  <c r="AJ278" i="3"/>
  <c r="AR278" i="3"/>
  <c r="AZ278" i="3"/>
  <c r="BH278" i="3"/>
  <c r="BP278" i="3"/>
  <c r="BX278" i="3"/>
  <c r="CF278" i="3"/>
  <c r="Q271" i="3"/>
  <c r="AP276" i="3"/>
  <c r="R278" i="3"/>
  <c r="BN278" i="3"/>
  <c r="T270" i="3"/>
  <c r="AZ270" i="3"/>
  <c r="CF270" i="3"/>
  <c r="AF271" i="3"/>
  <c r="BL271" i="3"/>
  <c r="L272" i="3"/>
  <c r="AR272" i="3"/>
  <c r="BX272" i="3"/>
  <c r="X273" i="3"/>
  <c r="BD273" i="3"/>
  <c r="CJ273" i="3"/>
  <c r="AJ274" i="3"/>
  <c r="BP274" i="3"/>
  <c r="P275" i="3"/>
  <c r="AV275" i="3"/>
  <c r="BR275" i="3"/>
  <c r="CK275" i="3"/>
  <c r="AB276" i="3"/>
  <c r="AX276" i="3"/>
  <c r="BQ276" i="3"/>
  <c r="H277" i="3"/>
  <c r="AD277" i="3"/>
  <c r="AR277" i="3"/>
  <c r="BC277" i="3"/>
  <c r="BM277" i="3"/>
  <c r="BY277" i="3"/>
  <c r="CI277" i="3"/>
  <c r="M278" i="3"/>
  <c r="U278" i="3"/>
  <c r="AC278" i="3"/>
  <c r="AK278" i="3"/>
  <c r="AS278" i="3"/>
  <c r="BA278" i="3"/>
  <c r="BI278" i="3"/>
  <c r="BQ278" i="3"/>
  <c r="BY278" i="3"/>
  <c r="CG278" i="3"/>
  <c r="AW271" i="3"/>
  <c r="T276" i="3"/>
  <c r="J278" i="3"/>
  <c r="U270" i="3"/>
  <c r="BA270" i="3"/>
  <c r="CG270" i="3"/>
  <c r="AG271" i="3"/>
  <c r="BM271" i="3"/>
  <c r="M272" i="3"/>
  <c r="AS272" i="3"/>
  <c r="BY272" i="3"/>
  <c r="Y273" i="3"/>
  <c r="BE273" i="3"/>
  <c r="CK273" i="3"/>
  <c r="AK274" i="3"/>
  <c r="BQ274" i="3"/>
  <c r="Q275" i="3"/>
  <c r="AW275" i="3"/>
  <c r="BT275" i="3"/>
  <c r="J276" i="3"/>
  <c r="AC276" i="3"/>
  <c r="AZ276" i="3"/>
  <c r="BV276" i="3"/>
  <c r="I277" i="3"/>
  <c r="AE277" i="3"/>
  <c r="AT277" i="3"/>
  <c r="BD277" i="3"/>
  <c r="BP277" i="3"/>
  <c r="BZ277" i="3"/>
  <c r="CJ277" i="3"/>
  <c r="N278" i="3"/>
  <c r="V278" i="3"/>
  <c r="AD278" i="3"/>
  <c r="AL278" i="3"/>
  <c r="AT278" i="3"/>
  <c r="BB278" i="3"/>
  <c r="BJ278" i="3"/>
  <c r="BR278" i="3"/>
  <c r="BZ278" i="3"/>
  <c r="CH278" i="3"/>
  <c r="BZ275" i="3"/>
  <c r="H278" i="3"/>
  <c r="AV278" i="3"/>
  <c r="CB278" i="3"/>
  <c r="BQ270" i="3"/>
  <c r="U274" i="3"/>
  <c r="AG275" i="3"/>
  <c r="CC275" i="3"/>
  <c r="CF276" i="3"/>
  <c r="AM277" i="3"/>
  <c r="BJ277" i="3"/>
  <c r="CF277" i="3"/>
  <c r="AP278" i="3"/>
  <c r="BF278" i="3"/>
  <c r="AB270" i="3"/>
  <c r="BH270" i="3"/>
  <c r="H271" i="3"/>
  <c r="AN271" i="3"/>
  <c r="BT271" i="3"/>
  <c r="T272" i="3"/>
  <c r="AZ272" i="3"/>
  <c r="CF272" i="3"/>
  <c r="AF273" i="3"/>
  <c r="BL273" i="3"/>
  <c r="L274" i="3"/>
  <c r="AR274" i="3"/>
  <c r="BX274" i="3"/>
  <c r="X275" i="3"/>
  <c r="BB275" i="3"/>
  <c r="BU275" i="3"/>
  <c r="L276" i="3"/>
  <c r="AH276" i="3"/>
  <c r="BA276" i="3"/>
  <c r="BX276" i="3"/>
  <c r="N277" i="3"/>
  <c r="AF277" i="3"/>
  <c r="AU277" i="3"/>
  <c r="BE277" i="3"/>
  <c r="BQ277" i="3"/>
  <c r="CA277" i="3"/>
  <c r="CK277" i="3"/>
  <c r="O278" i="3"/>
  <c r="W278" i="3"/>
  <c r="AE278" i="3"/>
  <c r="AM278" i="3"/>
  <c r="AU278" i="3"/>
  <c r="BC278" i="3"/>
  <c r="BK278" i="3"/>
  <c r="BS278" i="3"/>
  <c r="CA278" i="3"/>
  <c r="CI278" i="3"/>
  <c r="BD275" i="3"/>
  <c r="BY276" i="3"/>
  <c r="AG277" i="3"/>
  <c r="AV277" i="3"/>
  <c r="BR277" i="3"/>
  <c r="CB277" i="3"/>
  <c r="X278" i="3"/>
  <c r="AF278" i="3"/>
  <c r="BD278" i="3"/>
  <c r="BT278" i="3"/>
  <c r="CJ278" i="3"/>
  <c r="CC271" i="3"/>
  <c r="V277" i="3"/>
  <c r="AH278" i="3"/>
  <c r="BV278" i="3"/>
  <c r="AC270" i="3"/>
  <c r="BI270" i="3"/>
  <c r="I271" i="3"/>
  <c r="AO271" i="3"/>
  <c r="BU271" i="3"/>
  <c r="U272" i="3"/>
  <c r="BA272" i="3"/>
  <c r="CG272" i="3"/>
  <c r="AG273" i="3"/>
  <c r="BM273" i="3"/>
  <c r="M274" i="3"/>
  <c r="AS274" i="3"/>
  <c r="BY274" i="3"/>
  <c r="Y275" i="3"/>
  <c r="M276" i="3"/>
  <c r="AJ276" i="3"/>
  <c r="BF276" i="3"/>
  <c r="P277" i="3"/>
  <c r="BH277" i="3"/>
  <c r="P278" i="3"/>
  <c r="AN278" i="3"/>
  <c r="BL278" i="3"/>
  <c r="AJ270" i="3"/>
  <c r="BP270" i="3"/>
  <c r="P271" i="3"/>
  <c r="AV271" i="3"/>
  <c r="CB271" i="3"/>
  <c r="AB272" i="3"/>
  <c r="BH272" i="3"/>
  <c r="H273" i="3"/>
  <c r="AN273" i="3"/>
  <c r="BT273" i="3"/>
  <c r="T274" i="3"/>
  <c r="AZ274" i="3"/>
  <c r="CF274" i="3"/>
  <c r="AF275" i="3"/>
  <c r="BE275" i="3"/>
  <c r="CB275" i="3"/>
  <c r="R276" i="3"/>
  <c r="AK276" i="3"/>
  <c r="BH276" i="3"/>
  <c r="CD276" i="3"/>
  <c r="Q277" i="3"/>
  <c r="AL277" i="3"/>
  <c r="AW277" i="3"/>
  <c r="BI277" i="3"/>
  <c r="BS277" i="3"/>
  <c r="CC277" i="3"/>
  <c r="I278" i="3"/>
  <c r="Q278" i="3"/>
  <c r="Y278" i="3"/>
  <c r="AG278" i="3"/>
  <c r="AO278" i="3"/>
  <c r="AW278" i="3"/>
  <c r="BE278" i="3"/>
  <c r="BM278" i="3"/>
  <c r="BU278" i="3"/>
  <c r="CC278" i="3"/>
  <c r="CK278" i="3"/>
  <c r="AK270" i="3"/>
  <c r="AC272" i="3"/>
  <c r="BI272" i="3"/>
  <c r="I273" i="3"/>
  <c r="AO273" i="3"/>
  <c r="BU273" i="3"/>
  <c r="BA274" i="3"/>
  <c r="CG274" i="3"/>
  <c r="BJ275" i="3"/>
  <c r="BI276" i="3"/>
  <c r="AZ277" i="3"/>
  <c r="BT277" i="3"/>
  <c r="Z278" i="3"/>
  <c r="AX278" i="3"/>
  <c r="CD278" i="3"/>
  <c r="M230" i="3"/>
  <c r="U230" i="3"/>
  <c r="AC230" i="3"/>
  <c r="AK230" i="3"/>
  <c r="AS230" i="3"/>
  <c r="BA230" i="3"/>
  <c r="BI230" i="3"/>
  <c r="BQ230" i="3"/>
  <c r="BY230" i="3"/>
  <c r="CG230" i="3"/>
  <c r="I231" i="3"/>
  <c r="Q231" i="3"/>
  <c r="Y231" i="3"/>
  <c r="AG231" i="3"/>
  <c r="AO231" i="3"/>
  <c r="AW231" i="3"/>
  <c r="BE231" i="3"/>
  <c r="BM231" i="3"/>
  <c r="BU231" i="3"/>
  <c r="CC231" i="3"/>
  <c r="CK231" i="3"/>
  <c r="M232" i="3"/>
  <c r="U232" i="3"/>
  <c r="AC232" i="3"/>
  <c r="AK232" i="3"/>
  <c r="AS232" i="3"/>
  <c r="BA232" i="3"/>
  <c r="BI232" i="3"/>
  <c r="BQ232" i="3"/>
  <c r="BY232" i="3"/>
  <c r="CG232" i="3"/>
  <c r="T230" i="3"/>
  <c r="X231" i="3"/>
  <c r="BD231" i="3"/>
  <c r="AB232" i="3"/>
  <c r="BX232" i="3"/>
  <c r="F230" i="3"/>
  <c r="N230" i="3"/>
  <c r="V230" i="3"/>
  <c r="AD230" i="3"/>
  <c r="AL230" i="3"/>
  <c r="AT230" i="3"/>
  <c r="BB230" i="3"/>
  <c r="BJ230" i="3"/>
  <c r="BR230" i="3"/>
  <c r="BZ230" i="3"/>
  <c r="CH230" i="3"/>
  <c r="J231" i="3"/>
  <c r="R231" i="3"/>
  <c r="Z231" i="3"/>
  <c r="AH231" i="3"/>
  <c r="AP231" i="3"/>
  <c r="AX231" i="3"/>
  <c r="BF231" i="3"/>
  <c r="BN231" i="3"/>
  <c r="BV231" i="3"/>
  <c r="CD231" i="3"/>
  <c r="F232" i="3"/>
  <c r="N232" i="3"/>
  <c r="V232" i="3"/>
  <c r="AD232" i="3"/>
  <c r="AL232" i="3"/>
  <c r="AT232" i="3"/>
  <c r="BB232" i="3"/>
  <c r="BJ232" i="3"/>
  <c r="BR232" i="3"/>
  <c r="BZ232" i="3"/>
  <c r="CH232" i="3"/>
  <c r="AR230" i="3"/>
  <c r="AN231" i="3"/>
  <c r="T232" i="3"/>
  <c r="BH232" i="3"/>
  <c r="G230" i="3"/>
  <c r="O230" i="3"/>
  <c r="W230" i="3"/>
  <c r="AE230" i="3"/>
  <c r="AM230" i="3"/>
  <c r="AU230" i="3"/>
  <c r="BC230" i="3"/>
  <c r="BK230" i="3"/>
  <c r="BS230" i="3"/>
  <c r="CA230" i="3"/>
  <c r="CI230" i="3"/>
  <c r="K231" i="3"/>
  <c r="S231" i="3"/>
  <c r="AA231" i="3"/>
  <c r="AI231" i="3"/>
  <c r="AQ231" i="3"/>
  <c r="AY231" i="3"/>
  <c r="BG231" i="3"/>
  <c r="BO231" i="3"/>
  <c r="BW231" i="3"/>
  <c r="CE231" i="3"/>
  <c r="G232" i="3"/>
  <c r="O232" i="3"/>
  <c r="W232" i="3"/>
  <c r="AE232" i="3"/>
  <c r="AM232" i="3"/>
  <c r="AU232" i="3"/>
  <c r="BC232" i="3"/>
  <c r="BK232" i="3"/>
  <c r="BS232" i="3"/>
  <c r="CA232" i="3"/>
  <c r="CI232" i="3"/>
  <c r="BP230" i="3"/>
  <c r="BL231" i="3"/>
  <c r="AR232" i="3"/>
  <c r="H230" i="3"/>
  <c r="P230" i="3"/>
  <c r="X230" i="3"/>
  <c r="AF230" i="3"/>
  <c r="AN230" i="3"/>
  <c r="AV230" i="3"/>
  <c r="BD230" i="3"/>
  <c r="BL230" i="3"/>
  <c r="BT230" i="3"/>
  <c r="CB230" i="3"/>
  <c r="CJ230" i="3"/>
  <c r="L231" i="3"/>
  <c r="T231" i="3"/>
  <c r="AB231" i="3"/>
  <c r="AJ231" i="3"/>
  <c r="AR231" i="3"/>
  <c r="AZ231" i="3"/>
  <c r="BH231" i="3"/>
  <c r="BP231" i="3"/>
  <c r="BX231" i="3"/>
  <c r="CF231" i="3"/>
  <c r="H232" i="3"/>
  <c r="P232" i="3"/>
  <c r="X232" i="3"/>
  <c r="AF232" i="3"/>
  <c r="AN232" i="3"/>
  <c r="AV232" i="3"/>
  <c r="BD232" i="3"/>
  <c r="BL232" i="3"/>
  <c r="BT232" i="3"/>
  <c r="CB232" i="3"/>
  <c r="CJ232" i="3"/>
  <c r="AJ230" i="3"/>
  <c r="BT231" i="3"/>
  <c r="CF232" i="3"/>
  <c r="I230" i="3"/>
  <c r="Q230" i="3"/>
  <c r="Y230" i="3"/>
  <c r="AG230" i="3"/>
  <c r="AO230" i="3"/>
  <c r="AW230" i="3"/>
  <c r="BE230" i="3"/>
  <c r="BM230" i="3"/>
  <c r="BU230" i="3"/>
  <c r="CC230" i="3"/>
  <c r="CK230" i="3"/>
  <c r="M231" i="3"/>
  <c r="U231" i="3"/>
  <c r="AC231" i="3"/>
  <c r="AK231" i="3"/>
  <c r="AS231" i="3"/>
  <c r="BA231" i="3"/>
  <c r="BI231" i="3"/>
  <c r="BQ231" i="3"/>
  <c r="BY231" i="3"/>
  <c r="CG231" i="3"/>
  <c r="I232" i="3"/>
  <c r="Q232" i="3"/>
  <c r="Y232" i="3"/>
  <c r="AG232" i="3"/>
  <c r="AO232" i="3"/>
  <c r="AW232" i="3"/>
  <c r="BE232" i="3"/>
  <c r="BM232" i="3"/>
  <c r="BU232" i="3"/>
  <c r="CC232" i="3"/>
  <c r="CK232" i="3"/>
  <c r="BH230" i="3"/>
  <c r="CB231" i="3"/>
  <c r="BP232" i="3"/>
  <c r="J230" i="3"/>
  <c r="R230" i="3"/>
  <c r="Z230" i="3"/>
  <c r="AH230" i="3"/>
  <c r="AP230" i="3"/>
  <c r="AX230" i="3"/>
  <c r="BF230" i="3"/>
  <c r="BN230" i="3"/>
  <c r="BV230" i="3"/>
  <c r="CD230" i="3"/>
  <c r="F231" i="3"/>
  <c r="N231" i="3"/>
  <c r="V231" i="3"/>
  <c r="AD231" i="3"/>
  <c r="AL231" i="3"/>
  <c r="AT231" i="3"/>
  <c r="BB231" i="3"/>
  <c r="BJ231" i="3"/>
  <c r="BR231" i="3"/>
  <c r="BZ231" i="3"/>
  <c r="CH231" i="3"/>
  <c r="J232" i="3"/>
  <c r="R232" i="3"/>
  <c r="Z232" i="3"/>
  <c r="AH232" i="3"/>
  <c r="AP232" i="3"/>
  <c r="AX232" i="3"/>
  <c r="BF232" i="3"/>
  <c r="BN232" i="3"/>
  <c r="BV232" i="3"/>
  <c r="CD232" i="3"/>
  <c r="L230" i="3"/>
  <c r="AZ230" i="3"/>
  <c r="BX230" i="3"/>
  <c r="CF230" i="3"/>
  <c r="H231" i="3"/>
  <c r="AF231" i="3"/>
  <c r="AV231" i="3"/>
  <c r="CJ231" i="3"/>
  <c r="AJ232" i="3"/>
  <c r="K230" i="3"/>
  <c r="S230" i="3"/>
  <c r="AA230" i="3"/>
  <c r="AI230" i="3"/>
  <c r="AQ230" i="3"/>
  <c r="AY230" i="3"/>
  <c r="BG230" i="3"/>
  <c r="BO230" i="3"/>
  <c r="BW230" i="3"/>
  <c r="CE230" i="3"/>
  <c r="G231" i="3"/>
  <c r="O231" i="3"/>
  <c r="W231" i="3"/>
  <c r="AE231" i="3"/>
  <c r="AM231" i="3"/>
  <c r="AU231" i="3"/>
  <c r="BC231" i="3"/>
  <c r="BK231" i="3"/>
  <c r="BS231" i="3"/>
  <c r="CA231" i="3"/>
  <c r="CI231" i="3"/>
  <c r="K232" i="3"/>
  <c r="S232" i="3"/>
  <c r="AA232" i="3"/>
  <c r="AI232" i="3"/>
  <c r="AQ232" i="3"/>
  <c r="AY232" i="3"/>
  <c r="BG232" i="3"/>
  <c r="BO232" i="3"/>
  <c r="BW232" i="3"/>
  <c r="CE232" i="3"/>
  <c r="AB230" i="3"/>
  <c r="P231" i="3"/>
  <c r="L232" i="3"/>
  <c r="AZ232" i="3"/>
  <c r="F189" i="3"/>
  <c r="N189" i="3"/>
  <c r="V189" i="3"/>
  <c r="AD189" i="3"/>
  <c r="AL189" i="3"/>
  <c r="G189" i="3"/>
  <c r="O189" i="3"/>
  <c r="W189" i="3"/>
  <c r="AE189" i="3"/>
  <c r="AM189" i="3"/>
  <c r="AU189" i="3"/>
  <c r="BC189" i="3"/>
  <c r="BK189" i="3"/>
  <c r="BS189" i="3"/>
  <c r="CA189" i="3"/>
  <c r="CI189" i="3"/>
  <c r="K190" i="3"/>
  <c r="S190" i="3"/>
  <c r="AA190" i="3"/>
  <c r="AI190" i="3"/>
  <c r="AQ190" i="3"/>
  <c r="AY190" i="3"/>
  <c r="BG190" i="3"/>
  <c r="BO190" i="3"/>
  <c r="BW190" i="3"/>
  <c r="CE190" i="3"/>
  <c r="G191" i="3"/>
  <c r="O191" i="3"/>
  <c r="W191" i="3"/>
  <c r="AE191" i="3"/>
  <c r="AM191" i="3"/>
  <c r="AU191" i="3"/>
  <c r="BC191" i="3"/>
  <c r="BK191" i="3"/>
  <c r="BS191" i="3"/>
  <c r="CA191" i="3"/>
  <c r="CI191" i="3"/>
  <c r="K192" i="3"/>
  <c r="S192" i="3"/>
  <c r="AA192" i="3"/>
  <c r="AI192" i="3"/>
  <c r="AQ192" i="3"/>
  <c r="AY192" i="3"/>
  <c r="BG192" i="3"/>
  <c r="BO192" i="3"/>
  <c r="BW192" i="3"/>
  <c r="CE192" i="3"/>
  <c r="G193" i="3"/>
  <c r="O193" i="3"/>
  <c r="W193" i="3"/>
  <c r="AE193" i="3"/>
  <c r="AM193" i="3"/>
  <c r="AU193" i="3"/>
  <c r="BC193" i="3"/>
  <c r="BK193" i="3"/>
  <c r="BS193" i="3"/>
  <c r="CA193" i="3"/>
  <c r="CI193" i="3"/>
  <c r="K194" i="3"/>
  <c r="S194" i="3"/>
  <c r="AA194" i="3"/>
  <c r="AI194" i="3"/>
  <c r="AQ194" i="3"/>
  <c r="AY194" i="3"/>
  <c r="BG194" i="3"/>
  <c r="BO194" i="3"/>
  <c r="BW194" i="3"/>
  <c r="CE194" i="3"/>
  <c r="G195" i="3"/>
  <c r="O195" i="3"/>
  <c r="W195" i="3"/>
  <c r="AE195" i="3"/>
  <c r="AM195" i="3"/>
  <c r="AU195" i="3"/>
  <c r="BC195" i="3"/>
  <c r="BK195" i="3"/>
  <c r="BS195" i="3"/>
  <c r="CA195" i="3"/>
  <c r="CI195" i="3"/>
  <c r="K196" i="3"/>
  <c r="S196" i="3"/>
  <c r="AA196" i="3"/>
  <c r="AI196" i="3"/>
  <c r="AQ196" i="3"/>
  <c r="AY196" i="3"/>
  <c r="BG196" i="3"/>
  <c r="BO196" i="3"/>
  <c r="BW196" i="3"/>
  <c r="CE196" i="3"/>
  <c r="G197" i="3"/>
  <c r="H189" i="3"/>
  <c r="P189" i="3"/>
  <c r="X189" i="3"/>
  <c r="AF189" i="3"/>
  <c r="AN189" i="3"/>
  <c r="AV189" i="3"/>
  <c r="BD189" i="3"/>
  <c r="BL189" i="3"/>
  <c r="BT189" i="3"/>
  <c r="CB189" i="3"/>
  <c r="CJ189" i="3"/>
  <c r="L190" i="3"/>
  <c r="T190" i="3"/>
  <c r="AB190" i="3"/>
  <c r="AJ190" i="3"/>
  <c r="AR190" i="3"/>
  <c r="AZ190" i="3"/>
  <c r="BH190" i="3"/>
  <c r="BP190" i="3"/>
  <c r="BX190" i="3"/>
  <c r="CF190" i="3"/>
  <c r="H191" i="3"/>
  <c r="P191" i="3"/>
  <c r="X191" i="3"/>
  <c r="AF191" i="3"/>
  <c r="AN191" i="3"/>
  <c r="AV191" i="3"/>
  <c r="BD191" i="3"/>
  <c r="BL191" i="3"/>
  <c r="BT191" i="3"/>
  <c r="CB191" i="3"/>
  <c r="CJ191" i="3"/>
  <c r="L192" i="3"/>
  <c r="T192" i="3"/>
  <c r="AB192" i="3"/>
  <c r="AJ192" i="3"/>
  <c r="AR192" i="3"/>
  <c r="AZ192" i="3"/>
  <c r="BH192" i="3"/>
  <c r="BP192" i="3"/>
  <c r="BX192" i="3"/>
  <c r="I189" i="3"/>
  <c r="Q189" i="3"/>
  <c r="Y189" i="3"/>
  <c r="AG189" i="3"/>
  <c r="AO189" i="3"/>
  <c r="AW189" i="3"/>
  <c r="BE189" i="3"/>
  <c r="BM189" i="3"/>
  <c r="BU189" i="3"/>
  <c r="CC189" i="3"/>
  <c r="CK189" i="3"/>
  <c r="M190" i="3"/>
  <c r="U190" i="3"/>
  <c r="AC190" i="3"/>
  <c r="AK190" i="3"/>
  <c r="AS190" i="3"/>
  <c r="BA190" i="3"/>
  <c r="BI190" i="3"/>
  <c r="BQ190" i="3"/>
  <c r="BY190" i="3"/>
  <c r="CG190" i="3"/>
  <c r="I191" i="3"/>
  <c r="Q191" i="3"/>
  <c r="Y191" i="3"/>
  <c r="AG191" i="3"/>
  <c r="AO191" i="3"/>
  <c r="AW191" i="3"/>
  <c r="BE191" i="3"/>
  <c r="BM191" i="3"/>
  <c r="BU191" i="3"/>
  <c r="CC191" i="3"/>
  <c r="CK191" i="3"/>
  <c r="M192" i="3"/>
  <c r="U192" i="3"/>
  <c r="AC192" i="3"/>
  <c r="AK192" i="3"/>
  <c r="AS192" i="3"/>
  <c r="BA192" i="3"/>
  <c r="BI192" i="3"/>
  <c r="BQ192" i="3"/>
  <c r="BY192" i="3"/>
  <c r="CG192" i="3"/>
  <c r="I193" i="3"/>
  <c r="Q193" i="3"/>
  <c r="Y193" i="3"/>
  <c r="AG193" i="3"/>
  <c r="AO193" i="3"/>
  <c r="AW193" i="3"/>
  <c r="BE193" i="3"/>
  <c r="BM193" i="3"/>
  <c r="BU193" i="3"/>
  <c r="CC193" i="3"/>
  <c r="CK193" i="3"/>
  <c r="M194" i="3"/>
  <c r="U194" i="3"/>
  <c r="AC194" i="3"/>
  <c r="AK194" i="3"/>
  <c r="AS194" i="3"/>
  <c r="BA194" i="3"/>
  <c r="BI194" i="3"/>
  <c r="BQ194" i="3"/>
  <c r="BY194" i="3"/>
  <c r="CG194" i="3"/>
  <c r="I195" i="3"/>
  <c r="Q195" i="3"/>
  <c r="Y195" i="3"/>
  <c r="AG195" i="3"/>
  <c r="AO195" i="3"/>
  <c r="AW195" i="3"/>
  <c r="BE195" i="3"/>
  <c r="BM195" i="3"/>
  <c r="BU195" i="3"/>
  <c r="CC195" i="3"/>
  <c r="CK195" i="3"/>
  <c r="M196" i="3"/>
  <c r="U196" i="3"/>
  <c r="AC196" i="3"/>
  <c r="AK196" i="3"/>
  <c r="AS196" i="3"/>
  <c r="BA196" i="3"/>
  <c r="BI196" i="3"/>
  <c r="J189" i="3"/>
  <c r="R189" i="3"/>
  <c r="Z189" i="3"/>
  <c r="AH189" i="3"/>
  <c r="K189" i="3"/>
  <c r="S189" i="3"/>
  <c r="AA189" i="3"/>
  <c r="AI189" i="3"/>
  <c r="AQ189" i="3"/>
  <c r="AY189" i="3"/>
  <c r="BG189" i="3"/>
  <c r="BO189" i="3"/>
  <c r="BW189" i="3"/>
  <c r="CE189" i="3"/>
  <c r="G190" i="3"/>
  <c r="O190" i="3"/>
  <c r="W190" i="3"/>
  <c r="AE190" i="3"/>
  <c r="AM190" i="3"/>
  <c r="AU190" i="3"/>
  <c r="BC190" i="3"/>
  <c r="BK190" i="3"/>
  <c r="BS190" i="3"/>
  <c r="CA190" i="3"/>
  <c r="CI190" i="3"/>
  <c r="K191" i="3"/>
  <c r="S191" i="3"/>
  <c r="AA191" i="3"/>
  <c r="AI191" i="3"/>
  <c r="AQ191" i="3"/>
  <c r="AY191" i="3"/>
  <c r="BG191" i="3"/>
  <c r="BO191" i="3"/>
  <c r="BW191" i="3"/>
  <c r="CE191" i="3"/>
  <c r="G192" i="3"/>
  <c r="O192" i="3"/>
  <c r="W192" i="3"/>
  <c r="AE192" i="3"/>
  <c r="AM192" i="3"/>
  <c r="AU192" i="3"/>
  <c r="BC192" i="3"/>
  <c r="BK192" i="3"/>
  <c r="BS192" i="3"/>
  <c r="CA192" i="3"/>
  <c r="CI192" i="3"/>
  <c r="K193" i="3"/>
  <c r="S193" i="3"/>
  <c r="AA193" i="3"/>
  <c r="AI193" i="3"/>
  <c r="AQ193" i="3"/>
  <c r="AY193" i="3"/>
  <c r="BG193" i="3"/>
  <c r="BO193" i="3"/>
  <c r="BW193" i="3"/>
  <c r="CE193" i="3"/>
  <c r="G194" i="3"/>
  <c r="O194" i="3"/>
  <c r="W194" i="3"/>
  <c r="AE194" i="3"/>
  <c r="AM194" i="3"/>
  <c r="AU194" i="3"/>
  <c r="BC194" i="3"/>
  <c r="BK194" i="3"/>
  <c r="BS194" i="3"/>
  <c r="CA194" i="3"/>
  <c r="CI194" i="3"/>
  <c r="K195" i="3"/>
  <c r="S195" i="3"/>
  <c r="AA195" i="3"/>
  <c r="AI195" i="3"/>
  <c r="AQ195" i="3"/>
  <c r="AY195" i="3"/>
  <c r="BG195" i="3"/>
  <c r="BO195" i="3"/>
  <c r="BW195" i="3"/>
  <c r="CE195" i="3"/>
  <c r="G196" i="3"/>
  <c r="O196" i="3"/>
  <c r="W196" i="3"/>
  <c r="AE196" i="3"/>
  <c r="AM196" i="3"/>
  <c r="AU196" i="3"/>
  <c r="BC196" i="3"/>
  <c r="BK196" i="3"/>
  <c r="BS196" i="3"/>
  <c r="CA196" i="3"/>
  <c r="CI196" i="3"/>
  <c r="K197" i="3"/>
  <c r="T189" i="3"/>
  <c r="AS189" i="3"/>
  <c r="BI189" i="3"/>
  <c r="BY189" i="3"/>
  <c r="I190" i="3"/>
  <c r="Y190" i="3"/>
  <c r="AO190" i="3"/>
  <c r="BE190" i="3"/>
  <c r="BU190" i="3"/>
  <c r="CK190" i="3"/>
  <c r="U191" i="3"/>
  <c r="AK191" i="3"/>
  <c r="BA191" i="3"/>
  <c r="BQ191" i="3"/>
  <c r="CG191" i="3"/>
  <c r="Q192" i="3"/>
  <c r="AG192" i="3"/>
  <c r="AW192" i="3"/>
  <c r="BM192" i="3"/>
  <c r="CC192" i="3"/>
  <c r="J193" i="3"/>
  <c r="V193" i="3"/>
  <c r="AJ193" i="3"/>
  <c r="AV193" i="3"/>
  <c r="BI193" i="3"/>
  <c r="BV193" i="3"/>
  <c r="CH193" i="3"/>
  <c r="P194" i="3"/>
  <c r="AB194" i="3"/>
  <c r="AO194" i="3"/>
  <c r="BB194" i="3"/>
  <c r="BN194" i="3"/>
  <c r="CB194" i="3"/>
  <c r="H195" i="3"/>
  <c r="U195" i="3"/>
  <c r="AH195" i="3"/>
  <c r="AT195" i="3"/>
  <c r="BH195" i="3"/>
  <c r="BT195" i="3"/>
  <c r="CG195" i="3"/>
  <c r="N196" i="3"/>
  <c r="Z196" i="3"/>
  <c r="AN196" i="3"/>
  <c r="AZ196" i="3"/>
  <c r="BM196" i="3"/>
  <c r="BX196" i="3"/>
  <c r="CH196" i="3"/>
  <c r="M197" i="3"/>
  <c r="U197" i="3"/>
  <c r="AC197" i="3"/>
  <c r="AK197" i="3"/>
  <c r="AS197" i="3"/>
  <c r="BA197" i="3"/>
  <c r="BI197" i="3"/>
  <c r="BQ197" i="3"/>
  <c r="BY197" i="3"/>
  <c r="CG197" i="3"/>
  <c r="I198" i="3"/>
  <c r="Q198" i="3"/>
  <c r="Y198" i="3"/>
  <c r="AG198" i="3"/>
  <c r="AO198" i="3"/>
  <c r="AW198" i="3"/>
  <c r="BE198" i="3"/>
  <c r="BM198" i="3"/>
  <c r="BU198" i="3"/>
  <c r="CC198" i="3"/>
  <c r="CK198" i="3"/>
  <c r="U189" i="3"/>
  <c r="AT189" i="3"/>
  <c r="BJ189" i="3"/>
  <c r="BZ189" i="3"/>
  <c r="J190" i="3"/>
  <c r="Z190" i="3"/>
  <c r="AP190" i="3"/>
  <c r="BF190" i="3"/>
  <c r="BV190" i="3"/>
  <c r="F191" i="3"/>
  <c r="V191" i="3"/>
  <c r="AL191" i="3"/>
  <c r="BB191" i="3"/>
  <c r="BR191" i="3"/>
  <c r="CH191" i="3"/>
  <c r="R192" i="3"/>
  <c r="AH192" i="3"/>
  <c r="AX192" i="3"/>
  <c r="BN192" i="3"/>
  <c r="CD192" i="3"/>
  <c r="L193" i="3"/>
  <c r="X193" i="3"/>
  <c r="AK193" i="3"/>
  <c r="AX193" i="3"/>
  <c r="BJ193" i="3"/>
  <c r="BX193" i="3"/>
  <c r="CJ193" i="3"/>
  <c r="Q194" i="3"/>
  <c r="AD194" i="3"/>
  <c r="AP194" i="3"/>
  <c r="BD194" i="3"/>
  <c r="BP194" i="3"/>
  <c r="CC194" i="3"/>
  <c r="J195" i="3"/>
  <c r="V195" i="3"/>
  <c r="AJ195" i="3"/>
  <c r="AV195" i="3"/>
  <c r="BI195" i="3"/>
  <c r="BV195" i="3"/>
  <c r="CH195" i="3"/>
  <c r="P196" i="3"/>
  <c r="AB196" i="3"/>
  <c r="AB189" i="3"/>
  <c r="AX189" i="3"/>
  <c r="BN189" i="3"/>
  <c r="CD189" i="3"/>
  <c r="N190" i="3"/>
  <c r="AD190" i="3"/>
  <c r="AT190" i="3"/>
  <c r="BJ190" i="3"/>
  <c r="BZ190" i="3"/>
  <c r="J191" i="3"/>
  <c r="Z191" i="3"/>
  <c r="AP191" i="3"/>
  <c r="BF191" i="3"/>
  <c r="BV191" i="3"/>
  <c r="F192" i="3"/>
  <c r="V192" i="3"/>
  <c r="AL192" i="3"/>
  <c r="BB192" i="3"/>
  <c r="BR192" i="3"/>
  <c r="CF192" i="3"/>
  <c r="M193" i="3"/>
  <c r="Z193" i="3"/>
  <c r="AL193" i="3"/>
  <c r="AZ193" i="3"/>
  <c r="BL193" i="3"/>
  <c r="BY193" i="3"/>
  <c r="F194" i="3"/>
  <c r="R194" i="3"/>
  <c r="AF194" i="3"/>
  <c r="AR194" i="3"/>
  <c r="BE194" i="3"/>
  <c r="BR194" i="3"/>
  <c r="CD194" i="3"/>
  <c r="L195" i="3"/>
  <c r="X195" i="3"/>
  <c r="AK195" i="3"/>
  <c r="AX195" i="3"/>
  <c r="BJ195" i="3"/>
  <c r="BX195" i="3"/>
  <c r="CJ195" i="3"/>
  <c r="Q196" i="3"/>
  <c r="AD196" i="3"/>
  <c r="AP196" i="3"/>
  <c r="BD196" i="3"/>
  <c r="BP196" i="3"/>
  <c r="BZ196" i="3"/>
  <c r="CK196" i="3"/>
  <c r="O197" i="3"/>
  <c r="W197" i="3"/>
  <c r="AE197" i="3"/>
  <c r="AM197" i="3"/>
  <c r="AU197" i="3"/>
  <c r="BC197" i="3"/>
  <c r="BK197" i="3"/>
  <c r="BS197" i="3"/>
  <c r="CA197" i="3"/>
  <c r="CI197" i="3"/>
  <c r="K198" i="3"/>
  <c r="S198" i="3"/>
  <c r="AA198" i="3"/>
  <c r="AI198" i="3"/>
  <c r="AQ198" i="3"/>
  <c r="AY198" i="3"/>
  <c r="BG198" i="3"/>
  <c r="BO198" i="3"/>
  <c r="BW198" i="3"/>
  <c r="CE198" i="3"/>
  <c r="AC189" i="3"/>
  <c r="AZ189" i="3"/>
  <c r="BP189" i="3"/>
  <c r="CF189" i="3"/>
  <c r="P190" i="3"/>
  <c r="AF190" i="3"/>
  <c r="AV190" i="3"/>
  <c r="BL190" i="3"/>
  <c r="AJ189" i="3"/>
  <c r="BA189" i="3"/>
  <c r="BQ189" i="3"/>
  <c r="CG189" i="3"/>
  <c r="Q190" i="3"/>
  <c r="AG190" i="3"/>
  <c r="AW190" i="3"/>
  <c r="BM190" i="3"/>
  <c r="CC190" i="3"/>
  <c r="M191" i="3"/>
  <c r="AC191" i="3"/>
  <c r="AS191" i="3"/>
  <c r="BI191" i="3"/>
  <c r="BY191" i="3"/>
  <c r="I192" i="3"/>
  <c r="Y192" i="3"/>
  <c r="AO192" i="3"/>
  <c r="BE192" i="3"/>
  <c r="BU192" i="3"/>
  <c r="CJ192" i="3"/>
  <c r="P193" i="3"/>
  <c r="AC193" i="3"/>
  <c r="AP193" i="3"/>
  <c r="BB193" i="3"/>
  <c r="BP193" i="3"/>
  <c r="CB193" i="3"/>
  <c r="I194" i="3"/>
  <c r="V194" i="3"/>
  <c r="AH194" i="3"/>
  <c r="AV194" i="3"/>
  <c r="BH194" i="3"/>
  <c r="BU194" i="3"/>
  <c r="CH194" i="3"/>
  <c r="N195" i="3"/>
  <c r="AB195" i="3"/>
  <c r="AN195" i="3"/>
  <c r="BA195" i="3"/>
  <c r="BN195" i="3"/>
  <c r="BZ195" i="3"/>
  <c r="H196" i="3"/>
  <c r="T196" i="3"/>
  <c r="AG196" i="3"/>
  <c r="AT196" i="3"/>
  <c r="BF196" i="3"/>
  <c r="BR196" i="3"/>
  <c r="CC196" i="3"/>
  <c r="H197" i="3"/>
  <c r="Q197" i="3"/>
  <c r="Y197" i="3"/>
  <c r="AG197" i="3"/>
  <c r="AO197" i="3"/>
  <c r="AW197" i="3"/>
  <c r="BE197" i="3"/>
  <c r="BM197" i="3"/>
  <c r="BU197" i="3"/>
  <c r="CC197" i="3"/>
  <c r="CK197" i="3"/>
  <c r="M198" i="3"/>
  <c r="U198" i="3"/>
  <c r="AC198" i="3"/>
  <c r="AK198" i="3"/>
  <c r="AS198" i="3"/>
  <c r="BA198" i="3"/>
  <c r="BI198" i="3"/>
  <c r="BQ198" i="3"/>
  <c r="BY198" i="3"/>
  <c r="CG198" i="3"/>
  <c r="AK189" i="3"/>
  <c r="BB189" i="3"/>
  <c r="BR189" i="3"/>
  <c r="CH189" i="3"/>
  <c r="R190" i="3"/>
  <c r="AH190" i="3"/>
  <c r="AX190" i="3"/>
  <c r="BN190" i="3"/>
  <c r="CD190" i="3"/>
  <c r="N191" i="3"/>
  <c r="AD191" i="3"/>
  <c r="AT191" i="3"/>
  <c r="BJ191" i="3"/>
  <c r="BZ191" i="3"/>
  <c r="J192" i="3"/>
  <c r="Z192" i="3"/>
  <c r="AP192" i="3"/>
  <c r="BF192" i="3"/>
  <c r="L189" i="3"/>
  <c r="F190" i="3"/>
  <c r="BR190" i="3"/>
  <c r="AB191" i="3"/>
  <c r="BP191" i="3"/>
  <c r="AD192" i="3"/>
  <c r="BT192" i="3"/>
  <c r="N193" i="3"/>
  <c r="AN193" i="3"/>
  <c r="BN193" i="3"/>
  <c r="H194" i="3"/>
  <c r="AG194" i="3"/>
  <c r="BF194" i="3"/>
  <c r="CF194" i="3"/>
  <c r="Z195" i="3"/>
  <c r="AZ195" i="3"/>
  <c r="BY195" i="3"/>
  <c r="R196" i="3"/>
  <c r="AO196" i="3"/>
  <c r="BJ196" i="3"/>
  <c r="CB196" i="3"/>
  <c r="L197" i="3"/>
  <c r="Z197" i="3"/>
  <c r="AL197" i="3"/>
  <c r="AY197" i="3"/>
  <c r="BL197" i="3"/>
  <c r="BX197" i="3"/>
  <c r="F198" i="3"/>
  <c r="R198" i="3"/>
  <c r="AE198" i="3"/>
  <c r="AR198" i="3"/>
  <c r="BD198" i="3"/>
  <c r="BR198" i="3"/>
  <c r="M189" i="3"/>
  <c r="H190" i="3"/>
  <c r="BT190" i="3"/>
  <c r="AH191" i="3"/>
  <c r="BX191" i="3"/>
  <c r="AF192" i="3"/>
  <c r="BV192" i="3"/>
  <c r="R193" i="3"/>
  <c r="AR193" i="3"/>
  <c r="BQ193" i="3"/>
  <c r="J194" i="3"/>
  <c r="AJ194" i="3"/>
  <c r="BJ194" i="3"/>
  <c r="CJ194" i="3"/>
  <c r="AC195" i="3"/>
  <c r="BB195" i="3"/>
  <c r="CB195" i="3"/>
  <c r="V196" i="3"/>
  <c r="AR196" i="3"/>
  <c r="BL196" i="3"/>
  <c r="CD196" i="3"/>
  <c r="N197" i="3"/>
  <c r="AA197" i="3"/>
  <c r="AN197" i="3"/>
  <c r="AZ197" i="3"/>
  <c r="BN197" i="3"/>
  <c r="BZ197" i="3"/>
  <c r="G198" i="3"/>
  <c r="T198" i="3"/>
  <c r="AF198" i="3"/>
  <c r="BF198" i="3"/>
  <c r="AP189" i="3"/>
  <c r="V190" i="3"/>
  <c r="CB190" i="3"/>
  <c r="AJ191" i="3"/>
  <c r="CD191" i="3"/>
  <c r="AN192" i="3"/>
  <c r="BZ192" i="3"/>
  <c r="T193" i="3"/>
  <c r="AS193" i="3"/>
  <c r="BR193" i="3"/>
  <c r="L194" i="3"/>
  <c r="AL194" i="3"/>
  <c r="BL194" i="3"/>
  <c r="CK194" i="3"/>
  <c r="AD195" i="3"/>
  <c r="BD195" i="3"/>
  <c r="CD195" i="3"/>
  <c r="X196" i="3"/>
  <c r="AV196" i="3"/>
  <c r="BN196" i="3"/>
  <c r="CF196" i="3"/>
  <c r="P197" i="3"/>
  <c r="AB197" i="3"/>
  <c r="AP197" i="3"/>
  <c r="BB197" i="3"/>
  <c r="BO197" i="3"/>
  <c r="CB197" i="3"/>
  <c r="H198" i="3"/>
  <c r="V198" i="3"/>
  <c r="AH198" i="3"/>
  <c r="AU198" i="3"/>
  <c r="BH198" i="3"/>
  <c r="BT198" i="3"/>
  <c r="CH198" i="3"/>
  <c r="AR189" i="3"/>
  <c r="CH190" i="3"/>
  <c r="AR191" i="3"/>
  <c r="AT192" i="3"/>
  <c r="CB192" i="3"/>
  <c r="AT193" i="3"/>
  <c r="N194" i="3"/>
  <c r="BM194" i="3"/>
  <c r="AF195" i="3"/>
  <c r="BF195" i="3"/>
  <c r="Y196" i="3"/>
  <c r="AW196" i="3"/>
  <c r="BQ196" i="3"/>
  <c r="CG196" i="3"/>
  <c r="AD197" i="3"/>
  <c r="AQ197" i="3"/>
  <c r="BD197" i="3"/>
  <c r="BP197" i="3"/>
  <c r="J198" i="3"/>
  <c r="W198" i="3"/>
  <c r="AJ198" i="3"/>
  <c r="BJ198" i="3"/>
  <c r="BV198" i="3"/>
  <c r="CI198" i="3"/>
  <c r="BB196" i="3"/>
  <c r="AH197" i="3"/>
  <c r="BT197" i="3"/>
  <c r="N198" i="3"/>
  <c r="AM198" i="3"/>
  <c r="BZ198" i="3"/>
  <c r="BJ197" i="3"/>
  <c r="P198" i="3"/>
  <c r="BC198" i="3"/>
  <c r="CF198" i="3"/>
  <c r="X190" i="3"/>
  <c r="CF191" i="3"/>
  <c r="U193" i="3"/>
  <c r="BT193" i="3"/>
  <c r="AN194" i="3"/>
  <c r="F195" i="3"/>
  <c r="CF195" i="3"/>
  <c r="R197" i="3"/>
  <c r="CD197" i="3"/>
  <c r="AV198" i="3"/>
  <c r="F197" i="3"/>
  <c r="AZ198" i="3"/>
  <c r="CD198" i="3"/>
  <c r="BF189" i="3"/>
  <c r="AL190" i="3"/>
  <c r="CJ190" i="3"/>
  <c r="AX191" i="3"/>
  <c r="H192" i="3"/>
  <c r="AV192" i="3"/>
  <c r="CH192" i="3"/>
  <c r="AB193" i="3"/>
  <c r="BA193" i="3"/>
  <c r="BZ193" i="3"/>
  <c r="T194" i="3"/>
  <c r="AT194" i="3"/>
  <c r="BT194" i="3"/>
  <c r="M195" i="3"/>
  <c r="AL195" i="3"/>
  <c r="BL195" i="3"/>
  <c r="F196" i="3"/>
  <c r="AF196" i="3"/>
  <c r="AX196" i="3"/>
  <c r="BT196" i="3"/>
  <c r="CJ196" i="3"/>
  <c r="S197" i="3"/>
  <c r="AF197" i="3"/>
  <c r="AR197" i="3"/>
  <c r="BF197" i="3"/>
  <c r="BR197" i="3"/>
  <c r="CE197" i="3"/>
  <c r="L198" i="3"/>
  <c r="X198" i="3"/>
  <c r="AL198" i="3"/>
  <c r="AX198" i="3"/>
  <c r="BK198" i="3"/>
  <c r="BX198" i="3"/>
  <c r="CJ198" i="3"/>
  <c r="X194" i="3"/>
  <c r="P195" i="3"/>
  <c r="BP195" i="3"/>
  <c r="I196" i="3"/>
  <c r="BU196" i="3"/>
  <c r="T197" i="3"/>
  <c r="BG197" i="3"/>
  <c r="CF197" i="3"/>
  <c r="Z198" i="3"/>
  <c r="BL198" i="3"/>
  <c r="BW197" i="3"/>
  <c r="AP198" i="3"/>
  <c r="CB198" i="3"/>
  <c r="AT198" i="3"/>
  <c r="BH189" i="3"/>
  <c r="AN190" i="3"/>
  <c r="L191" i="3"/>
  <c r="AZ191" i="3"/>
  <c r="N192" i="3"/>
  <c r="BD192" i="3"/>
  <c r="CK192" i="3"/>
  <c r="AD193" i="3"/>
  <c r="BD193" i="3"/>
  <c r="CD193" i="3"/>
  <c r="AW194" i="3"/>
  <c r="BV194" i="3"/>
  <c r="AP195" i="3"/>
  <c r="AH196" i="3"/>
  <c r="AT197" i="3"/>
  <c r="BV189" i="3"/>
  <c r="BB190" i="3"/>
  <c r="R191" i="3"/>
  <c r="BH191" i="3"/>
  <c r="P192" i="3"/>
  <c r="BJ192" i="3"/>
  <c r="F193" i="3"/>
  <c r="AF193" i="3"/>
  <c r="BF193" i="3"/>
  <c r="CF193" i="3"/>
  <c r="Y194" i="3"/>
  <c r="AX194" i="3"/>
  <c r="BX194" i="3"/>
  <c r="R195" i="3"/>
  <c r="AR195" i="3"/>
  <c r="BQ195" i="3"/>
  <c r="J196" i="3"/>
  <c r="AJ196" i="3"/>
  <c r="BE196" i="3"/>
  <c r="BV196" i="3"/>
  <c r="I197" i="3"/>
  <c r="V197" i="3"/>
  <c r="AI197" i="3"/>
  <c r="AV197" i="3"/>
  <c r="BH197" i="3"/>
  <c r="BV197" i="3"/>
  <c r="CH197" i="3"/>
  <c r="O198" i="3"/>
  <c r="AB198" i="3"/>
  <c r="AN198" i="3"/>
  <c r="BB198" i="3"/>
  <c r="BN198" i="3"/>
  <c r="CA198" i="3"/>
  <c r="BX189" i="3"/>
  <c r="BD190" i="3"/>
  <c r="T191" i="3"/>
  <c r="BN191" i="3"/>
  <c r="X192" i="3"/>
  <c r="BL192" i="3"/>
  <c r="H193" i="3"/>
  <c r="AH193" i="3"/>
  <c r="BH193" i="3"/>
  <c r="CG193" i="3"/>
  <c r="Z194" i="3"/>
  <c r="AZ194" i="3"/>
  <c r="BZ194" i="3"/>
  <c r="T195" i="3"/>
  <c r="AS195" i="3"/>
  <c r="BR195" i="3"/>
  <c r="L196" i="3"/>
  <c r="AL196" i="3"/>
  <c r="BH196" i="3"/>
  <c r="BY196" i="3"/>
  <c r="J197" i="3"/>
  <c r="X197" i="3"/>
  <c r="AJ197" i="3"/>
  <c r="AX197" i="3"/>
  <c r="CJ197" i="3"/>
  <c r="AD198" i="3"/>
  <c r="BP198" i="3"/>
  <c r="BS198" i="3"/>
  <c r="BL147" i="3"/>
  <c r="BM138" i="3"/>
  <c r="BO136" i="3"/>
  <c r="BN140" i="3"/>
  <c r="BP146" i="3"/>
  <c r="BK375" i="3" a="1"/>
  <c r="BO55" i="3"/>
  <c r="BV72" i="4"/>
  <c r="BV104" i="7" s="1"/>
  <c r="BV105" i="7" s="1"/>
  <c r="BV107" i="7" s="1"/>
  <c r="BV40" i="10" s="1"/>
  <c r="BV67" i="10" s="1"/>
  <c r="CK72" i="4"/>
  <c r="CK104" i="7" s="1"/>
  <c r="CK105" i="7" s="1"/>
  <c r="CK107" i="7" s="1"/>
  <c r="CK40" i="10" s="1"/>
  <c r="CK67" i="10" s="1"/>
  <c r="BL133" i="4"/>
  <c r="BL134" i="4" s="1"/>
  <c r="CA133" i="4"/>
  <c r="D132" i="4"/>
  <c r="CG133" i="4"/>
  <c r="BW133" i="4"/>
  <c r="CK133" i="4"/>
  <c r="BP133" i="4"/>
  <c r="CB133" i="4"/>
  <c r="BY133" i="4"/>
  <c r="CC133" i="4"/>
  <c r="CD133" i="4"/>
  <c r="BN133" i="4"/>
  <c r="BQ133" i="4"/>
  <c r="BT133" i="4"/>
  <c r="BX133" i="4"/>
  <c r="BZ133" i="4"/>
  <c r="CF133" i="4"/>
  <c r="CJ133" i="4"/>
  <c r="BO133" i="4"/>
  <c r="BS133" i="4"/>
  <c r="BV133" i="4"/>
  <c r="BU133" i="4"/>
  <c r="CE133" i="4"/>
  <c r="CI133" i="4"/>
  <c r="CH133" i="4"/>
  <c r="BR133" i="4"/>
  <c r="BR72" i="4"/>
  <c r="BR104" i="7" s="1"/>
  <c r="BR105" i="7" s="1"/>
  <c r="BR107" i="7" s="1"/>
  <c r="BR40" i="10" s="1"/>
  <c r="BR67" i="10" s="1"/>
  <c r="D66" i="4"/>
  <c r="BQ72" i="4"/>
  <c r="BQ104" i="7" s="1"/>
  <c r="BQ105" i="7" s="1"/>
  <c r="BQ107" i="7" s="1"/>
  <c r="BQ40" i="10" s="1"/>
  <c r="BQ67" i="10" s="1"/>
  <c r="BU72" i="4"/>
  <c r="BU104" i="7" s="1"/>
  <c r="BU105" i="7" s="1"/>
  <c r="BU107" i="7" s="1"/>
  <c r="BU40" i="10" s="1"/>
  <c r="BU67" i="10" s="1"/>
  <c r="BO72" i="4"/>
  <c r="BO104" i="7" s="1"/>
  <c r="BO105" i="7" s="1"/>
  <c r="BO107" i="7" s="1"/>
  <c r="BO40" i="10" s="1"/>
  <c r="BO67" i="10" s="1"/>
  <c r="CJ72" i="4"/>
  <c r="CJ104" i="7" s="1"/>
  <c r="CJ105" i="7" s="1"/>
  <c r="CJ107" i="7" s="1"/>
  <c r="CJ40" i="10" s="1"/>
  <c r="CJ67" i="10" s="1"/>
  <c r="BT72" i="4"/>
  <c r="BT104" i="7" s="1"/>
  <c r="BT105" i="7" s="1"/>
  <c r="BT107" i="7" s="1"/>
  <c r="BT40" i="10" s="1"/>
  <c r="BT67" i="10" s="1"/>
  <c r="CA72" i="4"/>
  <c r="CA104" i="7" s="1"/>
  <c r="CA105" i="7" s="1"/>
  <c r="CA107" i="7" s="1"/>
  <c r="CA40" i="10" s="1"/>
  <c r="CA67" i="10" s="1"/>
  <c r="CD72" i="4"/>
  <c r="CD104" i="7" s="1"/>
  <c r="CD105" i="7" s="1"/>
  <c r="CD107" i="7" s="1"/>
  <c r="CD40" i="10" s="1"/>
  <c r="CD67" i="10" s="1"/>
  <c r="CH72" i="4"/>
  <c r="CH104" i="7" s="1"/>
  <c r="CH105" i="7" s="1"/>
  <c r="CH107" i="7" s="1"/>
  <c r="CH40" i="10" s="1"/>
  <c r="CH67" i="10" s="1"/>
  <c r="CG72" i="4"/>
  <c r="CG104" i="7" s="1"/>
  <c r="CG105" i="7" s="1"/>
  <c r="CG107" i="7" s="1"/>
  <c r="CG40" i="10" s="1"/>
  <c r="CG67" i="10" s="1"/>
  <c r="CF72" i="4"/>
  <c r="CF104" i="7" s="1"/>
  <c r="CF105" i="7" s="1"/>
  <c r="CF107" i="7" s="1"/>
  <c r="CF40" i="10" s="1"/>
  <c r="CF67" i="10" s="1"/>
  <c r="BP72" i="4"/>
  <c r="BP104" i="7" s="1"/>
  <c r="BP105" i="7" s="1"/>
  <c r="BP107" i="7" s="1"/>
  <c r="BP40" i="10" s="1"/>
  <c r="BP67" i="10" s="1"/>
  <c r="BW72" i="4"/>
  <c r="BW104" i="7" s="1"/>
  <c r="BX72" i="4"/>
  <c r="BX104" i="7" s="1"/>
  <c r="BX105" i="7" s="1"/>
  <c r="BX107" i="7" s="1"/>
  <c r="BX40" i="10" s="1"/>
  <c r="BX67" i="10" s="1"/>
  <c r="CE72" i="4"/>
  <c r="CE104" i="7" s="1"/>
  <c r="CE105" i="7" s="1"/>
  <c r="CE107" i="7" s="1"/>
  <c r="CE40" i="10" s="1"/>
  <c r="CE67" i="10" s="1"/>
  <c r="BN72" i="4"/>
  <c r="BN104" i="7" s="1"/>
  <c r="BN105" i="7" s="1"/>
  <c r="BN107" i="7" s="1"/>
  <c r="BN40" i="10" s="1"/>
  <c r="BN67" i="10" s="1"/>
  <c r="CC72" i="4"/>
  <c r="CC104" i="7" s="1"/>
  <c r="CC105" i="7" s="1"/>
  <c r="CC107" i="7" s="1"/>
  <c r="CC40" i="10" s="1"/>
  <c r="CC67" i="10" s="1"/>
  <c r="BZ72" i="4"/>
  <c r="BZ104" i="7" s="1"/>
  <c r="BZ105" i="7" s="1"/>
  <c r="BZ107" i="7" s="1"/>
  <c r="BZ40" i="10" s="1"/>
  <c r="BZ67" i="10" s="1"/>
  <c r="BY72" i="4"/>
  <c r="BY104" i="7" s="1"/>
  <c r="BY105" i="7" s="1"/>
  <c r="BY107" i="7" s="1"/>
  <c r="BY40" i="10" s="1"/>
  <c r="BY67" i="10" s="1"/>
  <c r="CB72" i="4"/>
  <c r="CB104" i="7" s="1"/>
  <c r="CB105" i="7" s="1"/>
  <c r="CB107" i="7" s="1"/>
  <c r="CB40" i="10" s="1"/>
  <c r="CB67" i="10" s="1"/>
  <c r="CI72" i="4"/>
  <c r="CI104" i="7" s="1"/>
  <c r="BS72" i="4"/>
  <c r="BS104" i="7" s="1"/>
  <c r="BS105" i="7" s="1"/>
  <c r="BS107" i="7" s="1"/>
  <c r="BS40" i="10" s="1"/>
  <c r="BS67" i="10" s="1"/>
  <c r="D131" i="4"/>
  <c r="AA133" i="4"/>
  <c r="AA134" i="4" s="1"/>
  <c r="AJ133" i="4"/>
  <c r="AJ143" i="4" s="1"/>
  <c r="AG72" i="4"/>
  <c r="AG104" i="7" s="1"/>
  <c r="AG105" i="7" s="1"/>
  <c r="AG107" i="7" s="1"/>
  <c r="AG40" i="10" s="1"/>
  <c r="AG67" i="10" s="1"/>
  <c r="J72" i="4"/>
  <c r="J86" i="4" s="1"/>
  <c r="AW72" i="4"/>
  <c r="AW104" i="7" s="1"/>
  <c r="AW105" i="7" s="1"/>
  <c r="AW107" i="7" s="1"/>
  <c r="AW40" i="10" s="1"/>
  <c r="AW67" i="10" s="1"/>
  <c r="BK133" i="4"/>
  <c r="BK143" i="4" s="1"/>
  <c r="T133" i="4"/>
  <c r="T47" i="5" s="1"/>
  <c r="BD133" i="4"/>
  <c r="BD134" i="4" s="1"/>
  <c r="AI133" i="4"/>
  <c r="AI143" i="4" s="1"/>
  <c r="M133" i="4"/>
  <c r="M134" i="4" s="1"/>
  <c r="D130" i="4"/>
  <c r="D129" i="4"/>
  <c r="D128" i="4"/>
  <c r="AX133" i="4"/>
  <c r="AX134" i="4" s="1"/>
  <c r="D70" i="4"/>
  <c r="F72" i="4"/>
  <c r="F104" i="7" s="1"/>
  <c r="AK72" i="4"/>
  <c r="AK86" i="4" s="1"/>
  <c r="D71" i="4"/>
  <c r="BL72" i="4"/>
  <c r="BL86" i="4" s="1"/>
  <c r="D67" i="4"/>
  <c r="D69" i="4"/>
  <c r="I133" i="4"/>
  <c r="I143" i="4" s="1"/>
  <c r="H133" i="4"/>
  <c r="H134" i="4" s="1"/>
  <c r="D68" i="4"/>
  <c r="U133" i="4"/>
  <c r="BH133" i="4"/>
  <c r="AM133" i="4"/>
  <c r="R133" i="4"/>
  <c r="AX72" i="4"/>
  <c r="AR72" i="4"/>
  <c r="AB72" i="4"/>
  <c r="AY72" i="4"/>
  <c r="S72" i="4"/>
  <c r="Y133" i="4"/>
  <c r="BG133" i="4"/>
  <c r="K133" i="4"/>
  <c r="AY133" i="4"/>
  <c r="AC133" i="4"/>
  <c r="BC133" i="4"/>
  <c r="AG133" i="4"/>
  <c r="L133" i="4"/>
  <c r="BJ133" i="4"/>
  <c r="AT133" i="4"/>
  <c r="AD133" i="4"/>
  <c r="N133" i="4"/>
  <c r="BF72" i="4"/>
  <c r="AH72" i="4"/>
  <c r="Q72" i="4"/>
  <c r="I72" i="4"/>
  <c r="BJ72" i="4"/>
  <c r="AD72" i="4"/>
  <c r="BI72" i="4"/>
  <c r="AC72" i="4"/>
  <c r="BD72" i="4"/>
  <c r="AN72" i="4"/>
  <c r="X72" i="4"/>
  <c r="H72" i="4"/>
  <c r="BK72" i="4"/>
  <c r="AU72" i="4"/>
  <c r="AE72" i="4"/>
  <c r="O72" i="4"/>
  <c r="AK133" i="4"/>
  <c r="AQ133" i="4"/>
  <c r="AO133" i="4"/>
  <c r="AS133" i="4"/>
  <c r="X133" i="4"/>
  <c r="AW133" i="4"/>
  <c r="AB133" i="4"/>
  <c r="G133" i="4"/>
  <c r="BF133" i="4"/>
  <c r="AP133" i="4"/>
  <c r="Z133" i="4"/>
  <c r="J133" i="4"/>
  <c r="AP72" i="4"/>
  <c r="R72" i="4"/>
  <c r="BE72" i="4"/>
  <c r="BB72" i="4"/>
  <c r="V72" i="4"/>
  <c r="BA72" i="4"/>
  <c r="U72" i="4"/>
  <c r="AZ72" i="4"/>
  <c r="AJ72" i="4"/>
  <c r="T72" i="4"/>
  <c r="BG72" i="4"/>
  <c r="AQ72" i="4"/>
  <c r="AA72" i="4"/>
  <c r="K72" i="4"/>
  <c r="Q133" i="4"/>
  <c r="AH133" i="4"/>
  <c r="Y72" i="4"/>
  <c r="AL72" i="4"/>
  <c r="BH72" i="4"/>
  <c r="L72" i="4"/>
  <c r="AI72" i="4"/>
  <c r="O133" i="4"/>
  <c r="BA133" i="4"/>
  <c r="AZ133" i="4"/>
  <c r="D127" i="4"/>
  <c r="AV133" i="4"/>
  <c r="AU133" i="4"/>
  <c r="P133" i="4"/>
  <c r="BE133" i="4"/>
  <c r="AF133" i="4"/>
  <c r="AE133" i="4"/>
  <c r="BI133" i="4"/>
  <c r="AN133" i="4"/>
  <c r="S133" i="4"/>
  <c r="AR133" i="4"/>
  <c r="W133" i="4"/>
  <c r="BB133" i="4"/>
  <c r="AL133" i="4"/>
  <c r="V133" i="4"/>
  <c r="F133" i="4"/>
  <c r="Z72" i="4"/>
  <c r="AO72" i="4"/>
  <c r="AT72" i="4"/>
  <c r="N72" i="4"/>
  <c r="AS72" i="4"/>
  <c r="M72" i="4"/>
  <c r="AV72" i="4"/>
  <c r="AF72" i="4"/>
  <c r="P72" i="4"/>
  <c r="BC72" i="4"/>
  <c r="AM72" i="4"/>
  <c r="W72" i="4"/>
  <c r="G72" i="4"/>
  <c r="BM133" i="4"/>
  <c r="BM72" i="4"/>
  <c r="BR120" i="3" l="1"/>
  <c r="BQ143" i="3"/>
  <c r="CI105" i="7"/>
  <c r="CI107" i="7" s="1"/>
  <c r="CI40" i="10" s="1"/>
  <c r="M91" i="9"/>
  <c r="M92" i="9" s="1"/>
  <c r="BW105" i="7"/>
  <c r="BW107" i="7" s="1"/>
  <c r="BW40" i="10" s="1"/>
  <c r="L91" i="9"/>
  <c r="L92" i="9" s="1"/>
  <c r="F105" i="7"/>
  <c r="F107" i="7" s="1"/>
  <c r="BS86" i="4"/>
  <c r="BS46" i="5"/>
  <c r="BX86" i="4"/>
  <c r="BX46" i="5"/>
  <c r="BT86" i="4"/>
  <c r="BT46" i="5"/>
  <c r="CH143" i="4"/>
  <c r="CH47" i="5"/>
  <c r="CF143" i="4"/>
  <c r="CF47" i="5"/>
  <c r="BY143" i="4"/>
  <c r="BY47" i="5"/>
  <c r="CI86" i="4"/>
  <c r="CI46" i="5"/>
  <c r="BW86" i="4"/>
  <c r="BW46" i="5"/>
  <c r="CJ86" i="4"/>
  <c r="CJ46" i="5"/>
  <c r="CI134" i="4"/>
  <c r="CI47" i="5"/>
  <c r="BZ134" i="4"/>
  <c r="BZ47" i="5"/>
  <c r="CB134" i="4"/>
  <c r="CB47" i="5"/>
  <c r="CK86" i="4"/>
  <c r="CK46" i="5"/>
  <c r="CB86" i="4"/>
  <c r="CB46" i="5"/>
  <c r="BP86" i="4"/>
  <c r="BP46" i="5"/>
  <c r="BO86" i="4"/>
  <c r="BO46" i="5"/>
  <c r="CE134" i="4"/>
  <c r="CE47" i="5"/>
  <c r="BX143" i="4"/>
  <c r="BX47" i="5"/>
  <c r="BP134" i="4"/>
  <c r="BP47" i="5"/>
  <c r="BV86" i="4"/>
  <c r="BV46" i="5"/>
  <c r="BY86" i="4"/>
  <c r="BY46" i="5"/>
  <c r="CF86" i="4"/>
  <c r="CF46" i="5"/>
  <c r="BU86" i="4"/>
  <c r="BU46" i="5"/>
  <c r="BU134" i="4"/>
  <c r="BU47" i="5"/>
  <c r="BT134" i="4"/>
  <c r="BT47" i="5"/>
  <c r="CK143" i="4"/>
  <c r="CK47" i="5"/>
  <c r="BZ86" i="4"/>
  <c r="BZ46" i="5"/>
  <c r="CG86" i="4"/>
  <c r="CG46" i="5"/>
  <c r="BQ86" i="4"/>
  <c r="BQ46" i="5"/>
  <c r="BV134" i="4"/>
  <c r="BV47" i="5"/>
  <c r="BQ143" i="4"/>
  <c r="BQ47" i="5"/>
  <c r="BW143" i="4"/>
  <c r="BW47" i="5"/>
  <c r="CC86" i="4"/>
  <c r="CC46" i="5"/>
  <c r="CH86" i="4"/>
  <c r="CH46" i="5"/>
  <c r="BS143" i="4"/>
  <c r="BS47" i="5"/>
  <c r="BN134" i="4"/>
  <c r="BN47" i="5"/>
  <c r="CG143" i="4"/>
  <c r="CG47" i="5"/>
  <c r="BN86" i="4"/>
  <c r="BN46" i="5"/>
  <c r="CD86" i="4"/>
  <c r="CD46" i="5"/>
  <c r="BR86" i="4"/>
  <c r="BR46" i="5"/>
  <c r="BO143" i="4"/>
  <c r="BO47" i="5"/>
  <c r="CD143" i="4"/>
  <c r="CD47" i="5"/>
  <c r="CE86" i="4"/>
  <c r="CE46" i="5"/>
  <c r="CA86" i="4"/>
  <c r="CA46" i="5"/>
  <c r="BR134" i="4"/>
  <c r="BR47" i="5"/>
  <c r="CJ134" i="4"/>
  <c r="CJ47" i="5"/>
  <c r="CC143" i="4"/>
  <c r="CC47" i="5"/>
  <c r="CA143" i="4"/>
  <c r="CA47" i="5"/>
  <c r="AA47" i="5"/>
  <c r="F336" i="3" a="1"/>
  <c r="F336" i="3" s="1"/>
  <c r="F312" i="3" a="1"/>
  <c r="AQ375" i="3" a="1"/>
  <c r="BG375" i="3" a="1"/>
  <c r="AD375" i="3" a="1"/>
  <c r="AK375" i="3" a="1"/>
  <c r="R375" i="3" a="1"/>
  <c r="AP375" i="3" a="1"/>
  <c r="S375" i="3" a="1"/>
  <c r="BM279" i="3"/>
  <c r="BM41" i="7" s="1"/>
  <c r="BM81" i="7" s="1"/>
  <c r="AB279" i="3"/>
  <c r="AB41" i="7" s="1"/>
  <c r="AB81" i="7" s="1"/>
  <c r="AR279" i="3"/>
  <c r="AR41" i="7" s="1"/>
  <c r="AR81" i="7" s="1"/>
  <c r="BH279" i="3"/>
  <c r="BH41" i="7" s="1"/>
  <c r="BH81" i="7" s="1"/>
  <c r="BX279" i="3"/>
  <c r="BX41" i="7" s="1"/>
  <c r="BX81" i="7" s="1"/>
  <c r="BG279" i="3"/>
  <c r="BG41" i="7" s="1"/>
  <c r="BG81" i="7" s="1"/>
  <c r="BV279" i="3"/>
  <c r="BV41" i="7" s="1"/>
  <c r="BV81" i="7" s="1"/>
  <c r="J279" i="3"/>
  <c r="J41" i="7" s="1"/>
  <c r="J81" i="7" s="1"/>
  <c r="AV279" i="3"/>
  <c r="AV41" i="7" s="1"/>
  <c r="AV81" i="7" s="1"/>
  <c r="CI279" i="3"/>
  <c r="CI41" i="7" s="1"/>
  <c r="W279" i="3"/>
  <c r="W41" i="7" s="1"/>
  <c r="W81" i="7" s="1"/>
  <c r="D276" i="3"/>
  <c r="BJ279" i="3"/>
  <c r="BJ41" i="7" s="1"/>
  <c r="BJ81" i="7" s="1"/>
  <c r="D277" i="3"/>
  <c r="AY279" i="3"/>
  <c r="AY41" i="7" s="1"/>
  <c r="D273" i="3"/>
  <c r="BN279" i="3"/>
  <c r="BN41" i="7" s="1"/>
  <c r="BN81" i="7" s="1"/>
  <c r="BE279" i="3"/>
  <c r="BE41" i="7" s="1"/>
  <c r="BE81" i="7" s="1"/>
  <c r="AN279" i="3"/>
  <c r="AN41" i="7" s="1"/>
  <c r="AN81" i="7" s="1"/>
  <c r="CA279" i="3"/>
  <c r="CA41" i="7" s="1"/>
  <c r="CA81" i="7" s="1"/>
  <c r="O279" i="3"/>
  <c r="O41" i="7" s="1"/>
  <c r="BB279" i="3"/>
  <c r="BB41" i="7" s="1"/>
  <c r="BB81" i="7" s="1"/>
  <c r="AK279" i="3"/>
  <c r="AK41" i="7" s="1"/>
  <c r="AK81" i="7" s="1"/>
  <c r="CG279" i="3"/>
  <c r="CG41" i="7" s="1"/>
  <c r="CG81" i="7" s="1"/>
  <c r="CF279" i="3"/>
  <c r="CF41" i="7" s="1"/>
  <c r="CF81" i="7" s="1"/>
  <c r="L279" i="3"/>
  <c r="L41" i="7" s="1"/>
  <c r="L81" i="7" s="1"/>
  <c r="AQ279" i="3"/>
  <c r="AQ41" i="7" s="1"/>
  <c r="AQ81" i="7" s="1"/>
  <c r="BF279" i="3"/>
  <c r="BF41" i="7" s="1"/>
  <c r="BF81" i="7" s="1"/>
  <c r="AW279" i="3"/>
  <c r="AW41" i="7" s="1"/>
  <c r="AW81" i="7" s="1"/>
  <c r="AF279" i="3"/>
  <c r="AF41" i="7" s="1"/>
  <c r="AF81" i="7" s="1"/>
  <c r="BS279" i="3"/>
  <c r="BS41" i="7" s="1"/>
  <c r="BS81" i="7" s="1"/>
  <c r="G279" i="3"/>
  <c r="G41" i="7" s="1"/>
  <c r="G81" i="7" s="1"/>
  <c r="D272" i="3"/>
  <c r="AT279" i="3"/>
  <c r="AT41" i="7" s="1"/>
  <c r="AT81" i="7" s="1"/>
  <c r="BQ279" i="3"/>
  <c r="BQ41" i="7" s="1"/>
  <c r="BQ81" i="7" s="1"/>
  <c r="BA279" i="3"/>
  <c r="BA41" i="7" s="1"/>
  <c r="BA81" i="7" s="1"/>
  <c r="AZ279" i="3"/>
  <c r="AZ41" i="7" s="1"/>
  <c r="AZ81" i="7" s="1"/>
  <c r="BY279" i="3"/>
  <c r="BY41" i="7" s="1"/>
  <c r="BY81" i="7" s="1"/>
  <c r="AI279" i="3"/>
  <c r="AI41" i="7" s="1"/>
  <c r="AI81" i="7" s="1"/>
  <c r="AX279" i="3"/>
  <c r="AX41" i="7" s="1"/>
  <c r="AX81" i="7" s="1"/>
  <c r="AO279" i="3"/>
  <c r="AO41" i="7" s="1"/>
  <c r="AO81" i="7" s="1"/>
  <c r="CJ279" i="3"/>
  <c r="CJ41" i="7" s="1"/>
  <c r="CJ81" i="7" s="1"/>
  <c r="X279" i="3"/>
  <c r="X41" i="7" s="1"/>
  <c r="X81" i="7" s="1"/>
  <c r="BK279" i="3"/>
  <c r="BK41" i="7" s="1"/>
  <c r="D278" i="3"/>
  <c r="AL279" i="3"/>
  <c r="AL41" i="7" s="1"/>
  <c r="AL81" i="7" s="1"/>
  <c r="BI279" i="3"/>
  <c r="BI41" i="7" s="1"/>
  <c r="BI81" i="7" s="1"/>
  <c r="U279" i="3"/>
  <c r="U41" i="7" s="1"/>
  <c r="U81" i="7" s="1"/>
  <c r="T279" i="3"/>
  <c r="T41" i="7" s="1"/>
  <c r="T81" i="7" s="1"/>
  <c r="AS279" i="3"/>
  <c r="AS41" i="7" s="1"/>
  <c r="AS81" i="7" s="1"/>
  <c r="AA279" i="3"/>
  <c r="AA41" i="7" s="1"/>
  <c r="D275" i="3"/>
  <c r="AP279" i="3"/>
  <c r="AP41" i="7" s="1"/>
  <c r="AP81" i="7" s="1"/>
  <c r="AG279" i="3"/>
  <c r="AG41" i="7" s="1"/>
  <c r="AG81" i="7" s="1"/>
  <c r="CB279" i="3"/>
  <c r="CB41" i="7" s="1"/>
  <c r="CB81" i="7" s="1"/>
  <c r="P279" i="3"/>
  <c r="P41" i="7" s="1"/>
  <c r="P81" i="7" s="1"/>
  <c r="BC279" i="3"/>
  <c r="BC41" i="7" s="1"/>
  <c r="BC81" i="7" s="1"/>
  <c r="AD279" i="3"/>
  <c r="AD41" i="7" s="1"/>
  <c r="AD81" i="7" s="1"/>
  <c r="AC279" i="3"/>
  <c r="AC41" i="7" s="1"/>
  <c r="AC81" i="7" s="1"/>
  <c r="M279" i="3"/>
  <c r="M41" i="7" s="1"/>
  <c r="M81" i="7" s="1"/>
  <c r="CE279" i="3"/>
  <c r="CE41" i="7" s="1"/>
  <c r="CE81" i="7" s="1"/>
  <c r="S279" i="3"/>
  <c r="S41" i="7" s="1"/>
  <c r="S81" i="7" s="1"/>
  <c r="AH279" i="3"/>
  <c r="AH41" i="7" s="1"/>
  <c r="AH81" i="7" s="1"/>
  <c r="CK279" i="3"/>
  <c r="CK41" i="7" s="1"/>
  <c r="CK81" i="7" s="1"/>
  <c r="Y279" i="3"/>
  <c r="Y41" i="7" s="1"/>
  <c r="Y81" i="7" s="1"/>
  <c r="BT279" i="3"/>
  <c r="BT41" i="7" s="1"/>
  <c r="BT81" i="7" s="1"/>
  <c r="H279" i="3"/>
  <c r="H41" i="7" s="1"/>
  <c r="H81" i="7" s="1"/>
  <c r="AU279" i="3"/>
  <c r="AU41" i="7" s="1"/>
  <c r="AU81" i="7" s="1"/>
  <c r="D274" i="3"/>
  <c r="CH279" i="3"/>
  <c r="CH41" i="7" s="1"/>
  <c r="CH81" i="7" s="1"/>
  <c r="V279" i="3"/>
  <c r="V41" i="7" s="1"/>
  <c r="V81" i="7" s="1"/>
  <c r="BP279" i="3"/>
  <c r="BP41" i="7" s="1"/>
  <c r="BP81" i="7" s="1"/>
  <c r="BW279" i="3"/>
  <c r="BW41" i="7" s="1"/>
  <c r="K279" i="3"/>
  <c r="K41" i="7" s="1"/>
  <c r="K81" i="7" s="1"/>
  <c r="D271" i="3"/>
  <c r="Z279" i="3"/>
  <c r="Z41" i="7" s="1"/>
  <c r="Z81" i="7" s="1"/>
  <c r="CC279" i="3"/>
  <c r="CC41" i="7" s="1"/>
  <c r="CC81" i="7" s="1"/>
  <c r="Q279" i="3"/>
  <c r="Q41" i="7" s="1"/>
  <c r="Q81" i="7" s="1"/>
  <c r="BL279" i="3"/>
  <c r="BL41" i="7" s="1"/>
  <c r="BL81" i="7" s="1"/>
  <c r="AM279" i="3"/>
  <c r="AM41" i="7" s="1"/>
  <c r="BZ279" i="3"/>
  <c r="BZ41" i="7" s="1"/>
  <c r="BZ81" i="7" s="1"/>
  <c r="N279" i="3"/>
  <c r="N41" i="7" s="1"/>
  <c r="N81" i="7" s="1"/>
  <c r="AJ279" i="3"/>
  <c r="AJ41" i="7" s="1"/>
  <c r="AJ81" i="7" s="1"/>
  <c r="BO279" i="3"/>
  <c r="BO41" i="7" s="1"/>
  <c r="BO81" i="7" s="1"/>
  <c r="CD279" i="3"/>
  <c r="CD41" i="7" s="1"/>
  <c r="CD81" i="7" s="1"/>
  <c r="R279" i="3"/>
  <c r="R41" i="7" s="1"/>
  <c r="R81" i="7" s="1"/>
  <c r="BU279" i="3"/>
  <c r="BU41" i="7" s="1"/>
  <c r="BU81" i="7" s="1"/>
  <c r="I279" i="3"/>
  <c r="I41" i="7" s="1"/>
  <c r="I81" i="7" s="1"/>
  <c r="BD279" i="3"/>
  <c r="BD41" i="7" s="1"/>
  <c r="BD81" i="7" s="1"/>
  <c r="AE279" i="3"/>
  <c r="AE41" i="7" s="1"/>
  <c r="AE81" i="7" s="1"/>
  <c r="BR279" i="3"/>
  <c r="BR41" i="7" s="1"/>
  <c r="BR81" i="7" s="1"/>
  <c r="D270" i="3"/>
  <c r="F279" i="3"/>
  <c r="F41" i="7" s="1"/>
  <c r="CD134" i="4"/>
  <c r="BX134" i="4"/>
  <c r="BM147" i="3"/>
  <c r="BP136" i="3"/>
  <c r="BN138" i="3"/>
  <c r="BO140" i="3"/>
  <c r="BQ146" i="3"/>
  <c r="AI47" i="5"/>
  <c r="CE143" i="4"/>
  <c r="AW46" i="5"/>
  <c r="BP143" i="4"/>
  <c r="BO134" i="4"/>
  <c r="BL375" i="3" a="1"/>
  <c r="BP55" i="3"/>
  <c r="J104" i="7"/>
  <c r="J105" i="7" s="1"/>
  <c r="J107" i="7" s="1"/>
  <c r="J40" i="10" s="1"/>
  <c r="J67" i="10" s="1"/>
  <c r="CC134" i="4"/>
  <c r="BT143" i="4"/>
  <c r="F46" i="5"/>
  <c r="BR143" i="4"/>
  <c r="BD47" i="5"/>
  <c r="BL143" i="4"/>
  <c r="BK134" i="4"/>
  <c r="BK83" i="7" s="1"/>
  <c r="BL104" i="7"/>
  <c r="BL105" i="7" s="1"/>
  <c r="BL107" i="7" s="1"/>
  <c r="BL40" i="10" s="1"/>
  <c r="BL67" i="10" s="1"/>
  <c r="AG86" i="4"/>
  <c r="BY134" i="4"/>
  <c r="T143" i="4"/>
  <c r="BL47" i="5"/>
  <c r="CH134" i="4"/>
  <c r="BQ134" i="4"/>
  <c r="BV143" i="4"/>
  <c r="CF134" i="4"/>
  <c r="BW134" i="4"/>
  <c r="CG134" i="4"/>
  <c r="AX143" i="4"/>
  <c r="H143" i="4"/>
  <c r="AI134" i="4"/>
  <c r="AI84" i="7" s="1"/>
  <c r="BU143" i="4"/>
  <c r="CK134" i="4"/>
  <c r="AK46" i="5"/>
  <c r="AW86" i="4"/>
  <c r="CJ143" i="4"/>
  <c r="BD143" i="4"/>
  <c r="J46" i="5"/>
  <c r="CA134" i="4"/>
  <c r="BL46" i="5"/>
  <c r="AK104" i="7"/>
  <c r="AK105" i="7" s="1"/>
  <c r="AK107" i="7" s="1"/>
  <c r="AK40" i="10" s="1"/>
  <c r="AK67" i="10" s="1"/>
  <c r="AG46" i="5"/>
  <c r="T134" i="4"/>
  <c r="T84" i="7" s="1"/>
  <c r="D72" i="4"/>
  <c r="BY79" i="4" s="1"/>
  <c r="BY87" i="4" s="1"/>
  <c r="H47" i="5"/>
  <c r="AA143" i="4"/>
  <c r="BN143" i="4"/>
  <c r="BS134" i="4"/>
  <c r="F86" i="4"/>
  <c r="D133" i="4"/>
  <c r="BR138" i="4" s="1"/>
  <c r="AJ134" i="4"/>
  <c r="AJ84" i="7" s="1"/>
  <c r="M47" i="5"/>
  <c r="CI143" i="4"/>
  <c r="AJ47" i="5"/>
  <c r="BZ143" i="4"/>
  <c r="CB143" i="4"/>
  <c r="I134" i="4"/>
  <c r="I84" i="7" s="1"/>
  <c r="BK47" i="5"/>
  <c r="M143" i="4"/>
  <c r="I47" i="5"/>
  <c r="AX47" i="5"/>
  <c r="BC86" i="4"/>
  <c r="BC46" i="5"/>
  <c r="BC104" i="7"/>
  <c r="BC105" i="7" s="1"/>
  <c r="BC107" i="7" s="1"/>
  <c r="BC40" i="10" s="1"/>
  <c r="BC67" i="10" s="1"/>
  <c r="AO104" i="7"/>
  <c r="AO105" i="7" s="1"/>
  <c r="AO107" i="7" s="1"/>
  <c r="AO40" i="10" s="1"/>
  <c r="AO67" i="10" s="1"/>
  <c r="AO86" i="4"/>
  <c r="AO46" i="5"/>
  <c r="BI143" i="4"/>
  <c r="BI134" i="4"/>
  <c r="BI47" i="5"/>
  <c r="AA46" i="5"/>
  <c r="AA104" i="7"/>
  <c r="AA86" i="4"/>
  <c r="V104" i="7"/>
  <c r="V105" i="7" s="1"/>
  <c r="V107" i="7" s="1"/>
  <c r="V40" i="10" s="1"/>
  <c r="V67" i="10" s="1"/>
  <c r="V46" i="5"/>
  <c r="V86" i="4"/>
  <c r="BF143" i="4"/>
  <c r="BF134" i="4"/>
  <c r="BF47" i="5"/>
  <c r="X143" i="4"/>
  <c r="X134" i="4"/>
  <c r="X47" i="5"/>
  <c r="O86" i="4"/>
  <c r="O46" i="5"/>
  <c r="O104" i="7"/>
  <c r="AC104" i="7"/>
  <c r="AC105" i="7" s="1"/>
  <c r="AC107" i="7" s="1"/>
  <c r="AC40" i="10" s="1"/>
  <c r="AC67" i="10" s="1"/>
  <c r="AC46" i="5"/>
  <c r="AC86" i="4"/>
  <c r="N143" i="4"/>
  <c r="N47" i="5"/>
  <c r="N134" i="4"/>
  <c r="AB104" i="7"/>
  <c r="AB105" i="7" s="1"/>
  <c r="AB107" i="7" s="1"/>
  <c r="AB40" i="10" s="1"/>
  <c r="AB67" i="10" s="1"/>
  <c r="AB86" i="4"/>
  <c r="AB46" i="5"/>
  <c r="AM143" i="4"/>
  <c r="AM47" i="5"/>
  <c r="AM134" i="4"/>
  <c r="G86" i="4"/>
  <c r="G46" i="5"/>
  <c r="G104" i="7"/>
  <c r="G105" i="7" s="1"/>
  <c r="G107" i="7" s="1"/>
  <c r="G40" i="10" s="1"/>
  <c r="G67" i="10" s="1"/>
  <c r="AS86" i="4"/>
  <c r="AS104" i="7"/>
  <c r="AS105" i="7" s="1"/>
  <c r="AS107" i="7" s="1"/>
  <c r="AS40" i="10" s="1"/>
  <c r="AS67" i="10" s="1"/>
  <c r="AS46" i="5"/>
  <c r="Z104" i="7"/>
  <c r="Z105" i="7" s="1"/>
  <c r="Z107" i="7" s="1"/>
  <c r="Z40" i="10" s="1"/>
  <c r="Z67" i="10" s="1"/>
  <c r="Z46" i="5"/>
  <c r="Z86" i="4"/>
  <c r="BB134" i="4"/>
  <c r="BB143" i="4"/>
  <c r="BB47" i="5"/>
  <c r="BE47" i="5"/>
  <c r="BE143" i="4"/>
  <c r="BE134" i="4"/>
  <c r="AI46" i="5"/>
  <c r="AI86" i="4"/>
  <c r="AI104" i="7"/>
  <c r="AI105" i="7" s="1"/>
  <c r="AI107" i="7" s="1"/>
  <c r="AI40" i="10" s="1"/>
  <c r="AI67" i="10" s="1"/>
  <c r="AQ86" i="4"/>
  <c r="AQ104" i="7"/>
  <c r="AQ105" i="7" s="1"/>
  <c r="AQ107" i="7" s="1"/>
  <c r="AQ40" i="10" s="1"/>
  <c r="AQ67" i="10" s="1"/>
  <c r="AQ46" i="5"/>
  <c r="AZ86" i="4"/>
  <c r="AZ46" i="5"/>
  <c r="AZ104" i="7"/>
  <c r="AZ105" i="7" s="1"/>
  <c r="AZ107" i="7" s="1"/>
  <c r="AZ40" i="10" s="1"/>
  <c r="AZ67" i="10" s="1"/>
  <c r="BB104" i="7"/>
  <c r="BB105" i="7" s="1"/>
  <c r="BB107" i="7" s="1"/>
  <c r="BB40" i="10" s="1"/>
  <c r="BB67" i="10" s="1"/>
  <c r="BB86" i="4"/>
  <c r="BB46" i="5"/>
  <c r="J134" i="4"/>
  <c r="J47" i="5"/>
  <c r="J143" i="4"/>
  <c r="AW143" i="4"/>
  <c r="AW134" i="4"/>
  <c r="AW47" i="5"/>
  <c r="AS143" i="4"/>
  <c r="AS47" i="5"/>
  <c r="AS134" i="4"/>
  <c r="AQ47" i="5"/>
  <c r="AQ134" i="4"/>
  <c r="AQ143" i="4"/>
  <c r="AE86" i="4"/>
  <c r="AE104" i="7"/>
  <c r="AE105" i="7" s="1"/>
  <c r="AE107" i="7" s="1"/>
  <c r="AE40" i="10" s="1"/>
  <c r="AE67" i="10" s="1"/>
  <c r="AE46" i="5"/>
  <c r="X86" i="4"/>
  <c r="X104" i="7"/>
  <c r="X105" i="7" s="1"/>
  <c r="X107" i="7" s="1"/>
  <c r="X40" i="10" s="1"/>
  <c r="X67" i="10" s="1"/>
  <c r="X46" i="5"/>
  <c r="BI86" i="4"/>
  <c r="BI46" i="5"/>
  <c r="BI104" i="7"/>
  <c r="BI105" i="7" s="1"/>
  <c r="BI107" i="7" s="1"/>
  <c r="BI40" i="10" s="1"/>
  <c r="BI67" i="10" s="1"/>
  <c r="Q104" i="7"/>
  <c r="Q105" i="7" s="1"/>
  <c r="Q107" i="7" s="1"/>
  <c r="Q40" i="10" s="1"/>
  <c r="Q67" i="10" s="1"/>
  <c r="Q86" i="4"/>
  <c r="Q46" i="5"/>
  <c r="AD134" i="4"/>
  <c r="AD47" i="5"/>
  <c r="AD143" i="4"/>
  <c r="K47" i="5"/>
  <c r="K143" i="4"/>
  <c r="K134" i="4"/>
  <c r="AR104" i="7"/>
  <c r="AR105" i="7" s="1"/>
  <c r="AR107" i="7" s="1"/>
  <c r="AR40" i="10" s="1"/>
  <c r="AR67" i="10" s="1"/>
  <c r="AR86" i="4"/>
  <c r="AR46" i="5"/>
  <c r="AX104" i="7"/>
  <c r="AX105" i="7" s="1"/>
  <c r="AX107" i="7" s="1"/>
  <c r="AX40" i="10" s="1"/>
  <c r="AX67" i="10" s="1"/>
  <c r="AX46" i="5"/>
  <c r="AX86" i="4"/>
  <c r="BH143" i="4"/>
  <c r="BH47" i="5"/>
  <c r="BH134" i="4"/>
  <c r="AA83" i="7"/>
  <c r="AA84" i="7"/>
  <c r="W86" i="4"/>
  <c r="W46" i="5"/>
  <c r="W104" i="7"/>
  <c r="W105" i="7" s="1"/>
  <c r="W107" i="7" s="1"/>
  <c r="W40" i="10" s="1"/>
  <c r="W67" i="10" s="1"/>
  <c r="AF46" i="5"/>
  <c r="AF104" i="7"/>
  <c r="AF105" i="7" s="1"/>
  <c r="AF107" i="7" s="1"/>
  <c r="AF40" i="10" s="1"/>
  <c r="AF67" i="10" s="1"/>
  <c r="AF86" i="4"/>
  <c r="N104" i="7"/>
  <c r="N105" i="7" s="1"/>
  <c r="N107" i="7" s="1"/>
  <c r="N40" i="10" s="1"/>
  <c r="N67" i="10" s="1"/>
  <c r="N46" i="5"/>
  <c r="N86" i="4"/>
  <c r="F143" i="4"/>
  <c r="F47" i="5"/>
  <c r="F134" i="4"/>
  <c r="W143" i="4"/>
  <c r="W47" i="5"/>
  <c r="W134" i="4"/>
  <c r="S134" i="4"/>
  <c r="S143" i="4"/>
  <c r="S47" i="5"/>
  <c r="AF47" i="5"/>
  <c r="AF143" i="4"/>
  <c r="AF134" i="4"/>
  <c r="P143" i="4"/>
  <c r="P47" i="5"/>
  <c r="P134" i="4"/>
  <c r="AV47" i="5"/>
  <c r="AV143" i="4"/>
  <c r="AV134" i="4"/>
  <c r="AZ143" i="4"/>
  <c r="AZ134" i="4"/>
  <c r="AZ47" i="5"/>
  <c r="L86" i="4"/>
  <c r="L104" i="7"/>
  <c r="L105" i="7" s="1"/>
  <c r="L107" i="7" s="1"/>
  <c r="L40" i="10" s="1"/>
  <c r="L67" i="10" s="1"/>
  <c r="L46" i="5"/>
  <c r="AH47" i="5"/>
  <c r="AH134" i="4"/>
  <c r="AH143" i="4"/>
  <c r="BG86" i="4"/>
  <c r="BG46" i="5"/>
  <c r="BG104" i="7"/>
  <c r="BG105" i="7" s="1"/>
  <c r="BG107" i="7" s="1"/>
  <c r="BG40" i="10" s="1"/>
  <c r="BG67" i="10" s="1"/>
  <c r="U86" i="4"/>
  <c r="U46" i="5"/>
  <c r="U104" i="7"/>
  <c r="U105" i="7" s="1"/>
  <c r="U107" i="7" s="1"/>
  <c r="U40" i="10" s="1"/>
  <c r="U67" i="10" s="1"/>
  <c r="BE86" i="4"/>
  <c r="BE46" i="5"/>
  <c r="BE104" i="7"/>
  <c r="BE105" i="7" s="1"/>
  <c r="BE107" i="7" s="1"/>
  <c r="BE40" i="10" s="1"/>
  <c r="BE67" i="10" s="1"/>
  <c r="Z47" i="5"/>
  <c r="Z134" i="4"/>
  <c r="Z143" i="4"/>
  <c r="AO134" i="4"/>
  <c r="AO143" i="4"/>
  <c r="AO47" i="5"/>
  <c r="AK143" i="4"/>
  <c r="AK134" i="4"/>
  <c r="AK47" i="5"/>
  <c r="AU46" i="5"/>
  <c r="AU104" i="7"/>
  <c r="AU105" i="7" s="1"/>
  <c r="AU107" i="7" s="1"/>
  <c r="AU40" i="10" s="1"/>
  <c r="AU67" i="10" s="1"/>
  <c r="AU86" i="4"/>
  <c r="AN104" i="7"/>
  <c r="AN105" i="7" s="1"/>
  <c r="AN107" i="7" s="1"/>
  <c r="AN40" i="10" s="1"/>
  <c r="AN67" i="10" s="1"/>
  <c r="AN86" i="4"/>
  <c r="AN46" i="5"/>
  <c r="AD46" i="5"/>
  <c r="AD86" i="4"/>
  <c r="AD104" i="7"/>
  <c r="AD105" i="7" s="1"/>
  <c r="AD107" i="7" s="1"/>
  <c r="AD40" i="10" s="1"/>
  <c r="AD67" i="10" s="1"/>
  <c r="AH104" i="7"/>
  <c r="AH105" i="7" s="1"/>
  <c r="AH107" i="7" s="1"/>
  <c r="AH40" i="10" s="1"/>
  <c r="AH67" i="10" s="1"/>
  <c r="AH46" i="5"/>
  <c r="AH86" i="4"/>
  <c r="AT47" i="5"/>
  <c r="AT143" i="4"/>
  <c r="AT134" i="4"/>
  <c r="L134" i="4"/>
  <c r="L143" i="4"/>
  <c r="L47" i="5"/>
  <c r="AC143" i="4"/>
  <c r="AC47" i="5"/>
  <c r="AC134" i="4"/>
  <c r="BG47" i="5"/>
  <c r="BG134" i="4"/>
  <c r="BG143" i="4"/>
  <c r="S86" i="4"/>
  <c r="S46" i="5"/>
  <c r="S104" i="7"/>
  <c r="S105" i="7" s="1"/>
  <c r="S107" i="7" s="1"/>
  <c r="S40" i="10" s="1"/>
  <c r="S67" i="10" s="1"/>
  <c r="R134" i="4"/>
  <c r="R143" i="4"/>
  <c r="R47" i="5"/>
  <c r="U134" i="4"/>
  <c r="U143" i="4"/>
  <c r="U47" i="5"/>
  <c r="M104" i="7"/>
  <c r="M105" i="7" s="1"/>
  <c r="M107" i="7" s="1"/>
  <c r="M40" i="10" s="1"/>
  <c r="M67" i="10" s="1"/>
  <c r="M86" i="4"/>
  <c r="M46" i="5"/>
  <c r="AL47" i="5"/>
  <c r="AL134" i="4"/>
  <c r="AL143" i="4"/>
  <c r="O134" i="4"/>
  <c r="O143" i="4"/>
  <c r="O47" i="5"/>
  <c r="Y104" i="7"/>
  <c r="Y105" i="7" s="1"/>
  <c r="Y107" i="7" s="1"/>
  <c r="Y40" i="10" s="1"/>
  <c r="Y67" i="10" s="1"/>
  <c r="Y86" i="4"/>
  <c r="Y46" i="5"/>
  <c r="AJ86" i="4"/>
  <c r="AJ104" i="7"/>
  <c r="AJ105" i="7" s="1"/>
  <c r="AJ107" i="7" s="1"/>
  <c r="AJ40" i="10" s="1"/>
  <c r="AJ67" i="10" s="1"/>
  <c r="AJ46" i="5"/>
  <c r="AP86" i="4"/>
  <c r="AP46" i="5"/>
  <c r="AP104" i="7"/>
  <c r="AP105" i="7" s="1"/>
  <c r="AP107" i="7" s="1"/>
  <c r="AP40" i="10" s="1"/>
  <c r="AP67" i="10" s="1"/>
  <c r="AB134" i="4"/>
  <c r="AB143" i="4"/>
  <c r="AB47" i="5"/>
  <c r="H104" i="7"/>
  <c r="H105" i="7" s="1"/>
  <c r="H107" i="7" s="1"/>
  <c r="H40" i="10" s="1"/>
  <c r="H67" i="10" s="1"/>
  <c r="H86" i="4"/>
  <c r="H46" i="5"/>
  <c r="I86" i="4"/>
  <c r="I104" i="7"/>
  <c r="I105" i="7" s="1"/>
  <c r="I107" i="7" s="1"/>
  <c r="I40" i="10" s="1"/>
  <c r="I67" i="10" s="1"/>
  <c r="I46" i="5"/>
  <c r="BC134" i="4"/>
  <c r="BC143" i="4"/>
  <c r="BC47" i="5"/>
  <c r="AX83" i="7"/>
  <c r="AX84" i="7"/>
  <c r="M84" i="7"/>
  <c r="M83" i="7"/>
  <c r="BD84" i="7"/>
  <c r="BD83" i="7"/>
  <c r="P46" i="5"/>
  <c r="P104" i="7"/>
  <c r="P105" i="7" s="1"/>
  <c r="P107" i="7" s="1"/>
  <c r="P40" i="10" s="1"/>
  <c r="P67" i="10" s="1"/>
  <c r="P86" i="4"/>
  <c r="AU134" i="4"/>
  <c r="AU143" i="4"/>
  <c r="AU47" i="5"/>
  <c r="Q47" i="5"/>
  <c r="Q143" i="4"/>
  <c r="Q134" i="4"/>
  <c r="AM86" i="4"/>
  <c r="AM104" i="7"/>
  <c r="AM46" i="5"/>
  <c r="AV104" i="7"/>
  <c r="AV105" i="7" s="1"/>
  <c r="AV107" i="7" s="1"/>
  <c r="AV40" i="10" s="1"/>
  <c r="AV67" i="10" s="1"/>
  <c r="AV86" i="4"/>
  <c r="AV46" i="5"/>
  <c r="AT104" i="7"/>
  <c r="AT105" i="7" s="1"/>
  <c r="AT107" i="7" s="1"/>
  <c r="AT40" i="10" s="1"/>
  <c r="AT67" i="10" s="1"/>
  <c r="AT46" i="5"/>
  <c r="AT86" i="4"/>
  <c r="V134" i="4"/>
  <c r="V143" i="4"/>
  <c r="V47" i="5"/>
  <c r="AR134" i="4"/>
  <c r="AR143" i="4"/>
  <c r="AR47" i="5"/>
  <c r="AN47" i="5"/>
  <c r="AN134" i="4"/>
  <c r="AN143" i="4"/>
  <c r="AE47" i="5"/>
  <c r="AE134" i="4"/>
  <c r="AE143" i="4"/>
  <c r="BA134" i="4"/>
  <c r="BA47" i="5"/>
  <c r="BA143" i="4"/>
  <c r="BH86" i="4"/>
  <c r="BH104" i="7"/>
  <c r="BH105" i="7" s="1"/>
  <c r="BH107" i="7" s="1"/>
  <c r="BH40" i="10" s="1"/>
  <c r="BH67" i="10" s="1"/>
  <c r="BH46" i="5"/>
  <c r="AL104" i="7"/>
  <c r="AL105" i="7" s="1"/>
  <c r="AL107" i="7" s="1"/>
  <c r="AL40" i="10" s="1"/>
  <c r="AL67" i="10" s="1"/>
  <c r="AL86" i="4"/>
  <c r="AL46" i="5"/>
  <c r="K46" i="5"/>
  <c r="K86" i="4"/>
  <c r="K104" i="7"/>
  <c r="K105" i="7" s="1"/>
  <c r="K107" i="7" s="1"/>
  <c r="K40" i="10" s="1"/>
  <c r="K67" i="10" s="1"/>
  <c r="T86" i="4"/>
  <c r="T104" i="7"/>
  <c r="T105" i="7" s="1"/>
  <c r="T107" i="7" s="1"/>
  <c r="T40" i="10" s="1"/>
  <c r="T67" i="10" s="1"/>
  <c r="T46" i="5"/>
  <c r="BA86" i="4"/>
  <c r="BA104" i="7"/>
  <c r="BA105" i="7" s="1"/>
  <c r="BA107" i="7" s="1"/>
  <c r="BA40" i="10" s="1"/>
  <c r="BA67" i="10" s="1"/>
  <c r="BA46" i="5"/>
  <c r="R86" i="4"/>
  <c r="R104" i="7"/>
  <c r="R105" i="7" s="1"/>
  <c r="R107" i="7" s="1"/>
  <c r="R40" i="10" s="1"/>
  <c r="R67" i="10" s="1"/>
  <c r="R46" i="5"/>
  <c r="AP143" i="4"/>
  <c r="AP134" i="4"/>
  <c r="AP47" i="5"/>
  <c r="G134" i="4"/>
  <c r="G143" i="4"/>
  <c r="G47" i="5"/>
  <c r="BK104" i="7"/>
  <c r="BK86" i="4"/>
  <c r="BK46" i="5"/>
  <c r="BD86" i="4"/>
  <c r="BD46" i="5"/>
  <c r="BD104" i="7"/>
  <c r="BD105" i="7" s="1"/>
  <c r="BD107" i="7" s="1"/>
  <c r="BD40" i="10" s="1"/>
  <c r="BD67" i="10" s="1"/>
  <c r="BJ86" i="4"/>
  <c r="BJ46" i="5"/>
  <c r="BJ104" i="7"/>
  <c r="BJ105" i="7" s="1"/>
  <c r="BJ107" i="7" s="1"/>
  <c r="BJ40" i="10" s="1"/>
  <c r="BJ67" i="10" s="1"/>
  <c r="BF46" i="5"/>
  <c r="BF86" i="4"/>
  <c r="BF104" i="7"/>
  <c r="BF105" i="7" s="1"/>
  <c r="BF107" i="7" s="1"/>
  <c r="BF40" i="10" s="1"/>
  <c r="BF67" i="10" s="1"/>
  <c r="BJ47" i="5"/>
  <c r="BJ134" i="4"/>
  <c r="BJ143" i="4"/>
  <c r="AG143" i="4"/>
  <c r="AG134" i="4"/>
  <c r="AG47" i="5"/>
  <c r="H84" i="7"/>
  <c r="H83" i="7"/>
  <c r="AY134" i="4"/>
  <c r="AY143" i="4"/>
  <c r="AY47" i="5"/>
  <c r="Y134" i="4"/>
  <c r="Y143" i="4"/>
  <c r="Y47" i="5"/>
  <c r="AY104" i="7"/>
  <c r="AY46" i="5"/>
  <c r="AY86" i="4"/>
  <c r="BM143" i="4"/>
  <c r="BM134" i="4"/>
  <c r="BM47" i="5"/>
  <c r="BM86" i="4"/>
  <c r="BM104" i="7"/>
  <c r="BM46" i="5"/>
  <c r="BL83" i="7"/>
  <c r="BL84" i="7"/>
  <c r="BS120" i="3" l="1"/>
  <c r="BR143" i="3"/>
  <c r="L94" i="9"/>
  <c r="J122" i="15"/>
  <c r="J123" i="15" s="1"/>
  <c r="M94" i="9"/>
  <c r="K122" i="15"/>
  <c r="K123" i="15" s="1"/>
  <c r="BW67" i="10"/>
  <c r="L203" i="9" s="1"/>
  <c r="L180" i="9"/>
  <c r="CI67" i="10"/>
  <c r="M203" i="9" s="1"/>
  <c r="M180" i="9"/>
  <c r="O105" i="7"/>
  <c r="O107" i="7" s="1"/>
  <c r="O40" i="10" s="1"/>
  <c r="G91" i="9"/>
  <c r="G92" i="9" s="1"/>
  <c r="G94" i="9" s="1"/>
  <c r="AY105" i="7"/>
  <c r="AY107" i="7" s="1"/>
  <c r="AY40" i="10" s="1"/>
  <c r="J91" i="9"/>
  <c r="J92" i="9" s="1"/>
  <c r="J94" i="9" s="1"/>
  <c r="AM105" i="7"/>
  <c r="AM107" i="7" s="1"/>
  <c r="AM40" i="10" s="1"/>
  <c r="I91" i="9"/>
  <c r="I92" i="9" s="1"/>
  <c r="I94" i="9" s="1"/>
  <c r="BK105" i="7"/>
  <c r="BK107" i="7" s="1"/>
  <c r="BK40" i="10" s="1"/>
  <c r="K91" i="9"/>
  <c r="K92" i="9" s="1"/>
  <c r="AA105" i="7"/>
  <c r="AA107" i="7" s="1"/>
  <c r="AA40" i="10" s="1"/>
  <c r="H91" i="9"/>
  <c r="H92" i="9" s="1"/>
  <c r="H94" i="9" s="1"/>
  <c r="F91" i="9"/>
  <c r="G24" i="9"/>
  <c r="E78" i="15" s="1"/>
  <c r="BK81" i="7"/>
  <c r="K24" i="9"/>
  <c r="I78" i="15" s="1"/>
  <c r="AA81" i="7"/>
  <c r="H24" i="9"/>
  <c r="F78" i="15" s="1"/>
  <c r="CI81" i="7"/>
  <c r="M68" i="9" s="1"/>
  <c r="M24" i="9"/>
  <c r="K78" i="15" s="1"/>
  <c r="BW81" i="7"/>
  <c r="L68" i="9" s="1"/>
  <c r="L24" i="9"/>
  <c r="J78" i="15" s="1"/>
  <c r="AM81" i="7"/>
  <c r="I24" i="9"/>
  <c r="G78" i="15" s="1"/>
  <c r="AY81" i="7"/>
  <c r="J68" i="9" s="1"/>
  <c r="J24" i="9"/>
  <c r="H78" i="15" s="1"/>
  <c r="F24" i="9"/>
  <c r="F40" i="10"/>
  <c r="D104" i="7"/>
  <c r="D105" i="7" s="1"/>
  <c r="CF83" i="7"/>
  <c r="CF84" i="7"/>
  <c r="CD83" i="7"/>
  <c r="CD84" i="7"/>
  <c r="BN83" i="7"/>
  <c r="BN84" i="7"/>
  <c r="BU83" i="7"/>
  <c r="BU84" i="7"/>
  <c r="CB83" i="7"/>
  <c r="CB84" i="7"/>
  <c r="CK83" i="7"/>
  <c r="CK84" i="7"/>
  <c r="BS83" i="7"/>
  <c r="BS84" i="7"/>
  <c r="BQ83" i="7"/>
  <c r="BQ84" i="7"/>
  <c r="BP83" i="7"/>
  <c r="BP84" i="7"/>
  <c r="BZ83" i="7"/>
  <c r="BZ84" i="7"/>
  <c r="CA83" i="7"/>
  <c r="CA84" i="7"/>
  <c r="CH83" i="7"/>
  <c r="CH84" i="7"/>
  <c r="BO83" i="7"/>
  <c r="BO84" i="7"/>
  <c r="CJ83" i="7"/>
  <c r="CJ84" i="7"/>
  <c r="BV83" i="7"/>
  <c r="BV84" i="7"/>
  <c r="CI83" i="7"/>
  <c r="CI84" i="7"/>
  <c r="CG83" i="7"/>
  <c r="CG84" i="7"/>
  <c r="BY83" i="7"/>
  <c r="BY84" i="7"/>
  <c r="BR83" i="7"/>
  <c r="BR84" i="7"/>
  <c r="BT83" i="7"/>
  <c r="BT84" i="7"/>
  <c r="CE83" i="7"/>
  <c r="CE84" i="7"/>
  <c r="BW83" i="7"/>
  <c r="BW84" i="7"/>
  <c r="CC83" i="7"/>
  <c r="CC84" i="7"/>
  <c r="BX83" i="7"/>
  <c r="BX84" i="7"/>
  <c r="BK84" i="7"/>
  <c r="D41" i="7"/>
  <c r="BR144" i="4"/>
  <c r="BR46" i="8"/>
  <c r="D47" i="5"/>
  <c r="D46" i="5"/>
  <c r="F337" i="3"/>
  <c r="F343" i="3" s="1"/>
  <c r="F338" i="3"/>
  <c r="M312" i="3"/>
  <c r="U312" i="3"/>
  <c r="AC312" i="3"/>
  <c r="AK312" i="3"/>
  <c r="AS312" i="3"/>
  <c r="BA312" i="3"/>
  <c r="BI312" i="3"/>
  <c r="BQ312" i="3"/>
  <c r="BY312" i="3"/>
  <c r="CG312" i="3"/>
  <c r="I313" i="3"/>
  <c r="I376" i="3" s="1"/>
  <c r="Q313" i="3"/>
  <c r="Q376" i="3" s="1"/>
  <c r="Y313" i="3"/>
  <c r="Y376" i="3" s="1"/>
  <c r="AG313" i="3"/>
  <c r="AG376" i="3" s="1"/>
  <c r="AO313" i="3"/>
  <c r="AO376" i="3" s="1"/>
  <c r="AW313" i="3"/>
  <c r="AW376" i="3" s="1"/>
  <c r="BE313" i="3"/>
  <c r="BE376" i="3" s="1"/>
  <c r="BM313" i="3"/>
  <c r="BM376" i="3" s="1"/>
  <c r="BU313" i="3"/>
  <c r="CC313" i="3"/>
  <c r="CK313" i="3"/>
  <c r="M314" i="3"/>
  <c r="M377" i="3" s="1"/>
  <c r="U314" i="3"/>
  <c r="U377" i="3" s="1"/>
  <c r="AC314" i="3"/>
  <c r="AC377" i="3" s="1"/>
  <c r="AK314" i="3"/>
  <c r="AK377" i="3" s="1"/>
  <c r="AS314" i="3"/>
  <c r="AS377" i="3" s="1"/>
  <c r="BA314" i="3"/>
  <c r="BA377" i="3" s="1"/>
  <c r="BI314" i="3"/>
  <c r="BI377" i="3" s="1"/>
  <c r="BQ314" i="3"/>
  <c r="BY314" i="3"/>
  <c r="CG314" i="3"/>
  <c r="BH312" i="3"/>
  <c r="BD313" i="3"/>
  <c r="BD376" i="3" s="1"/>
  <c r="T314" i="3"/>
  <c r="T377" i="3" s="1"/>
  <c r="BP314" i="3"/>
  <c r="F312" i="3"/>
  <c r="F375" i="3" s="1"/>
  <c r="N312" i="3"/>
  <c r="V312" i="3"/>
  <c r="AD312" i="3"/>
  <c r="AL312" i="3"/>
  <c r="AT312" i="3"/>
  <c r="BB312" i="3"/>
  <c r="BJ312" i="3"/>
  <c r="BR312" i="3"/>
  <c r="BZ312" i="3"/>
  <c r="CH312" i="3"/>
  <c r="J313" i="3"/>
  <c r="J376" i="3" s="1"/>
  <c r="R313" i="3"/>
  <c r="R376" i="3" s="1"/>
  <c r="Z313" i="3"/>
  <c r="Z376" i="3" s="1"/>
  <c r="AH313" i="3"/>
  <c r="AH376" i="3" s="1"/>
  <c r="AP313" i="3"/>
  <c r="AP376" i="3" s="1"/>
  <c r="AX313" i="3"/>
  <c r="AX376" i="3" s="1"/>
  <c r="BF313" i="3"/>
  <c r="BF376" i="3" s="1"/>
  <c r="BN313" i="3"/>
  <c r="BV313" i="3"/>
  <c r="CD313" i="3"/>
  <c r="F314" i="3"/>
  <c r="N314" i="3"/>
  <c r="N377" i="3" s="1"/>
  <c r="V314" i="3"/>
  <c r="V377" i="3" s="1"/>
  <c r="AD314" i="3"/>
  <c r="AD377" i="3" s="1"/>
  <c r="AL314" i="3"/>
  <c r="AL377" i="3" s="1"/>
  <c r="AT314" i="3"/>
  <c r="AT377" i="3" s="1"/>
  <c r="BB314" i="3"/>
  <c r="BB377" i="3" s="1"/>
  <c r="BJ314" i="3"/>
  <c r="BJ377" i="3" s="1"/>
  <c r="BR314" i="3"/>
  <c r="BZ314" i="3"/>
  <c r="CH314" i="3"/>
  <c r="AR312" i="3"/>
  <c r="BX312" i="3"/>
  <c r="P313" i="3"/>
  <c r="P376" i="3" s="1"/>
  <c r="BL313" i="3"/>
  <c r="BL376" i="3" s="1"/>
  <c r="AR314" i="3"/>
  <c r="AR377" i="3" s="1"/>
  <c r="G312" i="3"/>
  <c r="O312" i="3"/>
  <c r="O375" i="3" s="1"/>
  <c r="W312" i="3"/>
  <c r="AE312" i="3"/>
  <c r="AM312" i="3"/>
  <c r="AM375" i="3" s="1"/>
  <c r="AU312" i="3"/>
  <c r="BC312" i="3"/>
  <c r="BK312" i="3"/>
  <c r="BS312" i="3"/>
  <c r="CA312" i="3"/>
  <c r="CI312" i="3"/>
  <c r="K313" i="3"/>
  <c r="K376" i="3" s="1"/>
  <c r="S313" i="3"/>
  <c r="S376" i="3" s="1"/>
  <c r="AA313" i="3"/>
  <c r="AA376" i="3" s="1"/>
  <c r="AI313" i="3"/>
  <c r="AI376" i="3" s="1"/>
  <c r="AQ313" i="3"/>
  <c r="AQ376" i="3" s="1"/>
  <c r="AY313" i="3"/>
  <c r="AY376" i="3" s="1"/>
  <c r="BG313" i="3"/>
  <c r="BG376" i="3" s="1"/>
  <c r="BO313" i="3"/>
  <c r="BW313" i="3"/>
  <c r="CE313" i="3"/>
  <c r="G314" i="3"/>
  <c r="G377" i="3" s="1"/>
  <c r="O314" i="3"/>
  <c r="O377" i="3" s="1"/>
  <c r="W314" i="3"/>
  <c r="W377" i="3" s="1"/>
  <c r="AE314" i="3"/>
  <c r="AE377" i="3" s="1"/>
  <c r="AM314" i="3"/>
  <c r="AM377" i="3" s="1"/>
  <c r="AU314" i="3"/>
  <c r="AU377" i="3" s="1"/>
  <c r="BC314" i="3"/>
  <c r="BC377" i="3" s="1"/>
  <c r="BK314" i="3"/>
  <c r="BK377" i="3" s="1"/>
  <c r="BS314" i="3"/>
  <c r="CA314" i="3"/>
  <c r="CI314" i="3"/>
  <c r="AB312" i="3"/>
  <c r="AF313" i="3"/>
  <c r="AF376" i="3" s="1"/>
  <c r="AB314" i="3"/>
  <c r="AB377" i="3" s="1"/>
  <c r="H312" i="3"/>
  <c r="P312" i="3"/>
  <c r="X312" i="3"/>
  <c r="AF312" i="3"/>
  <c r="AN312" i="3"/>
  <c r="AV312" i="3"/>
  <c r="BD312" i="3"/>
  <c r="BL312" i="3"/>
  <c r="BT312" i="3"/>
  <c r="CB312" i="3"/>
  <c r="CJ312" i="3"/>
  <c r="L313" i="3"/>
  <c r="L376" i="3" s="1"/>
  <c r="T313" i="3"/>
  <c r="T376" i="3" s="1"/>
  <c r="AB313" i="3"/>
  <c r="AB376" i="3" s="1"/>
  <c r="AJ313" i="3"/>
  <c r="AJ376" i="3" s="1"/>
  <c r="AR313" i="3"/>
  <c r="AR376" i="3" s="1"/>
  <c r="AZ313" i="3"/>
  <c r="AZ376" i="3" s="1"/>
  <c r="BH313" i="3"/>
  <c r="BH376" i="3" s="1"/>
  <c r="BP313" i="3"/>
  <c r="BX313" i="3"/>
  <c r="CF313" i="3"/>
  <c r="H314" i="3"/>
  <c r="H377" i="3" s="1"/>
  <c r="P314" i="3"/>
  <c r="P377" i="3" s="1"/>
  <c r="X314" i="3"/>
  <c r="X377" i="3" s="1"/>
  <c r="AF314" i="3"/>
  <c r="AF377" i="3" s="1"/>
  <c r="AN314" i="3"/>
  <c r="AN377" i="3" s="1"/>
  <c r="AV314" i="3"/>
  <c r="AV377" i="3" s="1"/>
  <c r="BD314" i="3"/>
  <c r="BD377" i="3" s="1"/>
  <c r="BL314" i="3"/>
  <c r="BL377" i="3" s="1"/>
  <c r="BT314" i="3"/>
  <c r="CB314" i="3"/>
  <c r="CJ314" i="3"/>
  <c r="AZ312" i="3"/>
  <c r="AV313" i="3"/>
  <c r="AV376" i="3" s="1"/>
  <c r="L314" i="3"/>
  <c r="L377" i="3" s="1"/>
  <c r="AZ314" i="3"/>
  <c r="AZ377" i="3" s="1"/>
  <c r="I312" i="3"/>
  <c r="Q312" i="3"/>
  <c r="Y312" i="3"/>
  <c r="AG312" i="3"/>
  <c r="AO312" i="3"/>
  <c r="AW312" i="3"/>
  <c r="BE312" i="3"/>
  <c r="BM312" i="3"/>
  <c r="BU312" i="3"/>
  <c r="CC312" i="3"/>
  <c r="CK312" i="3"/>
  <c r="M313" i="3"/>
  <c r="M376" i="3" s="1"/>
  <c r="U313" i="3"/>
  <c r="U376" i="3" s="1"/>
  <c r="AC313" i="3"/>
  <c r="AC376" i="3" s="1"/>
  <c r="AK313" i="3"/>
  <c r="AK376" i="3" s="1"/>
  <c r="AS313" i="3"/>
  <c r="AS376" i="3" s="1"/>
  <c r="BA313" i="3"/>
  <c r="BA376" i="3" s="1"/>
  <c r="BI313" i="3"/>
  <c r="BI376" i="3" s="1"/>
  <c r="BQ313" i="3"/>
  <c r="BY313" i="3"/>
  <c r="CG313" i="3"/>
  <c r="I314" i="3"/>
  <c r="I377" i="3" s="1"/>
  <c r="Q314" i="3"/>
  <c r="Q377" i="3" s="1"/>
  <c r="Y314" i="3"/>
  <c r="Y377" i="3" s="1"/>
  <c r="AG314" i="3"/>
  <c r="AG377" i="3" s="1"/>
  <c r="AO314" i="3"/>
  <c r="AO377" i="3" s="1"/>
  <c r="AW314" i="3"/>
  <c r="AW377" i="3" s="1"/>
  <c r="BE314" i="3"/>
  <c r="BE377" i="3" s="1"/>
  <c r="BM314" i="3"/>
  <c r="BU314" i="3"/>
  <c r="CC314" i="3"/>
  <c r="CK314" i="3"/>
  <c r="AJ312" i="3"/>
  <c r="CB313" i="3"/>
  <c r="BX314" i="3"/>
  <c r="J312" i="3"/>
  <c r="R312" i="3"/>
  <c r="Z312" i="3"/>
  <c r="AH312" i="3"/>
  <c r="AP312" i="3"/>
  <c r="AX312" i="3"/>
  <c r="BF312" i="3"/>
  <c r="BN312" i="3"/>
  <c r="BV312" i="3"/>
  <c r="CD312" i="3"/>
  <c r="F313" i="3"/>
  <c r="N313" i="3"/>
  <c r="N376" i="3" s="1"/>
  <c r="V313" i="3"/>
  <c r="V376" i="3" s="1"/>
  <c r="AD313" i="3"/>
  <c r="AD376" i="3" s="1"/>
  <c r="AL313" i="3"/>
  <c r="AL376" i="3" s="1"/>
  <c r="AT313" i="3"/>
  <c r="AT376" i="3" s="1"/>
  <c r="BB313" i="3"/>
  <c r="BB376" i="3" s="1"/>
  <c r="BJ313" i="3"/>
  <c r="BJ376" i="3" s="1"/>
  <c r="BR313" i="3"/>
  <c r="BZ313" i="3"/>
  <c r="CH313" i="3"/>
  <c r="J314" i="3"/>
  <c r="J377" i="3" s="1"/>
  <c r="R314" i="3"/>
  <c r="R377" i="3" s="1"/>
  <c r="Z314" i="3"/>
  <c r="Z377" i="3" s="1"/>
  <c r="AH314" i="3"/>
  <c r="AH377" i="3" s="1"/>
  <c r="AP314" i="3"/>
  <c r="AP377" i="3" s="1"/>
  <c r="AX314" i="3"/>
  <c r="AX377" i="3" s="1"/>
  <c r="BF314" i="3"/>
  <c r="BF377" i="3" s="1"/>
  <c r="BN314" i="3"/>
  <c r="BV314" i="3"/>
  <c r="CD314" i="3"/>
  <c r="T312" i="3"/>
  <c r="CF312" i="3"/>
  <c r="AN313" i="3"/>
  <c r="AN376" i="3" s="1"/>
  <c r="CJ313" i="3"/>
  <c r="BH314" i="3"/>
  <c r="BH377" i="3" s="1"/>
  <c r="K312" i="3"/>
  <c r="S312" i="3"/>
  <c r="AA312" i="3"/>
  <c r="AA375" i="3" s="1"/>
  <c r="AI312" i="3"/>
  <c r="AQ312" i="3"/>
  <c r="AY312" i="3"/>
  <c r="AY375" i="3" s="1"/>
  <c r="BG312" i="3"/>
  <c r="BO312" i="3"/>
  <c r="BW312" i="3"/>
  <c r="CE312" i="3"/>
  <c r="G313" i="3"/>
  <c r="G376" i="3" s="1"/>
  <c r="O313" i="3"/>
  <c r="O376" i="3" s="1"/>
  <c r="W313" i="3"/>
  <c r="W376" i="3" s="1"/>
  <c r="AE313" i="3"/>
  <c r="AE376" i="3" s="1"/>
  <c r="AM313" i="3"/>
  <c r="AM376" i="3" s="1"/>
  <c r="AU313" i="3"/>
  <c r="AU376" i="3" s="1"/>
  <c r="BC313" i="3"/>
  <c r="BC376" i="3" s="1"/>
  <c r="BK313" i="3"/>
  <c r="BK376" i="3" s="1"/>
  <c r="BS313" i="3"/>
  <c r="CA313" i="3"/>
  <c r="CI313" i="3"/>
  <c r="K314" i="3"/>
  <c r="K377" i="3" s="1"/>
  <c r="S314" i="3"/>
  <c r="S377" i="3" s="1"/>
  <c r="AA314" i="3"/>
  <c r="AA377" i="3" s="1"/>
  <c r="AI314" i="3"/>
  <c r="AI377" i="3" s="1"/>
  <c r="AQ314" i="3"/>
  <c r="AQ377" i="3" s="1"/>
  <c r="AY314" i="3"/>
  <c r="AY377" i="3" s="1"/>
  <c r="BG314" i="3"/>
  <c r="BG377" i="3" s="1"/>
  <c r="BO314" i="3"/>
  <c r="BW314" i="3"/>
  <c r="CE314" i="3"/>
  <c r="L312" i="3"/>
  <c r="BP312" i="3"/>
  <c r="H313" i="3"/>
  <c r="H376" i="3" s="1"/>
  <c r="X313" i="3"/>
  <c r="X376" i="3" s="1"/>
  <c r="BT313" i="3"/>
  <c r="AJ314" i="3"/>
  <c r="AJ377" i="3" s="1"/>
  <c r="CF314" i="3"/>
  <c r="F375" i="3" a="1"/>
  <c r="D279" i="3"/>
  <c r="F81" i="7"/>
  <c r="F68" i="9" s="1"/>
  <c r="O81" i="7"/>
  <c r="G68" i="9" s="1"/>
  <c r="BU79" i="4"/>
  <c r="BU87" i="4" s="1"/>
  <c r="K79" i="4"/>
  <c r="K87" i="4" s="1"/>
  <c r="H79" i="4"/>
  <c r="H87" i="4" s="1"/>
  <c r="BM79" i="4"/>
  <c r="BM87" i="4" s="1"/>
  <c r="AZ79" i="4"/>
  <c r="AZ87" i="4" s="1"/>
  <c r="BW79" i="4"/>
  <c r="BW87" i="4" s="1"/>
  <c r="BN147" i="3"/>
  <c r="BO138" i="3"/>
  <c r="BQ136" i="3"/>
  <c r="BP140" i="3"/>
  <c r="BR146" i="3"/>
  <c r="P79" i="4"/>
  <c r="P87" i="4" s="1"/>
  <c r="AS79" i="4"/>
  <c r="AS87" i="4" s="1"/>
  <c r="AX79" i="4"/>
  <c r="AX87" i="4" s="1"/>
  <c r="AW79" i="4"/>
  <c r="AW87" i="4" s="1"/>
  <c r="BP79" i="4"/>
  <c r="BP87" i="4" s="1"/>
  <c r="CK79" i="4"/>
  <c r="CK87" i="4" s="1"/>
  <c r="BE79" i="4"/>
  <c r="BE87" i="4" s="1"/>
  <c r="BL79" i="4"/>
  <c r="BL87" i="4" s="1"/>
  <c r="N79" i="4"/>
  <c r="N87" i="4" s="1"/>
  <c r="CH79" i="4"/>
  <c r="CH87" i="4" s="1"/>
  <c r="X79" i="4"/>
  <c r="X87" i="4" s="1"/>
  <c r="AO79" i="4"/>
  <c r="AO87" i="4" s="1"/>
  <c r="AP79" i="4"/>
  <c r="AP87" i="4" s="1"/>
  <c r="U79" i="4"/>
  <c r="U87" i="4" s="1"/>
  <c r="BR79" i="4"/>
  <c r="BR87" i="4" s="1"/>
  <c r="BM375" i="3" a="1"/>
  <c r="BQ55" i="3"/>
  <c r="L138" i="4"/>
  <c r="L46" i="8" s="1"/>
  <c r="D134" i="4"/>
  <c r="AR138" i="4"/>
  <c r="AR144" i="4" s="1"/>
  <c r="CG138" i="4"/>
  <c r="T83" i="7"/>
  <c r="Z138" i="4"/>
  <c r="Z144" i="4" s="1"/>
  <c r="CD138" i="4"/>
  <c r="AI83" i="7"/>
  <c r="BQ138" i="4"/>
  <c r="BN138" i="4"/>
  <c r="J138" i="4"/>
  <c r="J46" i="8" s="1"/>
  <c r="BG138" i="4"/>
  <c r="BG46" i="8" s="1"/>
  <c r="K138" i="4"/>
  <c r="K46" i="8" s="1"/>
  <c r="U138" i="4"/>
  <c r="U46" i="8" s="1"/>
  <c r="BA138" i="4"/>
  <c r="BA144" i="4" s="1"/>
  <c r="BB138" i="4"/>
  <c r="BB46" i="8" s="1"/>
  <c r="AG138" i="4"/>
  <c r="AG46" i="8" s="1"/>
  <c r="AP138" i="4"/>
  <c r="AP46" i="8" s="1"/>
  <c r="CI138" i="4"/>
  <c r="AO138" i="4"/>
  <c r="AO144" i="4" s="1"/>
  <c r="BI138" i="4"/>
  <c r="BI46" i="8" s="1"/>
  <c r="AM138" i="4"/>
  <c r="AM46" i="8" s="1"/>
  <c r="BS138" i="4"/>
  <c r="G79" i="4"/>
  <c r="G87" i="4" s="1"/>
  <c r="BC79" i="4"/>
  <c r="BC87" i="4" s="1"/>
  <c r="AG79" i="4"/>
  <c r="AG87" i="4" s="1"/>
  <c r="T79" i="4"/>
  <c r="T87" i="4" s="1"/>
  <c r="M79" i="4"/>
  <c r="M87" i="4" s="1"/>
  <c r="BK79" i="4"/>
  <c r="BK87" i="4" s="1"/>
  <c r="BA79" i="4"/>
  <c r="BA87" i="4" s="1"/>
  <c r="CI79" i="4"/>
  <c r="CI87" i="4" s="1"/>
  <c r="CD79" i="4"/>
  <c r="CD87" i="4" s="1"/>
  <c r="CG79" i="4"/>
  <c r="CG87" i="4" s="1"/>
  <c r="BQ79" i="4"/>
  <c r="BQ87" i="4" s="1"/>
  <c r="AH79" i="4"/>
  <c r="AH87" i="4" s="1"/>
  <c r="AI79" i="4"/>
  <c r="AI87" i="4" s="1"/>
  <c r="AQ79" i="4"/>
  <c r="AQ87" i="4" s="1"/>
  <c r="AC79" i="4"/>
  <c r="AC87" i="4" s="1"/>
  <c r="J79" i="4"/>
  <c r="J87" i="4" s="1"/>
  <c r="F79" i="4"/>
  <c r="F87" i="4" s="1"/>
  <c r="AY79" i="4"/>
  <c r="AY87" i="4" s="1"/>
  <c r="O79" i="4"/>
  <c r="O87" i="4" s="1"/>
  <c r="BS79" i="4"/>
  <c r="BS87" i="4" s="1"/>
  <c r="BN79" i="4"/>
  <c r="BN87" i="4" s="1"/>
  <c r="AN79" i="4"/>
  <c r="AN87" i="4" s="1"/>
  <c r="S79" i="4"/>
  <c r="S87" i="4" s="1"/>
  <c r="BF79" i="4"/>
  <c r="BF87" i="4" s="1"/>
  <c r="L79" i="4"/>
  <c r="L87" i="4" s="1"/>
  <c r="AM79" i="4"/>
  <c r="AM87" i="4" s="1"/>
  <c r="AR79" i="4"/>
  <c r="AR87" i="4" s="1"/>
  <c r="AV79" i="4"/>
  <c r="AV87" i="4" s="1"/>
  <c r="I79" i="4"/>
  <c r="I87" i="4" s="1"/>
  <c r="V79" i="4"/>
  <c r="V87" i="4" s="1"/>
  <c r="AF79" i="4"/>
  <c r="AF87" i="4" s="1"/>
  <c r="Q79" i="4"/>
  <c r="Q87" i="4" s="1"/>
  <c r="AJ79" i="4"/>
  <c r="AJ87" i="4" s="1"/>
  <c r="AD79" i="4"/>
  <c r="AD87" i="4" s="1"/>
  <c r="BD79" i="4"/>
  <c r="BD87" i="4" s="1"/>
  <c r="BB79" i="4"/>
  <c r="BB87" i="4" s="1"/>
  <c r="CJ79" i="4"/>
  <c r="CJ87" i="4" s="1"/>
  <c r="CE79" i="4"/>
  <c r="CE87" i="4" s="1"/>
  <c r="BO79" i="4"/>
  <c r="BO87" i="4" s="1"/>
  <c r="BZ79" i="4"/>
  <c r="BZ87" i="4" s="1"/>
  <c r="CB79" i="4"/>
  <c r="CB87" i="4" s="1"/>
  <c r="CC79" i="4"/>
  <c r="CC87" i="4" s="1"/>
  <c r="AJ83" i="7"/>
  <c r="AT79" i="4"/>
  <c r="AT87" i="4" s="1"/>
  <c r="Y79" i="4"/>
  <c r="Y87" i="4" s="1"/>
  <c r="AK79" i="4"/>
  <c r="AK87" i="4" s="1"/>
  <c r="R79" i="4"/>
  <c r="R87" i="4" s="1"/>
  <c r="Z79" i="4"/>
  <c r="Z87" i="4" s="1"/>
  <c r="AE79" i="4"/>
  <c r="AE87" i="4" s="1"/>
  <c r="BG79" i="4"/>
  <c r="BG87" i="4" s="1"/>
  <c r="W79" i="4"/>
  <c r="W87" i="4" s="1"/>
  <c r="AL79" i="4"/>
  <c r="AL87" i="4" s="1"/>
  <c r="BJ79" i="4"/>
  <c r="BJ87" i="4" s="1"/>
  <c r="AB79" i="4"/>
  <c r="AB87" i="4" s="1"/>
  <c r="AA79" i="4"/>
  <c r="AA87" i="4" s="1"/>
  <c r="BI79" i="4"/>
  <c r="BI87" i="4" s="1"/>
  <c r="AU79" i="4"/>
  <c r="AU87" i="4" s="1"/>
  <c r="BH79" i="4"/>
  <c r="BH87" i="4" s="1"/>
  <c r="CF79" i="4"/>
  <c r="CF87" i="4" s="1"/>
  <c r="CA79" i="4"/>
  <c r="CA87" i="4" s="1"/>
  <c r="BX79" i="4"/>
  <c r="BX87" i="4" s="1"/>
  <c r="BV79" i="4"/>
  <c r="BV87" i="4" s="1"/>
  <c r="BT79" i="4"/>
  <c r="BT87" i="4" s="1"/>
  <c r="AU138" i="4"/>
  <c r="AU144" i="4" s="1"/>
  <c r="AT138" i="4"/>
  <c r="AT144" i="4" s="1"/>
  <c r="N138" i="4"/>
  <c r="N144" i="4" s="1"/>
  <c r="AQ138" i="4"/>
  <c r="AQ144" i="4" s="1"/>
  <c r="AD138" i="4"/>
  <c r="AD144" i="4" s="1"/>
  <c r="AX138" i="4"/>
  <c r="AX46" i="8" s="1"/>
  <c r="S138" i="4"/>
  <c r="S46" i="8" s="1"/>
  <c r="V138" i="4"/>
  <c r="V46" i="8" s="1"/>
  <c r="M138" i="4"/>
  <c r="M144" i="4" s="1"/>
  <c r="AS138" i="4"/>
  <c r="AS144" i="4" s="1"/>
  <c r="AC138" i="4"/>
  <c r="AC46" i="8" s="1"/>
  <c r="R138" i="4"/>
  <c r="R144" i="4" s="1"/>
  <c r="AJ138" i="4"/>
  <c r="AJ46" i="8" s="1"/>
  <c r="I138" i="4"/>
  <c r="I46" i="8" s="1"/>
  <c r="Y138" i="4"/>
  <c r="Y144" i="4" s="1"/>
  <c r="BE138" i="4"/>
  <c r="BE144" i="4" s="1"/>
  <c r="CF138" i="4"/>
  <c r="CC138" i="4"/>
  <c r="CJ138" i="4"/>
  <c r="CE138" i="4"/>
  <c r="BO138" i="4"/>
  <c r="BZ138" i="4"/>
  <c r="BM138" i="4"/>
  <c r="BM144" i="4" s="1"/>
  <c r="G138" i="4"/>
  <c r="G46" i="8" s="1"/>
  <c r="AL138" i="4"/>
  <c r="AL46" i="8" s="1"/>
  <c r="F138" i="4"/>
  <c r="F144" i="4" s="1"/>
  <c r="T138" i="4"/>
  <c r="T144" i="4" s="1"/>
  <c r="BH138" i="4"/>
  <c r="BH46" i="8" s="1"/>
  <c r="AW138" i="4"/>
  <c r="AW46" i="8" s="1"/>
  <c r="AZ138" i="4"/>
  <c r="AZ144" i="4" s="1"/>
  <c r="BK138" i="4"/>
  <c r="BK46" i="8" s="1"/>
  <c r="AK138" i="4"/>
  <c r="AK144" i="4" s="1"/>
  <c r="BJ138" i="4"/>
  <c r="BJ46" i="8" s="1"/>
  <c r="BD138" i="4"/>
  <c r="BD144" i="4" s="1"/>
  <c r="O138" i="4"/>
  <c r="O144" i="4" s="1"/>
  <c r="W138" i="4"/>
  <c r="W144" i="4" s="1"/>
  <c r="P138" i="4"/>
  <c r="P144" i="4" s="1"/>
  <c r="BT138" i="4"/>
  <c r="BY138" i="4"/>
  <c r="CB138" i="4"/>
  <c r="CA138" i="4"/>
  <c r="BX138" i="4"/>
  <c r="BV138" i="4"/>
  <c r="I83" i="7"/>
  <c r="AN138" i="4"/>
  <c r="AN46" i="8" s="1"/>
  <c r="BC138" i="4"/>
  <c r="BC144" i="4" s="1"/>
  <c r="AE138" i="4"/>
  <c r="AE144" i="4" s="1"/>
  <c r="AI138" i="4"/>
  <c r="AI144" i="4" s="1"/>
  <c r="AY138" i="4"/>
  <c r="AY144" i="4" s="1"/>
  <c r="BF138" i="4"/>
  <c r="BF144" i="4" s="1"/>
  <c r="AF138" i="4"/>
  <c r="AF46" i="8" s="1"/>
  <c r="AV138" i="4"/>
  <c r="AV144" i="4" s="1"/>
  <c r="X138" i="4"/>
  <c r="X46" i="8" s="1"/>
  <c r="H138" i="4"/>
  <c r="H144" i="4" s="1"/>
  <c r="Q138" i="4"/>
  <c r="Q144" i="4" s="1"/>
  <c r="AH138" i="4"/>
  <c r="AH46" i="8" s="1"/>
  <c r="BL138" i="4"/>
  <c r="BL46" i="8" s="1"/>
  <c r="AA138" i="4"/>
  <c r="AA144" i="4" s="1"/>
  <c r="AB138" i="4"/>
  <c r="AB46" i="8" s="1"/>
  <c r="CK138" i="4"/>
  <c r="BU138" i="4"/>
  <c r="BP138" i="4"/>
  <c r="BW138" i="4"/>
  <c r="CH138" i="4"/>
  <c r="V84" i="7"/>
  <c r="V83" i="7"/>
  <c r="BC83" i="7"/>
  <c r="BC84" i="7"/>
  <c r="AC83" i="7"/>
  <c r="AC84" i="7"/>
  <c r="Z84" i="7"/>
  <c r="Z83" i="7"/>
  <c r="AH84" i="7"/>
  <c r="AH83" i="7"/>
  <c r="W83" i="7"/>
  <c r="W84" i="7"/>
  <c r="AD83" i="7"/>
  <c r="AD84" i="7"/>
  <c r="AS83" i="7"/>
  <c r="AS84" i="7"/>
  <c r="AW83" i="7"/>
  <c r="AW84" i="7"/>
  <c r="J83" i="7"/>
  <c r="J84" i="7"/>
  <c r="BB84" i="7"/>
  <c r="BB83" i="7"/>
  <c r="X83" i="7"/>
  <c r="X84" i="7"/>
  <c r="AY84" i="7"/>
  <c r="AY83" i="7"/>
  <c r="AR84" i="7"/>
  <c r="AR83" i="7"/>
  <c r="L84" i="7"/>
  <c r="L83" i="7"/>
  <c r="D143" i="4"/>
  <c r="D86" i="4"/>
  <c r="AL83" i="7"/>
  <c r="AL84" i="7"/>
  <c r="P84" i="7"/>
  <c r="P83" i="7"/>
  <c r="S84" i="7"/>
  <c r="S83" i="7"/>
  <c r="F83" i="7"/>
  <c r="F84" i="7"/>
  <c r="K83" i="7"/>
  <c r="K84" i="7"/>
  <c r="BE84" i="7"/>
  <c r="BE83" i="7"/>
  <c r="BF83" i="7"/>
  <c r="BF84" i="7"/>
  <c r="BI84" i="7"/>
  <c r="BI83" i="7"/>
  <c r="BJ83" i="7"/>
  <c r="BJ84" i="7"/>
  <c r="G83" i="7"/>
  <c r="G84" i="7"/>
  <c r="BA83" i="7"/>
  <c r="BA84" i="7"/>
  <c r="AU83" i="7"/>
  <c r="AU84" i="7"/>
  <c r="AV84" i="7"/>
  <c r="AV83" i="7"/>
  <c r="AG84" i="7"/>
  <c r="AG83" i="7"/>
  <c r="AN84" i="7"/>
  <c r="AN83" i="7"/>
  <c r="AB84" i="7"/>
  <c r="AB83" i="7"/>
  <c r="O83" i="7"/>
  <c r="O84" i="7"/>
  <c r="R84" i="7"/>
  <c r="R83" i="7"/>
  <c r="Y83" i="7"/>
  <c r="Y84" i="7"/>
  <c r="AP84" i="7"/>
  <c r="AP83" i="7"/>
  <c r="AE84" i="7"/>
  <c r="AE83" i="7"/>
  <c r="Q83" i="7"/>
  <c r="Q84" i="7"/>
  <c r="U83" i="7"/>
  <c r="U84" i="7"/>
  <c r="BG83" i="7"/>
  <c r="BG84" i="7"/>
  <c r="AT84" i="7"/>
  <c r="AT83" i="7"/>
  <c r="AK83" i="7"/>
  <c r="AK84" i="7"/>
  <c r="AO84" i="7"/>
  <c r="AO83" i="7"/>
  <c r="AZ83" i="7"/>
  <c r="AZ84" i="7"/>
  <c r="AF84" i="7"/>
  <c r="AF83" i="7"/>
  <c r="BH84" i="7"/>
  <c r="BH83" i="7"/>
  <c r="AQ83" i="7"/>
  <c r="AQ84" i="7"/>
  <c r="AM84" i="7"/>
  <c r="AM83" i="7"/>
  <c r="N84" i="7"/>
  <c r="N83" i="7"/>
  <c r="BM84" i="7"/>
  <c r="BM83" i="7"/>
  <c r="BM105" i="7"/>
  <c r="BM107" i="7" s="1"/>
  <c r="I68" i="9" l="1"/>
  <c r="K68" i="9"/>
  <c r="H68" i="9"/>
  <c r="BT120" i="3"/>
  <c r="BS143" i="3"/>
  <c r="D107" i="7"/>
  <c r="K94" i="9"/>
  <c r="I122" i="15"/>
  <c r="I123" i="15" s="1"/>
  <c r="AY67" i="10"/>
  <c r="J180" i="9"/>
  <c r="AA67" i="10"/>
  <c r="H180" i="9"/>
  <c r="O67" i="10"/>
  <c r="G180" i="9"/>
  <c r="BK67" i="10"/>
  <c r="AM67" i="10"/>
  <c r="I203" i="9" s="1"/>
  <c r="I180" i="9"/>
  <c r="F67" i="10"/>
  <c r="F203" i="9" s="1"/>
  <c r="F180" i="9"/>
  <c r="M71" i="9"/>
  <c r="I71" i="9"/>
  <c r="D91" i="9"/>
  <c r="M70" i="9"/>
  <c r="K70" i="9"/>
  <c r="L70" i="9"/>
  <c r="L71" i="9"/>
  <c r="G71" i="9"/>
  <c r="G70" i="9"/>
  <c r="I70" i="9"/>
  <c r="H71" i="9"/>
  <c r="H70" i="9"/>
  <c r="J70" i="9"/>
  <c r="J71" i="9"/>
  <c r="K71" i="9"/>
  <c r="F71" i="9"/>
  <c r="F70" i="9"/>
  <c r="D78" i="15"/>
  <c r="C139" i="15" s="1" a="1"/>
  <c r="D24" i="9"/>
  <c r="G336" i="3" a="1"/>
  <c r="G337" i="3" s="1"/>
  <c r="D81" i="7"/>
  <c r="D84" i="7"/>
  <c r="D83" i="7"/>
  <c r="BQ144" i="4"/>
  <c r="BQ46" i="8"/>
  <c r="BX144" i="4"/>
  <c r="BX46" i="8"/>
  <c r="CC144" i="4"/>
  <c r="CC46" i="8"/>
  <c r="CA144" i="4"/>
  <c r="CA46" i="8"/>
  <c r="CF144" i="4"/>
  <c r="CF46" i="8"/>
  <c r="BS144" i="4"/>
  <c r="BS46" i="8"/>
  <c r="CD144" i="4"/>
  <c r="CD46" i="8"/>
  <c r="CK144" i="4"/>
  <c r="CK46" i="8"/>
  <c r="CE144" i="4"/>
  <c r="CE46" i="8"/>
  <c r="BV144" i="4"/>
  <c r="BV46" i="8"/>
  <c r="CH144" i="4"/>
  <c r="CH46" i="8"/>
  <c r="CB144" i="4"/>
  <c r="CB46" i="8"/>
  <c r="CJ144" i="4"/>
  <c r="CJ46" i="8"/>
  <c r="BW144" i="4"/>
  <c r="BW46" i="8"/>
  <c r="BY144" i="4"/>
  <c r="BY46" i="8"/>
  <c r="BP144" i="4"/>
  <c r="BP46" i="8"/>
  <c r="BT144" i="4"/>
  <c r="BT46" i="8"/>
  <c r="BZ144" i="4"/>
  <c r="BZ46" i="8"/>
  <c r="CG144" i="4"/>
  <c r="CG46" i="8"/>
  <c r="BN144" i="4"/>
  <c r="BN46" i="8"/>
  <c r="BU144" i="4"/>
  <c r="BU46" i="8"/>
  <c r="BO144" i="4"/>
  <c r="BO46" i="8"/>
  <c r="CI144" i="4"/>
  <c r="CI46" i="8"/>
  <c r="F344" i="3"/>
  <c r="CE375" i="3" a="1"/>
  <c r="CE375" i="3" s="1"/>
  <c r="CD375" i="3" a="1"/>
  <c r="CD375" i="3" s="1"/>
  <c r="BR375" i="3" a="1"/>
  <c r="BR375" i="3" s="1"/>
  <c r="BN375" i="3" a="1"/>
  <c r="BN375" i="3" s="1"/>
  <c r="BT375" i="3" a="1"/>
  <c r="BT377" i="3" s="1"/>
  <c r="BV375" i="3" a="1"/>
  <c r="BV376" i="3" s="1"/>
  <c r="CK375" i="3" a="1"/>
  <c r="CK377" i="3" s="1"/>
  <c r="CF375" i="3" a="1"/>
  <c r="CI375" i="3" a="1"/>
  <c r="CA375" i="3" a="1"/>
  <c r="CG375" i="3" a="1"/>
  <c r="CC375" i="3" a="1"/>
  <c r="BS375" i="3" a="1"/>
  <c r="BY375" i="3" a="1"/>
  <c r="BU375" i="3" a="1"/>
  <c r="BQ375" i="3" a="1"/>
  <c r="BP375" i="3" a="1"/>
  <c r="BW375" i="3" a="1"/>
  <c r="BO375" i="3" a="1"/>
  <c r="CJ375" i="3" a="1"/>
  <c r="CH375" i="3" a="1"/>
  <c r="CB375" i="3" a="1"/>
  <c r="BX375" i="3" a="1"/>
  <c r="BZ375" i="3" a="1"/>
  <c r="AM315" i="3"/>
  <c r="AM42" i="7" s="1"/>
  <c r="BM377" i="3"/>
  <c r="BP315" i="3"/>
  <c r="BP42" i="7" s="1"/>
  <c r="AY315" i="3"/>
  <c r="AY42" i="7" s="1"/>
  <c r="F315" i="3"/>
  <c r="F42" i="7" s="1"/>
  <c r="AY378" i="3"/>
  <c r="AY383" i="3" s="1"/>
  <c r="AZ384" i="3" s="1"/>
  <c r="AZ95" i="7" s="1"/>
  <c r="F376" i="3"/>
  <c r="BM315" i="3"/>
  <c r="BM42" i="7" s="1"/>
  <c r="AM378" i="3"/>
  <c r="AM383" i="3" s="1"/>
  <c r="AN384" i="3" s="1"/>
  <c r="AN95" i="7" s="1"/>
  <c r="AA378" i="3"/>
  <c r="AA383" i="3" s="1"/>
  <c r="AB384" i="3" s="1"/>
  <c r="AB95" i="7" s="1"/>
  <c r="AA315" i="3"/>
  <c r="AA42" i="7" s="1"/>
  <c r="O378" i="3"/>
  <c r="O383" i="3" s="1"/>
  <c r="P384" i="3" s="1"/>
  <c r="P95" i="7" s="1"/>
  <c r="O315" i="3"/>
  <c r="CD315" i="3"/>
  <c r="CD42" i="7" s="1"/>
  <c r="BV315" i="3"/>
  <c r="BV42" i="7" s="1"/>
  <c r="BL315" i="3"/>
  <c r="BL42" i="7" s="1"/>
  <c r="BN315" i="3"/>
  <c r="BN42" i="7" s="1"/>
  <c r="CK315" i="3"/>
  <c r="CK42" i="7" s="1"/>
  <c r="CC315" i="3"/>
  <c r="CC42" i="7" s="1"/>
  <c r="BG315" i="3"/>
  <c r="BG375" i="3"/>
  <c r="BG378" i="3" s="1"/>
  <c r="BG383" i="3" s="1"/>
  <c r="BH384" i="3" s="1"/>
  <c r="BH95" i="7" s="1"/>
  <c r="D313" i="3"/>
  <c r="Z315" i="3"/>
  <c r="Z375" i="3"/>
  <c r="Z378" i="3" s="1"/>
  <c r="Z383" i="3" s="1"/>
  <c r="AA384" i="3" s="1"/>
  <c r="AA95" i="7" s="1"/>
  <c r="AW315" i="3"/>
  <c r="AW375" i="3"/>
  <c r="AW378" i="3" s="1"/>
  <c r="AW383" i="3" s="1"/>
  <c r="AX384" i="3" s="1"/>
  <c r="AX95" i="7" s="1"/>
  <c r="CB315" i="3"/>
  <c r="CB42" i="7" s="1"/>
  <c r="P375" i="3"/>
  <c r="P378" i="3" s="1"/>
  <c r="P383" i="3" s="1"/>
  <c r="Q384" i="3" s="1"/>
  <c r="Q95" i="7" s="1"/>
  <c r="P315" i="3"/>
  <c r="BX315" i="3"/>
  <c r="BX42" i="7" s="1"/>
  <c r="BZ315" i="3"/>
  <c r="BZ42" i="7" s="1"/>
  <c r="N315" i="3"/>
  <c r="N375" i="3"/>
  <c r="N378" i="3" s="1"/>
  <c r="N383" i="3" s="1"/>
  <c r="O384" i="3" s="1"/>
  <c r="O95" i="7" s="1"/>
  <c r="AS315" i="3"/>
  <c r="AS375" i="3"/>
  <c r="AS378" i="3" s="1"/>
  <c r="AS383" i="3" s="1"/>
  <c r="AT384" i="3" s="1"/>
  <c r="AT95" i="7" s="1"/>
  <c r="R375" i="3"/>
  <c r="R378" i="3" s="1"/>
  <c r="R383" i="3" s="1"/>
  <c r="S384" i="3" s="1"/>
  <c r="S95" i="7" s="1"/>
  <c r="R315" i="3"/>
  <c r="AO315" i="3"/>
  <c r="AO375" i="3"/>
  <c r="AO378" i="3" s="1"/>
  <c r="AO383" i="3" s="1"/>
  <c r="AP384" i="3" s="1"/>
  <c r="AP95" i="7" s="1"/>
  <c r="AZ315" i="3"/>
  <c r="AZ375" i="3"/>
  <c r="AZ378" i="3" s="1"/>
  <c r="AZ383" i="3" s="1"/>
  <c r="BA384" i="3" s="1"/>
  <c r="BA95" i="7" s="1"/>
  <c r="BT315" i="3"/>
  <c r="BT42" i="7" s="1"/>
  <c r="H315" i="3"/>
  <c r="H375" i="3"/>
  <c r="H378" i="3" s="1"/>
  <c r="H383" i="3" s="1"/>
  <c r="I384" i="3" s="1"/>
  <c r="I95" i="7" s="1"/>
  <c r="AE315" i="3"/>
  <c r="AE375" i="3"/>
  <c r="AE378" i="3" s="1"/>
  <c r="AE383" i="3" s="1"/>
  <c r="AF384" i="3" s="1"/>
  <c r="AF95" i="7" s="1"/>
  <c r="AR315" i="3"/>
  <c r="AR375" i="3"/>
  <c r="AR378" i="3" s="1"/>
  <c r="AR383" i="3" s="1"/>
  <c r="AS384" i="3" s="1"/>
  <c r="AS95" i="7" s="1"/>
  <c r="BR315" i="3"/>
  <c r="BR42" i="7" s="1"/>
  <c r="AK375" i="3"/>
  <c r="AK378" i="3" s="1"/>
  <c r="AK383" i="3" s="1"/>
  <c r="AL384" i="3" s="1"/>
  <c r="AL95" i="7" s="1"/>
  <c r="AK315" i="3"/>
  <c r="AQ315" i="3"/>
  <c r="AQ42" i="7" s="1"/>
  <c r="AQ375" i="3"/>
  <c r="AQ378" i="3" s="1"/>
  <c r="AQ383" i="3" s="1"/>
  <c r="AR384" i="3" s="1"/>
  <c r="AR95" i="7" s="1"/>
  <c r="CF315" i="3"/>
  <c r="CF42" i="7" s="1"/>
  <c r="J315" i="3"/>
  <c r="J375" i="3"/>
  <c r="J378" i="3" s="1"/>
  <c r="J383" i="3" s="1"/>
  <c r="K384" i="3" s="1"/>
  <c r="K95" i="7" s="1"/>
  <c r="AG315" i="3"/>
  <c r="AG375" i="3"/>
  <c r="AG378" i="3" s="1"/>
  <c r="AG383" i="3" s="1"/>
  <c r="AH384" i="3" s="1"/>
  <c r="AH95" i="7" s="1"/>
  <c r="CI315" i="3"/>
  <c r="CI42" i="7" s="1"/>
  <c r="W315" i="3"/>
  <c r="W375" i="3"/>
  <c r="W378" i="3" s="1"/>
  <c r="W383" i="3" s="1"/>
  <c r="X384" i="3" s="1"/>
  <c r="X95" i="7" s="1"/>
  <c r="BJ375" i="3"/>
  <c r="BJ378" i="3" s="1"/>
  <c r="BJ383" i="3" s="1"/>
  <c r="BK384" i="3" s="1"/>
  <c r="BK95" i="7" s="1"/>
  <c r="BJ315" i="3"/>
  <c r="AC315" i="3"/>
  <c r="AC375" i="3"/>
  <c r="AC378" i="3" s="1"/>
  <c r="AC383" i="3" s="1"/>
  <c r="AD384" i="3" s="1"/>
  <c r="AD95" i="7" s="1"/>
  <c r="AI315" i="3"/>
  <c r="AI375" i="3"/>
  <c r="AI378" i="3" s="1"/>
  <c r="AI383" i="3" s="1"/>
  <c r="AJ384" i="3" s="1"/>
  <c r="AJ95" i="7" s="1"/>
  <c r="T315" i="3"/>
  <c r="T375" i="3"/>
  <c r="T378" i="3" s="1"/>
  <c r="T383" i="3" s="1"/>
  <c r="U384" i="3" s="1"/>
  <c r="U95" i="7" s="1"/>
  <c r="Y375" i="3"/>
  <c r="Y378" i="3" s="1"/>
  <c r="Y383" i="3" s="1"/>
  <c r="Z384" i="3" s="1"/>
  <c r="Z95" i="7" s="1"/>
  <c r="Y315" i="3"/>
  <c r="BD315" i="3"/>
  <c r="BD375" i="3"/>
  <c r="BD378" i="3" s="1"/>
  <c r="BD383" i="3" s="1"/>
  <c r="BE384" i="3" s="1"/>
  <c r="BE95" i="7" s="1"/>
  <c r="CA315" i="3"/>
  <c r="CA42" i="7" s="1"/>
  <c r="BB375" i="3"/>
  <c r="BB378" i="3" s="1"/>
  <c r="BB383" i="3" s="1"/>
  <c r="BC384" i="3" s="1"/>
  <c r="BC95" i="7" s="1"/>
  <c r="BB315" i="3"/>
  <c r="CG315" i="3"/>
  <c r="CG42" i="7" s="1"/>
  <c r="U315" i="3"/>
  <c r="U375" i="3"/>
  <c r="U378" i="3" s="1"/>
  <c r="U383" i="3" s="1"/>
  <c r="V384" i="3" s="1"/>
  <c r="V95" i="7" s="1"/>
  <c r="BF375" i="3"/>
  <c r="BF378" i="3" s="1"/>
  <c r="BF383" i="3" s="1"/>
  <c r="BG384" i="3" s="1"/>
  <c r="BG95" i="7" s="1"/>
  <c r="BF315" i="3"/>
  <c r="Q315" i="3"/>
  <c r="Q375" i="3"/>
  <c r="Q378" i="3" s="1"/>
  <c r="Q383" i="3" s="1"/>
  <c r="R384" i="3" s="1"/>
  <c r="R95" i="7" s="1"/>
  <c r="AV315" i="3"/>
  <c r="AV375" i="3"/>
  <c r="AV378" i="3" s="1"/>
  <c r="AV383" i="3" s="1"/>
  <c r="AW384" i="3" s="1"/>
  <c r="AW95" i="7" s="1"/>
  <c r="AB315" i="3"/>
  <c r="AB375" i="3"/>
  <c r="AB378" i="3" s="1"/>
  <c r="AB383" i="3" s="1"/>
  <c r="AC384" i="3" s="1"/>
  <c r="AC95" i="7" s="1"/>
  <c r="BS315" i="3"/>
  <c r="BS42" i="7" s="1"/>
  <c r="G315" i="3"/>
  <c r="G375" i="3"/>
  <c r="G378" i="3" s="1"/>
  <c r="G383" i="3" s="1"/>
  <c r="H384" i="3" s="1"/>
  <c r="H95" i="7" s="1"/>
  <c r="F377" i="3"/>
  <c r="D314" i="3"/>
  <c r="AT375" i="3"/>
  <c r="AT378" i="3" s="1"/>
  <c r="AT383" i="3" s="1"/>
  <c r="AU384" i="3" s="1"/>
  <c r="AU95" i="7" s="1"/>
  <c r="AT315" i="3"/>
  <c r="BY315" i="3"/>
  <c r="BY42" i="7" s="1"/>
  <c r="M315" i="3"/>
  <c r="M375" i="3"/>
  <c r="M378" i="3" s="1"/>
  <c r="M383" i="3" s="1"/>
  <c r="N384" i="3" s="1"/>
  <c r="N95" i="7" s="1"/>
  <c r="CE315" i="3"/>
  <c r="CE42" i="7" s="1"/>
  <c r="S315" i="3"/>
  <c r="AX375" i="3"/>
  <c r="AX378" i="3" s="1"/>
  <c r="AX383" i="3" s="1"/>
  <c r="AY384" i="3" s="1"/>
  <c r="AY95" i="7" s="1"/>
  <c r="AX315" i="3"/>
  <c r="AJ315" i="3"/>
  <c r="AJ375" i="3"/>
  <c r="AJ378" i="3" s="1"/>
  <c r="AJ383" i="3" s="1"/>
  <c r="AK384" i="3" s="1"/>
  <c r="AK95" i="7" s="1"/>
  <c r="BU315" i="3"/>
  <c r="BU42" i="7" s="1"/>
  <c r="I315" i="3"/>
  <c r="I375" i="3"/>
  <c r="I378" i="3" s="1"/>
  <c r="I383" i="3" s="1"/>
  <c r="J384" i="3" s="1"/>
  <c r="J95" i="7" s="1"/>
  <c r="AN315" i="3"/>
  <c r="AN375" i="3"/>
  <c r="AN378" i="3" s="1"/>
  <c r="AN383" i="3" s="1"/>
  <c r="AO384" i="3" s="1"/>
  <c r="AO95" i="7" s="1"/>
  <c r="BK315" i="3"/>
  <c r="BK42" i="7" s="1"/>
  <c r="BK375" i="3"/>
  <c r="BK378" i="3" s="1"/>
  <c r="BK383" i="3" s="1"/>
  <c r="BL384" i="3" s="1"/>
  <c r="AL375" i="3"/>
  <c r="AL378" i="3" s="1"/>
  <c r="AL383" i="3" s="1"/>
  <c r="AM384" i="3" s="1"/>
  <c r="AM95" i="7" s="1"/>
  <c r="AL315" i="3"/>
  <c r="BH375" i="3"/>
  <c r="BH378" i="3" s="1"/>
  <c r="BH383" i="3" s="1"/>
  <c r="BI384" i="3" s="1"/>
  <c r="BI95" i="7" s="1"/>
  <c r="BH315" i="3"/>
  <c r="BQ315" i="3"/>
  <c r="BQ42" i="7" s="1"/>
  <c r="S375" i="3"/>
  <c r="S378" i="3" s="1"/>
  <c r="S383" i="3" s="1"/>
  <c r="T384" i="3" s="1"/>
  <c r="T95" i="7" s="1"/>
  <c r="BW315" i="3"/>
  <c r="BW42" i="7" s="1"/>
  <c r="K315" i="3"/>
  <c r="K375" i="3"/>
  <c r="K378" i="3" s="1"/>
  <c r="K383" i="3" s="1"/>
  <c r="L384" i="3" s="1"/>
  <c r="L95" i="7" s="1"/>
  <c r="AP315" i="3"/>
  <c r="AP375" i="3"/>
  <c r="AP378" i="3" s="1"/>
  <c r="AP383" i="3" s="1"/>
  <c r="AQ384" i="3" s="1"/>
  <c r="AQ95" i="7" s="1"/>
  <c r="AF315" i="3"/>
  <c r="AF375" i="3"/>
  <c r="AF378" i="3" s="1"/>
  <c r="AF383" i="3" s="1"/>
  <c r="AG384" i="3" s="1"/>
  <c r="AG95" i="7" s="1"/>
  <c r="BC375" i="3"/>
  <c r="BC378" i="3" s="1"/>
  <c r="BC383" i="3" s="1"/>
  <c r="BD384" i="3" s="1"/>
  <c r="BD95" i="7" s="1"/>
  <c r="BC315" i="3"/>
  <c r="AD315" i="3"/>
  <c r="AD42" i="7" s="1"/>
  <c r="AD375" i="3"/>
  <c r="AD378" i="3" s="1"/>
  <c r="AD383" i="3" s="1"/>
  <c r="AE384" i="3" s="1"/>
  <c r="AE95" i="7" s="1"/>
  <c r="BI315" i="3"/>
  <c r="BI375" i="3"/>
  <c r="BI378" i="3" s="1"/>
  <c r="BI383" i="3" s="1"/>
  <c r="BJ384" i="3" s="1"/>
  <c r="BJ95" i="7" s="1"/>
  <c r="BL375" i="3"/>
  <c r="BL378" i="3" s="1"/>
  <c r="BL383" i="3" s="1"/>
  <c r="BM384" i="3" s="1"/>
  <c r="BM95" i="7" s="1"/>
  <c r="D312" i="3"/>
  <c r="L315" i="3"/>
  <c r="L375" i="3"/>
  <c r="L378" i="3" s="1"/>
  <c r="L383" i="3" s="1"/>
  <c r="M384" i="3" s="1"/>
  <c r="M95" i="7" s="1"/>
  <c r="BO315" i="3"/>
  <c r="BO42" i="7" s="1"/>
  <c r="AH315" i="3"/>
  <c r="AH375" i="3"/>
  <c r="AH378" i="3" s="1"/>
  <c r="AH383" i="3" s="1"/>
  <c r="AI384" i="3" s="1"/>
  <c r="AI95" i="7" s="1"/>
  <c r="BE315" i="3"/>
  <c r="BE375" i="3"/>
  <c r="BE378" i="3" s="1"/>
  <c r="BE383" i="3" s="1"/>
  <c r="BF384" i="3" s="1"/>
  <c r="BF95" i="7" s="1"/>
  <c r="CJ315" i="3"/>
  <c r="CJ42" i="7" s="1"/>
  <c r="X315" i="3"/>
  <c r="X375" i="3"/>
  <c r="X378" i="3" s="1"/>
  <c r="X383" i="3" s="1"/>
  <c r="Y384" i="3" s="1"/>
  <c r="Y95" i="7" s="1"/>
  <c r="AU315" i="3"/>
  <c r="AU375" i="3"/>
  <c r="AU378" i="3" s="1"/>
  <c r="AU383" i="3" s="1"/>
  <c r="AV384" i="3" s="1"/>
  <c r="AV95" i="7" s="1"/>
  <c r="CH315" i="3"/>
  <c r="CH42" i="7" s="1"/>
  <c r="V315" i="3"/>
  <c r="V375" i="3"/>
  <c r="V378" i="3" s="1"/>
  <c r="V383" i="3" s="1"/>
  <c r="W384" i="3" s="1"/>
  <c r="W95" i="7" s="1"/>
  <c r="BA315" i="3"/>
  <c r="BA375" i="3"/>
  <c r="BA378" i="3" s="1"/>
  <c r="BA383" i="3" s="1"/>
  <c r="BB384" i="3" s="1"/>
  <c r="BB95" i="7" s="1"/>
  <c r="F342" i="3"/>
  <c r="AE46" i="8"/>
  <c r="BO147" i="3"/>
  <c r="L144" i="4"/>
  <c r="J144" i="4"/>
  <c r="BR136" i="3"/>
  <c r="BP138" i="3"/>
  <c r="BQ140" i="3"/>
  <c r="BS146" i="3"/>
  <c r="P46" i="8"/>
  <c r="AM144" i="4"/>
  <c r="BA46" i="8"/>
  <c r="AW144" i="4"/>
  <c r="AL144" i="4"/>
  <c r="Q46" i="8"/>
  <c r="BM375" i="3"/>
  <c r="BR55" i="3"/>
  <c r="BF46" i="8"/>
  <c r="BC46" i="8"/>
  <c r="AF144" i="4"/>
  <c r="AB144" i="4"/>
  <c r="O46" i="8"/>
  <c r="AC144" i="4"/>
  <c r="I144" i="4"/>
  <c r="Z46" i="8"/>
  <c r="BK144" i="4"/>
  <c r="S144" i="4"/>
  <c r="AO46" i="8"/>
  <c r="BH144" i="4"/>
  <c r="BL144" i="4"/>
  <c r="W46" i="8"/>
  <c r="X144" i="4"/>
  <c r="N46" i="8"/>
  <c r="AN144" i="4"/>
  <c r="Y46" i="8"/>
  <c r="U144" i="4"/>
  <c r="BI144" i="4"/>
  <c r="AX144" i="4"/>
  <c r="AP144" i="4"/>
  <c r="AR46" i="8"/>
  <c r="AY46" i="8"/>
  <c r="BJ144" i="4"/>
  <c r="AI46" i="8"/>
  <c r="AK46" i="8"/>
  <c r="G144" i="4"/>
  <c r="AD46" i="8"/>
  <c r="BB144" i="4"/>
  <c r="AS46" i="8"/>
  <c r="AT46" i="8"/>
  <c r="AG144" i="4"/>
  <c r="BM46" i="8"/>
  <c r="T46" i="8"/>
  <c r="AV46" i="8"/>
  <c r="K144" i="4"/>
  <c r="BG144" i="4"/>
  <c r="AH144" i="4"/>
  <c r="AA46" i="8"/>
  <c r="BD46" i="8"/>
  <c r="AZ46" i="8"/>
  <c r="F46" i="8"/>
  <c r="D79" i="4"/>
  <c r="F80" i="4" s="1"/>
  <c r="AJ144" i="4"/>
  <c r="M46" i="8"/>
  <c r="AU46" i="8"/>
  <c r="D138" i="4"/>
  <c r="H46" i="8"/>
  <c r="BE46" i="8"/>
  <c r="R46" i="8"/>
  <c r="V144" i="4"/>
  <c r="AQ46" i="8"/>
  <c r="F122" i="15"/>
  <c r="F123" i="15" s="1"/>
  <c r="E122" i="15"/>
  <c r="E123" i="15" s="1"/>
  <c r="F92" i="9"/>
  <c r="D92" i="9" s="1"/>
  <c r="D87" i="4"/>
  <c r="D88" i="4" s="1"/>
  <c r="F88" i="4"/>
  <c r="BM40" i="10"/>
  <c r="D40" i="10" s="1"/>
  <c r="F145" i="4"/>
  <c r="H122" i="15"/>
  <c r="H123" i="15" s="1"/>
  <c r="G122" i="15"/>
  <c r="G123" i="15" s="1"/>
  <c r="D68" i="9" l="1"/>
  <c r="G203" i="9"/>
  <c r="H203" i="9"/>
  <c r="J203" i="9"/>
  <c r="BU120" i="3"/>
  <c r="BT143" i="3"/>
  <c r="J139" i="15"/>
  <c r="C139" i="15"/>
  <c r="D139" i="15"/>
  <c r="E139" i="15"/>
  <c r="F139" i="15"/>
  <c r="G139" i="15"/>
  <c r="H139" i="15"/>
  <c r="I139" i="15"/>
  <c r="C78" i="15"/>
  <c r="K180" i="9"/>
  <c r="G82" i="9"/>
  <c r="H82" i="9"/>
  <c r="I82" i="9"/>
  <c r="D71" i="9"/>
  <c r="D70" i="9"/>
  <c r="G338" i="3"/>
  <c r="G344" i="3" s="1"/>
  <c r="G336" i="3"/>
  <c r="L25" i="9"/>
  <c r="K25" i="9"/>
  <c r="M25" i="9"/>
  <c r="BT375" i="3"/>
  <c r="BR377" i="3"/>
  <c r="BR376" i="3"/>
  <c r="CE377" i="3"/>
  <c r="CE376" i="3"/>
  <c r="CD376" i="3"/>
  <c r="BN377" i="3"/>
  <c r="BN376" i="3"/>
  <c r="BV377" i="3"/>
  <c r="BT376" i="3"/>
  <c r="CD377" i="3"/>
  <c r="BV375" i="3"/>
  <c r="CK376" i="3"/>
  <c r="CK375" i="3"/>
  <c r="BY377" i="3"/>
  <c r="BY375" i="3"/>
  <c r="BY376" i="3"/>
  <c r="BS377" i="3"/>
  <c r="BS375" i="3"/>
  <c r="BS376" i="3"/>
  <c r="BZ375" i="3"/>
  <c r="BZ376" i="3"/>
  <c r="BZ377" i="3"/>
  <c r="BO375" i="3"/>
  <c r="BO376" i="3"/>
  <c r="BO377" i="3"/>
  <c r="BP375" i="3"/>
  <c r="BP376" i="3"/>
  <c r="BP377" i="3"/>
  <c r="CC375" i="3"/>
  <c r="CC377" i="3"/>
  <c r="CC376" i="3"/>
  <c r="BX375" i="3"/>
  <c r="BX376" i="3"/>
  <c r="BX377" i="3"/>
  <c r="BQ375" i="3"/>
  <c r="BQ377" i="3"/>
  <c r="BQ376" i="3"/>
  <c r="CG377" i="3"/>
  <c r="CG375" i="3"/>
  <c r="CG376" i="3"/>
  <c r="CI377" i="3"/>
  <c r="CI375" i="3"/>
  <c r="CI376" i="3"/>
  <c r="AM320" i="3"/>
  <c r="AM321" i="3" s="1"/>
  <c r="AM82" i="7" s="1"/>
  <c r="CB375" i="3"/>
  <c r="CB376" i="3"/>
  <c r="CB377" i="3"/>
  <c r="BU377" i="3"/>
  <c r="BU375" i="3"/>
  <c r="BU376" i="3"/>
  <c r="CA377" i="3"/>
  <c r="CA375" i="3"/>
  <c r="CA376" i="3"/>
  <c r="CF375" i="3"/>
  <c r="CF376" i="3"/>
  <c r="CF377" i="3"/>
  <c r="CH375" i="3"/>
  <c r="CH376" i="3"/>
  <c r="CH377" i="3"/>
  <c r="CJ375" i="3"/>
  <c r="CJ376" i="3"/>
  <c r="CJ377" i="3"/>
  <c r="BW377" i="3"/>
  <c r="BW375" i="3"/>
  <c r="BW376" i="3"/>
  <c r="F378" i="3"/>
  <c r="F383" i="3" s="1"/>
  <c r="F320" i="3" s="1"/>
  <c r="BM378" i="3"/>
  <c r="BM383" i="3" s="1"/>
  <c r="O320" i="3"/>
  <c r="O321" i="3" s="1"/>
  <c r="O82" i="7" s="1"/>
  <c r="O42" i="7"/>
  <c r="AY320" i="3"/>
  <c r="AY321" i="3" s="1"/>
  <c r="AY82" i="7" s="1"/>
  <c r="AA320" i="3"/>
  <c r="AA321" i="3" s="1"/>
  <c r="AA82" i="7" s="1"/>
  <c r="D315" i="3"/>
  <c r="AD320" i="3"/>
  <c r="AD321" i="3" s="1"/>
  <c r="AD82" i="7" s="1"/>
  <c r="AQ320" i="3"/>
  <c r="AQ321" i="3" s="1"/>
  <c r="AQ82" i="7" s="1"/>
  <c r="BK320" i="3"/>
  <c r="BK321" i="3" s="1"/>
  <c r="BK82" i="7" s="1"/>
  <c r="V42" i="7"/>
  <c r="V320" i="3"/>
  <c r="V321" i="3" s="1"/>
  <c r="V82" i="7" s="1"/>
  <c r="BE42" i="7"/>
  <c r="BE320" i="3"/>
  <c r="BE321" i="3" s="1"/>
  <c r="BE82" i="7" s="1"/>
  <c r="BH42" i="7"/>
  <c r="BH320" i="3"/>
  <c r="BH321" i="3" s="1"/>
  <c r="BH82" i="7" s="1"/>
  <c r="Q42" i="7"/>
  <c r="Q320" i="3"/>
  <c r="Q321" i="3" s="1"/>
  <c r="Q82" i="7" s="1"/>
  <c r="AI42" i="7"/>
  <c r="AI320" i="3"/>
  <c r="AI321" i="3" s="1"/>
  <c r="AI82" i="7" s="1"/>
  <c r="AS42" i="7"/>
  <c r="AS320" i="3"/>
  <c r="AS321" i="3" s="1"/>
  <c r="AS82" i="7" s="1"/>
  <c r="BI42" i="7"/>
  <c r="BI320" i="3"/>
  <c r="BI321" i="3" s="1"/>
  <c r="BI82" i="7" s="1"/>
  <c r="AP42" i="7"/>
  <c r="AP320" i="3"/>
  <c r="AP321" i="3" s="1"/>
  <c r="AP82" i="7" s="1"/>
  <c r="I42" i="7"/>
  <c r="I320" i="3"/>
  <c r="I321" i="3" s="1"/>
  <c r="I82" i="7" s="1"/>
  <c r="G42" i="7"/>
  <c r="G320" i="3"/>
  <c r="G321" i="3" s="1"/>
  <c r="G82" i="7" s="1"/>
  <c r="BF42" i="7"/>
  <c r="BF320" i="3"/>
  <c r="BF321" i="3" s="1"/>
  <c r="BF82" i="7" s="1"/>
  <c r="AG42" i="7"/>
  <c r="AG320" i="3"/>
  <c r="AG321" i="3" s="1"/>
  <c r="AG82" i="7" s="1"/>
  <c r="AW42" i="7"/>
  <c r="AW320" i="3"/>
  <c r="AW321" i="3" s="1"/>
  <c r="AW82" i="7" s="1"/>
  <c r="AH42" i="7"/>
  <c r="AH320" i="3"/>
  <c r="AH321" i="3" s="1"/>
  <c r="AH82" i="7" s="1"/>
  <c r="AL42" i="7"/>
  <c r="AL320" i="3"/>
  <c r="AL321" i="3" s="1"/>
  <c r="AL82" i="7" s="1"/>
  <c r="M42" i="7"/>
  <c r="M320" i="3"/>
  <c r="M321" i="3" s="1"/>
  <c r="M82" i="7" s="1"/>
  <c r="BD42" i="7"/>
  <c r="BD320" i="3"/>
  <c r="BD321" i="3" s="1"/>
  <c r="BD82" i="7" s="1"/>
  <c r="AC320" i="3"/>
  <c r="AC321" i="3" s="1"/>
  <c r="AC82" i="7" s="1"/>
  <c r="AC42" i="7"/>
  <c r="AZ42" i="7"/>
  <c r="AZ320" i="3"/>
  <c r="AZ321" i="3" s="1"/>
  <c r="AZ82" i="7" s="1"/>
  <c r="N42" i="7"/>
  <c r="N320" i="3"/>
  <c r="N321" i="3" s="1"/>
  <c r="N82" i="7" s="1"/>
  <c r="AU42" i="7"/>
  <c r="AU320" i="3"/>
  <c r="AU321" i="3" s="1"/>
  <c r="AU82" i="7" s="1"/>
  <c r="K42" i="7"/>
  <c r="K320" i="3"/>
  <c r="K321" i="3" s="1"/>
  <c r="K82" i="7" s="1"/>
  <c r="Y320" i="3"/>
  <c r="Y321" i="3" s="1"/>
  <c r="Y82" i="7" s="1"/>
  <c r="Y42" i="7"/>
  <c r="BJ42" i="7"/>
  <c r="BJ320" i="3"/>
  <c r="BJ321" i="3" s="1"/>
  <c r="BJ82" i="7" s="1"/>
  <c r="J42" i="7"/>
  <c r="J320" i="3"/>
  <c r="J321" i="3" s="1"/>
  <c r="J82" i="7" s="1"/>
  <c r="AR42" i="7"/>
  <c r="AR320" i="3"/>
  <c r="AR321" i="3" s="1"/>
  <c r="AR82" i="7" s="1"/>
  <c r="Z320" i="3"/>
  <c r="Z321" i="3" s="1"/>
  <c r="Z82" i="7" s="1"/>
  <c r="Z42" i="7"/>
  <c r="BC42" i="7"/>
  <c r="BC320" i="3"/>
  <c r="BC321" i="3" s="1"/>
  <c r="BC82" i="7" s="1"/>
  <c r="AJ320" i="3"/>
  <c r="AJ321" i="3" s="1"/>
  <c r="AJ82" i="7" s="1"/>
  <c r="AJ42" i="7"/>
  <c r="AT42" i="7"/>
  <c r="AT320" i="3"/>
  <c r="AT321" i="3" s="1"/>
  <c r="AT82" i="7" s="1"/>
  <c r="AB42" i="7"/>
  <c r="AB320" i="3"/>
  <c r="AB321" i="3" s="1"/>
  <c r="AB82" i="7" s="1"/>
  <c r="U42" i="7"/>
  <c r="U320" i="3"/>
  <c r="U321" i="3" s="1"/>
  <c r="U82" i="7" s="1"/>
  <c r="AO42" i="7"/>
  <c r="AO320" i="3"/>
  <c r="AO321" i="3" s="1"/>
  <c r="AO82" i="7" s="1"/>
  <c r="X42" i="7"/>
  <c r="X320" i="3"/>
  <c r="X321" i="3" s="1"/>
  <c r="X82" i="7" s="1"/>
  <c r="L42" i="7"/>
  <c r="L320" i="3"/>
  <c r="L321" i="3" s="1"/>
  <c r="L82" i="7" s="1"/>
  <c r="AX42" i="7"/>
  <c r="AX320" i="3"/>
  <c r="AX321" i="3" s="1"/>
  <c r="AX82" i="7" s="1"/>
  <c r="AE42" i="7"/>
  <c r="AE320" i="3"/>
  <c r="AE321" i="3" s="1"/>
  <c r="AE82" i="7" s="1"/>
  <c r="R42" i="7"/>
  <c r="R320" i="3"/>
  <c r="R321" i="3" s="1"/>
  <c r="R82" i="7" s="1"/>
  <c r="P42" i="7"/>
  <c r="P320" i="3"/>
  <c r="P321" i="3" s="1"/>
  <c r="P82" i="7" s="1"/>
  <c r="BA42" i="7"/>
  <c r="BA320" i="3"/>
  <c r="BA321" i="3" s="1"/>
  <c r="BA82" i="7" s="1"/>
  <c r="AV42" i="7"/>
  <c r="AV320" i="3"/>
  <c r="AV321" i="3" s="1"/>
  <c r="AV82" i="7" s="1"/>
  <c r="BB320" i="3"/>
  <c r="BB321" i="3" s="1"/>
  <c r="BB82" i="7" s="1"/>
  <c r="BB42" i="7"/>
  <c r="T42" i="7"/>
  <c r="T320" i="3"/>
  <c r="T321" i="3" s="1"/>
  <c r="T82" i="7" s="1"/>
  <c r="W42" i="7"/>
  <c r="W320" i="3"/>
  <c r="W321" i="3" s="1"/>
  <c r="W82" i="7" s="1"/>
  <c r="BG42" i="7"/>
  <c r="BG320" i="3"/>
  <c r="BG321" i="3" s="1"/>
  <c r="BG82" i="7" s="1"/>
  <c r="AF42" i="7"/>
  <c r="AF320" i="3"/>
  <c r="AF321" i="3" s="1"/>
  <c r="AF82" i="7" s="1"/>
  <c r="AN42" i="7"/>
  <c r="AN320" i="3"/>
  <c r="AN321" i="3" s="1"/>
  <c r="AN82" i="7" s="1"/>
  <c r="S42" i="7"/>
  <c r="S320" i="3"/>
  <c r="S321" i="3" s="1"/>
  <c r="S82" i="7" s="1"/>
  <c r="AK42" i="7"/>
  <c r="AK320" i="3"/>
  <c r="AK321" i="3" s="1"/>
  <c r="AK82" i="7" s="1"/>
  <c r="H42" i="7"/>
  <c r="H320" i="3"/>
  <c r="H321" i="3" s="1"/>
  <c r="H82" i="7" s="1"/>
  <c r="G343" i="3"/>
  <c r="BP147" i="3"/>
  <c r="BQ138" i="3"/>
  <c r="BS136" i="3"/>
  <c r="BR140" i="3"/>
  <c r="BT146" i="3"/>
  <c r="BL320" i="3"/>
  <c r="BL321" i="3" s="1"/>
  <c r="BL82" i="7" s="1"/>
  <c r="BL95" i="7"/>
  <c r="J82" i="9" s="1"/>
  <c r="BS55" i="3"/>
  <c r="D144" i="4"/>
  <c r="D145" i="4" s="1"/>
  <c r="D46" i="8"/>
  <c r="F94" i="9"/>
  <c r="D94" i="9" s="1"/>
  <c r="D122" i="15"/>
  <c r="C122" i="15" s="1"/>
  <c r="C51" i="15"/>
  <c r="BM67" i="10"/>
  <c r="D67" i="10" s="1"/>
  <c r="G85" i="4"/>
  <c r="G88" i="4" s="1"/>
  <c r="F90" i="4"/>
  <c r="F147" i="4"/>
  <c r="F148" i="4" s="1"/>
  <c r="F149" i="4" s="1"/>
  <c r="G142" i="4"/>
  <c r="G145" i="4" s="1"/>
  <c r="F48" i="7"/>
  <c r="F81" i="4"/>
  <c r="BU143" i="3" l="1"/>
  <c r="BV120" i="3"/>
  <c r="K203" i="9"/>
  <c r="D180" i="9"/>
  <c r="H336" i="3" a="1"/>
  <c r="H336" i="3" s="1"/>
  <c r="I69" i="9"/>
  <c r="J69" i="9"/>
  <c r="H69" i="9"/>
  <c r="G69" i="9"/>
  <c r="I25" i="9"/>
  <c r="G25" i="9"/>
  <c r="H25" i="9"/>
  <c r="J25" i="9"/>
  <c r="F25" i="9"/>
  <c r="D42" i="7"/>
  <c r="BR378" i="3"/>
  <c r="BR383" i="3" s="1"/>
  <c r="BS384" i="3" s="1"/>
  <c r="BS95" i="7" s="1"/>
  <c r="BT378" i="3"/>
  <c r="BT383" i="3" s="1"/>
  <c r="BU384" i="3" s="1"/>
  <c r="BU95" i="7" s="1"/>
  <c r="CE378" i="3"/>
  <c r="CE383" i="3" s="1"/>
  <c r="CF384" i="3" s="1"/>
  <c r="CF95" i="7" s="1"/>
  <c r="BN378" i="3"/>
  <c r="BN383" i="3" s="1"/>
  <c r="BO384" i="3" s="1"/>
  <c r="BO95" i="7" s="1"/>
  <c r="CD378" i="3"/>
  <c r="CD383" i="3" s="1"/>
  <c r="CE384" i="3" s="1"/>
  <c r="CE95" i="7" s="1"/>
  <c r="BV378" i="3"/>
  <c r="BV383" i="3" s="1"/>
  <c r="BW384" i="3" s="1"/>
  <c r="BW95" i="7" s="1"/>
  <c r="CK378" i="3"/>
  <c r="CK383" i="3" s="1"/>
  <c r="CK320" i="3" s="1"/>
  <c r="CK321" i="3" s="1"/>
  <c r="CK82" i="7" s="1"/>
  <c r="BM320" i="3"/>
  <c r="BM321" i="3" s="1"/>
  <c r="BM82" i="7" s="1"/>
  <c r="BN384" i="3"/>
  <c r="BN95" i="7" s="1"/>
  <c r="CA378" i="3"/>
  <c r="CA383" i="3" s="1"/>
  <c r="G384" i="3"/>
  <c r="BU378" i="3"/>
  <c r="BU383" i="3" s="1"/>
  <c r="F385" i="3"/>
  <c r="G382" i="3" s="1"/>
  <c r="BS378" i="3"/>
  <c r="BS383" i="3" s="1"/>
  <c r="CC378" i="3"/>
  <c r="CC383" i="3" s="1"/>
  <c r="D376" i="3"/>
  <c r="BW378" i="3"/>
  <c r="BW383" i="3" s="1"/>
  <c r="D377" i="3"/>
  <c r="D375" i="3"/>
  <c r="BZ378" i="3"/>
  <c r="BZ383" i="3" s="1"/>
  <c r="CI378" i="3"/>
  <c r="CI383" i="3" s="1"/>
  <c r="CH378" i="3"/>
  <c r="CH383" i="3" s="1"/>
  <c r="BP378" i="3"/>
  <c r="BP383" i="3" s="1"/>
  <c r="BX378" i="3"/>
  <c r="BX383" i="3" s="1"/>
  <c r="CG378" i="3"/>
  <c r="CG383" i="3" s="1"/>
  <c r="CJ378" i="3"/>
  <c r="CJ383" i="3" s="1"/>
  <c r="CF378" i="3"/>
  <c r="CF383" i="3" s="1"/>
  <c r="BO378" i="3"/>
  <c r="BO383" i="3" s="1"/>
  <c r="BY378" i="3"/>
  <c r="BY383" i="3" s="1"/>
  <c r="BQ378" i="3"/>
  <c r="BQ383" i="3" s="1"/>
  <c r="CB378" i="3"/>
  <c r="CB383" i="3" s="1"/>
  <c r="F321" i="3"/>
  <c r="F322" i="3" s="1"/>
  <c r="G342" i="3"/>
  <c r="BQ147" i="3"/>
  <c r="BT136" i="3"/>
  <c r="BR138" i="3"/>
  <c r="BS140" i="3"/>
  <c r="BU146" i="3"/>
  <c r="BT55" i="3"/>
  <c r="G90" i="4"/>
  <c r="H85" i="4"/>
  <c r="H88" i="4" s="1"/>
  <c r="D123" i="15"/>
  <c r="C123" i="15" s="1"/>
  <c r="F91" i="4"/>
  <c r="F157" i="5"/>
  <c r="F158" i="5" s="1"/>
  <c r="F163" i="5" s="1"/>
  <c r="G78" i="4"/>
  <c r="F142" i="7"/>
  <c r="F143" i="7" s="1"/>
  <c r="F43" i="12" s="1"/>
  <c r="H142" i="4"/>
  <c r="H145" i="4" s="1"/>
  <c r="G147" i="4"/>
  <c r="G148" i="4" s="1"/>
  <c r="G149" i="4" s="1"/>
  <c r="BV143" i="3" l="1"/>
  <c r="BW120" i="3"/>
  <c r="H337" i="3"/>
  <c r="H343" i="3" s="1"/>
  <c r="H338" i="3"/>
  <c r="H344" i="3" s="1"/>
  <c r="D203" i="9"/>
  <c r="BR320" i="3"/>
  <c r="BR321" i="3" s="1"/>
  <c r="BR82" i="7" s="1"/>
  <c r="D25" i="9"/>
  <c r="BT320" i="3"/>
  <c r="BT321" i="3" s="1"/>
  <c r="BT82" i="7" s="1"/>
  <c r="CE320" i="3"/>
  <c r="CE321" i="3" s="1"/>
  <c r="CE82" i="7" s="1"/>
  <c r="BN320" i="3"/>
  <c r="BN321" i="3" s="1"/>
  <c r="BN82" i="7" s="1"/>
  <c r="G385" i="3"/>
  <c r="H382" i="3" s="1"/>
  <c r="H385" i="3" s="1"/>
  <c r="I382" i="3" s="1"/>
  <c r="I385" i="3" s="1"/>
  <c r="J382" i="3" s="1"/>
  <c r="J385" i="3" s="1"/>
  <c r="K382" i="3" s="1"/>
  <c r="K385" i="3" s="1"/>
  <c r="L382" i="3" s="1"/>
  <c r="L385" i="3" s="1"/>
  <c r="M382" i="3" s="1"/>
  <c r="M385" i="3" s="1"/>
  <c r="N382" i="3" s="1"/>
  <c r="N385" i="3" s="1"/>
  <c r="O382" i="3" s="1"/>
  <c r="O385" i="3" s="1"/>
  <c r="P382" i="3" s="1"/>
  <c r="P385" i="3" s="1"/>
  <c r="Q382" i="3" s="1"/>
  <c r="Q385" i="3" s="1"/>
  <c r="R382" i="3" s="1"/>
  <c r="R385" i="3" s="1"/>
  <c r="S382" i="3" s="1"/>
  <c r="S385" i="3" s="1"/>
  <c r="T382" i="3" s="1"/>
  <c r="T385" i="3" s="1"/>
  <c r="U382" i="3" s="1"/>
  <c r="U385" i="3" s="1"/>
  <c r="V382" i="3" s="1"/>
  <c r="V385" i="3" s="1"/>
  <c r="W382" i="3" s="1"/>
  <c r="W385" i="3" s="1"/>
  <c r="X382" i="3" s="1"/>
  <c r="X385" i="3" s="1"/>
  <c r="Y382" i="3" s="1"/>
  <c r="Y385" i="3" s="1"/>
  <c r="Z382" i="3" s="1"/>
  <c r="Z385" i="3" s="1"/>
  <c r="AA382" i="3" s="1"/>
  <c r="AA385" i="3" s="1"/>
  <c r="AB382" i="3" s="1"/>
  <c r="AB385" i="3" s="1"/>
  <c r="AC382" i="3" s="1"/>
  <c r="AC385" i="3" s="1"/>
  <c r="AD382" i="3" s="1"/>
  <c r="AD385" i="3" s="1"/>
  <c r="AE382" i="3" s="1"/>
  <c r="AE385" i="3" s="1"/>
  <c r="AF382" i="3" s="1"/>
  <c r="AF385" i="3" s="1"/>
  <c r="AG382" i="3" s="1"/>
  <c r="AG385" i="3" s="1"/>
  <c r="AH382" i="3" s="1"/>
  <c r="AH385" i="3" s="1"/>
  <c r="AI382" i="3" s="1"/>
  <c r="AI385" i="3" s="1"/>
  <c r="AJ382" i="3" s="1"/>
  <c r="AJ385" i="3" s="1"/>
  <c r="AK382" i="3" s="1"/>
  <c r="AK385" i="3" s="1"/>
  <c r="AL382" i="3" s="1"/>
  <c r="AL385" i="3" s="1"/>
  <c r="AM382" i="3" s="1"/>
  <c r="AM385" i="3" s="1"/>
  <c r="AN382" i="3" s="1"/>
  <c r="AN385" i="3" s="1"/>
  <c r="AO382" i="3" s="1"/>
  <c r="AO385" i="3" s="1"/>
  <c r="AP382" i="3" s="1"/>
  <c r="AP385" i="3" s="1"/>
  <c r="AQ382" i="3" s="1"/>
  <c r="AQ385" i="3" s="1"/>
  <c r="AR382" i="3" s="1"/>
  <c r="AR385" i="3" s="1"/>
  <c r="AS382" i="3" s="1"/>
  <c r="AS385" i="3" s="1"/>
  <c r="AT382" i="3" s="1"/>
  <c r="AT385" i="3" s="1"/>
  <c r="AU382" i="3" s="1"/>
  <c r="AU385" i="3" s="1"/>
  <c r="AV382" i="3" s="1"/>
  <c r="AV385" i="3" s="1"/>
  <c r="AW382" i="3" s="1"/>
  <c r="AW385" i="3" s="1"/>
  <c r="AX382" i="3" s="1"/>
  <c r="AX385" i="3" s="1"/>
  <c r="AY382" i="3" s="1"/>
  <c r="AY385" i="3" s="1"/>
  <c r="AZ382" i="3" s="1"/>
  <c r="AZ385" i="3" s="1"/>
  <c r="BA382" i="3" s="1"/>
  <c r="BA385" i="3" s="1"/>
  <c r="BB382" i="3" s="1"/>
  <c r="BB385" i="3" s="1"/>
  <c r="BC382" i="3" s="1"/>
  <c r="BC385" i="3" s="1"/>
  <c r="BD382" i="3" s="1"/>
  <c r="BD385" i="3" s="1"/>
  <c r="BE382" i="3" s="1"/>
  <c r="BE385" i="3" s="1"/>
  <c r="BF382" i="3" s="1"/>
  <c r="BF385" i="3" s="1"/>
  <c r="BG382" i="3" s="1"/>
  <c r="BG385" i="3" s="1"/>
  <c r="BH382" i="3" s="1"/>
  <c r="BH385" i="3" s="1"/>
  <c r="BI382" i="3" s="1"/>
  <c r="BI385" i="3" s="1"/>
  <c r="BJ382" i="3" s="1"/>
  <c r="BJ385" i="3" s="1"/>
  <c r="BK382" i="3" s="1"/>
  <c r="BK385" i="3" s="1"/>
  <c r="BL382" i="3" s="1"/>
  <c r="BL385" i="3" s="1"/>
  <c r="BM382" i="3" s="1"/>
  <c r="BM385" i="3" s="1"/>
  <c r="BN382" i="3" s="1"/>
  <c r="BN385" i="3" s="1"/>
  <c r="BO382" i="3" s="1"/>
  <c r="BO385" i="3" s="1"/>
  <c r="BP382" i="3" s="1"/>
  <c r="CD320" i="3"/>
  <c r="CD321" i="3" s="1"/>
  <c r="CD82" i="7" s="1"/>
  <c r="BV320" i="3"/>
  <c r="BV321" i="3" s="1"/>
  <c r="BV82" i="7" s="1"/>
  <c r="BZ384" i="3"/>
  <c r="BZ95" i="7" s="1"/>
  <c r="BY320" i="3"/>
  <c r="BY321" i="3" s="1"/>
  <c r="BY82" i="7" s="1"/>
  <c r="CJ384" i="3"/>
  <c r="CJ95" i="7" s="1"/>
  <c r="CI320" i="3"/>
  <c r="CI321" i="3" s="1"/>
  <c r="CI82" i="7" s="1"/>
  <c r="CI384" i="3"/>
  <c r="CI95" i="7" s="1"/>
  <c r="CH320" i="3"/>
  <c r="CH321" i="3" s="1"/>
  <c r="CH82" i="7" s="1"/>
  <c r="BP384" i="3"/>
  <c r="BP95" i="7" s="1"/>
  <c r="BO320" i="3"/>
  <c r="CA384" i="3"/>
  <c r="CA95" i="7" s="1"/>
  <c r="BZ320" i="3"/>
  <c r="BZ321" i="3" s="1"/>
  <c r="BZ82" i="7" s="1"/>
  <c r="CD384" i="3"/>
  <c r="CD95" i="7" s="1"/>
  <c r="CC320" i="3"/>
  <c r="CC321" i="3" s="1"/>
  <c r="CC82" i="7" s="1"/>
  <c r="CB384" i="3"/>
  <c r="CB95" i="7" s="1"/>
  <c r="CA320" i="3"/>
  <c r="CA321" i="3" s="1"/>
  <c r="CA82" i="7" s="1"/>
  <c r="CG384" i="3"/>
  <c r="CG95" i="7" s="1"/>
  <c r="CF320" i="3"/>
  <c r="CF321" i="3" s="1"/>
  <c r="CF82" i="7" s="1"/>
  <c r="BT384" i="3"/>
  <c r="BT95" i="7" s="1"/>
  <c r="BS320" i="3"/>
  <c r="BS321" i="3" s="1"/>
  <c r="BS82" i="7" s="1"/>
  <c r="BR384" i="3"/>
  <c r="BR95" i="7" s="1"/>
  <c r="BQ320" i="3"/>
  <c r="BQ321" i="3" s="1"/>
  <c r="BQ82" i="7" s="1"/>
  <c r="CK384" i="3"/>
  <c r="CK95" i="7" s="1"/>
  <c r="CJ320" i="3"/>
  <c r="CJ321" i="3" s="1"/>
  <c r="CJ82" i="7" s="1"/>
  <c r="CH384" i="3"/>
  <c r="CH95" i="7" s="1"/>
  <c r="CG320" i="3"/>
  <c r="CG321" i="3" s="1"/>
  <c r="CG82" i="7" s="1"/>
  <c r="BX384" i="3"/>
  <c r="BX95" i="7" s="1"/>
  <c r="BW320" i="3"/>
  <c r="BW321" i="3" s="1"/>
  <c r="BW82" i="7" s="1"/>
  <c r="BV384" i="3"/>
  <c r="BV95" i="7" s="1"/>
  <c r="BU320" i="3"/>
  <c r="BU321" i="3" s="1"/>
  <c r="BU82" i="7" s="1"/>
  <c r="BY384" i="3"/>
  <c r="BY95" i="7" s="1"/>
  <c r="BX320" i="3"/>
  <c r="BX321" i="3" s="1"/>
  <c r="BX82" i="7" s="1"/>
  <c r="D383" i="3"/>
  <c r="CC384" i="3"/>
  <c r="CC95" i="7" s="1"/>
  <c r="CB320" i="3"/>
  <c r="CB321" i="3" s="1"/>
  <c r="CB82" i="7" s="1"/>
  <c r="BQ384" i="3"/>
  <c r="BQ95" i="7" s="1"/>
  <c r="BP320" i="3"/>
  <c r="BP321" i="3" s="1"/>
  <c r="BP82" i="7" s="1"/>
  <c r="G95" i="7"/>
  <c r="F82" i="9" s="1"/>
  <c r="D378" i="3"/>
  <c r="F82" i="7"/>
  <c r="F69" i="9" s="1"/>
  <c r="F173" i="7"/>
  <c r="G319" i="3"/>
  <c r="G322" i="3" s="1"/>
  <c r="BR147" i="3"/>
  <c r="BS138" i="3"/>
  <c r="BU136" i="3"/>
  <c r="BT140" i="3"/>
  <c r="BV146" i="3"/>
  <c r="BU55" i="3"/>
  <c r="F92" i="4"/>
  <c r="F177" i="7" s="1"/>
  <c r="G80" i="4"/>
  <c r="F44" i="7"/>
  <c r="H90" i="4"/>
  <c r="I85" i="4"/>
  <c r="I88" i="4" s="1"/>
  <c r="G91" i="4"/>
  <c r="I142" i="4"/>
  <c r="I145" i="4" s="1"/>
  <c r="H147" i="4"/>
  <c r="H148" i="4" s="1"/>
  <c r="H149" i="4" s="1"/>
  <c r="BX120" i="3" l="1"/>
  <c r="BW143" i="3"/>
  <c r="I336" i="3" a="1"/>
  <c r="I336" i="3" s="1"/>
  <c r="M69" i="9"/>
  <c r="K82" i="9"/>
  <c r="L82" i="9"/>
  <c r="M82" i="9"/>
  <c r="L69" i="9"/>
  <c r="D95" i="7"/>
  <c r="BP385" i="3"/>
  <c r="BQ382" i="3" s="1"/>
  <c r="BQ385" i="3" s="1"/>
  <c r="BR382" i="3" s="1"/>
  <c r="BR385" i="3" s="1"/>
  <c r="BS382" i="3" s="1"/>
  <c r="BS385" i="3" s="1"/>
  <c r="BT382" i="3" s="1"/>
  <c r="BT385" i="3" s="1"/>
  <c r="BU382" i="3" s="1"/>
  <c r="BU385" i="3" s="1"/>
  <c r="BV382" i="3" s="1"/>
  <c r="BV385" i="3" s="1"/>
  <c r="BW382" i="3" s="1"/>
  <c r="BW385" i="3" s="1"/>
  <c r="BX382" i="3" s="1"/>
  <c r="BX385" i="3" s="1"/>
  <c r="BY382" i="3" s="1"/>
  <c r="BY385" i="3" s="1"/>
  <c r="BZ382" i="3" s="1"/>
  <c r="BZ385" i="3" s="1"/>
  <c r="CA382" i="3" s="1"/>
  <c r="CA385" i="3" s="1"/>
  <c r="CB382" i="3" s="1"/>
  <c r="CB385" i="3" s="1"/>
  <c r="CC382" i="3" s="1"/>
  <c r="CC385" i="3" s="1"/>
  <c r="CD382" i="3" s="1"/>
  <c r="CD385" i="3" s="1"/>
  <c r="CE382" i="3" s="1"/>
  <c r="CE385" i="3" s="1"/>
  <c r="CF382" i="3" s="1"/>
  <c r="CF385" i="3" s="1"/>
  <c r="CG382" i="3" s="1"/>
  <c r="CG385" i="3" s="1"/>
  <c r="CH382" i="3" s="1"/>
  <c r="CH385" i="3" s="1"/>
  <c r="CI382" i="3" s="1"/>
  <c r="CI385" i="3" s="1"/>
  <c r="CJ382" i="3" s="1"/>
  <c r="CJ385" i="3" s="1"/>
  <c r="CK382" i="3" s="1"/>
  <c r="CK385" i="3" s="1"/>
  <c r="D384" i="3"/>
  <c r="D385" i="3" s="1"/>
  <c r="BO321" i="3"/>
  <c r="D320" i="3"/>
  <c r="H342" i="3"/>
  <c r="G173" i="7"/>
  <c r="H319" i="3"/>
  <c r="H322" i="3" s="1"/>
  <c r="BS147" i="3"/>
  <c r="BV136" i="3"/>
  <c r="BT138" i="3"/>
  <c r="BU140" i="3"/>
  <c r="BW146" i="3"/>
  <c r="BV55" i="3"/>
  <c r="G48" i="7"/>
  <c r="G81" i="4"/>
  <c r="G142" i="7" s="1"/>
  <c r="G143" i="7" s="1"/>
  <c r="G43" i="12" s="1"/>
  <c r="G92" i="4"/>
  <c r="G177" i="7" s="1"/>
  <c r="I90" i="4"/>
  <c r="J85" i="4"/>
  <c r="J88" i="4" s="1"/>
  <c r="H91" i="4"/>
  <c r="J142" i="4"/>
  <c r="J145" i="4" s="1"/>
  <c r="I147" i="4"/>
  <c r="I148" i="4" s="1"/>
  <c r="I149" i="4" s="1"/>
  <c r="I337" i="3" l="1"/>
  <c r="I343" i="3" s="1"/>
  <c r="I338" i="3"/>
  <c r="I344" i="3" s="1"/>
  <c r="BY120" i="3"/>
  <c r="BX143" i="3"/>
  <c r="D82" i="9"/>
  <c r="D321" i="3"/>
  <c r="D322" i="3" s="1"/>
  <c r="BO82" i="7"/>
  <c r="I319" i="3"/>
  <c r="I322" i="3" s="1"/>
  <c r="H173" i="7"/>
  <c r="BT147" i="3"/>
  <c r="BU138" i="3"/>
  <c r="BW136" i="3"/>
  <c r="BV140" i="3"/>
  <c r="BX146" i="3"/>
  <c r="BW55" i="3"/>
  <c r="G157" i="5"/>
  <c r="G158" i="5" s="1"/>
  <c r="G163" i="5" s="1"/>
  <c r="H78" i="4"/>
  <c r="H80" i="4" s="1"/>
  <c r="I91" i="4"/>
  <c r="J90" i="4"/>
  <c r="K85" i="4"/>
  <c r="K88" i="4" s="1"/>
  <c r="J147" i="4"/>
  <c r="J148" i="4" s="1"/>
  <c r="J149" i="4" s="1"/>
  <c r="K142" i="4"/>
  <c r="K145" i="4" s="1"/>
  <c r="H92" i="4"/>
  <c r="H177" i="7" s="1"/>
  <c r="J336" i="3" l="1" a="1"/>
  <c r="J336" i="3" s="1"/>
  <c r="BZ120" i="3"/>
  <c r="BY143" i="3"/>
  <c r="D82" i="7"/>
  <c r="K69" i="9"/>
  <c r="D69" i="9" s="1"/>
  <c r="G44" i="7"/>
  <c r="J319" i="3"/>
  <c r="J322" i="3" s="1"/>
  <c r="I173" i="7"/>
  <c r="I342" i="3"/>
  <c r="BU147" i="3"/>
  <c r="BX136" i="3"/>
  <c r="BV138" i="3"/>
  <c r="BW140" i="3"/>
  <c r="BY146" i="3"/>
  <c r="BX55" i="3"/>
  <c r="H48" i="7"/>
  <c r="H164" i="5"/>
  <c r="H93" i="7" s="1"/>
  <c r="H81" i="4"/>
  <c r="I78" i="4" s="1"/>
  <c r="K90" i="4"/>
  <c r="L85" i="4"/>
  <c r="L88" i="4" s="1"/>
  <c r="J91" i="4"/>
  <c r="L142" i="4"/>
  <c r="L145" i="4" s="1"/>
  <c r="K147" i="4"/>
  <c r="K148" i="4" s="1"/>
  <c r="K149" i="4" s="1"/>
  <c r="I92" i="4"/>
  <c r="I177" i="7" s="1"/>
  <c r="J337" i="3" l="1"/>
  <c r="J338" i="3"/>
  <c r="J344" i="3" s="1"/>
  <c r="CA120" i="3"/>
  <c r="BZ143" i="3"/>
  <c r="J343" i="3"/>
  <c r="K319" i="3"/>
  <c r="K322" i="3" s="1"/>
  <c r="J173" i="7"/>
  <c r="BV147" i="3"/>
  <c r="BW138" i="3"/>
  <c r="BY136" i="3"/>
  <c r="BX140" i="3"/>
  <c r="BZ146" i="3"/>
  <c r="BY55" i="3"/>
  <c r="H157" i="5"/>
  <c r="H158" i="5" s="1"/>
  <c r="H163" i="5" s="1"/>
  <c r="H142" i="7"/>
  <c r="H143" i="7" s="1"/>
  <c r="H43" i="12" s="1"/>
  <c r="I80" i="4"/>
  <c r="M85" i="4"/>
  <c r="M88" i="4" s="1"/>
  <c r="L90" i="4"/>
  <c r="K91" i="4"/>
  <c r="L147" i="4"/>
  <c r="L148" i="4" s="1"/>
  <c r="L149" i="4" s="1"/>
  <c r="M142" i="4"/>
  <c r="M145" i="4" s="1"/>
  <c r="J92" i="4"/>
  <c r="J177" i="7" s="1"/>
  <c r="K336" i="3" l="1" a="1"/>
  <c r="K338" i="3" s="1"/>
  <c r="CA143" i="3"/>
  <c r="CB120" i="3"/>
  <c r="K173" i="7"/>
  <c r="L319" i="3"/>
  <c r="L322" i="3" s="1"/>
  <c r="J342" i="3"/>
  <c r="BW147" i="3"/>
  <c r="BZ136" i="3"/>
  <c r="BX138" i="3"/>
  <c r="BY140" i="3"/>
  <c r="CA146" i="3"/>
  <c r="BZ55" i="3"/>
  <c r="I48" i="7"/>
  <c r="H44" i="7"/>
  <c r="N142" i="4"/>
  <c r="N145" i="4" s="1"/>
  <c r="M147" i="4"/>
  <c r="M148" i="4" s="1"/>
  <c r="M149" i="4" s="1"/>
  <c r="L91" i="4"/>
  <c r="K92" i="4"/>
  <c r="K177" i="7" s="1"/>
  <c r="M90" i="4"/>
  <c r="N85" i="4"/>
  <c r="N88" i="4" s="1"/>
  <c r="I81" i="4"/>
  <c r="K337" i="3" l="1"/>
  <c r="K343" i="3" s="1"/>
  <c r="K336" i="3"/>
  <c r="CC120" i="3"/>
  <c r="CB143" i="3"/>
  <c r="L173" i="7"/>
  <c r="M319" i="3"/>
  <c r="M322" i="3" s="1"/>
  <c r="K344" i="3"/>
  <c r="BX147" i="3"/>
  <c r="BY138" i="3"/>
  <c r="CA136" i="3"/>
  <c r="BZ140" i="3"/>
  <c r="CB146" i="3"/>
  <c r="CA55" i="3"/>
  <c r="M91" i="4"/>
  <c r="J78" i="4"/>
  <c r="I157" i="5"/>
  <c r="I158" i="5" s="1"/>
  <c r="I163" i="5" s="1"/>
  <c r="I142" i="7"/>
  <c r="I143" i="7" s="1"/>
  <c r="I43" i="12" s="1"/>
  <c r="L92" i="4"/>
  <c r="L177" i="7" s="1"/>
  <c r="O85" i="4"/>
  <c r="O88" i="4" s="1"/>
  <c r="N90" i="4"/>
  <c r="N147" i="4"/>
  <c r="N148" i="4" s="1"/>
  <c r="N149" i="4" s="1"/>
  <c r="O142" i="4"/>
  <c r="O145" i="4" s="1"/>
  <c r="L336" i="3" l="1" a="1"/>
  <c r="L336" i="3" s="1"/>
  <c r="CC143" i="3"/>
  <c r="CD120" i="3"/>
  <c r="K342" i="3"/>
  <c r="N319" i="3"/>
  <c r="N322" i="3" s="1"/>
  <c r="M173" i="7"/>
  <c r="BY147" i="3"/>
  <c r="CB136" i="3"/>
  <c r="BZ138" i="3"/>
  <c r="CA140" i="3"/>
  <c r="CC146" i="3"/>
  <c r="CB55" i="3"/>
  <c r="I44" i="7"/>
  <c r="J80" i="4"/>
  <c r="J48" i="7" s="1"/>
  <c r="N91" i="4"/>
  <c r="P85" i="4"/>
  <c r="P88" i="4" s="1"/>
  <c r="O90" i="4"/>
  <c r="M92" i="4"/>
  <c r="M177" i="7" s="1"/>
  <c r="P142" i="4"/>
  <c r="P145" i="4" s="1"/>
  <c r="O147" i="4"/>
  <c r="O148" i="4" s="1"/>
  <c r="O149" i="4" s="1"/>
  <c r="L338" i="3" l="1"/>
  <c r="L344" i="3" s="1"/>
  <c r="L337" i="3"/>
  <c r="L343" i="3" s="1"/>
  <c r="CD143" i="3"/>
  <c r="CE120" i="3"/>
  <c r="N173" i="7"/>
  <c r="O319" i="3"/>
  <c r="O322" i="3" s="1"/>
  <c r="BZ147" i="3"/>
  <c r="CC136" i="3"/>
  <c r="CA138" i="3"/>
  <c r="CB140" i="3"/>
  <c r="CD146" i="3"/>
  <c r="CC55" i="3"/>
  <c r="J81" i="4"/>
  <c r="K78" i="4" s="1"/>
  <c r="Q142" i="4"/>
  <c r="Q145" i="4" s="1"/>
  <c r="P147" i="4"/>
  <c r="P148" i="4" s="1"/>
  <c r="P149" i="4" s="1"/>
  <c r="O91" i="4"/>
  <c r="P90" i="4"/>
  <c r="Q85" i="4"/>
  <c r="Q88" i="4" s="1"/>
  <c r="N92" i="4"/>
  <c r="N177" i="7" s="1"/>
  <c r="M336" i="3" l="1" a="1"/>
  <c r="M336" i="3" s="1"/>
  <c r="CE143" i="3"/>
  <c r="CF120" i="3"/>
  <c r="O173" i="7"/>
  <c r="P319" i="3"/>
  <c r="P322" i="3" s="1"/>
  <c r="L342" i="3"/>
  <c r="CA147" i="3"/>
  <c r="CB138" i="3"/>
  <c r="CD136" i="3"/>
  <c r="CC140" i="3"/>
  <c r="CE146" i="3"/>
  <c r="CD55" i="3"/>
  <c r="J142" i="7"/>
  <c r="J143" i="7" s="1"/>
  <c r="J43" i="12" s="1"/>
  <c r="J157" i="5"/>
  <c r="J158" i="5" s="1"/>
  <c r="J163" i="5" s="1"/>
  <c r="K80" i="4"/>
  <c r="K48" i="7" s="1"/>
  <c r="R85" i="4"/>
  <c r="R88" i="4" s="1"/>
  <c r="Q90" i="4"/>
  <c r="P91" i="4"/>
  <c r="O92" i="4"/>
  <c r="O177" i="7" s="1"/>
  <c r="Q147" i="4"/>
  <c r="Q148" i="4" s="1"/>
  <c r="Q149" i="4" s="1"/>
  <c r="R142" i="4"/>
  <c r="R145" i="4" s="1"/>
  <c r="M338" i="3" l="1"/>
  <c r="M344" i="3" s="1"/>
  <c r="M337" i="3"/>
  <c r="CG120" i="3"/>
  <c r="CF143" i="3"/>
  <c r="K164" i="5"/>
  <c r="K93" i="7" s="1"/>
  <c r="I164" i="5"/>
  <c r="I93" i="7" s="1"/>
  <c r="J164" i="5"/>
  <c r="J93" i="7" s="1"/>
  <c r="Q319" i="3"/>
  <c r="Q322" i="3" s="1"/>
  <c r="P173" i="7"/>
  <c r="F160" i="9" s="1"/>
  <c r="M343" i="3"/>
  <c r="CB147" i="3"/>
  <c r="CE136" i="3"/>
  <c r="CC138" i="3"/>
  <c r="CD140" i="3"/>
  <c r="CF146" i="3"/>
  <c r="CE55" i="3"/>
  <c r="J44" i="7"/>
  <c r="R147" i="4"/>
  <c r="R148" i="4" s="1"/>
  <c r="R149" i="4" s="1"/>
  <c r="S142" i="4"/>
  <c r="S145" i="4" s="1"/>
  <c r="P92" i="4"/>
  <c r="P177" i="7" s="1"/>
  <c r="F164" i="9" s="1"/>
  <c r="Q91" i="4"/>
  <c r="K81" i="4"/>
  <c r="S85" i="4"/>
  <c r="S88" i="4" s="1"/>
  <c r="R90" i="4"/>
  <c r="N336" i="3" l="1" a="1"/>
  <c r="N336" i="3" s="1"/>
  <c r="CH120" i="3"/>
  <c r="CG143" i="3"/>
  <c r="Q173" i="7"/>
  <c r="R319" i="3"/>
  <c r="R322" i="3" s="1"/>
  <c r="M342" i="3"/>
  <c r="CC147" i="3"/>
  <c r="CD138" i="3"/>
  <c r="CF136" i="3"/>
  <c r="CE140" i="3"/>
  <c r="CG146" i="3"/>
  <c r="CF55" i="3"/>
  <c r="T142" i="4"/>
  <c r="T145" i="4" s="1"/>
  <c r="S147" i="4"/>
  <c r="S148" i="4" s="1"/>
  <c r="S149" i="4" s="1"/>
  <c r="R91" i="4"/>
  <c r="T85" i="4"/>
  <c r="T88" i="4" s="1"/>
  <c r="S90" i="4"/>
  <c r="K157" i="5"/>
  <c r="K158" i="5" s="1"/>
  <c r="K163" i="5" s="1"/>
  <c r="K142" i="7"/>
  <c r="K143" i="7" s="1"/>
  <c r="K43" i="12" s="1"/>
  <c r="L78" i="4"/>
  <c r="Q92" i="4"/>
  <c r="Q177" i="7" s="1"/>
  <c r="N338" i="3" l="1"/>
  <c r="N344" i="3" s="1"/>
  <c r="N337" i="3"/>
  <c r="CI120" i="3"/>
  <c r="CH143" i="3"/>
  <c r="R173" i="7"/>
  <c r="S319" i="3"/>
  <c r="S322" i="3" s="1"/>
  <c r="N342" i="3"/>
  <c r="CD147" i="3"/>
  <c r="CG136" i="3"/>
  <c r="CE138" i="3"/>
  <c r="CF140" i="3"/>
  <c r="CH146" i="3"/>
  <c r="CG55" i="3"/>
  <c r="U85" i="4"/>
  <c r="U88" i="4" s="1"/>
  <c r="T90" i="4"/>
  <c r="L80" i="4"/>
  <c r="L48" i="7" s="1"/>
  <c r="R92" i="4"/>
  <c r="R177" i="7" s="1"/>
  <c r="K44" i="7"/>
  <c r="S91" i="4"/>
  <c r="U142" i="4"/>
  <c r="U145" i="4" s="1"/>
  <c r="T147" i="4"/>
  <c r="T148" i="4" s="1"/>
  <c r="T149" i="4" s="1"/>
  <c r="O336" i="3" l="1" a="1"/>
  <c r="O338" i="3" s="1"/>
  <c r="O344" i="3" s="1"/>
  <c r="N343" i="3"/>
  <c r="CI143" i="3"/>
  <c r="CJ120" i="3"/>
  <c r="T319" i="3"/>
  <c r="T322" i="3" s="1"/>
  <c r="S173" i="7"/>
  <c r="CE147" i="3"/>
  <c r="CF138" i="3"/>
  <c r="CH136" i="3"/>
  <c r="CG140" i="3"/>
  <c r="CI146" i="3"/>
  <c r="CH55" i="3"/>
  <c r="L81" i="4"/>
  <c r="U147" i="4"/>
  <c r="U148" i="4" s="1"/>
  <c r="U149" i="4" s="1"/>
  <c r="V142" i="4"/>
  <c r="V145" i="4" s="1"/>
  <c r="T91" i="4"/>
  <c r="U90" i="4"/>
  <c r="V85" i="4"/>
  <c r="V88" i="4" s="1"/>
  <c r="S92" i="4"/>
  <c r="S177" i="7" s="1"/>
  <c r="O336" i="3" l="1"/>
  <c r="O342" i="3" s="1"/>
  <c r="O337" i="3"/>
  <c r="O343" i="3" s="1"/>
  <c r="CK120" i="3"/>
  <c r="CK143" i="3" s="1"/>
  <c r="CJ143" i="3"/>
  <c r="T173" i="7"/>
  <c r="U319" i="3"/>
  <c r="U322" i="3" s="1"/>
  <c r="CF147" i="3"/>
  <c r="CI136" i="3"/>
  <c r="CG138" i="3"/>
  <c r="CH140" i="3"/>
  <c r="CJ146" i="3"/>
  <c r="CI55" i="3"/>
  <c r="W142" i="4"/>
  <c r="W145" i="4" s="1"/>
  <c r="V147" i="4"/>
  <c r="V148" i="4" s="1"/>
  <c r="V149" i="4" s="1"/>
  <c r="V90" i="4"/>
  <c r="W85" i="4"/>
  <c r="W88" i="4" s="1"/>
  <c r="U91" i="4"/>
  <c r="M78" i="4"/>
  <c r="L142" i="7"/>
  <c r="L143" i="7" s="1"/>
  <c r="L43" i="12" s="1"/>
  <c r="L157" i="5"/>
  <c r="L158" i="5" s="1"/>
  <c r="L163" i="5" s="1"/>
  <c r="T92" i="4"/>
  <c r="T177" i="7" s="1"/>
  <c r="P336" i="3" l="1" a="1"/>
  <c r="P338" i="3" s="1"/>
  <c r="P344" i="3" s="1"/>
  <c r="D143" i="3"/>
  <c r="U173" i="7"/>
  <c r="V319" i="3"/>
  <c r="V322" i="3" s="1"/>
  <c r="CG147" i="3"/>
  <c r="CH138" i="3"/>
  <c r="CK136" i="3"/>
  <c r="CJ136" i="3"/>
  <c r="CI140" i="3"/>
  <c r="CK146" i="3"/>
  <c r="CJ55" i="3"/>
  <c r="M80" i="4"/>
  <c r="M48" i="7" s="1"/>
  <c r="U92" i="4"/>
  <c r="U177" i="7" s="1"/>
  <c r="L44" i="7"/>
  <c r="X85" i="4"/>
  <c r="X88" i="4" s="1"/>
  <c r="W90" i="4"/>
  <c r="V91" i="4"/>
  <c r="W147" i="4"/>
  <c r="W148" i="4" s="1"/>
  <c r="W149" i="4" s="1"/>
  <c r="X142" i="4"/>
  <c r="X145" i="4" s="1"/>
  <c r="P337" i="3" l="1"/>
  <c r="P343" i="3" s="1"/>
  <c r="P336" i="3"/>
  <c r="P342" i="3" s="1"/>
  <c r="V173" i="7"/>
  <c r="W319" i="3"/>
  <c r="W322" i="3" s="1"/>
  <c r="CH147" i="3"/>
  <c r="D136" i="3"/>
  <c r="CI138" i="3"/>
  <c r="CK140" i="3"/>
  <c r="CJ140" i="3"/>
  <c r="D146" i="3"/>
  <c r="CK55" i="3"/>
  <c r="F59" i="3" s="1" a="1"/>
  <c r="CJ59" i="3" s="1"/>
  <c r="CJ151" i="3" s="1"/>
  <c r="W91" i="4"/>
  <c r="Y85" i="4"/>
  <c r="Y88" i="4" s="1"/>
  <c r="X90" i="4"/>
  <c r="Y142" i="4"/>
  <c r="Y145" i="4" s="1"/>
  <c r="X147" i="4"/>
  <c r="X148" i="4" s="1"/>
  <c r="X149" i="4" s="1"/>
  <c r="V92" i="4"/>
  <c r="V177" i="7" s="1"/>
  <c r="M81" i="4"/>
  <c r="Q336" i="3" l="1" a="1"/>
  <c r="Q336" i="3" s="1"/>
  <c r="Q342" i="3" s="1"/>
  <c r="X319" i="3"/>
  <c r="X322" i="3" s="1"/>
  <c r="W173" i="7"/>
  <c r="CI147" i="3"/>
  <c r="CK138" i="3"/>
  <c r="CJ138" i="3"/>
  <c r="D140" i="3"/>
  <c r="CJ60" i="3"/>
  <c r="CJ152" i="3" s="1"/>
  <c r="CJ69" i="3"/>
  <c r="CJ161" i="3" s="1"/>
  <c r="CJ62" i="3"/>
  <c r="CJ154" i="3" s="1"/>
  <c r="CJ66" i="3"/>
  <c r="CJ158" i="3" s="1"/>
  <c r="CJ67" i="3"/>
  <c r="CJ159" i="3" s="1"/>
  <c r="F67" i="3"/>
  <c r="F159" i="3" s="1"/>
  <c r="F62" i="3"/>
  <c r="F154" i="3" s="1"/>
  <c r="F64" i="3"/>
  <c r="F156" i="3" s="1"/>
  <c r="F66" i="3"/>
  <c r="F158" i="3" s="1"/>
  <c r="F63" i="3"/>
  <c r="F155" i="3" s="1"/>
  <c r="F68" i="3"/>
  <c r="F160" i="3" s="1"/>
  <c r="F61" i="3"/>
  <c r="F153" i="3" s="1"/>
  <c r="F60" i="3"/>
  <c r="F152" i="3" s="1"/>
  <c r="F59" i="3"/>
  <c r="F151" i="3" s="1"/>
  <c r="F65" i="3"/>
  <c r="F157" i="3" s="1"/>
  <c r="F69" i="3"/>
  <c r="F161" i="3" s="1"/>
  <c r="G61" i="3"/>
  <c r="G153" i="3" s="1"/>
  <c r="G69" i="3"/>
  <c r="G161" i="3" s="1"/>
  <c r="G68" i="3"/>
  <c r="G160" i="3" s="1"/>
  <c r="G67" i="3"/>
  <c r="G159" i="3" s="1"/>
  <c r="G60" i="3"/>
  <c r="G152" i="3" s="1"/>
  <c r="G63" i="3"/>
  <c r="G155" i="3" s="1"/>
  <c r="G62" i="3"/>
  <c r="G154" i="3" s="1"/>
  <c r="G66" i="3"/>
  <c r="G158" i="3" s="1"/>
  <c r="G64" i="3"/>
  <c r="G156" i="3" s="1"/>
  <c r="G59" i="3"/>
  <c r="G151" i="3" s="1"/>
  <c r="G65" i="3"/>
  <c r="G157" i="3" s="1"/>
  <c r="H59" i="3"/>
  <c r="H151" i="3" s="1"/>
  <c r="H66" i="3"/>
  <c r="H158" i="3" s="1"/>
  <c r="H63" i="3"/>
  <c r="H155" i="3" s="1"/>
  <c r="H69" i="3"/>
  <c r="H161" i="3" s="1"/>
  <c r="H61" i="3"/>
  <c r="H153" i="3" s="1"/>
  <c r="H65" i="3"/>
  <c r="H157" i="3" s="1"/>
  <c r="H62" i="3"/>
  <c r="H154" i="3" s="1"/>
  <c r="H67" i="3"/>
  <c r="H159" i="3" s="1"/>
  <c r="H68" i="3"/>
  <c r="H160" i="3" s="1"/>
  <c r="H60" i="3"/>
  <c r="H152" i="3" s="1"/>
  <c r="H64" i="3"/>
  <c r="H156" i="3" s="1"/>
  <c r="I69" i="3"/>
  <c r="I161" i="3" s="1"/>
  <c r="I59" i="3"/>
  <c r="I151" i="3" s="1"/>
  <c r="I65" i="3"/>
  <c r="I157" i="3" s="1"/>
  <c r="I61" i="3"/>
  <c r="I153" i="3" s="1"/>
  <c r="I67" i="3"/>
  <c r="I159" i="3" s="1"/>
  <c r="I63" i="3"/>
  <c r="I155" i="3" s="1"/>
  <c r="I62" i="3"/>
  <c r="I154" i="3" s="1"/>
  <c r="I60" i="3"/>
  <c r="I152" i="3" s="1"/>
  <c r="I66" i="3"/>
  <c r="I158" i="3" s="1"/>
  <c r="I68" i="3"/>
  <c r="I160" i="3" s="1"/>
  <c r="I64" i="3"/>
  <c r="I156" i="3" s="1"/>
  <c r="J62" i="3"/>
  <c r="J154" i="3" s="1"/>
  <c r="J65" i="3"/>
  <c r="J157" i="3" s="1"/>
  <c r="J60" i="3"/>
  <c r="J152" i="3" s="1"/>
  <c r="J68" i="3"/>
  <c r="J160" i="3" s="1"/>
  <c r="J67" i="3"/>
  <c r="J159" i="3" s="1"/>
  <c r="J63" i="3"/>
  <c r="J155" i="3" s="1"/>
  <c r="J66" i="3"/>
  <c r="J158" i="3" s="1"/>
  <c r="J64" i="3"/>
  <c r="J156" i="3" s="1"/>
  <c r="J59" i="3"/>
  <c r="J151" i="3" s="1"/>
  <c r="J69" i="3"/>
  <c r="J161" i="3" s="1"/>
  <c r="J61" i="3"/>
  <c r="J153" i="3" s="1"/>
  <c r="K68" i="3"/>
  <c r="K160" i="3" s="1"/>
  <c r="K66" i="3"/>
  <c r="K158" i="3" s="1"/>
  <c r="K60" i="3"/>
  <c r="K152" i="3" s="1"/>
  <c r="K59" i="3"/>
  <c r="K151" i="3" s="1"/>
  <c r="K63" i="3"/>
  <c r="K155" i="3" s="1"/>
  <c r="K61" i="3"/>
  <c r="K153" i="3" s="1"/>
  <c r="K64" i="3"/>
  <c r="K156" i="3" s="1"/>
  <c r="K69" i="3"/>
  <c r="K161" i="3" s="1"/>
  <c r="K67" i="3"/>
  <c r="K159" i="3" s="1"/>
  <c r="K65" i="3"/>
  <c r="K157" i="3" s="1"/>
  <c r="K62" i="3"/>
  <c r="K154" i="3" s="1"/>
  <c r="L63" i="3"/>
  <c r="L155" i="3" s="1"/>
  <c r="L60" i="3"/>
  <c r="L152" i="3" s="1"/>
  <c r="L65" i="3"/>
  <c r="L157" i="3" s="1"/>
  <c r="L67" i="3"/>
  <c r="L159" i="3" s="1"/>
  <c r="L64" i="3"/>
  <c r="L156" i="3" s="1"/>
  <c r="L61" i="3"/>
  <c r="L153" i="3" s="1"/>
  <c r="L59" i="3"/>
  <c r="L151" i="3" s="1"/>
  <c r="L68" i="3"/>
  <c r="L160" i="3" s="1"/>
  <c r="L69" i="3"/>
  <c r="L161" i="3" s="1"/>
  <c r="L66" i="3"/>
  <c r="L158" i="3" s="1"/>
  <c r="L62" i="3"/>
  <c r="L154" i="3" s="1"/>
  <c r="M68" i="3"/>
  <c r="M160" i="3" s="1"/>
  <c r="M66" i="3"/>
  <c r="M158" i="3" s="1"/>
  <c r="M61" i="3"/>
  <c r="M153" i="3" s="1"/>
  <c r="M63" i="3"/>
  <c r="M155" i="3" s="1"/>
  <c r="M60" i="3"/>
  <c r="M152" i="3" s="1"/>
  <c r="M67" i="3"/>
  <c r="M159" i="3" s="1"/>
  <c r="M62" i="3"/>
  <c r="M154" i="3" s="1"/>
  <c r="M65" i="3"/>
  <c r="M157" i="3" s="1"/>
  <c r="M59" i="3"/>
  <c r="M151" i="3" s="1"/>
  <c r="M69" i="3"/>
  <c r="M161" i="3" s="1"/>
  <c r="M64" i="3"/>
  <c r="M156" i="3" s="1"/>
  <c r="N60" i="3"/>
  <c r="N152" i="3" s="1"/>
  <c r="N68" i="3"/>
  <c r="N160" i="3" s="1"/>
  <c r="N62" i="3"/>
  <c r="N154" i="3" s="1"/>
  <c r="N64" i="3"/>
  <c r="N156" i="3" s="1"/>
  <c r="N63" i="3"/>
  <c r="N155" i="3" s="1"/>
  <c r="N65" i="3"/>
  <c r="N157" i="3" s="1"/>
  <c r="N61" i="3"/>
  <c r="N153" i="3" s="1"/>
  <c r="N66" i="3"/>
  <c r="N158" i="3" s="1"/>
  <c r="N67" i="3"/>
  <c r="N159" i="3" s="1"/>
  <c r="N59" i="3"/>
  <c r="N151" i="3" s="1"/>
  <c r="N69" i="3"/>
  <c r="N161" i="3" s="1"/>
  <c r="O66" i="3"/>
  <c r="O158" i="3" s="1"/>
  <c r="O64" i="3"/>
  <c r="O156" i="3" s="1"/>
  <c r="O62" i="3"/>
  <c r="O154" i="3" s="1"/>
  <c r="O68" i="3"/>
  <c r="O160" i="3" s="1"/>
  <c r="O65" i="3"/>
  <c r="O157" i="3" s="1"/>
  <c r="O59" i="3"/>
  <c r="O151" i="3" s="1"/>
  <c r="O69" i="3"/>
  <c r="O161" i="3" s="1"/>
  <c r="O60" i="3"/>
  <c r="O152" i="3" s="1"/>
  <c r="O67" i="3"/>
  <c r="O159" i="3" s="1"/>
  <c r="O61" i="3"/>
  <c r="O153" i="3" s="1"/>
  <c r="O63" i="3"/>
  <c r="O155" i="3" s="1"/>
  <c r="P67" i="3"/>
  <c r="P159" i="3" s="1"/>
  <c r="P62" i="3"/>
  <c r="P154" i="3" s="1"/>
  <c r="P60" i="3"/>
  <c r="P152" i="3" s="1"/>
  <c r="P65" i="3"/>
  <c r="P157" i="3" s="1"/>
  <c r="P64" i="3"/>
  <c r="P156" i="3" s="1"/>
  <c r="P68" i="3"/>
  <c r="P160" i="3" s="1"/>
  <c r="P59" i="3"/>
  <c r="P151" i="3" s="1"/>
  <c r="P61" i="3"/>
  <c r="P153" i="3" s="1"/>
  <c r="P69" i="3"/>
  <c r="P161" i="3" s="1"/>
  <c r="P66" i="3"/>
  <c r="P158" i="3" s="1"/>
  <c r="P63" i="3"/>
  <c r="P155" i="3" s="1"/>
  <c r="Q68" i="3"/>
  <c r="Q160" i="3" s="1"/>
  <c r="Q69" i="3"/>
  <c r="Q161" i="3" s="1"/>
  <c r="Q63" i="3"/>
  <c r="Q155" i="3" s="1"/>
  <c r="Q62" i="3"/>
  <c r="Q154" i="3" s="1"/>
  <c r="Q60" i="3"/>
  <c r="Q152" i="3" s="1"/>
  <c r="Q66" i="3"/>
  <c r="Q158" i="3" s="1"/>
  <c r="Q64" i="3"/>
  <c r="Q156" i="3" s="1"/>
  <c r="Q59" i="3"/>
  <c r="Q151" i="3" s="1"/>
  <c r="Q67" i="3"/>
  <c r="Q159" i="3" s="1"/>
  <c r="Q65" i="3"/>
  <c r="Q157" i="3" s="1"/>
  <c r="Q61" i="3"/>
  <c r="Q153" i="3" s="1"/>
  <c r="R59" i="3"/>
  <c r="R151" i="3" s="1"/>
  <c r="R69" i="3"/>
  <c r="R161" i="3" s="1"/>
  <c r="R63" i="3"/>
  <c r="R155" i="3" s="1"/>
  <c r="R68" i="3"/>
  <c r="R160" i="3" s="1"/>
  <c r="R64" i="3"/>
  <c r="R156" i="3" s="1"/>
  <c r="R67" i="3"/>
  <c r="R159" i="3" s="1"/>
  <c r="R60" i="3"/>
  <c r="R152" i="3" s="1"/>
  <c r="R62" i="3"/>
  <c r="R154" i="3" s="1"/>
  <c r="R65" i="3"/>
  <c r="R157" i="3" s="1"/>
  <c r="R66" i="3"/>
  <c r="R158" i="3" s="1"/>
  <c r="R61" i="3"/>
  <c r="R153" i="3" s="1"/>
  <c r="S64" i="3"/>
  <c r="S156" i="3" s="1"/>
  <c r="S67" i="3"/>
  <c r="S159" i="3" s="1"/>
  <c r="S61" i="3"/>
  <c r="S153" i="3" s="1"/>
  <c r="S62" i="3"/>
  <c r="S154" i="3" s="1"/>
  <c r="S68" i="3"/>
  <c r="S160" i="3" s="1"/>
  <c r="S65" i="3"/>
  <c r="S157" i="3" s="1"/>
  <c r="S69" i="3"/>
  <c r="S161" i="3" s="1"/>
  <c r="S59" i="3"/>
  <c r="S151" i="3" s="1"/>
  <c r="S66" i="3"/>
  <c r="S158" i="3" s="1"/>
  <c r="S63" i="3"/>
  <c r="S155" i="3" s="1"/>
  <c r="S60" i="3"/>
  <c r="S152" i="3" s="1"/>
  <c r="T62" i="3"/>
  <c r="T154" i="3" s="1"/>
  <c r="T66" i="3"/>
  <c r="T158" i="3" s="1"/>
  <c r="T61" i="3"/>
  <c r="T153" i="3" s="1"/>
  <c r="T68" i="3"/>
  <c r="T160" i="3" s="1"/>
  <c r="T63" i="3"/>
  <c r="T155" i="3" s="1"/>
  <c r="T65" i="3"/>
  <c r="T157" i="3" s="1"/>
  <c r="T69" i="3"/>
  <c r="T161" i="3" s="1"/>
  <c r="T59" i="3"/>
  <c r="T151" i="3" s="1"/>
  <c r="T60" i="3"/>
  <c r="T152" i="3" s="1"/>
  <c r="T64" i="3"/>
  <c r="T156" i="3" s="1"/>
  <c r="T67" i="3"/>
  <c r="T159" i="3" s="1"/>
  <c r="U67" i="3"/>
  <c r="U159" i="3" s="1"/>
  <c r="U69" i="3"/>
  <c r="U161" i="3" s="1"/>
  <c r="U60" i="3"/>
  <c r="U152" i="3" s="1"/>
  <c r="U61" i="3"/>
  <c r="U153" i="3" s="1"/>
  <c r="U68" i="3"/>
  <c r="U160" i="3" s="1"/>
  <c r="U62" i="3"/>
  <c r="U154" i="3" s="1"/>
  <c r="U64" i="3"/>
  <c r="U156" i="3" s="1"/>
  <c r="U65" i="3"/>
  <c r="U157" i="3" s="1"/>
  <c r="U66" i="3"/>
  <c r="U158" i="3" s="1"/>
  <c r="U59" i="3"/>
  <c r="U151" i="3" s="1"/>
  <c r="U63" i="3"/>
  <c r="U155" i="3" s="1"/>
  <c r="V68" i="3"/>
  <c r="V160" i="3" s="1"/>
  <c r="V61" i="3"/>
  <c r="V153" i="3" s="1"/>
  <c r="V60" i="3"/>
  <c r="V152" i="3" s="1"/>
  <c r="V69" i="3"/>
  <c r="V161" i="3" s="1"/>
  <c r="V62" i="3"/>
  <c r="V154" i="3" s="1"/>
  <c r="V66" i="3"/>
  <c r="V158" i="3" s="1"/>
  <c r="V67" i="3"/>
  <c r="V159" i="3" s="1"/>
  <c r="V64" i="3"/>
  <c r="V156" i="3" s="1"/>
  <c r="V63" i="3"/>
  <c r="V155" i="3" s="1"/>
  <c r="V59" i="3"/>
  <c r="V151" i="3" s="1"/>
  <c r="V65" i="3"/>
  <c r="V157" i="3" s="1"/>
  <c r="W69" i="3"/>
  <c r="W161" i="3" s="1"/>
  <c r="W60" i="3"/>
  <c r="W152" i="3" s="1"/>
  <c r="W63" i="3"/>
  <c r="W155" i="3" s="1"/>
  <c r="W67" i="3"/>
  <c r="W159" i="3" s="1"/>
  <c r="W65" i="3"/>
  <c r="W157" i="3" s="1"/>
  <c r="W68" i="3"/>
  <c r="W160" i="3" s="1"/>
  <c r="W64" i="3"/>
  <c r="W156" i="3" s="1"/>
  <c r="W66" i="3"/>
  <c r="W158" i="3" s="1"/>
  <c r="W59" i="3"/>
  <c r="W151" i="3" s="1"/>
  <c r="W61" i="3"/>
  <c r="W153" i="3" s="1"/>
  <c r="W62" i="3"/>
  <c r="W154" i="3" s="1"/>
  <c r="X64" i="3"/>
  <c r="X156" i="3" s="1"/>
  <c r="X63" i="3"/>
  <c r="X155" i="3" s="1"/>
  <c r="X59" i="3"/>
  <c r="X151" i="3" s="1"/>
  <c r="X68" i="3"/>
  <c r="X160" i="3" s="1"/>
  <c r="X62" i="3"/>
  <c r="X154" i="3" s="1"/>
  <c r="X67" i="3"/>
  <c r="X159" i="3" s="1"/>
  <c r="X61" i="3"/>
  <c r="X153" i="3" s="1"/>
  <c r="X60" i="3"/>
  <c r="X152" i="3" s="1"/>
  <c r="X66" i="3"/>
  <c r="X158" i="3" s="1"/>
  <c r="X65" i="3"/>
  <c r="X157" i="3" s="1"/>
  <c r="X69" i="3"/>
  <c r="X161" i="3" s="1"/>
  <c r="Y67" i="3"/>
  <c r="Y159" i="3" s="1"/>
  <c r="Y69" i="3"/>
  <c r="Y161" i="3" s="1"/>
  <c r="Y59" i="3"/>
  <c r="Y151" i="3" s="1"/>
  <c r="Y61" i="3"/>
  <c r="Y153" i="3" s="1"/>
  <c r="Y68" i="3"/>
  <c r="Y160" i="3" s="1"/>
  <c r="Y60" i="3"/>
  <c r="Y152" i="3" s="1"/>
  <c r="Y65" i="3"/>
  <c r="Y157" i="3" s="1"/>
  <c r="Y62" i="3"/>
  <c r="Y154" i="3" s="1"/>
  <c r="Y66" i="3"/>
  <c r="Y158" i="3" s="1"/>
  <c r="Y64" i="3"/>
  <c r="Y156" i="3" s="1"/>
  <c r="Y63" i="3"/>
  <c r="Y155" i="3" s="1"/>
  <c r="Z67" i="3"/>
  <c r="Z159" i="3" s="1"/>
  <c r="Z69" i="3"/>
  <c r="Z161" i="3" s="1"/>
  <c r="Z63" i="3"/>
  <c r="Z155" i="3" s="1"/>
  <c r="Z61" i="3"/>
  <c r="Z153" i="3" s="1"/>
  <c r="Z64" i="3"/>
  <c r="Z156" i="3" s="1"/>
  <c r="Z60" i="3"/>
  <c r="Z152" i="3" s="1"/>
  <c r="Z62" i="3"/>
  <c r="Z154" i="3" s="1"/>
  <c r="Z66" i="3"/>
  <c r="Z158" i="3" s="1"/>
  <c r="Z68" i="3"/>
  <c r="Z160" i="3" s="1"/>
  <c r="Z59" i="3"/>
  <c r="Z151" i="3" s="1"/>
  <c r="Z65" i="3"/>
  <c r="Z157" i="3" s="1"/>
  <c r="AA66" i="3"/>
  <c r="AA158" i="3" s="1"/>
  <c r="AA67" i="3"/>
  <c r="AA159" i="3" s="1"/>
  <c r="AA65" i="3"/>
  <c r="AA157" i="3" s="1"/>
  <c r="AA69" i="3"/>
  <c r="AA161" i="3" s="1"/>
  <c r="AA60" i="3"/>
  <c r="AA152" i="3" s="1"/>
  <c r="AA68" i="3"/>
  <c r="AA160" i="3" s="1"/>
  <c r="AA59" i="3"/>
  <c r="AA151" i="3" s="1"/>
  <c r="AA63" i="3"/>
  <c r="AA155" i="3" s="1"/>
  <c r="AA62" i="3"/>
  <c r="AA154" i="3" s="1"/>
  <c r="AA61" i="3"/>
  <c r="AA153" i="3" s="1"/>
  <c r="AA64" i="3"/>
  <c r="AA156" i="3" s="1"/>
  <c r="AB66" i="3"/>
  <c r="AB158" i="3" s="1"/>
  <c r="AB64" i="3"/>
  <c r="AB156" i="3" s="1"/>
  <c r="AB65" i="3"/>
  <c r="AB157" i="3" s="1"/>
  <c r="AB69" i="3"/>
  <c r="AB161" i="3" s="1"/>
  <c r="AB60" i="3"/>
  <c r="AB152" i="3" s="1"/>
  <c r="AB61" i="3"/>
  <c r="AB153" i="3" s="1"/>
  <c r="AB68" i="3"/>
  <c r="AB160" i="3" s="1"/>
  <c r="AB67" i="3"/>
  <c r="AB159" i="3" s="1"/>
  <c r="AB59" i="3"/>
  <c r="AB151" i="3" s="1"/>
  <c r="AB63" i="3"/>
  <c r="AB155" i="3" s="1"/>
  <c r="AB62" i="3"/>
  <c r="AB154" i="3" s="1"/>
  <c r="AC65" i="3"/>
  <c r="AC157" i="3" s="1"/>
  <c r="AC60" i="3"/>
  <c r="AC152" i="3" s="1"/>
  <c r="AC69" i="3"/>
  <c r="AC161" i="3" s="1"/>
  <c r="AC67" i="3"/>
  <c r="AC159" i="3" s="1"/>
  <c r="AC68" i="3"/>
  <c r="AC160" i="3" s="1"/>
  <c r="AC66" i="3"/>
  <c r="AC158" i="3" s="1"/>
  <c r="AC64" i="3"/>
  <c r="AC156" i="3" s="1"/>
  <c r="AC61" i="3"/>
  <c r="AC153" i="3" s="1"/>
  <c r="AC59" i="3"/>
  <c r="AC151" i="3" s="1"/>
  <c r="AC62" i="3"/>
  <c r="AC154" i="3" s="1"/>
  <c r="AC63" i="3"/>
  <c r="AC155" i="3" s="1"/>
  <c r="AD69" i="3"/>
  <c r="AD161" i="3" s="1"/>
  <c r="AD65" i="3"/>
  <c r="AD157" i="3" s="1"/>
  <c r="AD60" i="3"/>
  <c r="AD152" i="3" s="1"/>
  <c r="AD67" i="3"/>
  <c r="AD159" i="3" s="1"/>
  <c r="AD61" i="3"/>
  <c r="AD153" i="3" s="1"/>
  <c r="AD62" i="3"/>
  <c r="AD154" i="3" s="1"/>
  <c r="AD59" i="3"/>
  <c r="AD151" i="3" s="1"/>
  <c r="AD68" i="3"/>
  <c r="AD160" i="3" s="1"/>
  <c r="AD66" i="3"/>
  <c r="AD158" i="3" s="1"/>
  <c r="AD64" i="3"/>
  <c r="AD156" i="3" s="1"/>
  <c r="AD63" i="3"/>
  <c r="AD155" i="3" s="1"/>
  <c r="AE68" i="3"/>
  <c r="AE160" i="3" s="1"/>
  <c r="AE63" i="3"/>
  <c r="AE155" i="3" s="1"/>
  <c r="AE60" i="3"/>
  <c r="AE152" i="3" s="1"/>
  <c r="AE69" i="3"/>
  <c r="AE161" i="3" s="1"/>
  <c r="AE62" i="3"/>
  <c r="AE154" i="3" s="1"/>
  <c r="AE65" i="3"/>
  <c r="AE157" i="3" s="1"/>
  <c r="AE61" i="3"/>
  <c r="AE153" i="3" s="1"/>
  <c r="AE66" i="3"/>
  <c r="AE158" i="3" s="1"/>
  <c r="AE67" i="3"/>
  <c r="AE159" i="3" s="1"/>
  <c r="AE59" i="3"/>
  <c r="AE151" i="3" s="1"/>
  <c r="AE64" i="3"/>
  <c r="AE156" i="3" s="1"/>
  <c r="AF63" i="3"/>
  <c r="AF155" i="3" s="1"/>
  <c r="AF62" i="3"/>
  <c r="AF154" i="3" s="1"/>
  <c r="AF65" i="3"/>
  <c r="AF157" i="3" s="1"/>
  <c r="AF60" i="3"/>
  <c r="AF152" i="3" s="1"/>
  <c r="AF67" i="3"/>
  <c r="AF159" i="3" s="1"/>
  <c r="AF61" i="3"/>
  <c r="AF153" i="3" s="1"/>
  <c r="AF66" i="3"/>
  <c r="AF158" i="3" s="1"/>
  <c r="AF59" i="3"/>
  <c r="AF151" i="3" s="1"/>
  <c r="AF68" i="3"/>
  <c r="AF160" i="3" s="1"/>
  <c r="AF69" i="3"/>
  <c r="AF161" i="3" s="1"/>
  <c r="AF64" i="3"/>
  <c r="AF156" i="3" s="1"/>
  <c r="AG66" i="3"/>
  <c r="AG158" i="3" s="1"/>
  <c r="AG65" i="3"/>
  <c r="AG157" i="3" s="1"/>
  <c r="AG69" i="3"/>
  <c r="AG161" i="3" s="1"/>
  <c r="AG64" i="3"/>
  <c r="AG156" i="3" s="1"/>
  <c r="AG61" i="3"/>
  <c r="AG153" i="3" s="1"/>
  <c r="AG59" i="3"/>
  <c r="AG151" i="3" s="1"/>
  <c r="AG62" i="3"/>
  <c r="AG154" i="3" s="1"/>
  <c r="AG60" i="3"/>
  <c r="AG152" i="3" s="1"/>
  <c r="AG68" i="3"/>
  <c r="AG160" i="3" s="1"/>
  <c r="AG67" i="3"/>
  <c r="AG159" i="3" s="1"/>
  <c r="AG63" i="3"/>
  <c r="AG155" i="3" s="1"/>
  <c r="AH69" i="3"/>
  <c r="AH161" i="3" s="1"/>
  <c r="AH66" i="3"/>
  <c r="AH158" i="3" s="1"/>
  <c r="AH59" i="3"/>
  <c r="AH151" i="3" s="1"/>
  <c r="AH67" i="3"/>
  <c r="AH159" i="3" s="1"/>
  <c r="AH68" i="3"/>
  <c r="AH160" i="3" s="1"/>
  <c r="AH65" i="3"/>
  <c r="AH157" i="3" s="1"/>
  <c r="AH61" i="3"/>
  <c r="AH153" i="3" s="1"/>
  <c r="AH60" i="3"/>
  <c r="AH152" i="3" s="1"/>
  <c r="AH62" i="3"/>
  <c r="AH154" i="3" s="1"/>
  <c r="AH63" i="3"/>
  <c r="AH155" i="3" s="1"/>
  <c r="AH64" i="3"/>
  <c r="AH156" i="3" s="1"/>
  <c r="AI59" i="3"/>
  <c r="AI151" i="3" s="1"/>
  <c r="AI64" i="3"/>
  <c r="AI156" i="3" s="1"/>
  <c r="AI65" i="3"/>
  <c r="AI157" i="3" s="1"/>
  <c r="AI66" i="3"/>
  <c r="AI158" i="3" s="1"/>
  <c r="AI60" i="3"/>
  <c r="AI152" i="3" s="1"/>
  <c r="AI68" i="3"/>
  <c r="AI160" i="3" s="1"/>
  <c r="AI67" i="3"/>
  <c r="AI159" i="3" s="1"/>
  <c r="AI62" i="3"/>
  <c r="AI154" i="3" s="1"/>
  <c r="AI69" i="3"/>
  <c r="AI161" i="3" s="1"/>
  <c r="AI63" i="3"/>
  <c r="AI155" i="3" s="1"/>
  <c r="AI61" i="3"/>
  <c r="AI153" i="3" s="1"/>
  <c r="AJ68" i="3"/>
  <c r="AJ160" i="3" s="1"/>
  <c r="AJ66" i="3"/>
  <c r="AJ158" i="3" s="1"/>
  <c r="AJ64" i="3"/>
  <c r="AJ156" i="3" s="1"/>
  <c r="AJ67" i="3"/>
  <c r="AJ159" i="3" s="1"/>
  <c r="AJ62" i="3"/>
  <c r="AJ154" i="3" s="1"/>
  <c r="AJ65" i="3"/>
  <c r="AJ157" i="3" s="1"/>
  <c r="AJ60" i="3"/>
  <c r="AJ152" i="3" s="1"/>
  <c r="AJ61" i="3"/>
  <c r="AJ153" i="3" s="1"/>
  <c r="AJ59" i="3"/>
  <c r="AJ151" i="3" s="1"/>
  <c r="AJ63" i="3"/>
  <c r="AJ155" i="3" s="1"/>
  <c r="AJ69" i="3"/>
  <c r="AJ161" i="3" s="1"/>
  <c r="AK64" i="3"/>
  <c r="AK156" i="3" s="1"/>
  <c r="AK62" i="3"/>
  <c r="AK154" i="3" s="1"/>
  <c r="AK69" i="3"/>
  <c r="AK161" i="3" s="1"/>
  <c r="AK68" i="3"/>
  <c r="AK160" i="3" s="1"/>
  <c r="AK65" i="3"/>
  <c r="AK157" i="3" s="1"/>
  <c r="AK67" i="3"/>
  <c r="AK159" i="3" s="1"/>
  <c r="AK66" i="3"/>
  <c r="AK158" i="3" s="1"/>
  <c r="AK63" i="3"/>
  <c r="AK155" i="3" s="1"/>
  <c r="AK60" i="3"/>
  <c r="AK152" i="3" s="1"/>
  <c r="AK59" i="3"/>
  <c r="AK151" i="3" s="1"/>
  <c r="AK61" i="3"/>
  <c r="AK153" i="3" s="1"/>
  <c r="AL67" i="3"/>
  <c r="AL159" i="3" s="1"/>
  <c r="AL59" i="3"/>
  <c r="AL151" i="3" s="1"/>
  <c r="AL60" i="3"/>
  <c r="AL152" i="3" s="1"/>
  <c r="AL62" i="3"/>
  <c r="AL154" i="3" s="1"/>
  <c r="AL68" i="3"/>
  <c r="AL160" i="3" s="1"/>
  <c r="AL64" i="3"/>
  <c r="AL156" i="3" s="1"/>
  <c r="AL63" i="3"/>
  <c r="AL155" i="3" s="1"/>
  <c r="AL65" i="3"/>
  <c r="AL157" i="3" s="1"/>
  <c r="AL66" i="3"/>
  <c r="AL158" i="3" s="1"/>
  <c r="AL69" i="3"/>
  <c r="AL161" i="3" s="1"/>
  <c r="AL61" i="3"/>
  <c r="AL153" i="3" s="1"/>
  <c r="AM63" i="3"/>
  <c r="AM155" i="3" s="1"/>
  <c r="AM62" i="3"/>
  <c r="AM154" i="3" s="1"/>
  <c r="AM60" i="3"/>
  <c r="AM152" i="3" s="1"/>
  <c r="AM64" i="3"/>
  <c r="AM156" i="3" s="1"/>
  <c r="AM69" i="3"/>
  <c r="AM161" i="3" s="1"/>
  <c r="AM67" i="3"/>
  <c r="AM159" i="3" s="1"/>
  <c r="AM59" i="3"/>
  <c r="AM151" i="3" s="1"/>
  <c r="AM65" i="3"/>
  <c r="AM157" i="3" s="1"/>
  <c r="AM68" i="3"/>
  <c r="AM160" i="3" s="1"/>
  <c r="AM66" i="3"/>
  <c r="AM158" i="3" s="1"/>
  <c r="AM61" i="3"/>
  <c r="AM153" i="3" s="1"/>
  <c r="AN62" i="3"/>
  <c r="AN154" i="3" s="1"/>
  <c r="AN59" i="3"/>
  <c r="AN151" i="3" s="1"/>
  <c r="AN65" i="3"/>
  <c r="AN157" i="3" s="1"/>
  <c r="AN66" i="3"/>
  <c r="AN158" i="3" s="1"/>
  <c r="AN60" i="3"/>
  <c r="AN152" i="3" s="1"/>
  <c r="AN63" i="3"/>
  <c r="AN155" i="3" s="1"/>
  <c r="AN69" i="3"/>
  <c r="AN161" i="3" s="1"/>
  <c r="AN68" i="3"/>
  <c r="AN160" i="3" s="1"/>
  <c r="AN64" i="3"/>
  <c r="AN156" i="3" s="1"/>
  <c r="AN67" i="3"/>
  <c r="AN159" i="3" s="1"/>
  <c r="AN61" i="3"/>
  <c r="AN153" i="3" s="1"/>
  <c r="AO59" i="3"/>
  <c r="AO151" i="3" s="1"/>
  <c r="AO65" i="3"/>
  <c r="AO157" i="3" s="1"/>
  <c r="AO69" i="3"/>
  <c r="AO161" i="3" s="1"/>
  <c r="AO64" i="3"/>
  <c r="AO156" i="3" s="1"/>
  <c r="AO63" i="3"/>
  <c r="AO155" i="3" s="1"/>
  <c r="AO68" i="3"/>
  <c r="AO160" i="3" s="1"/>
  <c r="AO62" i="3"/>
  <c r="AO154" i="3" s="1"/>
  <c r="AO60" i="3"/>
  <c r="AO152" i="3" s="1"/>
  <c r="AO66" i="3"/>
  <c r="AO158" i="3" s="1"/>
  <c r="AO61" i="3"/>
  <c r="AO153" i="3" s="1"/>
  <c r="AO67" i="3"/>
  <c r="AO159" i="3" s="1"/>
  <c r="AP62" i="3"/>
  <c r="AP154" i="3" s="1"/>
  <c r="AP68" i="3"/>
  <c r="AP160" i="3" s="1"/>
  <c r="AP63" i="3"/>
  <c r="AP155" i="3" s="1"/>
  <c r="AP66" i="3"/>
  <c r="AP158" i="3" s="1"/>
  <c r="AP65" i="3"/>
  <c r="AP157" i="3" s="1"/>
  <c r="AP59" i="3"/>
  <c r="AP151" i="3" s="1"/>
  <c r="AP67" i="3"/>
  <c r="AP159" i="3" s="1"/>
  <c r="AP69" i="3"/>
  <c r="AP161" i="3" s="1"/>
  <c r="AP61" i="3"/>
  <c r="AP153" i="3" s="1"/>
  <c r="AP64" i="3"/>
  <c r="AP156" i="3" s="1"/>
  <c r="AP60" i="3"/>
  <c r="AP152" i="3" s="1"/>
  <c r="AQ67" i="3"/>
  <c r="AQ159" i="3" s="1"/>
  <c r="AQ64" i="3"/>
  <c r="AQ156" i="3" s="1"/>
  <c r="AQ61" i="3"/>
  <c r="AQ153" i="3" s="1"/>
  <c r="AQ66" i="3"/>
  <c r="AQ158" i="3" s="1"/>
  <c r="AQ63" i="3"/>
  <c r="AQ155" i="3" s="1"/>
  <c r="AQ59" i="3"/>
  <c r="AQ151" i="3" s="1"/>
  <c r="AQ69" i="3"/>
  <c r="AQ161" i="3" s="1"/>
  <c r="AQ60" i="3"/>
  <c r="AQ152" i="3" s="1"/>
  <c r="AQ68" i="3"/>
  <c r="AQ160" i="3" s="1"/>
  <c r="AQ65" i="3"/>
  <c r="AQ157" i="3" s="1"/>
  <c r="AQ62" i="3"/>
  <c r="AQ154" i="3" s="1"/>
  <c r="AR65" i="3"/>
  <c r="AR157" i="3" s="1"/>
  <c r="AR59" i="3"/>
  <c r="AR151" i="3" s="1"/>
  <c r="AR62" i="3"/>
  <c r="AR154" i="3" s="1"/>
  <c r="AR68" i="3"/>
  <c r="AR160" i="3" s="1"/>
  <c r="AR60" i="3"/>
  <c r="AR152" i="3" s="1"/>
  <c r="AR69" i="3"/>
  <c r="AR161" i="3" s="1"/>
  <c r="AR63" i="3"/>
  <c r="AR155" i="3" s="1"/>
  <c r="AR61" i="3"/>
  <c r="AR153" i="3" s="1"/>
  <c r="AR67" i="3"/>
  <c r="AR159" i="3" s="1"/>
  <c r="AR64" i="3"/>
  <c r="AR156" i="3" s="1"/>
  <c r="AR66" i="3"/>
  <c r="AR158" i="3" s="1"/>
  <c r="AS67" i="3"/>
  <c r="AS159" i="3" s="1"/>
  <c r="AS59" i="3"/>
  <c r="AS151" i="3" s="1"/>
  <c r="AS64" i="3"/>
  <c r="AS156" i="3" s="1"/>
  <c r="AS69" i="3"/>
  <c r="AS161" i="3" s="1"/>
  <c r="AS65" i="3"/>
  <c r="AS157" i="3" s="1"/>
  <c r="AS66" i="3"/>
  <c r="AS158" i="3" s="1"/>
  <c r="AS62" i="3"/>
  <c r="AS154" i="3" s="1"/>
  <c r="AS61" i="3"/>
  <c r="AS153" i="3" s="1"/>
  <c r="AS68" i="3"/>
  <c r="AS160" i="3" s="1"/>
  <c r="AS60" i="3"/>
  <c r="AS152" i="3" s="1"/>
  <c r="AS63" i="3"/>
  <c r="AS155" i="3" s="1"/>
  <c r="AT66" i="3"/>
  <c r="AT158" i="3" s="1"/>
  <c r="AT64" i="3"/>
  <c r="AT156" i="3" s="1"/>
  <c r="AT59" i="3"/>
  <c r="AT151" i="3" s="1"/>
  <c r="AT62" i="3"/>
  <c r="AT154" i="3" s="1"/>
  <c r="AT69" i="3"/>
  <c r="AT161" i="3" s="1"/>
  <c r="AT68" i="3"/>
  <c r="AT160" i="3" s="1"/>
  <c r="AT67" i="3"/>
  <c r="AT159" i="3" s="1"/>
  <c r="AT61" i="3"/>
  <c r="AT153" i="3" s="1"/>
  <c r="AT63" i="3"/>
  <c r="AT155" i="3" s="1"/>
  <c r="AT65" i="3"/>
  <c r="AT157" i="3" s="1"/>
  <c r="AT60" i="3"/>
  <c r="AT152" i="3" s="1"/>
  <c r="AU67" i="3"/>
  <c r="AU159" i="3" s="1"/>
  <c r="AU61" i="3"/>
  <c r="AU153" i="3" s="1"/>
  <c r="AU63" i="3"/>
  <c r="AU155" i="3" s="1"/>
  <c r="AU62" i="3"/>
  <c r="AU154" i="3" s="1"/>
  <c r="AU65" i="3"/>
  <c r="AU157" i="3" s="1"/>
  <c r="AU68" i="3"/>
  <c r="AU160" i="3" s="1"/>
  <c r="AU66" i="3"/>
  <c r="AU158" i="3" s="1"/>
  <c r="AU60" i="3"/>
  <c r="AU152" i="3" s="1"/>
  <c r="AU64" i="3"/>
  <c r="AU156" i="3" s="1"/>
  <c r="AU59" i="3"/>
  <c r="AU151" i="3" s="1"/>
  <c r="AU69" i="3"/>
  <c r="AU161" i="3" s="1"/>
  <c r="AV66" i="3"/>
  <c r="AV158" i="3" s="1"/>
  <c r="AV67" i="3"/>
  <c r="AV159" i="3" s="1"/>
  <c r="AV64" i="3"/>
  <c r="AV156" i="3" s="1"/>
  <c r="AV69" i="3"/>
  <c r="AV161" i="3" s="1"/>
  <c r="AV60" i="3"/>
  <c r="AV152" i="3" s="1"/>
  <c r="AV61" i="3"/>
  <c r="AV153" i="3" s="1"/>
  <c r="AV59" i="3"/>
  <c r="AV151" i="3" s="1"/>
  <c r="AV63" i="3"/>
  <c r="AV155" i="3" s="1"/>
  <c r="AV65" i="3"/>
  <c r="AV157" i="3" s="1"/>
  <c r="AV68" i="3"/>
  <c r="AV160" i="3" s="1"/>
  <c r="AV62" i="3"/>
  <c r="AV154" i="3" s="1"/>
  <c r="AW62" i="3"/>
  <c r="AW154" i="3" s="1"/>
  <c r="AW65" i="3"/>
  <c r="AW157" i="3" s="1"/>
  <c r="AW64" i="3"/>
  <c r="AW156" i="3" s="1"/>
  <c r="AW69" i="3"/>
  <c r="AW161" i="3" s="1"/>
  <c r="AW61" i="3"/>
  <c r="AW153" i="3" s="1"/>
  <c r="AW68" i="3"/>
  <c r="AW160" i="3" s="1"/>
  <c r="AW59" i="3"/>
  <c r="AW151" i="3" s="1"/>
  <c r="AW67" i="3"/>
  <c r="AW159" i="3" s="1"/>
  <c r="AW66" i="3"/>
  <c r="AW158" i="3" s="1"/>
  <c r="AW60" i="3"/>
  <c r="AW152" i="3" s="1"/>
  <c r="AW63" i="3"/>
  <c r="AW155" i="3" s="1"/>
  <c r="AX67" i="3"/>
  <c r="AX159" i="3" s="1"/>
  <c r="AX65" i="3"/>
  <c r="AX157" i="3" s="1"/>
  <c r="AX62" i="3"/>
  <c r="AX154" i="3" s="1"/>
  <c r="AX66" i="3"/>
  <c r="AX158" i="3" s="1"/>
  <c r="AX68" i="3"/>
  <c r="AX160" i="3" s="1"/>
  <c r="AX60" i="3"/>
  <c r="AX152" i="3" s="1"/>
  <c r="AX64" i="3"/>
  <c r="AX156" i="3" s="1"/>
  <c r="AX61" i="3"/>
  <c r="AX153" i="3" s="1"/>
  <c r="AX59" i="3"/>
  <c r="AX151" i="3" s="1"/>
  <c r="AX63" i="3"/>
  <c r="AX155" i="3" s="1"/>
  <c r="AX69" i="3"/>
  <c r="AX161" i="3" s="1"/>
  <c r="AY60" i="3"/>
  <c r="AY152" i="3" s="1"/>
  <c r="AY59" i="3"/>
  <c r="AY151" i="3" s="1"/>
  <c r="AY69" i="3"/>
  <c r="AY161" i="3" s="1"/>
  <c r="AY68" i="3"/>
  <c r="AY160" i="3" s="1"/>
  <c r="AY67" i="3"/>
  <c r="AY159" i="3" s="1"/>
  <c r="AY65" i="3"/>
  <c r="AY157" i="3" s="1"/>
  <c r="AY66" i="3"/>
  <c r="AY158" i="3" s="1"/>
  <c r="AY61" i="3"/>
  <c r="AY153" i="3" s="1"/>
  <c r="AY62" i="3"/>
  <c r="AY154" i="3" s="1"/>
  <c r="AY64" i="3"/>
  <c r="AY156" i="3" s="1"/>
  <c r="AY63" i="3"/>
  <c r="AY155" i="3" s="1"/>
  <c r="AZ60" i="3"/>
  <c r="AZ152" i="3" s="1"/>
  <c r="AZ63" i="3"/>
  <c r="AZ155" i="3" s="1"/>
  <c r="AZ68" i="3"/>
  <c r="AZ160" i="3" s="1"/>
  <c r="AZ66" i="3"/>
  <c r="AZ158" i="3" s="1"/>
  <c r="AZ64" i="3"/>
  <c r="AZ156" i="3" s="1"/>
  <c r="AZ69" i="3"/>
  <c r="AZ161" i="3" s="1"/>
  <c r="AZ61" i="3"/>
  <c r="AZ153" i="3" s="1"/>
  <c r="AZ65" i="3"/>
  <c r="AZ157" i="3" s="1"/>
  <c r="AZ67" i="3"/>
  <c r="AZ159" i="3" s="1"/>
  <c r="AZ59" i="3"/>
  <c r="AZ151" i="3" s="1"/>
  <c r="AZ62" i="3"/>
  <c r="AZ154" i="3" s="1"/>
  <c r="BA68" i="3"/>
  <c r="BA160" i="3" s="1"/>
  <c r="BA60" i="3"/>
  <c r="BA152" i="3" s="1"/>
  <c r="BA65" i="3"/>
  <c r="BA157" i="3" s="1"/>
  <c r="BA66" i="3"/>
  <c r="BA158" i="3" s="1"/>
  <c r="BA64" i="3"/>
  <c r="BA156" i="3" s="1"/>
  <c r="BA63" i="3"/>
  <c r="BA155" i="3" s="1"/>
  <c r="BA59" i="3"/>
  <c r="BA151" i="3" s="1"/>
  <c r="BA61" i="3"/>
  <c r="BA153" i="3" s="1"/>
  <c r="BA67" i="3"/>
  <c r="BA159" i="3" s="1"/>
  <c r="BA69" i="3"/>
  <c r="BA161" i="3" s="1"/>
  <c r="BA62" i="3"/>
  <c r="BA154" i="3" s="1"/>
  <c r="BB66" i="3"/>
  <c r="BB158" i="3" s="1"/>
  <c r="BB65" i="3"/>
  <c r="BB157" i="3" s="1"/>
  <c r="BB61" i="3"/>
  <c r="BB153" i="3" s="1"/>
  <c r="BB64" i="3"/>
  <c r="BB156" i="3" s="1"/>
  <c r="BB69" i="3"/>
  <c r="BB161" i="3" s="1"/>
  <c r="BB63" i="3"/>
  <c r="BB155" i="3" s="1"/>
  <c r="BB67" i="3"/>
  <c r="BB159" i="3" s="1"/>
  <c r="BB59" i="3"/>
  <c r="BB151" i="3" s="1"/>
  <c r="BB68" i="3"/>
  <c r="BB160" i="3" s="1"/>
  <c r="BB60" i="3"/>
  <c r="BB152" i="3" s="1"/>
  <c r="BB62" i="3"/>
  <c r="BB154" i="3" s="1"/>
  <c r="BC59" i="3"/>
  <c r="BC151" i="3" s="1"/>
  <c r="BC69" i="3"/>
  <c r="BC161" i="3" s="1"/>
  <c r="BC60" i="3"/>
  <c r="BC152" i="3" s="1"/>
  <c r="BC65" i="3"/>
  <c r="BC157" i="3" s="1"/>
  <c r="BC67" i="3"/>
  <c r="BC159" i="3" s="1"/>
  <c r="BC61" i="3"/>
  <c r="BC153" i="3" s="1"/>
  <c r="BC68" i="3"/>
  <c r="BC160" i="3" s="1"/>
  <c r="BC63" i="3"/>
  <c r="BC155" i="3" s="1"/>
  <c r="BC64" i="3"/>
  <c r="BC156" i="3" s="1"/>
  <c r="BC66" i="3"/>
  <c r="BC158" i="3" s="1"/>
  <c r="BC62" i="3"/>
  <c r="BC154" i="3" s="1"/>
  <c r="BD60" i="3"/>
  <c r="BD152" i="3" s="1"/>
  <c r="BD69" i="3"/>
  <c r="BD161" i="3" s="1"/>
  <c r="BD61" i="3"/>
  <c r="BD153" i="3" s="1"/>
  <c r="BD67" i="3"/>
  <c r="BD159" i="3" s="1"/>
  <c r="BD68" i="3"/>
  <c r="BD160" i="3" s="1"/>
  <c r="BD62" i="3"/>
  <c r="BD154" i="3" s="1"/>
  <c r="BD59" i="3"/>
  <c r="BD151" i="3" s="1"/>
  <c r="BD65" i="3"/>
  <c r="BD157" i="3" s="1"/>
  <c r="BD64" i="3"/>
  <c r="BD156" i="3" s="1"/>
  <c r="BD66" i="3"/>
  <c r="BD158" i="3" s="1"/>
  <c r="BD63" i="3"/>
  <c r="BD155" i="3" s="1"/>
  <c r="BE59" i="3"/>
  <c r="BE151" i="3" s="1"/>
  <c r="BE61" i="3"/>
  <c r="BE153" i="3" s="1"/>
  <c r="BE67" i="3"/>
  <c r="BE159" i="3" s="1"/>
  <c r="BE68" i="3"/>
  <c r="BE160" i="3" s="1"/>
  <c r="BE60" i="3"/>
  <c r="BE152" i="3" s="1"/>
  <c r="BE66" i="3"/>
  <c r="BE158" i="3" s="1"/>
  <c r="BE65" i="3"/>
  <c r="BE157" i="3" s="1"/>
  <c r="BE63" i="3"/>
  <c r="BE155" i="3" s="1"/>
  <c r="BE64" i="3"/>
  <c r="BE156" i="3" s="1"/>
  <c r="BE69" i="3"/>
  <c r="BE161" i="3" s="1"/>
  <c r="BE62" i="3"/>
  <c r="BE154" i="3" s="1"/>
  <c r="BF67" i="3"/>
  <c r="BF159" i="3" s="1"/>
  <c r="BF63" i="3"/>
  <c r="BF155" i="3" s="1"/>
  <c r="BF69" i="3"/>
  <c r="BF161" i="3" s="1"/>
  <c r="BF61" i="3"/>
  <c r="BF153" i="3" s="1"/>
  <c r="BF60" i="3"/>
  <c r="BF152" i="3" s="1"/>
  <c r="BF65" i="3"/>
  <c r="BF157" i="3" s="1"/>
  <c r="BF59" i="3"/>
  <c r="BF151" i="3" s="1"/>
  <c r="BF66" i="3"/>
  <c r="BF158" i="3" s="1"/>
  <c r="BF64" i="3"/>
  <c r="BF156" i="3" s="1"/>
  <c r="BF68" i="3"/>
  <c r="BF160" i="3" s="1"/>
  <c r="BF62" i="3"/>
  <c r="BF154" i="3" s="1"/>
  <c r="BG68" i="3"/>
  <c r="BG160" i="3" s="1"/>
  <c r="BG61" i="3"/>
  <c r="BG153" i="3" s="1"/>
  <c r="BG59" i="3"/>
  <c r="BG151" i="3" s="1"/>
  <c r="BG66" i="3"/>
  <c r="BG158" i="3" s="1"/>
  <c r="BG62" i="3"/>
  <c r="BG154" i="3" s="1"/>
  <c r="BG64" i="3"/>
  <c r="BG156" i="3" s="1"/>
  <c r="BG67" i="3"/>
  <c r="BG159" i="3" s="1"/>
  <c r="BG69" i="3"/>
  <c r="BG161" i="3" s="1"/>
  <c r="BG63" i="3"/>
  <c r="BG155" i="3" s="1"/>
  <c r="BG60" i="3"/>
  <c r="BG152" i="3" s="1"/>
  <c r="BG65" i="3"/>
  <c r="BG157" i="3" s="1"/>
  <c r="BH68" i="3"/>
  <c r="BH160" i="3" s="1"/>
  <c r="BH60" i="3"/>
  <c r="BH152" i="3" s="1"/>
  <c r="BH66" i="3"/>
  <c r="BH158" i="3" s="1"/>
  <c r="BH67" i="3"/>
  <c r="BH159" i="3" s="1"/>
  <c r="BH61" i="3"/>
  <c r="BH153" i="3" s="1"/>
  <c r="BH64" i="3"/>
  <c r="BH156" i="3" s="1"/>
  <c r="BH69" i="3"/>
  <c r="BH161" i="3" s="1"/>
  <c r="BH65" i="3"/>
  <c r="BH157" i="3" s="1"/>
  <c r="BH59" i="3"/>
  <c r="BH151" i="3" s="1"/>
  <c r="BH62" i="3"/>
  <c r="BH154" i="3" s="1"/>
  <c r="BH63" i="3"/>
  <c r="BH155" i="3" s="1"/>
  <c r="BI66" i="3"/>
  <c r="BI158" i="3" s="1"/>
  <c r="BI69" i="3"/>
  <c r="BI161" i="3" s="1"/>
  <c r="BI60" i="3"/>
  <c r="BI152" i="3" s="1"/>
  <c r="BI62" i="3"/>
  <c r="BI154" i="3" s="1"/>
  <c r="BI63" i="3"/>
  <c r="BI155" i="3" s="1"/>
  <c r="BI61" i="3"/>
  <c r="BI153" i="3" s="1"/>
  <c r="BI67" i="3"/>
  <c r="BI159" i="3" s="1"/>
  <c r="BI64" i="3"/>
  <c r="BI156" i="3" s="1"/>
  <c r="BI65" i="3"/>
  <c r="BI157" i="3" s="1"/>
  <c r="BI59" i="3"/>
  <c r="BI151" i="3" s="1"/>
  <c r="BI68" i="3"/>
  <c r="BI160" i="3" s="1"/>
  <c r="BJ61" i="3"/>
  <c r="BJ153" i="3" s="1"/>
  <c r="BJ69" i="3"/>
  <c r="BJ161" i="3" s="1"/>
  <c r="BJ60" i="3"/>
  <c r="BJ152" i="3" s="1"/>
  <c r="BJ68" i="3"/>
  <c r="BJ160" i="3" s="1"/>
  <c r="BJ64" i="3"/>
  <c r="BJ156" i="3" s="1"/>
  <c r="BJ62" i="3"/>
  <c r="BJ154" i="3" s="1"/>
  <c r="BJ59" i="3"/>
  <c r="BJ151" i="3" s="1"/>
  <c r="BJ63" i="3"/>
  <c r="BJ155" i="3" s="1"/>
  <c r="BJ67" i="3"/>
  <c r="BJ159" i="3" s="1"/>
  <c r="BJ66" i="3"/>
  <c r="BJ158" i="3" s="1"/>
  <c r="BJ65" i="3"/>
  <c r="BJ157" i="3" s="1"/>
  <c r="BK62" i="3"/>
  <c r="BK154" i="3" s="1"/>
  <c r="BK65" i="3"/>
  <c r="BK157" i="3" s="1"/>
  <c r="BK59" i="3"/>
  <c r="BK151" i="3" s="1"/>
  <c r="BK60" i="3"/>
  <c r="BK152" i="3" s="1"/>
  <c r="BK63" i="3"/>
  <c r="BK155" i="3" s="1"/>
  <c r="BK69" i="3"/>
  <c r="BK161" i="3" s="1"/>
  <c r="BK66" i="3"/>
  <c r="BK158" i="3" s="1"/>
  <c r="BK61" i="3"/>
  <c r="BK153" i="3" s="1"/>
  <c r="BK64" i="3"/>
  <c r="BK156" i="3" s="1"/>
  <c r="BK68" i="3"/>
  <c r="BK160" i="3" s="1"/>
  <c r="BK67" i="3"/>
  <c r="BK159" i="3" s="1"/>
  <c r="BL64" i="3"/>
  <c r="BL156" i="3" s="1"/>
  <c r="BL69" i="3"/>
  <c r="BL161" i="3" s="1"/>
  <c r="BL62" i="3"/>
  <c r="BL154" i="3" s="1"/>
  <c r="BL66" i="3"/>
  <c r="BL158" i="3" s="1"/>
  <c r="BL65" i="3"/>
  <c r="BL157" i="3" s="1"/>
  <c r="BL68" i="3"/>
  <c r="BL160" i="3" s="1"/>
  <c r="BL60" i="3"/>
  <c r="BL152" i="3" s="1"/>
  <c r="BL63" i="3"/>
  <c r="BL155" i="3" s="1"/>
  <c r="BL59" i="3"/>
  <c r="BL151" i="3" s="1"/>
  <c r="BL67" i="3"/>
  <c r="BL159" i="3" s="1"/>
  <c r="BL61" i="3"/>
  <c r="BL153" i="3" s="1"/>
  <c r="BM69" i="3"/>
  <c r="BM161" i="3" s="1"/>
  <c r="BM68" i="3"/>
  <c r="BM160" i="3" s="1"/>
  <c r="BM59" i="3"/>
  <c r="BM151" i="3" s="1"/>
  <c r="BM60" i="3"/>
  <c r="BM152" i="3" s="1"/>
  <c r="BM66" i="3"/>
  <c r="BM158" i="3" s="1"/>
  <c r="BM61" i="3"/>
  <c r="BM153" i="3" s="1"/>
  <c r="BM62" i="3"/>
  <c r="BM154" i="3" s="1"/>
  <c r="BM64" i="3"/>
  <c r="BM156" i="3" s="1"/>
  <c r="BM65" i="3"/>
  <c r="BM157" i="3" s="1"/>
  <c r="BM63" i="3"/>
  <c r="BM155" i="3" s="1"/>
  <c r="BM67" i="3"/>
  <c r="BM159" i="3" s="1"/>
  <c r="BN62" i="3"/>
  <c r="BN154" i="3" s="1"/>
  <c r="BN60" i="3"/>
  <c r="BN152" i="3" s="1"/>
  <c r="BN69" i="3"/>
  <c r="BN161" i="3" s="1"/>
  <c r="BN67" i="3"/>
  <c r="BN159" i="3" s="1"/>
  <c r="BN63" i="3"/>
  <c r="BN155" i="3" s="1"/>
  <c r="BN64" i="3"/>
  <c r="BN156" i="3" s="1"/>
  <c r="BN59" i="3"/>
  <c r="BN151" i="3" s="1"/>
  <c r="BN61" i="3"/>
  <c r="BN153" i="3" s="1"/>
  <c r="BN68" i="3"/>
  <c r="BN160" i="3" s="1"/>
  <c r="BN66" i="3"/>
  <c r="BN158" i="3" s="1"/>
  <c r="BN65" i="3"/>
  <c r="BN157" i="3" s="1"/>
  <c r="BO66" i="3"/>
  <c r="BO158" i="3" s="1"/>
  <c r="BO63" i="3"/>
  <c r="BO155" i="3" s="1"/>
  <c r="BO62" i="3"/>
  <c r="BO154" i="3" s="1"/>
  <c r="BO65" i="3"/>
  <c r="BO157" i="3" s="1"/>
  <c r="BO68" i="3"/>
  <c r="BO160" i="3" s="1"/>
  <c r="BO67" i="3"/>
  <c r="BO159" i="3" s="1"/>
  <c r="BO59" i="3"/>
  <c r="BO151" i="3" s="1"/>
  <c r="BO64" i="3"/>
  <c r="BO156" i="3" s="1"/>
  <c r="BO69" i="3"/>
  <c r="BO161" i="3" s="1"/>
  <c r="BO61" i="3"/>
  <c r="BO153" i="3" s="1"/>
  <c r="BO60" i="3"/>
  <c r="BO152" i="3" s="1"/>
  <c r="BP68" i="3"/>
  <c r="BP160" i="3" s="1"/>
  <c r="BP59" i="3"/>
  <c r="BP151" i="3" s="1"/>
  <c r="BP64" i="3"/>
  <c r="BP156" i="3" s="1"/>
  <c r="BP63" i="3"/>
  <c r="BP155" i="3" s="1"/>
  <c r="BP67" i="3"/>
  <c r="BP159" i="3" s="1"/>
  <c r="BP60" i="3"/>
  <c r="BP152" i="3" s="1"/>
  <c r="BP66" i="3"/>
  <c r="BP158" i="3" s="1"/>
  <c r="BP62" i="3"/>
  <c r="BP154" i="3" s="1"/>
  <c r="BP61" i="3"/>
  <c r="BP153" i="3" s="1"/>
  <c r="BP65" i="3"/>
  <c r="BP157" i="3" s="1"/>
  <c r="BP69" i="3"/>
  <c r="BP161" i="3" s="1"/>
  <c r="BQ63" i="3"/>
  <c r="BQ155" i="3" s="1"/>
  <c r="BQ68" i="3"/>
  <c r="BQ160" i="3" s="1"/>
  <c r="BQ61" i="3"/>
  <c r="BQ153" i="3" s="1"/>
  <c r="BQ65" i="3"/>
  <c r="BQ157" i="3" s="1"/>
  <c r="BQ59" i="3"/>
  <c r="BQ151" i="3" s="1"/>
  <c r="BQ66" i="3"/>
  <c r="BQ158" i="3" s="1"/>
  <c r="BQ62" i="3"/>
  <c r="BQ154" i="3" s="1"/>
  <c r="BQ64" i="3"/>
  <c r="BQ156" i="3" s="1"/>
  <c r="BQ67" i="3"/>
  <c r="BQ159" i="3" s="1"/>
  <c r="BQ69" i="3"/>
  <c r="BQ161" i="3" s="1"/>
  <c r="BQ60" i="3"/>
  <c r="BQ152" i="3" s="1"/>
  <c r="BR68" i="3"/>
  <c r="BR160" i="3" s="1"/>
  <c r="BR69" i="3"/>
  <c r="BR161" i="3" s="1"/>
  <c r="BR67" i="3"/>
  <c r="BR159" i="3" s="1"/>
  <c r="BR64" i="3"/>
  <c r="BR156" i="3" s="1"/>
  <c r="BR62" i="3"/>
  <c r="BR154" i="3" s="1"/>
  <c r="BR61" i="3"/>
  <c r="BR153" i="3" s="1"/>
  <c r="BR65" i="3"/>
  <c r="BR157" i="3" s="1"/>
  <c r="BR59" i="3"/>
  <c r="BR151" i="3" s="1"/>
  <c r="BR60" i="3"/>
  <c r="BR152" i="3" s="1"/>
  <c r="BR63" i="3"/>
  <c r="BR155" i="3" s="1"/>
  <c r="BR66" i="3"/>
  <c r="BR158" i="3" s="1"/>
  <c r="BS68" i="3"/>
  <c r="BS160" i="3" s="1"/>
  <c r="BS59" i="3"/>
  <c r="BS151" i="3" s="1"/>
  <c r="BS66" i="3"/>
  <c r="BS158" i="3" s="1"/>
  <c r="BS64" i="3"/>
  <c r="BS156" i="3" s="1"/>
  <c r="BS67" i="3"/>
  <c r="BS159" i="3" s="1"/>
  <c r="BS61" i="3"/>
  <c r="BS153" i="3" s="1"/>
  <c r="BS65" i="3"/>
  <c r="BS157" i="3" s="1"/>
  <c r="BS60" i="3"/>
  <c r="BS152" i="3" s="1"/>
  <c r="BS62" i="3"/>
  <c r="BS154" i="3" s="1"/>
  <c r="BS63" i="3"/>
  <c r="BS155" i="3" s="1"/>
  <c r="BS69" i="3"/>
  <c r="BS161" i="3" s="1"/>
  <c r="BT67" i="3"/>
  <c r="BT159" i="3" s="1"/>
  <c r="BT69" i="3"/>
  <c r="BT161" i="3" s="1"/>
  <c r="BT63" i="3"/>
  <c r="BT155" i="3" s="1"/>
  <c r="BT68" i="3"/>
  <c r="BT160" i="3" s="1"/>
  <c r="BT65" i="3"/>
  <c r="BT157" i="3" s="1"/>
  <c r="BT66" i="3"/>
  <c r="BT158" i="3" s="1"/>
  <c r="BT60" i="3"/>
  <c r="BT152" i="3" s="1"/>
  <c r="BT64" i="3"/>
  <c r="BT156" i="3" s="1"/>
  <c r="BT62" i="3"/>
  <c r="BT154" i="3" s="1"/>
  <c r="BT59" i="3"/>
  <c r="BT151" i="3" s="1"/>
  <c r="BT61" i="3"/>
  <c r="BT153" i="3" s="1"/>
  <c r="BU61" i="3"/>
  <c r="BU153" i="3" s="1"/>
  <c r="BU69" i="3"/>
  <c r="BU161" i="3" s="1"/>
  <c r="BU63" i="3"/>
  <c r="BU155" i="3" s="1"/>
  <c r="BU68" i="3"/>
  <c r="BU160" i="3" s="1"/>
  <c r="BU66" i="3"/>
  <c r="BU158" i="3" s="1"/>
  <c r="BU60" i="3"/>
  <c r="BU152" i="3" s="1"/>
  <c r="BU62" i="3"/>
  <c r="BU154" i="3" s="1"/>
  <c r="BU67" i="3"/>
  <c r="BU159" i="3" s="1"/>
  <c r="BU65" i="3"/>
  <c r="BU157" i="3" s="1"/>
  <c r="BU59" i="3"/>
  <c r="BU151" i="3" s="1"/>
  <c r="BU64" i="3"/>
  <c r="BU156" i="3" s="1"/>
  <c r="BV62" i="3"/>
  <c r="BV154" i="3" s="1"/>
  <c r="BV60" i="3"/>
  <c r="BV152" i="3" s="1"/>
  <c r="BV63" i="3"/>
  <c r="BV155" i="3" s="1"/>
  <c r="BV67" i="3"/>
  <c r="BV159" i="3" s="1"/>
  <c r="BV65" i="3"/>
  <c r="BV157" i="3" s="1"/>
  <c r="BV64" i="3"/>
  <c r="BV156" i="3" s="1"/>
  <c r="BV59" i="3"/>
  <c r="BV151" i="3" s="1"/>
  <c r="BV69" i="3"/>
  <c r="BV161" i="3" s="1"/>
  <c r="BV66" i="3"/>
  <c r="BV158" i="3" s="1"/>
  <c r="BV68" i="3"/>
  <c r="BV160" i="3" s="1"/>
  <c r="BV61" i="3"/>
  <c r="BV153" i="3" s="1"/>
  <c r="BW68" i="3"/>
  <c r="BW160" i="3" s="1"/>
  <c r="BW62" i="3"/>
  <c r="BW154" i="3" s="1"/>
  <c r="BW60" i="3"/>
  <c r="BW152" i="3" s="1"/>
  <c r="BW66" i="3"/>
  <c r="BW158" i="3" s="1"/>
  <c r="BW69" i="3"/>
  <c r="BW161" i="3" s="1"/>
  <c r="BW61" i="3"/>
  <c r="BW153" i="3" s="1"/>
  <c r="BW64" i="3"/>
  <c r="BW156" i="3" s="1"/>
  <c r="BW63" i="3"/>
  <c r="BW155" i="3" s="1"/>
  <c r="BW67" i="3"/>
  <c r="BW159" i="3" s="1"/>
  <c r="BW65" i="3"/>
  <c r="BW157" i="3" s="1"/>
  <c r="BW59" i="3"/>
  <c r="BW151" i="3" s="1"/>
  <c r="BX66" i="3"/>
  <c r="BX158" i="3" s="1"/>
  <c r="BX61" i="3"/>
  <c r="BX153" i="3" s="1"/>
  <c r="BX59" i="3"/>
  <c r="BX151" i="3" s="1"/>
  <c r="BX62" i="3"/>
  <c r="BX154" i="3" s="1"/>
  <c r="BX65" i="3"/>
  <c r="BX157" i="3" s="1"/>
  <c r="BX63" i="3"/>
  <c r="BX155" i="3" s="1"/>
  <c r="BX69" i="3"/>
  <c r="BX161" i="3" s="1"/>
  <c r="BX68" i="3"/>
  <c r="BX160" i="3" s="1"/>
  <c r="BX67" i="3"/>
  <c r="BX159" i="3" s="1"/>
  <c r="BX60" i="3"/>
  <c r="BX152" i="3" s="1"/>
  <c r="BX64" i="3"/>
  <c r="BX156" i="3" s="1"/>
  <c r="BY65" i="3"/>
  <c r="BY157" i="3" s="1"/>
  <c r="BY61" i="3"/>
  <c r="BY153" i="3" s="1"/>
  <c r="BY67" i="3"/>
  <c r="BY159" i="3" s="1"/>
  <c r="BY62" i="3"/>
  <c r="BY154" i="3" s="1"/>
  <c r="BY64" i="3"/>
  <c r="BY156" i="3" s="1"/>
  <c r="BY59" i="3"/>
  <c r="BY151" i="3" s="1"/>
  <c r="BY63" i="3"/>
  <c r="BY155" i="3" s="1"/>
  <c r="BY60" i="3"/>
  <c r="BY152" i="3" s="1"/>
  <c r="BY69" i="3"/>
  <c r="BY161" i="3" s="1"/>
  <c r="BY68" i="3"/>
  <c r="BY160" i="3" s="1"/>
  <c r="BY66" i="3"/>
  <c r="BY158" i="3" s="1"/>
  <c r="BZ64" i="3"/>
  <c r="BZ156" i="3" s="1"/>
  <c r="BZ62" i="3"/>
  <c r="BZ154" i="3" s="1"/>
  <c r="BZ65" i="3"/>
  <c r="BZ157" i="3" s="1"/>
  <c r="BZ66" i="3"/>
  <c r="BZ158" i="3" s="1"/>
  <c r="BZ67" i="3"/>
  <c r="BZ159" i="3" s="1"/>
  <c r="BZ68" i="3"/>
  <c r="BZ160" i="3" s="1"/>
  <c r="BZ59" i="3"/>
  <c r="BZ151" i="3" s="1"/>
  <c r="BZ60" i="3"/>
  <c r="BZ152" i="3" s="1"/>
  <c r="BZ61" i="3"/>
  <c r="BZ153" i="3" s="1"/>
  <c r="BZ69" i="3"/>
  <c r="BZ161" i="3" s="1"/>
  <c r="BZ63" i="3"/>
  <c r="BZ155" i="3" s="1"/>
  <c r="CA62" i="3"/>
  <c r="CA154" i="3" s="1"/>
  <c r="CA67" i="3"/>
  <c r="CA159" i="3" s="1"/>
  <c r="CA66" i="3"/>
  <c r="CA158" i="3" s="1"/>
  <c r="CA64" i="3"/>
  <c r="CA156" i="3" s="1"/>
  <c r="CA65" i="3"/>
  <c r="CA157" i="3" s="1"/>
  <c r="CA68" i="3"/>
  <c r="CA160" i="3" s="1"/>
  <c r="CA59" i="3"/>
  <c r="CA151" i="3" s="1"/>
  <c r="CA61" i="3"/>
  <c r="CA153" i="3" s="1"/>
  <c r="CA69" i="3"/>
  <c r="CA161" i="3" s="1"/>
  <c r="CA60" i="3"/>
  <c r="CA152" i="3" s="1"/>
  <c r="CA63" i="3"/>
  <c r="CA155" i="3" s="1"/>
  <c r="CB69" i="3"/>
  <c r="CB161" i="3" s="1"/>
  <c r="CB60" i="3"/>
  <c r="CB152" i="3" s="1"/>
  <c r="CB64" i="3"/>
  <c r="CB156" i="3" s="1"/>
  <c r="CB59" i="3"/>
  <c r="CB151" i="3" s="1"/>
  <c r="CB61" i="3"/>
  <c r="CB153" i="3" s="1"/>
  <c r="CB67" i="3"/>
  <c r="CB159" i="3" s="1"/>
  <c r="CB66" i="3"/>
  <c r="CB158" i="3" s="1"/>
  <c r="CB68" i="3"/>
  <c r="CB160" i="3" s="1"/>
  <c r="CB62" i="3"/>
  <c r="CB154" i="3" s="1"/>
  <c r="CB65" i="3"/>
  <c r="CB157" i="3" s="1"/>
  <c r="CB63" i="3"/>
  <c r="CB155" i="3" s="1"/>
  <c r="CC59" i="3"/>
  <c r="CC151" i="3" s="1"/>
  <c r="CC66" i="3"/>
  <c r="CC158" i="3" s="1"/>
  <c r="CC68" i="3"/>
  <c r="CC160" i="3" s="1"/>
  <c r="CC61" i="3"/>
  <c r="CC153" i="3" s="1"/>
  <c r="CC67" i="3"/>
  <c r="CC159" i="3" s="1"/>
  <c r="CC64" i="3"/>
  <c r="CC156" i="3" s="1"/>
  <c r="CC60" i="3"/>
  <c r="CC152" i="3" s="1"/>
  <c r="CC69" i="3"/>
  <c r="CC161" i="3" s="1"/>
  <c r="CC63" i="3"/>
  <c r="CC155" i="3" s="1"/>
  <c r="CC62" i="3"/>
  <c r="CC154" i="3" s="1"/>
  <c r="CC65" i="3"/>
  <c r="CC157" i="3" s="1"/>
  <c r="CD66" i="3"/>
  <c r="CD158" i="3" s="1"/>
  <c r="CD63" i="3"/>
  <c r="CD155" i="3" s="1"/>
  <c r="CD64" i="3"/>
  <c r="CD156" i="3" s="1"/>
  <c r="CD67" i="3"/>
  <c r="CD159" i="3" s="1"/>
  <c r="CD59" i="3"/>
  <c r="CD151" i="3" s="1"/>
  <c r="CD65" i="3"/>
  <c r="CD157" i="3" s="1"/>
  <c r="CD60" i="3"/>
  <c r="CD152" i="3" s="1"/>
  <c r="CD69" i="3"/>
  <c r="CD161" i="3" s="1"/>
  <c r="CD68" i="3"/>
  <c r="CD160" i="3" s="1"/>
  <c r="CD61" i="3"/>
  <c r="CD153" i="3" s="1"/>
  <c r="CD62" i="3"/>
  <c r="CD154" i="3" s="1"/>
  <c r="CE63" i="3"/>
  <c r="CE155" i="3" s="1"/>
  <c r="CE62" i="3"/>
  <c r="CE154" i="3" s="1"/>
  <c r="CE65" i="3"/>
  <c r="CE157" i="3" s="1"/>
  <c r="CE64" i="3"/>
  <c r="CE156" i="3" s="1"/>
  <c r="CE67" i="3"/>
  <c r="CE159" i="3" s="1"/>
  <c r="CE66" i="3"/>
  <c r="CE158" i="3" s="1"/>
  <c r="CE59" i="3"/>
  <c r="CE151" i="3" s="1"/>
  <c r="CE69" i="3"/>
  <c r="CE161" i="3" s="1"/>
  <c r="CE68" i="3"/>
  <c r="CE160" i="3" s="1"/>
  <c r="CE61" i="3"/>
  <c r="CE153" i="3" s="1"/>
  <c r="CE60" i="3"/>
  <c r="CE152" i="3" s="1"/>
  <c r="CF68" i="3"/>
  <c r="CF160" i="3" s="1"/>
  <c r="CF60" i="3"/>
  <c r="CF152" i="3" s="1"/>
  <c r="CF61" i="3"/>
  <c r="CF153" i="3" s="1"/>
  <c r="CF59" i="3"/>
  <c r="CF151" i="3" s="1"/>
  <c r="CF67" i="3"/>
  <c r="CF159" i="3" s="1"/>
  <c r="CF65" i="3"/>
  <c r="CF157" i="3" s="1"/>
  <c r="CF66" i="3"/>
  <c r="CF158" i="3" s="1"/>
  <c r="CF63" i="3"/>
  <c r="CF155" i="3" s="1"/>
  <c r="CF62" i="3"/>
  <c r="CF154" i="3" s="1"/>
  <c r="CF69" i="3"/>
  <c r="CF161" i="3" s="1"/>
  <c r="CF64" i="3"/>
  <c r="CF156" i="3" s="1"/>
  <c r="CG69" i="3"/>
  <c r="CG161" i="3" s="1"/>
  <c r="CG60" i="3"/>
  <c r="CG152" i="3" s="1"/>
  <c r="CG66" i="3"/>
  <c r="CG158" i="3" s="1"/>
  <c r="CG64" i="3"/>
  <c r="CG156" i="3" s="1"/>
  <c r="CG61" i="3"/>
  <c r="CG153" i="3" s="1"/>
  <c r="CG62" i="3"/>
  <c r="CG154" i="3" s="1"/>
  <c r="CG59" i="3"/>
  <c r="CG151" i="3" s="1"/>
  <c r="CG65" i="3"/>
  <c r="CG157" i="3" s="1"/>
  <c r="CG68" i="3"/>
  <c r="CG160" i="3" s="1"/>
  <c r="CG67" i="3"/>
  <c r="CG159" i="3" s="1"/>
  <c r="CG63" i="3"/>
  <c r="CG155" i="3" s="1"/>
  <c r="CH68" i="3"/>
  <c r="CH160" i="3" s="1"/>
  <c r="CH66" i="3"/>
  <c r="CH158" i="3" s="1"/>
  <c r="CH61" i="3"/>
  <c r="CH153" i="3" s="1"/>
  <c r="CH64" i="3"/>
  <c r="CH156" i="3" s="1"/>
  <c r="CH67" i="3"/>
  <c r="CH159" i="3" s="1"/>
  <c r="CH60" i="3"/>
  <c r="CH152" i="3" s="1"/>
  <c r="CH69" i="3"/>
  <c r="CH161" i="3" s="1"/>
  <c r="CH63" i="3"/>
  <c r="CH155" i="3" s="1"/>
  <c r="CH59" i="3"/>
  <c r="CH151" i="3" s="1"/>
  <c r="CH62" i="3"/>
  <c r="CH154" i="3" s="1"/>
  <c r="CH65" i="3"/>
  <c r="CH157" i="3" s="1"/>
  <c r="CI62" i="3"/>
  <c r="CI154" i="3" s="1"/>
  <c r="CI60" i="3"/>
  <c r="CI152" i="3" s="1"/>
  <c r="CI69" i="3"/>
  <c r="CI161" i="3" s="1"/>
  <c r="CI64" i="3"/>
  <c r="CI156" i="3" s="1"/>
  <c r="CI61" i="3"/>
  <c r="CI153" i="3" s="1"/>
  <c r="CI67" i="3"/>
  <c r="CI159" i="3" s="1"/>
  <c r="CI59" i="3"/>
  <c r="CI151" i="3" s="1"/>
  <c r="CI65" i="3"/>
  <c r="CI157" i="3" s="1"/>
  <c r="CI68" i="3"/>
  <c r="CI160" i="3" s="1"/>
  <c r="CI66" i="3"/>
  <c r="CI158" i="3" s="1"/>
  <c r="CI63" i="3"/>
  <c r="CI155" i="3" s="1"/>
  <c r="CJ63" i="3"/>
  <c r="CJ155" i="3" s="1"/>
  <c r="CJ65" i="3"/>
  <c r="CJ157" i="3" s="1"/>
  <c r="CJ61" i="3"/>
  <c r="CJ64" i="3"/>
  <c r="CJ156" i="3" s="1"/>
  <c r="CJ68" i="3"/>
  <c r="CJ160" i="3" s="1"/>
  <c r="CK69" i="3"/>
  <c r="CK161" i="3" s="1"/>
  <c r="CK65" i="3"/>
  <c r="CK157" i="3" s="1"/>
  <c r="CK64" i="3"/>
  <c r="CK156" i="3" s="1"/>
  <c r="CK68" i="3"/>
  <c r="CK160" i="3" s="1"/>
  <c r="CK60" i="3"/>
  <c r="CK152" i="3" s="1"/>
  <c r="CK67" i="3"/>
  <c r="CK159" i="3" s="1"/>
  <c r="CK62" i="3"/>
  <c r="CK154" i="3" s="1"/>
  <c r="CK59" i="3"/>
  <c r="CK151" i="3" s="1"/>
  <c r="CK61" i="3"/>
  <c r="CK66" i="3"/>
  <c r="CK158" i="3" s="1"/>
  <c r="CK63" i="3"/>
  <c r="CK155" i="3" s="1"/>
  <c r="Y147" i="4"/>
  <c r="Y148" i="4" s="1"/>
  <c r="Y149" i="4" s="1"/>
  <c r="Z142" i="4"/>
  <c r="Z145" i="4" s="1"/>
  <c r="X91" i="4"/>
  <c r="Z85" i="4"/>
  <c r="Z88" i="4" s="1"/>
  <c r="Y90" i="4"/>
  <c r="M157" i="5"/>
  <c r="M158" i="5" s="1"/>
  <c r="M163" i="5" s="1"/>
  <c r="M142" i="7"/>
  <c r="M143" i="7" s="1"/>
  <c r="M43" i="12" s="1"/>
  <c r="N78" i="4"/>
  <c r="W92" i="4"/>
  <c r="W177" i="7" s="1"/>
  <c r="Q337" i="3" l="1"/>
  <c r="Q343" i="3" s="1"/>
  <c r="Q338" i="3"/>
  <c r="L164" i="5"/>
  <c r="L93" i="7" s="1"/>
  <c r="M164" i="5"/>
  <c r="M93" i="7" s="1"/>
  <c r="Y319" i="3"/>
  <c r="Y322" i="3" s="1"/>
  <c r="X173" i="7"/>
  <c r="BW162" i="3"/>
  <c r="BW35" i="7" s="1"/>
  <c r="BT162" i="3"/>
  <c r="BT35" i="7" s="1"/>
  <c r="BT73" i="7" s="1"/>
  <c r="BZ162" i="3"/>
  <c r="BZ35" i="7" s="1"/>
  <c r="BZ73" i="7" s="1"/>
  <c r="BY162" i="3"/>
  <c r="BY35" i="7" s="1"/>
  <c r="BY73" i="7" s="1"/>
  <c r="BV162" i="3"/>
  <c r="BV35" i="7" s="1"/>
  <c r="BV73" i="7" s="1"/>
  <c r="BU162" i="3"/>
  <c r="BU35" i="7" s="1"/>
  <c r="BU73" i="7" s="1"/>
  <c r="BN162" i="3"/>
  <c r="BN35" i="7" s="1"/>
  <c r="BN73" i="7" s="1"/>
  <c r="D160" i="3"/>
  <c r="CI162" i="3"/>
  <c r="CI35" i="7" s="1"/>
  <c r="CF162" i="3"/>
  <c r="CF35" i="7" s="1"/>
  <c r="CF73" i="7" s="1"/>
  <c r="CE162" i="3"/>
  <c r="CE35" i="7" s="1"/>
  <c r="CE73" i="7" s="1"/>
  <c r="CC162" i="3"/>
  <c r="CC35" i="7" s="1"/>
  <c r="CC73" i="7" s="1"/>
  <c r="CB162" i="3"/>
  <c r="CB35" i="7" s="1"/>
  <c r="CB73" i="7" s="1"/>
  <c r="CA162" i="3"/>
  <c r="CA35" i="7" s="1"/>
  <c r="CA73" i="7" s="1"/>
  <c r="BQ162" i="3"/>
  <c r="BQ35" i="7" s="1"/>
  <c r="BQ73" i="7" s="1"/>
  <c r="BO162" i="3"/>
  <c r="BO35" i="7" s="1"/>
  <c r="BO73" i="7" s="1"/>
  <c r="D161" i="3"/>
  <c r="D154" i="3"/>
  <c r="CJ147" i="3"/>
  <c r="CJ153" i="3"/>
  <c r="CJ162" i="3" s="1"/>
  <c r="CJ35" i="7" s="1"/>
  <c r="CJ73" i="7" s="1"/>
  <c r="CH162" i="3"/>
  <c r="CH35" i="7" s="1"/>
  <c r="CH73" i="7" s="1"/>
  <c r="CD162" i="3"/>
  <c r="CD35" i="7" s="1"/>
  <c r="CD73" i="7" s="1"/>
  <c r="BX162" i="3"/>
  <c r="BX35" i="7" s="1"/>
  <c r="BX73" i="7" s="1"/>
  <c r="BS162" i="3"/>
  <c r="BS35" i="7" s="1"/>
  <c r="BS73" i="7" s="1"/>
  <c r="D156" i="3"/>
  <c r="D155" i="3"/>
  <c r="D159" i="3"/>
  <c r="CK147" i="3"/>
  <c r="CK153" i="3"/>
  <c r="CK162" i="3" s="1"/>
  <c r="CK35" i="7" s="1"/>
  <c r="CK73" i="7" s="1"/>
  <c r="CG162" i="3"/>
  <c r="CG35" i="7" s="1"/>
  <c r="CG73" i="7" s="1"/>
  <c r="BR162" i="3"/>
  <c r="BR35" i="7" s="1"/>
  <c r="BR73" i="7" s="1"/>
  <c r="BP162" i="3"/>
  <c r="BP35" i="7" s="1"/>
  <c r="BP73" i="7" s="1"/>
  <c r="D157" i="3"/>
  <c r="D152" i="3"/>
  <c r="D158" i="3"/>
  <c r="D138" i="3"/>
  <c r="D147" i="3" s="1"/>
  <c r="N80" i="4"/>
  <c r="N48" i="7" s="1"/>
  <c r="X92" i="4"/>
  <c r="X177" i="7" s="1"/>
  <c r="M44" i="7"/>
  <c r="N164" i="5"/>
  <c r="N93" i="7" s="1"/>
  <c r="Z147" i="4"/>
  <c r="Z148" i="4" s="1"/>
  <c r="Z149" i="4" s="1"/>
  <c r="AA142" i="4"/>
  <c r="AA145" i="4" s="1"/>
  <c r="Y91" i="4"/>
  <c r="AA85" i="4"/>
  <c r="AA88" i="4" s="1"/>
  <c r="Z90" i="4"/>
  <c r="Q344" i="3" l="1"/>
  <c r="R336" i="3" a="1"/>
  <c r="CI73" i="7"/>
  <c r="M60" i="9" s="1"/>
  <c r="M18" i="9"/>
  <c r="K73" i="15" s="1"/>
  <c r="BW73" i="7"/>
  <c r="L60" i="9" s="1"/>
  <c r="L18" i="9"/>
  <c r="J73" i="15" s="1"/>
  <c r="CF44" i="5"/>
  <c r="CF69" i="8"/>
  <c r="CF70" i="8" s="1"/>
  <c r="BT44" i="5"/>
  <c r="BT69" i="8"/>
  <c r="BT70" i="8" s="1"/>
  <c r="CI44" i="5"/>
  <c r="CI69" i="8"/>
  <c r="CI70" i="8" s="1"/>
  <c r="BW44" i="5"/>
  <c r="BW69" i="8"/>
  <c r="BW70" i="8" s="1"/>
  <c r="BP44" i="5"/>
  <c r="BP69" i="8"/>
  <c r="BP70" i="8" s="1"/>
  <c r="BS44" i="5"/>
  <c r="BS69" i="8"/>
  <c r="BS70" i="8" s="1"/>
  <c r="BO44" i="5"/>
  <c r="BO69" i="8"/>
  <c r="BO70" i="8" s="1"/>
  <c r="BR44" i="5"/>
  <c r="BR69" i="8"/>
  <c r="BR70" i="8" s="1"/>
  <c r="BX44" i="5"/>
  <c r="BX69" i="8"/>
  <c r="BX70" i="8" s="1"/>
  <c r="BQ44" i="5"/>
  <c r="BQ69" i="8"/>
  <c r="BQ70" i="8" s="1"/>
  <c r="BN44" i="5"/>
  <c r="BN69" i="8"/>
  <c r="BN70" i="8" s="1"/>
  <c r="CG44" i="5"/>
  <c r="CG69" i="8"/>
  <c r="CG70" i="8" s="1"/>
  <c r="CD44" i="5"/>
  <c r="CD69" i="8"/>
  <c r="CD70" i="8" s="1"/>
  <c r="CA44" i="5"/>
  <c r="CA69" i="8"/>
  <c r="CA70" i="8" s="1"/>
  <c r="BU44" i="5"/>
  <c r="BU69" i="8"/>
  <c r="BU70" i="8" s="1"/>
  <c r="CK44" i="5"/>
  <c r="CK69" i="8"/>
  <c r="CK70" i="8" s="1"/>
  <c r="CH44" i="5"/>
  <c r="CH69" i="8"/>
  <c r="CH70" i="8" s="1"/>
  <c r="CB44" i="5"/>
  <c r="CB69" i="8"/>
  <c r="CB70" i="8" s="1"/>
  <c r="BV44" i="5"/>
  <c r="BV69" i="8"/>
  <c r="BV70" i="8" s="1"/>
  <c r="CJ44" i="5"/>
  <c r="CJ69" i="8"/>
  <c r="CJ70" i="8" s="1"/>
  <c r="CC44" i="5"/>
  <c r="CC69" i="8"/>
  <c r="CC70" i="8" s="1"/>
  <c r="BY44" i="5"/>
  <c r="BY69" i="8"/>
  <c r="BY70" i="8" s="1"/>
  <c r="CE44" i="5"/>
  <c r="CE69" i="8"/>
  <c r="CE70" i="8" s="1"/>
  <c r="BZ44" i="5"/>
  <c r="BZ69" i="8"/>
  <c r="BZ70" i="8" s="1"/>
  <c r="Y173" i="7"/>
  <c r="Z319" i="3"/>
  <c r="Z322" i="3" s="1"/>
  <c r="F202" i="3" a="1"/>
  <c r="F208" i="3" s="1"/>
  <c r="F236" i="3" a="1"/>
  <c r="D153" i="3"/>
  <c r="AB162" i="3"/>
  <c r="BF162" i="3"/>
  <c r="BL162" i="3"/>
  <c r="AG162" i="3"/>
  <c r="G162" i="3"/>
  <c r="AK162" i="3"/>
  <c r="N81" i="4"/>
  <c r="N142" i="7" s="1"/>
  <c r="Y92" i="4"/>
  <c r="Y177" i="7" s="1"/>
  <c r="AA147" i="4"/>
  <c r="AA148" i="4" s="1"/>
  <c r="AA149" i="4" s="1"/>
  <c r="AB142" i="4"/>
  <c r="AB145" i="4" s="1"/>
  <c r="Z91" i="4"/>
  <c r="AB85" i="4"/>
  <c r="AB88" i="4" s="1"/>
  <c r="AA90" i="4"/>
  <c r="R337" i="3" l="1"/>
  <c r="R343" i="3" s="1"/>
  <c r="R338" i="3"/>
  <c r="R344" i="3" s="1"/>
  <c r="R336" i="3"/>
  <c r="N143" i="7"/>
  <c r="N43" i="12" s="1"/>
  <c r="BZ51" i="5"/>
  <c r="BZ75" i="7"/>
  <c r="CJ51" i="5"/>
  <c r="CJ75" i="7"/>
  <c r="CK51" i="5"/>
  <c r="CK75" i="7"/>
  <c r="CG51" i="5"/>
  <c r="CG75" i="7"/>
  <c r="BR51" i="5"/>
  <c r="BR75" i="7"/>
  <c r="BW51" i="5"/>
  <c r="BW75" i="7"/>
  <c r="CE51" i="5"/>
  <c r="CE75" i="7"/>
  <c r="BV51" i="5"/>
  <c r="BV75" i="7"/>
  <c r="BU51" i="5"/>
  <c r="BU75" i="7"/>
  <c r="BN51" i="5"/>
  <c r="BN75" i="7"/>
  <c r="BO51" i="5"/>
  <c r="BO75" i="7"/>
  <c r="CI51" i="5"/>
  <c r="CI75" i="7"/>
  <c r="BY51" i="5"/>
  <c r="BY75" i="7"/>
  <c r="CB51" i="5"/>
  <c r="CB75" i="7"/>
  <c r="CA51" i="5"/>
  <c r="CA75" i="7"/>
  <c r="BQ51" i="5"/>
  <c r="BQ75" i="7"/>
  <c r="BS51" i="5"/>
  <c r="BS75" i="7"/>
  <c r="BT51" i="5"/>
  <c r="BT75" i="7"/>
  <c r="CC51" i="5"/>
  <c r="CC75" i="7"/>
  <c r="CH51" i="5"/>
  <c r="CH75" i="7"/>
  <c r="CD51" i="5"/>
  <c r="CD75" i="7"/>
  <c r="BX51" i="5"/>
  <c r="BX75" i="7"/>
  <c r="BP51" i="5"/>
  <c r="BP75" i="7"/>
  <c r="CF51" i="5"/>
  <c r="CF75" i="7"/>
  <c r="CA68" i="8"/>
  <c r="CA81" i="8" s="1"/>
  <c r="CA74" i="7" s="1"/>
  <c r="CK68" i="8"/>
  <c r="CK81" i="8" s="1"/>
  <c r="CK74" i="7" s="1"/>
  <c r="CH68" i="8"/>
  <c r="CH81" i="8" s="1"/>
  <c r="CH74" i="7" s="1"/>
  <c r="BS68" i="8"/>
  <c r="BS81" i="8" s="1"/>
  <c r="BS74" i="7" s="1"/>
  <c r="BX68" i="8"/>
  <c r="BX81" i="8" s="1"/>
  <c r="BX74" i="7" s="1"/>
  <c r="CF68" i="8"/>
  <c r="CF81" i="8" s="1"/>
  <c r="CF74" i="7" s="1"/>
  <c r="BW68" i="8"/>
  <c r="BW81" i="8" s="1"/>
  <c r="BW74" i="7" s="1"/>
  <c r="BV68" i="8"/>
  <c r="BV81" i="8" s="1"/>
  <c r="BV74" i="7" s="1"/>
  <c r="BO68" i="8"/>
  <c r="BO81" i="8" s="1"/>
  <c r="BO74" i="7" s="1"/>
  <c r="BP68" i="8"/>
  <c r="BP81" i="8" s="1"/>
  <c r="BP74" i="7" s="1"/>
  <c r="CJ68" i="8"/>
  <c r="CJ81" i="8" s="1"/>
  <c r="CJ74" i="7" s="1"/>
  <c r="BZ68" i="8"/>
  <c r="BZ81" i="8" s="1"/>
  <c r="BZ74" i="7" s="1"/>
  <c r="CC68" i="8"/>
  <c r="CC81" i="8" s="1"/>
  <c r="CC74" i="7" s="1"/>
  <c r="CB68" i="8"/>
  <c r="CB81" i="8" s="1"/>
  <c r="CB74" i="7" s="1"/>
  <c r="BR68" i="8"/>
  <c r="BR81" i="8" s="1"/>
  <c r="BR74" i="7" s="1"/>
  <c r="BT68" i="8"/>
  <c r="BT81" i="8" s="1"/>
  <c r="BT74" i="7" s="1"/>
  <c r="BU68" i="8"/>
  <c r="BU81" i="8" s="1"/>
  <c r="BU74" i="7" s="1"/>
  <c r="CD68" i="8"/>
  <c r="CD81" i="8" s="1"/>
  <c r="CD74" i="7" s="1"/>
  <c r="CI68" i="8"/>
  <c r="CI81" i="8" s="1"/>
  <c r="CI74" i="7" s="1"/>
  <c r="CE68" i="8"/>
  <c r="CE81" i="8" s="1"/>
  <c r="CE74" i="7" s="1"/>
  <c r="BY68" i="8"/>
  <c r="BY81" i="8" s="1"/>
  <c r="BY74" i="7" s="1"/>
  <c r="BQ68" i="8"/>
  <c r="BQ81" i="8" s="1"/>
  <c r="BQ74" i="7" s="1"/>
  <c r="CG68" i="8"/>
  <c r="CG81" i="8" s="1"/>
  <c r="CG74" i="7" s="1"/>
  <c r="Z173" i="7"/>
  <c r="AA319" i="3"/>
  <c r="AA322" i="3" s="1"/>
  <c r="AQ208" i="3"/>
  <c r="AV206" i="3"/>
  <c r="AO205" i="3"/>
  <c r="Q207" i="3"/>
  <c r="BR211" i="3"/>
  <c r="Z203" i="3"/>
  <c r="AS204" i="3"/>
  <c r="AN211" i="3"/>
  <c r="AK209" i="3"/>
  <c r="BE210" i="3"/>
  <c r="AY206" i="3"/>
  <c r="BE211" i="3"/>
  <c r="CI205" i="3"/>
  <c r="BA206" i="3"/>
  <c r="I210" i="3"/>
  <c r="CB205" i="3"/>
  <c r="Y211" i="3"/>
  <c r="N205" i="3"/>
  <c r="BB205" i="3"/>
  <c r="X208" i="3"/>
  <c r="F205" i="3"/>
  <c r="BY210" i="3"/>
  <c r="BZ203" i="3"/>
  <c r="F203" i="3"/>
  <c r="AY211" i="3"/>
  <c r="BJ203" i="3"/>
  <c r="AS210" i="3"/>
  <c r="BF206" i="3"/>
  <c r="BT207" i="3"/>
  <c r="CH203" i="3"/>
  <c r="F211" i="3"/>
  <c r="CA202" i="3"/>
  <c r="BF211" i="3"/>
  <c r="BO202" i="3"/>
  <c r="AT202" i="3"/>
  <c r="BL211" i="3"/>
  <c r="Y202" i="3"/>
  <c r="CG202" i="3"/>
  <c r="CC209" i="3"/>
  <c r="CD209" i="3"/>
  <c r="BB210" i="3"/>
  <c r="BI209" i="3"/>
  <c r="BD208" i="3"/>
  <c r="BH210" i="3"/>
  <c r="AA209" i="3"/>
  <c r="AJ211" i="3"/>
  <c r="Z208" i="3"/>
  <c r="BZ208" i="3"/>
  <c r="X209" i="3"/>
  <c r="BE208" i="3"/>
  <c r="AN207" i="3"/>
  <c r="S210" i="3"/>
  <c r="CK211" i="3"/>
  <c r="AU203" i="3"/>
  <c r="AQ202" i="3"/>
  <c r="AD210" i="3"/>
  <c r="CI210" i="3"/>
  <c r="AI210" i="3"/>
  <c r="W211" i="3"/>
  <c r="CE210" i="3"/>
  <c r="CC210" i="3"/>
  <c r="CC211" i="3"/>
  <c r="BG211" i="3"/>
  <c r="AQ210" i="3"/>
  <c r="CF209" i="3"/>
  <c r="Q210" i="3"/>
  <c r="AW211" i="3"/>
  <c r="AU210" i="3"/>
  <c r="AT209" i="3"/>
  <c r="BN208" i="3"/>
  <c r="BI208" i="3"/>
  <c r="Q211" i="3"/>
  <c r="BZ209" i="3"/>
  <c r="CI211" i="3"/>
  <c r="BK211" i="3"/>
  <c r="AS211" i="3"/>
  <c r="CJ206" i="3"/>
  <c r="AN202" i="3"/>
  <c r="BF205" i="3"/>
  <c r="BH203" i="3"/>
  <c r="AK205" i="3"/>
  <c r="BO211" i="3"/>
  <c r="BT203" i="3"/>
  <c r="CI204" i="3"/>
  <c r="X205" i="3"/>
  <c r="BW204" i="3"/>
  <c r="BB204" i="3"/>
  <c r="AK204" i="3"/>
  <c r="AG204" i="3"/>
  <c r="T208" i="3"/>
  <c r="J202" i="3"/>
  <c r="CE203" i="3"/>
  <c r="P203" i="3"/>
  <c r="BS203" i="3"/>
  <c r="AX203" i="3"/>
  <c r="BL205" i="3"/>
  <c r="AC203" i="3"/>
  <c r="BV204" i="3"/>
  <c r="AJ208" i="3"/>
  <c r="BR207" i="3"/>
  <c r="AK211" i="3"/>
  <c r="CA211" i="3"/>
  <c r="AZ202" i="3"/>
  <c r="CG204" i="3"/>
  <c r="BN210" i="3"/>
  <c r="V202" i="3"/>
  <c r="BF209" i="3"/>
  <c r="BQ210" i="3"/>
  <c r="BG208" i="3"/>
  <c r="CH207" i="3"/>
  <c r="CF205" i="3"/>
  <c r="CA210" i="3"/>
  <c r="AK210" i="3"/>
  <c r="BV206" i="3"/>
  <c r="AG207" i="3"/>
  <c r="BI211" i="3"/>
  <c r="AE210" i="3"/>
  <c r="CI209" i="3"/>
  <c r="CD204" i="3"/>
  <c r="AP206" i="3"/>
  <c r="BM210" i="3"/>
  <c r="CF208" i="3"/>
  <c r="AJ209" i="3"/>
  <c r="BV202" i="3"/>
  <c r="AZ208" i="3"/>
  <c r="AU207" i="3"/>
  <c r="AQ211" i="3"/>
  <c r="BR205" i="3"/>
  <c r="O205" i="3"/>
  <c r="BZ204" i="3"/>
  <c r="P202" i="3"/>
  <c r="BE204" i="3"/>
  <c r="N209" i="3"/>
  <c r="AB202" i="3"/>
  <c r="W204" i="3"/>
  <c r="BL203" i="3"/>
  <c r="K204" i="3"/>
  <c r="BV203" i="3"/>
  <c r="AS202" i="3"/>
  <c r="BA203" i="3"/>
  <c r="BJ205" i="3"/>
  <c r="AD211" i="3"/>
  <c r="S203" i="3"/>
  <c r="CD211" i="3"/>
  <c r="G203" i="3"/>
  <c r="BR202" i="3"/>
  <c r="CJ211" i="3"/>
  <c r="AW202" i="3"/>
  <c r="BC202" i="3"/>
  <c r="BP208" i="3"/>
  <c r="AU211" i="3"/>
  <c r="R204" i="3"/>
  <c r="CJ208" i="3"/>
  <c r="O207" i="3"/>
  <c r="R208" i="3"/>
  <c r="BO210" i="3"/>
  <c r="BF202" i="3"/>
  <c r="K208" i="3"/>
  <c r="U206" i="3"/>
  <c r="AW207" i="3"/>
  <c r="BE209" i="3"/>
  <c r="BQ211" i="3"/>
  <c r="AR207" i="3"/>
  <c r="BB203" i="3"/>
  <c r="CE206" i="3"/>
  <c r="AN208" i="3"/>
  <c r="AD205" i="3"/>
  <c r="CB209" i="3"/>
  <c r="BM207" i="3"/>
  <c r="BZ207" i="3"/>
  <c r="BQ207" i="3"/>
  <c r="T209" i="3"/>
  <c r="CI207" i="3"/>
  <c r="AI207" i="3"/>
  <c r="O209" i="3"/>
  <c r="L205" i="3"/>
  <c r="CH206" i="3"/>
  <c r="T206" i="3"/>
  <c r="BM206" i="3"/>
  <c r="BD207" i="3"/>
  <c r="AC206" i="3"/>
  <c r="AE206" i="3"/>
  <c r="AO207" i="3"/>
  <c r="CJ202" i="3"/>
  <c r="CD205" i="3"/>
  <c r="X204" i="3"/>
  <c r="BI205" i="3"/>
  <c r="AX202" i="3"/>
  <c r="AJ204" i="3"/>
  <c r="AA205" i="3"/>
  <c r="O211" i="3"/>
  <c r="BX207" i="3"/>
  <c r="X207" i="3"/>
  <c r="AB207" i="3"/>
  <c r="AK202" i="3"/>
  <c r="AF206" i="3"/>
  <c r="V207" i="3"/>
  <c r="AO210" i="3"/>
  <c r="Z206" i="3"/>
  <c r="AO211" i="3"/>
  <c r="BE205" i="3"/>
  <c r="AB206" i="3"/>
  <c r="AO209" i="3"/>
  <c r="AT205" i="3"/>
  <c r="I211" i="3"/>
  <c r="BF204" i="3"/>
  <c r="I205" i="3"/>
  <c r="CE211" i="3"/>
  <c r="AP204" i="3"/>
  <c r="BI210" i="3"/>
  <c r="N203" i="3"/>
  <c r="BY211" i="3"/>
  <c r="CK210" i="3"/>
  <c r="BX206" i="3"/>
  <c r="BU211" i="3"/>
  <c r="BG206" i="3"/>
  <c r="CK206" i="3"/>
  <c r="BW208" i="3"/>
  <c r="BP206" i="3"/>
  <c r="BC206" i="3"/>
  <c r="CB207" i="3"/>
  <c r="AZ203" i="3"/>
  <c r="V206" i="3"/>
  <c r="BT204" i="3"/>
  <c r="CG205" i="3"/>
  <c r="BN204" i="3"/>
  <c r="CF204" i="3"/>
  <c r="AY205" i="3"/>
  <c r="X206" i="3"/>
  <c r="AM205" i="3"/>
  <c r="R205" i="3"/>
  <c r="BL202" i="3"/>
  <c r="CC204" i="3"/>
  <c r="CK209" i="3"/>
  <c r="BX202" i="3"/>
  <c r="AU204" i="3"/>
  <c r="BC211" i="3"/>
  <c r="AE211" i="3"/>
  <c r="M211" i="3"/>
  <c r="AM210" i="3"/>
  <c r="BR203" i="3"/>
  <c r="BW210" i="3"/>
  <c r="AY210" i="3"/>
  <c r="AW210" i="3"/>
  <c r="BM211" i="3"/>
  <c r="K211" i="3"/>
  <c r="K210" i="3"/>
  <c r="AF209" i="3"/>
  <c r="BC209" i="3"/>
  <c r="AG211" i="3"/>
  <c r="O210" i="3"/>
  <c r="BY208" i="3"/>
  <c r="M208" i="3"/>
  <c r="BW211" i="3"/>
  <c r="S211" i="3"/>
  <c r="CD202" i="3"/>
  <c r="M210" i="3"/>
  <c r="P211" i="3"/>
  <c r="BO209" i="3"/>
  <c r="BX211" i="3"/>
  <c r="F209" i="3"/>
  <c r="AH209" i="3"/>
  <c r="CJ209" i="3"/>
  <c r="M209" i="3"/>
  <c r="BQ206" i="3"/>
  <c r="L210" i="3"/>
  <c r="BK208" i="3"/>
  <c r="BT210" i="3"/>
  <c r="AF207" i="3"/>
  <c r="AD208" i="3"/>
  <c r="AF208" i="3"/>
  <c r="I208" i="3"/>
  <c r="BG210" i="3"/>
  <c r="AP208" i="3"/>
  <c r="BG207" i="3"/>
  <c r="BB209" i="3"/>
  <c r="BH205" i="3"/>
  <c r="Z207" i="3"/>
  <c r="AD209" i="3"/>
  <c r="AL203" i="3"/>
  <c r="CG211" i="3"/>
  <c r="G209" i="3"/>
  <c r="I209" i="3"/>
  <c r="BG203" i="3"/>
  <c r="CK202" i="3"/>
  <c r="AH211" i="3"/>
  <c r="G210" i="3"/>
  <c r="AR209" i="3"/>
  <c r="AA208" i="3"/>
  <c r="CB206" i="3"/>
  <c r="AA211" i="3"/>
  <c r="BA210" i="3"/>
  <c r="H208" i="3"/>
  <c r="BH207" i="3"/>
  <c r="AX204" i="3"/>
  <c r="BK210" i="3"/>
  <c r="U210" i="3"/>
  <c r="BZ205" i="3"/>
  <c r="BO206" i="3"/>
  <c r="AC211" i="3"/>
  <c r="AZ209" i="3"/>
  <c r="BJ209" i="3"/>
  <c r="AH204" i="3"/>
  <c r="P206" i="3"/>
  <c r="AG210" i="3"/>
  <c r="AH208" i="3"/>
  <c r="CG210" i="3"/>
  <c r="Y209" i="3"/>
  <c r="BK207" i="3"/>
  <c r="AJ210" i="3"/>
  <c r="CI208" i="3"/>
  <c r="L211" i="3"/>
  <c r="BS207" i="3"/>
  <c r="BB208" i="3"/>
  <c r="BQ208" i="3"/>
  <c r="AG208" i="3"/>
  <c r="BN202" i="3"/>
  <c r="CB208" i="3"/>
  <c r="CE207" i="3"/>
  <c r="H210" i="3"/>
  <c r="M206" i="3"/>
  <c r="AX207" i="3"/>
  <c r="N207" i="3"/>
  <c r="AC207" i="3"/>
  <c r="Y210" i="3"/>
  <c r="W207" i="3"/>
  <c r="CA206" i="3"/>
  <c r="AI208" i="3"/>
  <c r="P204" i="3"/>
  <c r="AT206" i="3"/>
  <c r="BY204" i="3"/>
  <c r="AW203" i="3"/>
  <c r="AB204" i="3"/>
  <c r="AJ205" i="3"/>
  <c r="AG209" i="3"/>
  <c r="Z210" i="3"/>
  <c r="AI204" i="3"/>
  <c r="Y206" i="3"/>
  <c r="W208" i="3"/>
  <c r="O202" i="3"/>
  <c r="N204" i="3"/>
  <c r="L206" i="3"/>
  <c r="AF210" i="3"/>
  <c r="BZ210" i="3"/>
  <c r="I203" i="3"/>
  <c r="AV205" i="3"/>
  <c r="AZ206" i="3"/>
  <c r="CG209" i="3"/>
  <c r="BY203" i="3"/>
  <c r="BW205" i="3"/>
  <c r="BV207" i="3"/>
  <c r="AV209" i="3"/>
  <c r="BH206" i="3"/>
  <c r="BI206" i="3"/>
  <c r="AZ207" i="3"/>
  <c r="CF210" i="3"/>
  <c r="BB211" i="3"/>
  <c r="H202" i="3"/>
  <c r="BA207" i="3"/>
  <c r="AY209" i="3"/>
  <c r="AQ203" i="3"/>
  <c r="AP205" i="3"/>
  <c r="BA211" i="3"/>
  <c r="BH211" i="3"/>
  <c r="T202" i="3"/>
  <c r="AB203" i="3"/>
  <c r="BJ207" i="3"/>
  <c r="BL208" i="3"/>
  <c r="AE203" i="3"/>
  <c r="U205" i="3"/>
  <c r="S207" i="3"/>
  <c r="R209" i="3"/>
  <c r="J203" i="3"/>
  <c r="BS210" i="3"/>
  <c r="BV208" i="3"/>
  <c r="BK209" i="3"/>
  <c r="U204" i="3"/>
  <c r="AN203" i="3"/>
  <c r="BL204" i="3"/>
  <c r="CC208" i="3"/>
  <c r="BU202" i="3"/>
  <c r="BS204" i="3"/>
  <c r="BR206" i="3"/>
  <c r="S206" i="3"/>
  <c r="M204" i="3"/>
  <c r="BX204" i="3"/>
  <c r="CA205" i="3"/>
  <c r="BT209" i="3"/>
  <c r="AX210" i="3"/>
  <c r="BG204" i="3"/>
  <c r="AW206" i="3"/>
  <c r="AU208" i="3"/>
  <c r="AM202" i="3"/>
  <c r="AL204" i="3"/>
  <c r="F207" i="3"/>
  <c r="BD210" i="3"/>
  <c r="R211" i="3"/>
  <c r="BE203" i="3"/>
  <c r="CJ205" i="3"/>
  <c r="G207" i="3"/>
  <c r="AA202" i="3"/>
  <c r="Q204" i="3"/>
  <c r="O206" i="3"/>
  <c r="N208" i="3"/>
  <c r="F202" i="3"/>
  <c r="BB207" i="3"/>
  <c r="P207" i="3"/>
  <c r="CK207" i="3"/>
  <c r="X211" i="3"/>
  <c r="BZ211" i="3"/>
  <c r="BD202" i="3"/>
  <c r="BY207" i="3"/>
  <c r="BW209" i="3"/>
  <c r="BO203" i="3"/>
  <c r="BN205" i="3"/>
  <c r="BS209" i="3"/>
  <c r="CF211" i="3"/>
  <c r="BP202" i="3"/>
  <c r="BX203" i="3"/>
  <c r="P208" i="3"/>
  <c r="Q209" i="3"/>
  <c r="BC203" i="3"/>
  <c r="AS205" i="3"/>
  <c r="AQ207" i="3"/>
  <c r="AP209" i="3"/>
  <c r="AH203" i="3"/>
  <c r="BS205" i="3"/>
  <c r="AB209" i="3"/>
  <c r="N210" i="3"/>
  <c r="Q205" i="3"/>
  <c r="CJ203" i="3"/>
  <c r="AB205" i="3"/>
  <c r="U209" i="3"/>
  <c r="M203" i="3"/>
  <c r="K205" i="3"/>
  <c r="J207" i="3"/>
  <c r="L207" i="3"/>
  <c r="Z202" i="3"/>
  <c r="AN205" i="3"/>
  <c r="AH206" i="3"/>
  <c r="T210" i="3"/>
  <c r="BV210" i="3"/>
  <c r="CE204" i="3"/>
  <c r="BU206" i="3"/>
  <c r="BS208" i="3"/>
  <c r="BK202" i="3"/>
  <c r="BJ204" i="3"/>
  <c r="CC207" i="3"/>
  <c r="CB210" i="3"/>
  <c r="AP211" i="3"/>
  <c r="BQ204" i="3"/>
  <c r="AQ206" i="3"/>
  <c r="AT207" i="3"/>
  <c r="AY202" i="3"/>
  <c r="AO204" i="3"/>
  <c r="AM206" i="3"/>
  <c r="AL208" i="3"/>
  <c r="AD202" i="3"/>
  <c r="AS208" i="3"/>
  <c r="BC207" i="3"/>
  <c r="AR208" i="3"/>
  <c r="AV211" i="3"/>
  <c r="AP202" i="3"/>
  <c r="T203" i="3"/>
  <c r="Q208" i="3"/>
  <c r="I202" i="3"/>
  <c r="G204" i="3"/>
  <c r="F206" i="3"/>
  <c r="G211" i="3"/>
  <c r="BA202" i="3"/>
  <c r="AF203" i="3"/>
  <c r="AN204" i="3"/>
  <c r="BA208" i="3"/>
  <c r="BD209" i="3"/>
  <c r="CA203" i="3"/>
  <c r="BQ205" i="3"/>
  <c r="BO207" i="3"/>
  <c r="BN209" i="3"/>
  <c r="BF203" i="3"/>
  <c r="AD203" i="3"/>
  <c r="BM209" i="3"/>
  <c r="AL210" i="3"/>
  <c r="CK205" i="3"/>
  <c r="AZ204" i="3"/>
  <c r="BT205" i="3"/>
  <c r="AS209" i="3"/>
  <c r="AK203" i="3"/>
  <c r="AI205" i="3"/>
  <c r="AH207" i="3"/>
  <c r="CJ207" i="3"/>
  <c r="BI204" i="3"/>
  <c r="CC205" i="3"/>
  <c r="BT206" i="3"/>
  <c r="AR210" i="3"/>
  <c r="N211" i="3"/>
  <c r="W205" i="3"/>
  <c r="M207" i="3"/>
  <c r="K209" i="3"/>
  <c r="CI202" i="3"/>
  <c r="CH204" i="3"/>
  <c r="P209" i="3"/>
  <c r="T211" i="3"/>
  <c r="BN211" i="3"/>
  <c r="AF202" i="3"/>
  <c r="CD206" i="3"/>
  <c r="CF207" i="3"/>
  <c r="BW202" i="3"/>
  <c r="BM204" i="3"/>
  <c r="BK206" i="3"/>
  <c r="BJ208" i="3"/>
  <c r="BB202" i="3"/>
  <c r="AM209" i="3"/>
  <c r="J208" i="3"/>
  <c r="CE208" i="3"/>
  <c r="BT211" i="3"/>
  <c r="AR202" i="3"/>
  <c r="BP203" i="3"/>
  <c r="AO208" i="3"/>
  <c r="AG202" i="3"/>
  <c r="AE204" i="3"/>
  <c r="AD206" i="3"/>
  <c r="AT203" i="3"/>
  <c r="Q203" i="3"/>
  <c r="CB203" i="3"/>
  <c r="CJ204" i="3"/>
  <c r="H209" i="3"/>
  <c r="J210" i="3"/>
  <c r="S204" i="3"/>
  <c r="I206" i="3"/>
  <c r="G208" i="3"/>
  <c r="F210" i="3"/>
  <c r="CD203" i="3"/>
  <c r="Y205" i="3"/>
  <c r="P210" i="3"/>
  <c r="BJ210" i="3"/>
  <c r="BI202" i="3"/>
  <c r="P205" i="3"/>
  <c r="AA206" i="3"/>
  <c r="BQ209" i="3"/>
  <c r="BI203" i="3"/>
  <c r="BG205" i="3"/>
  <c r="BF207" i="3"/>
  <c r="CD208" i="3"/>
  <c r="J206" i="3"/>
  <c r="AJ206" i="3"/>
  <c r="Y207" i="3"/>
  <c r="BP210" i="3"/>
  <c r="AL211" i="3"/>
  <c r="AU205" i="3"/>
  <c r="AK207" i="3"/>
  <c r="AI209" i="3"/>
  <c r="AA203" i="3"/>
  <c r="Z205" i="3"/>
  <c r="BU210" i="3"/>
  <c r="AR211" i="3"/>
  <c r="R202" i="3"/>
  <c r="CB202" i="3"/>
  <c r="AJ207" i="3"/>
  <c r="AK208" i="3"/>
  <c r="O203" i="3"/>
  <c r="CK204" i="3"/>
  <c r="CI206" i="3"/>
  <c r="CH208" i="3"/>
  <c r="BZ202" i="3"/>
  <c r="W210" i="3"/>
  <c r="AV208" i="3"/>
  <c r="AL209" i="3"/>
  <c r="AC202" i="3"/>
  <c r="H203" i="3"/>
  <c r="AF204" i="3"/>
  <c r="BM208" i="3"/>
  <c r="BE202" i="3"/>
  <c r="BC204" i="3"/>
  <c r="BB206" i="3"/>
  <c r="AL205" i="3"/>
  <c r="BM203" i="3"/>
  <c r="AR204" i="3"/>
  <c r="AZ205" i="3"/>
  <c r="AU209" i="3"/>
  <c r="AH210" i="3"/>
  <c r="AQ204" i="3"/>
  <c r="AG206" i="3"/>
  <c r="AE208" i="3"/>
  <c r="W202" i="3"/>
  <c r="V204" i="3"/>
  <c r="AK206" i="3"/>
  <c r="AN210" i="3"/>
  <c r="CH210" i="3"/>
  <c r="Y203" i="3"/>
  <c r="BK205" i="3"/>
  <c r="BN206" i="3"/>
  <c r="K202" i="3"/>
  <c r="CG203" i="3"/>
  <c r="CE205" i="3"/>
  <c r="CD207" i="3"/>
  <c r="BU209" i="3"/>
  <c r="CG206" i="3"/>
  <c r="BW206" i="3"/>
  <c r="BL207" i="3"/>
  <c r="H211" i="3"/>
  <c r="BJ211" i="3"/>
  <c r="X202" i="3"/>
  <c r="BI207" i="3"/>
  <c r="BG209" i="3"/>
  <c r="AY203" i="3"/>
  <c r="AX205" i="3"/>
  <c r="H207" i="3"/>
  <c r="BP211" i="3"/>
  <c r="AJ202" i="3"/>
  <c r="AR203" i="3"/>
  <c r="BU207" i="3"/>
  <c r="BX208" i="3"/>
  <c r="AM203" i="3"/>
  <c r="AC205" i="3"/>
  <c r="AA207" i="3"/>
  <c r="Z209" i="3"/>
  <c r="R203" i="3"/>
  <c r="AI211" i="3"/>
  <c r="CG208" i="3"/>
  <c r="BX209" i="3"/>
  <c r="BA204" i="3"/>
  <c r="BD203" i="3"/>
  <c r="CB204" i="3"/>
  <c r="CK208" i="3"/>
  <c r="CC202" i="3"/>
  <c r="CA204" i="3"/>
  <c r="BZ206" i="3"/>
  <c r="AR206" i="3"/>
  <c r="AC204" i="3"/>
  <c r="H205" i="3"/>
  <c r="H206" i="3"/>
  <c r="CH209" i="3"/>
  <c r="BF210" i="3"/>
  <c r="BO204" i="3"/>
  <c r="BE206" i="3"/>
  <c r="BC208" i="3"/>
  <c r="AU202" i="3"/>
  <c r="AT204" i="3"/>
  <c r="AE207" i="3"/>
  <c r="BL210" i="3"/>
  <c r="Z211" i="3"/>
  <c r="CK203" i="3"/>
  <c r="R206" i="3"/>
  <c r="T207" i="3"/>
  <c r="AI202" i="3"/>
  <c r="Y204" i="3"/>
  <c r="W206" i="3"/>
  <c r="V208" i="3"/>
  <c r="N202" i="3"/>
  <c r="CA207" i="3"/>
  <c r="AD207" i="3"/>
  <c r="S208" i="3"/>
  <c r="AF211" i="3"/>
  <c r="CH211" i="3"/>
  <c r="BT202" i="3"/>
  <c r="CG207" i="3"/>
  <c r="CE209" i="3"/>
  <c r="BW203" i="3"/>
  <c r="BV205" i="3"/>
  <c r="AA210" i="3"/>
  <c r="U202" i="3"/>
  <c r="CF202" i="3"/>
  <c r="H204" i="3"/>
  <c r="AB208" i="3"/>
  <c r="AE209" i="3"/>
  <c r="BK203" i="3"/>
  <c r="BA205" i="3"/>
  <c r="AY207" i="3"/>
  <c r="AX209" i="3"/>
  <c r="AP203" i="3"/>
  <c r="AM211" i="3"/>
  <c r="AN209" i="3"/>
  <c r="V210" i="3"/>
  <c r="AW205" i="3"/>
  <c r="T204" i="3"/>
  <c r="AR205" i="3"/>
  <c r="AC209" i="3"/>
  <c r="U203" i="3"/>
  <c r="S205" i="3"/>
  <c r="R207" i="3"/>
  <c r="AL207" i="3"/>
  <c r="V203" i="3"/>
  <c r="BD205" i="3"/>
  <c r="AS206" i="3"/>
  <c r="AB210" i="3"/>
  <c r="CD210" i="3"/>
  <c r="G205" i="3"/>
  <c r="CC206" i="3"/>
  <c r="CA208" i="3"/>
  <c r="BS202" i="3"/>
  <c r="BR204" i="3"/>
  <c r="AX208" i="3"/>
  <c r="CJ210" i="3"/>
  <c r="AX211" i="3"/>
  <c r="AG205" i="3"/>
  <c r="BD206" i="3"/>
  <c r="BE207" i="3"/>
  <c r="BG202" i="3"/>
  <c r="AW204" i="3"/>
  <c r="AU206" i="3"/>
  <c r="AT208" i="3"/>
  <c r="AL202" i="3"/>
  <c r="BT208" i="3"/>
  <c r="BP207" i="3"/>
  <c r="BF208" i="3"/>
  <c r="BD211" i="3"/>
  <c r="L202" i="3"/>
  <c r="AJ203" i="3"/>
  <c r="Y208" i="3"/>
  <c r="Q202" i="3"/>
  <c r="O204" i="3"/>
  <c r="N206" i="3"/>
  <c r="BS211" i="3"/>
  <c r="BQ202" i="3"/>
  <c r="AV203" i="3"/>
  <c r="BD204" i="3"/>
  <c r="BO208" i="3"/>
  <c r="BR209" i="3"/>
  <c r="CI203" i="3"/>
  <c r="BY205" i="3"/>
  <c r="BW207" i="3"/>
  <c r="BV209" i="3"/>
  <c r="BN203" i="3"/>
  <c r="J204" i="3"/>
  <c r="CA209" i="3"/>
  <c r="AT210" i="3"/>
  <c r="M202" i="3"/>
  <c r="BP204" i="3"/>
  <c r="CH205" i="3"/>
  <c r="BA209" i="3"/>
  <c r="AS203" i="3"/>
  <c r="AQ205" i="3"/>
  <c r="AP207" i="3"/>
  <c r="AC208" i="3"/>
  <c r="V205" i="3"/>
  <c r="K206" i="3"/>
  <c r="CF206" i="3"/>
  <c r="AZ210" i="3"/>
  <c r="V211" i="3"/>
  <c r="AE205" i="3"/>
  <c r="U207" i="3"/>
  <c r="S209" i="3"/>
  <c r="K203" i="3"/>
  <c r="J205" i="3"/>
  <c r="BP209" i="3"/>
  <c r="AB211" i="3"/>
  <c r="BV211" i="3"/>
  <c r="AV202" i="3"/>
  <c r="I207" i="3"/>
  <c r="L208" i="3"/>
  <c r="CE202" i="3"/>
  <c r="BU204" i="3"/>
  <c r="BS206" i="3"/>
  <c r="BR208" i="3"/>
  <c r="BJ202" i="3"/>
  <c r="AC210" i="3"/>
  <c r="BL209" i="3"/>
  <c r="U208" i="3"/>
  <c r="L209" i="3"/>
  <c r="CB211" i="3"/>
  <c r="BH202" i="3"/>
  <c r="CF203" i="3"/>
  <c r="AW208" i="3"/>
  <c r="AO202" i="3"/>
  <c r="AM204" i="3"/>
  <c r="AL206" i="3"/>
  <c r="Z204" i="3"/>
  <c r="AG203" i="3"/>
  <c r="L204" i="3"/>
  <c r="T205" i="3"/>
  <c r="V209" i="3"/>
  <c r="R210" i="3"/>
  <c r="AA204" i="3"/>
  <c r="Q206" i="3"/>
  <c r="O208" i="3"/>
  <c r="G202" i="3"/>
  <c r="F204" i="3"/>
  <c r="BP205" i="3"/>
  <c r="X210" i="3"/>
  <c r="BR210" i="3"/>
  <c r="BY202" i="3"/>
  <c r="AF205" i="3"/>
  <c r="AN206" i="3"/>
  <c r="BY209" i="3"/>
  <c r="BQ203" i="3"/>
  <c r="BO205" i="3"/>
  <c r="BN207" i="3"/>
  <c r="W209" i="3"/>
  <c r="AI206" i="3"/>
  <c r="AX206" i="3"/>
  <c r="AM207" i="3"/>
  <c r="BX210" i="3"/>
  <c r="AT211" i="3"/>
  <c r="BC205" i="3"/>
  <c r="AS207" i="3"/>
  <c r="AQ209" i="3"/>
  <c r="AI203" i="3"/>
  <c r="AH205" i="3"/>
  <c r="U211" i="3"/>
  <c r="AZ211" i="3"/>
  <c r="AH202" i="3"/>
  <c r="L203" i="3"/>
  <c r="AV207" i="3"/>
  <c r="AY208" i="3"/>
  <c r="W203" i="3"/>
  <c r="M205" i="3"/>
  <c r="K207" i="3"/>
  <c r="J209" i="3"/>
  <c r="CH202" i="3"/>
  <c r="BC210" i="3"/>
  <c r="BH208" i="3"/>
  <c r="AW209" i="3"/>
  <c r="BU203" i="3"/>
  <c r="X203" i="3"/>
  <c r="AV204" i="3"/>
  <c r="BU208" i="3"/>
  <c r="BM202" i="3"/>
  <c r="BK204" i="3"/>
  <c r="BJ206" i="3"/>
  <c r="BU205" i="3"/>
  <c r="CC203" i="3"/>
  <c r="BH204" i="3"/>
  <c r="BM205" i="3"/>
  <c r="BH209" i="3"/>
  <c r="AP210" i="3"/>
  <c r="AY204" i="3"/>
  <c r="AO206" i="3"/>
  <c r="AM208" i="3"/>
  <c r="AE202" i="3"/>
  <c r="AD204" i="3"/>
  <c r="BL206" i="3"/>
  <c r="AV210" i="3"/>
  <c r="J211" i="3"/>
  <c r="AO203" i="3"/>
  <c r="BX205" i="3"/>
  <c r="BY206" i="3"/>
  <c r="S202" i="3"/>
  <c r="I204" i="3"/>
  <c r="G206" i="3"/>
  <c r="BQ236" i="3"/>
  <c r="AW237" i="3"/>
  <c r="AC238" i="3"/>
  <c r="AR236" i="3"/>
  <c r="AL236" i="3"/>
  <c r="R237" i="3"/>
  <c r="CD237" i="3"/>
  <c r="BJ238" i="3"/>
  <c r="O236" i="3"/>
  <c r="CA236" i="3"/>
  <c r="BG237" i="3"/>
  <c r="AM238" i="3"/>
  <c r="BD237" i="3"/>
  <c r="AV236" i="3"/>
  <c r="AB237" i="3"/>
  <c r="H238" i="3"/>
  <c r="BT238" i="3"/>
  <c r="P237" i="3"/>
  <c r="CF238" i="3"/>
  <c r="BM236" i="3"/>
  <c r="AS237" i="3"/>
  <c r="Y238" i="3"/>
  <c r="CK238" i="3"/>
  <c r="BF236" i="3"/>
  <c r="AL237" i="3"/>
  <c r="R238" i="3"/>
  <c r="CD238" i="3"/>
  <c r="AY236" i="3"/>
  <c r="AE237" i="3"/>
  <c r="K238" i="3"/>
  <c r="BW238" i="3"/>
  <c r="M236" i="3"/>
  <c r="BY236" i="3"/>
  <c r="BE237" i="3"/>
  <c r="AK238" i="3"/>
  <c r="BL237" i="3"/>
  <c r="AT236" i="3"/>
  <c r="Z237" i="3"/>
  <c r="F238" i="3"/>
  <c r="BR238" i="3"/>
  <c r="W236" i="3"/>
  <c r="CI236" i="3"/>
  <c r="BO237" i="3"/>
  <c r="AU238" i="3"/>
  <c r="AB238" i="3"/>
  <c r="BD236" i="3"/>
  <c r="AJ237" i="3"/>
  <c r="P238" i="3"/>
  <c r="CB238" i="3"/>
  <c r="X237" i="3"/>
  <c r="I236" i="3"/>
  <c r="BU236" i="3"/>
  <c r="BA237" i="3"/>
  <c r="AG238" i="3"/>
  <c r="H237" i="3"/>
  <c r="BN236" i="3"/>
  <c r="AT237" i="3"/>
  <c r="Z238" i="3"/>
  <c r="AB236" i="3"/>
  <c r="BG236" i="3"/>
  <c r="AM237" i="3"/>
  <c r="S238" i="3"/>
  <c r="CE238" i="3"/>
  <c r="U236" i="3"/>
  <c r="CG236" i="3"/>
  <c r="BM237" i="3"/>
  <c r="AS238" i="3"/>
  <c r="L238" i="3"/>
  <c r="BB236" i="3"/>
  <c r="AH237" i="3"/>
  <c r="N238" i="3"/>
  <c r="BZ238" i="3"/>
  <c r="AE236" i="3"/>
  <c r="K237" i="3"/>
  <c r="BW237" i="3"/>
  <c r="BC238" i="3"/>
  <c r="BH238" i="3"/>
  <c r="BL236" i="3"/>
  <c r="AR237" i="3"/>
  <c r="X238" i="3"/>
  <c r="CJ238" i="3"/>
  <c r="AF237" i="3"/>
  <c r="Q236" i="3"/>
  <c r="CC236" i="3"/>
  <c r="BI237" i="3"/>
  <c r="AO238" i="3"/>
  <c r="J236" i="3"/>
  <c r="BV236" i="3"/>
  <c r="BB237" i="3"/>
  <c r="AH238" i="3"/>
  <c r="BP238" i="3"/>
  <c r="BO236" i="3"/>
  <c r="AU237" i="3"/>
  <c r="AA238" i="3"/>
  <c r="BH236" i="3"/>
  <c r="AC236" i="3"/>
  <c r="I237" i="3"/>
  <c r="BU237" i="3"/>
  <c r="BA238" i="3"/>
  <c r="AZ238" i="3"/>
  <c r="BJ236" i="3"/>
  <c r="AP237" i="3"/>
  <c r="V238" i="3"/>
  <c r="CH238" i="3"/>
  <c r="AM236" i="3"/>
  <c r="S237" i="3"/>
  <c r="CE237" i="3"/>
  <c r="BK238" i="3"/>
  <c r="H236" i="3"/>
  <c r="BT236" i="3"/>
  <c r="AZ237" i="3"/>
  <c r="AF238" i="3"/>
  <c r="L236" i="3"/>
  <c r="AV237" i="3"/>
  <c r="Y236" i="3"/>
  <c r="CK236" i="3"/>
  <c r="BQ237" i="3"/>
  <c r="AW238" i="3"/>
  <c r="R236" i="3"/>
  <c r="CD236" i="3"/>
  <c r="BJ237" i="3"/>
  <c r="AP238" i="3"/>
  <c r="K236" i="3"/>
  <c r="BW236" i="3"/>
  <c r="BC237" i="3"/>
  <c r="AI238" i="3"/>
  <c r="CJ237" i="3"/>
  <c r="AK236" i="3"/>
  <c r="Q237" i="3"/>
  <c r="CC237" i="3"/>
  <c r="BI238" i="3"/>
  <c r="F236" i="3"/>
  <c r="BR236" i="3"/>
  <c r="AX237" i="3"/>
  <c r="AD238" i="3"/>
  <c r="T236" i="3"/>
  <c r="AU236" i="3"/>
  <c r="AA237" i="3"/>
  <c r="G238" i="3"/>
  <c r="BS238" i="3"/>
  <c r="P236" i="3"/>
  <c r="CB236" i="3"/>
  <c r="BH237" i="3"/>
  <c r="AN238" i="3"/>
  <c r="AZ236" i="3"/>
  <c r="BT237" i="3"/>
  <c r="AG236" i="3"/>
  <c r="M237" i="3"/>
  <c r="BY237" i="3"/>
  <c r="BE238" i="3"/>
  <c r="Z236" i="3"/>
  <c r="F237" i="3"/>
  <c r="BR237" i="3"/>
  <c r="AX238" i="3"/>
  <c r="S236" i="3"/>
  <c r="CE236" i="3"/>
  <c r="BK237" i="3"/>
  <c r="AQ238" i="3"/>
  <c r="BX238" i="3"/>
  <c r="AS236" i="3"/>
  <c r="Y237" i="3"/>
  <c r="CK237" i="3"/>
  <c r="BQ238" i="3"/>
  <c r="N236" i="3"/>
  <c r="BZ236" i="3"/>
  <c r="BF237" i="3"/>
  <c r="AL238" i="3"/>
  <c r="AN237" i="3"/>
  <c r="BC236" i="3"/>
  <c r="AI237" i="3"/>
  <c r="O238" i="3"/>
  <c r="CA238" i="3"/>
  <c r="X236" i="3"/>
  <c r="CJ236" i="3"/>
  <c r="BP237" i="3"/>
  <c r="AV238" i="3"/>
  <c r="BP236" i="3"/>
  <c r="CB237" i="3"/>
  <c r="AO236" i="3"/>
  <c r="U237" i="3"/>
  <c r="CG237" i="3"/>
  <c r="BM238" i="3"/>
  <c r="AH236" i="3"/>
  <c r="N237" i="3"/>
  <c r="BZ237" i="3"/>
  <c r="BF238" i="3"/>
  <c r="AA236" i="3"/>
  <c r="G237" i="3"/>
  <c r="BS237" i="3"/>
  <c r="AY238" i="3"/>
  <c r="BA236" i="3"/>
  <c r="AG237" i="3"/>
  <c r="M238" i="3"/>
  <c r="BY238" i="3"/>
  <c r="V236" i="3"/>
  <c r="CH236" i="3"/>
  <c r="BN237" i="3"/>
  <c r="AT238" i="3"/>
  <c r="AJ238" i="3"/>
  <c r="BK236" i="3"/>
  <c r="AQ237" i="3"/>
  <c r="W238" i="3"/>
  <c r="CI238" i="3"/>
  <c r="AF236" i="3"/>
  <c r="L237" i="3"/>
  <c r="BX237" i="3"/>
  <c r="BD238" i="3"/>
  <c r="BX236" i="3"/>
  <c r="T238" i="3"/>
  <c r="AW236" i="3"/>
  <c r="AC237" i="3"/>
  <c r="I238" i="3"/>
  <c r="BU238" i="3"/>
  <c r="AP236" i="3"/>
  <c r="V237" i="3"/>
  <c r="CH237" i="3"/>
  <c r="BN238" i="3"/>
  <c r="AI236" i="3"/>
  <c r="O237" i="3"/>
  <c r="CA237" i="3"/>
  <c r="BG238" i="3"/>
  <c r="BI236" i="3"/>
  <c r="AO237" i="3"/>
  <c r="U238" i="3"/>
  <c r="CG238" i="3"/>
  <c r="AD236" i="3"/>
  <c r="J237" i="3"/>
  <c r="BV237" i="3"/>
  <c r="BB238" i="3"/>
  <c r="G236" i="3"/>
  <c r="BS236" i="3"/>
  <c r="AY237" i="3"/>
  <c r="AE238" i="3"/>
  <c r="AJ236" i="3"/>
  <c r="AN236" i="3"/>
  <c r="T237" i="3"/>
  <c r="CF237" i="3"/>
  <c r="BL238" i="3"/>
  <c r="CF236" i="3"/>
  <c r="AR238" i="3"/>
  <c r="BE236" i="3"/>
  <c r="AK237" i="3"/>
  <c r="Q238" i="3"/>
  <c r="CC238" i="3"/>
  <c r="AX236" i="3"/>
  <c r="AD237" i="3"/>
  <c r="J238" i="3"/>
  <c r="BV238" i="3"/>
  <c r="AQ236" i="3"/>
  <c r="W237" i="3"/>
  <c r="CI237" i="3"/>
  <c r="BO238" i="3"/>
  <c r="D151" i="3"/>
  <c r="K162" i="3"/>
  <c r="K69" i="8" s="1"/>
  <c r="K70" i="8" s="1"/>
  <c r="AS162" i="3"/>
  <c r="AS44" i="5" s="1"/>
  <c r="AM162" i="3"/>
  <c r="AM69" i="8" s="1"/>
  <c r="AM70" i="8" s="1"/>
  <c r="AH162" i="3"/>
  <c r="AH44" i="5" s="1"/>
  <c r="U162" i="3"/>
  <c r="U44" i="5" s="1"/>
  <c r="AJ162" i="3"/>
  <c r="AJ69" i="8" s="1"/>
  <c r="AJ70" i="8" s="1"/>
  <c r="BH162" i="3"/>
  <c r="BH35" i="7" s="1"/>
  <c r="AZ162" i="3"/>
  <c r="AZ69" i="8" s="1"/>
  <c r="AZ70" i="8" s="1"/>
  <c r="BA162" i="3"/>
  <c r="BA35" i="7" s="1"/>
  <c r="AQ162" i="3"/>
  <c r="AQ69" i="8" s="1"/>
  <c r="AQ70" i="8" s="1"/>
  <c r="AY162" i="3"/>
  <c r="AY44" i="5" s="1"/>
  <c r="AR162" i="3"/>
  <c r="AR44" i="5" s="1"/>
  <c r="AX162" i="3"/>
  <c r="AX44" i="5" s="1"/>
  <c r="AN162" i="3"/>
  <c r="AN35" i="7" s="1"/>
  <c r="S162" i="3"/>
  <c r="S44" i="5" s="1"/>
  <c r="H162" i="3"/>
  <c r="H44" i="5" s="1"/>
  <c r="Z162" i="3"/>
  <c r="Z35" i="7" s="1"/>
  <c r="N162" i="3"/>
  <c r="N44" i="5" s="1"/>
  <c r="Q162" i="3"/>
  <c r="Q35" i="7" s="1"/>
  <c r="BC162" i="3"/>
  <c r="BC44" i="5" s="1"/>
  <c r="R162" i="3"/>
  <c r="R69" i="8" s="1"/>
  <c r="R70" i="8" s="1"/>
  <c r="BE162" i="3"/>
  <c r="BE44" i="5" s="1"/>
  <c r="P162" i="3"/>
  <c r="P35" i="7" s="1"/>
  <c r="O162" i="3"/>
  <c r="O69" i="8" s="1"/>
  <c r="O70" i="8" s="1"/>
  <c r="BK162" i="3"/>
  <c r="BK69" i="8" s="1"/>
  <c r="BK70" i="8" s="1"/>
  <c r="BJ162" i="3"/>
  <c r="BJ44" i="5" s="1"/>
  <c r="AB44" i="5"/>
  <c r="AB35" i="7"/>
  <c r="AB69" i="8"/>
  <c r="AB70" i="8" s="1"/>
  <c r="AC162" i="3"/>
  <c r="AG44" i="5"/>
  <c r="AG35" i="7"/>
  <c r="AG69" i="8"/>
  <c r="AG70" i="8" s="1"/>
  <c r="BI162" i="3"/>
  <c r="AF162" i="3"/>
  <c r="BD162" i="3"/>
  <c r="G69" i="8"/>
  <c r="G70" i="8" s="1"/>
  <c r="G44" i="5"/>
  <c r="G35" i="7"/>
  <c r="L162" i="3"/>
  <c r="AD162" i="3"/>
  <c r="V162" i="3"/>
  <c r="AV162" i="3"/>
  <c r="AP162" i="3"/>
  <c r="AE162" i="3"/>
  <c r="AK69" i="8"/>
  <c r="AK70" i="8" s="1"/>
  <c r="AK44" i="5"/>
  <c r="AK35" i="7"/>
  <c r="AO162" i="3"/>
  <c r="Y162" i="3"/>
  <c r="AW162" i="3"/>
  <c r="AI162" i="3"/>
  <c r="M162" i="3"/>
  <c r="X162" i="3"/>
  <c r="W162" i="3"/>
  <c r="BG162" i="3"/>
  <c r="AL162" i="3"/>
  <c r="AT162" i="3"/>
  <c r="F162" i="3"/>
  <c r="AU162" i="3"/>
  <c r="J162" i="3"/>
  <c r="T162" i="3"/>
  <c r="BL35" i="7"/>
  <c r="BL69" i="8"/>
  <c r="BL70" i="8" s="1"/>
  <c r="BL44" i="5"/>
  <c r="AA162" i="3"/>
  <c r="BF44" i="5"/>
  <c r="BF35" i="7"/>
  <c r="BF69" i="8"/>
  <c r="BF70" i="8" s="1"/>
  <c r="BM162" i="3"/>
  <c r="BB162" i="3"/>
  <c r="I162" i="3"/>
  <c r="N157" i="5"/>
  <c r="N158" i="5" s="1"/>
  <c r="N163" i="5" s="1"/>
  <c r="N44" i="7" s="1"/>
  <c r="O78" i="4"/>
  <c r="O80" i="4" s="1"/>
  <c r="O48" i="7" s="1"/>
  <c r="AA91" i="4"/>
  <c r="AB147" i="4"/>
  <c r="AB148" i="4" s="1"/>
  <c r="AB149" i="4" s="1"/>
  <c r="AC142" i="4"/>
  <c r="AC145" i="4" s="1"/>
  <c r="Z92" i="4"/>
  <c r="Z177" i="7" s="1"/>
  <c r="AC85" i="4"/>
  <c r="AC88" i="4" s="1"/>
  <c r="AB90" i="4"/>
  <c r="R342" i="3" l="1"/>
  <c r="S336" i="3" a="1"/>
  <c r="M61" i="9"/>
  <c r="M62" i="9"/>
  <c r="L61" i="9"/>
  <c r="L62" i="9"/>
  <c r="CE66" i="5"/>
  <c r="CA66" i="5"/>
  <c r="BZ66" i="5"/>
  <c r="CJ66" i="5"/>
  <c r="BW66" i="5"/>
  <c r="CG66" i="5"/>
  <c r="BQ66" i="5"/>
  <c r="CC66" i="5"/>
  <c r="BP66" i="5"/>
  <c r="CI66" i="5"/>
  <c r="BR66" i="5"/>
  <c r="CF66" i="5"/>
  <c r="CH66" i="5"/>
  <c r="BS66" i="5"/>
  <c r="BV66" i="5"/>
  <c r="CK66" i="5"/>
  <c r="BT66" i="5"/>
  <c r="CD66" i="5"/>
  <c r="CB66" i="5"/>
  <c r="BU66" i="5"/>
  <c r="BY66" i="5"/>
  <c r="BX66" i="5"/>
  <c r="CF76" i="7"/>
  <c r="CH76" i="7"/>
  <c r="BQ76" i="7"/>
  <c r="CI76" i="7"/>
  <c r="BV76" i="7"/>
  <c r="CG76" i="7"/>
  <c r="BP76" i="7"/>
  <c r="CC76" i="7"/>
  <c r="CA76" i="7"/>
  <c r="BO76" i="7"/>
  <c r="CE76" i="7"/>
  <c r="CK76" i="7"/>
  <c r="BX76" i="7"/>
  <c r="BT76" i="7"/>
  <c r="CB76" i="7"/>
  <c r="BW76" i="7"/>
  <c r="CJ76" i="7"/>
  <c r="CD76" i="7"/>
  <c r="BS76" i="7"/>
  <c r="BY76" i="7"/>
  <c r="BU76" i="7"/>
  <c r="BR76" i="7"/>
  <c r="BZ76" i="7"/>
  <c r="AA173" i="7"/>
  <c r="AB319" i="3"/>
  <c r="AB322" i="3" s="1"/>
  <c r="BC239" i="3"/>
  <c r="BC244" i="3" s="1"/>
  <c r="AU239" i="3"/>
  <c r="AU244" i="3" s="1"/>
  <c r="AQ239" i="3"/>
  <c r="AQ244" i="3" s="1"/>
  <c r="AS35" i="7"/>
  <c r="AS73" i="7" s="1"/>
  <c r="X212" i="3"/>
  <c r="X52" i="8" s="1"/>
  <c r="AM239" i="3"/>
  <c r="AM244" i="3" s="1"/>
  <c r="AZ212" i="3"/>
  <c r="AZ52" i="8" s="1"/>
  <c r="BO212" i="3"/>
  <c r="BV212" i="3"/>
  <c r="BB212" i="3"/>
  <c r="BB243" i="3" s="1"/>
  <c r="BT212" i="3"/>
  <c r="AK212" i="3"/>
  <c r="AK52" i="8" s="1"/>
  <c r="BU212" i="3"/>
  <c r="AZ239" i="3"/>
  <c r="AZ244" i="3" s="1"/>
  <c r="AG212" i="3"/>
  <c r="AG243" i="3" s="1"/>
  <c r="AW212" i="3"/>
  <c r="AW52" i="8" s="1"/>
  <c r="BR212" i="3"/>
  <c r="CB212" i="3"/>
  <c r="AX212" i="3"/>
  <c r="AX243" i="3" s="1"/>
  <c r="AO212" i="3"/>
  <c r="AO243" i="3" s="1"/>
  <c r="AS212" i="3"/>
  <c r="AS243" i="3" s="1"/>
  <c r="BK212" i="3"/>
  <c r="BK52" i="8" s="1"/>
  <c r="BC212" i="3"/>
  <c r="BC52" i="8" s="1"/>
  <c r="BG212" i="3"/>
  <c r="BG52" i="8" s="1"/>
  <c r="BN212" i="3"/>
  <c r="AU212" i="3"/>
  <c r="AU243" i="3" s="1"/>
  <c r="Y212" i="3"/>
  <c r="Y52" i="8" s="1"/>
  <c r="BD212" i="3"/>
  <c r="BD243" i="3" s="1"/>
  <c r="BX239" i="3"/>
  <c r="BX244" i="3" s="1"/>
  <c r="AS239" i="3"/>
  <c r="AS244" i="3" s="1"/>
  <c r="CD239" i="3"/>
  <c r="CD244" i="3" s="1"/>
  <c r="AN212" i="3"/>
  <c r="AN52" i="8" s="1"/>
  <c r="CI212" i="3"/>
  <c r="AI239" i="3"/>
  <c r="AI244" i="3" s="1"/>
  <c r="AW239" i="3"/>
  <c r="AW244" i="3" s="1"/>
  <c r="BX212" i="3"/>
  <c r="G212" i="3"/>
  <c r="G52" i="8" s="1"/>
  <c r="AB212" i="3"/>
  <c r="AB52" i="8" s="1"/>
  <c r="BI212" i="3"/>
  <c r="BI243" i="3" s="1"/>
  <c r="AJ239" i="3"/>
  <c r="AJ244" i="3" s="1"/>
  <c r="AD239" i="3"/>
  <c r="AD244" i="3" s="1"/>
  <c r="F212" i="3"/>
  <c r="F52" i="8" s="1"/>
  <c r="L239" i="3"/>
  <c r="L244" i="3" s="1"/>
  <c r="BY212" i="3"/>
  <c r="K212" i="3"/>
  <c r="K243" i="3" s="1"/>
  <c r="W212" i="3"/>
  <c r="W52" i="8" s="1"/>
  <c r="AC212" i="3"/>
  <c r="AC243" i="3" s="1"/>
  <c r="O212" i="3"/>
  <c r="O52" i="8" s="1"/>
  <c r="S212" i="3"/>
  <c r="S52" i="8" s="1"/>
  <c r="AF212" i="3"/>
  <c r="AF243" i="3" s="1"/>
  <c r="AY212" i="3"/>
  <c r="AY243" i="3" s="1"/>
  <c r="BZ212" i="3"/>
  <c r="BL212" i="3"/>
  <c r="BL243" i="3" s="1"/>
  <c r="CJ212" i="3"/>
  <c r="BK239" i="3"/>
  <c r="BK244" i="3" s="1"/>
  <c r="AV212" i="3"/>
  <c r="AV52" i="8" s="1"/>
  <c r="CF239" i="3"/>
  <c r="CF244" i="3" s="1"/>
  <c r="BS239" i="3"/>
  <c r="BS244" i="3" s="1"/>
  <c r="CA239" i="3"/>
  <c r="CA244" i="3" s="1"/>
  <c r="AT212" i="3"/>
  <c r="AT243" i="3" s="1"/>
  <c r="BQ212" i="3"/>
  <c r="CF212" i="3"/>
  <c r="BW212" i="3"/>
  <c r="BE212" i="3"/>
  <c r="BE52" i="8" s="1"/>
  <c r="AJ212" i="3"/>
  <c r="AJ243" i="3" s="1"/>
  <c r="BP239" i="3"/>
  <c r="BP244" i="3" s="1"/>
  <c r="BA239" i="3"/>
  <c r="BA244" i="3" s="1"/>
  <c r="CE239" i="3"/>
  <c r="CE244" i="3" s="1"/>
  <c r="BW239" i="3"/>
  <c r="BW244" i="3" s="1"/>
  <c r="CI239" i="3"/>
  <c r="CI244" i="3" s="1"/>
  <c r="D211" i="3"/>
  <c r="BM212" i="3"/>
  <c r="BM243" i="3" s="1"/>
  <c r="CH212" i="3"/>
  <c r="AH212" i="3"/>
  <c r="AH243" i="3" s="1"/>
  <c r="L212" i="3"/>
  <c r="L52" i="8" s="1"/>
  <c r="BH212" i="3"/>
  <c r="BH52" i="8" s="1"/>
  <c r="BS212" i="3"/>
  <c r="BP212" i="3"/>
  <c r="BF212" i="3"/>
  <c r="BF52" i="8" s="1"/>
  <c r="CA212" i="3"/>
  <c r="AL212" i="3"/>
  <c r="AL243" i="3" s="1"/>
  <c r="CE212" i="3"/>
  <c r="CC212" i="3"/>
  <c r="R212" i="3"/>
  <c r="R52" i="8" s="1"/>
  <c r="BJ212" i="3"/>
  <c r="BJ52" i="8" s="1"/>
  <c r="CG212" i="3"/>
  <c r="AR212" i="3"/>
  <c r="AR243" i="3" s="1"/>
  <c r="CK212" i="3"/>
  <c r="AD212" i="3"/>
  <c r="AD243" i="3" s="1"/>
  <c r="CD212" i="3"/>
  <c r="BA212" i="3"/>
  <c r="BA243" i="3" s="1"/>
  <c r="O239" i="3"/>
  <c r="O244" i="3" s="1"/>
  <c r="AC239" i="3"/>
  <c r="AC244" i="3" s="1"/>
  <c r="D204" i="3"/>
  <c r="G239" i="3"/>
  <c r="G244" i="3" s="1"/>
  <c r="BI239" i="3"/>
  <c r="BI244" i="3" s="1"/>
  <c r="D207" i="3"/>
  <c r="D202" i="3"/>
  <c r="V212" i="3"/>
  <c r="V52" i="8" s="1"/>
  <c r="D203" i="3"/>
  <c r="Z212" i="3"/>
  <c r="Z52" i="8" s="1"/>
  <c r="D205" i="3"/>
  <c r="D206" i="3"/>
  <c r="D208" i="3"/>
  <c r="Q212" i="3"/>
  <c r="Q52" i="8" s="1"/>
  <c r="T212" i="3"/>
  <c r="T243" i="3" s="1"/>
  <c r="D209" i="3"/>
  <c r="AP212" i="3"/>
  <c r="AP52" i="8" s="1"/>
  <c r="AA212" i="3"/>
  <c r="AA243" i="3" s="1"/>
  <c r="AM212" i="3"/>
  <c r="AM243" i="3" s="1"/>
  <c r="M212" i="3"/>
  <c r="M52" i="8" s="1"/>
  <c r="U212" i="3"/>
  <c r="U52" i="8" s="1"/>
  <c r="AE212" i="3"/>
  <c r="AE243" i="3" s="1"/>
  <c r="AQ212" i="3"/>
  <c r="AQ52" i="8" s="1"/>
  <c r="I212" i="3"/>
  <c r="I243" i="3" s="1"/>
  <c r="AI212" i="3"/>
  <c r="AI52" i="8" s="1"/>
  <c r="J212" i="3"/>
  <c r="J243" i="3" s="1"/>
  <c r="BE239" i="3"/>
  <c r="BE244" i="3" s="1"/>
  <c r="AE239" i="3"/>
  <c r="AE244" i="3" s="1"/>
  <c r="CG239" i="3"/>
  <c r="CG244" i="3" s="1"/>
  <c r="W239" i="3"/>
  <c r="W244" i="3" s="1"/>
  <c r="BY239" i="3"/>
  <c r="BY244" i="3" s="1"/>
  <c r="BQ239" i="3"/>
  <c r="BQ244" i="3" s="1"/>
  <c r="D237" i="3"/>
  <c r="T239" i="3"/>
  <c r="T244" i="3" s="1"/>
  <c r="AK239" i="3"/>
  <c r="AK244" i="3" s="1"/>
  <c r="BV239" i="3"/>
  <c r="BV244" i="3" s="1"/>
  <c r="U239" i="3"/>
  <c r="U244" i="3" s="1"/>
  <c r="BN239" i="3"/>
  <c r="BN244" i="3" s="1"/>
  <c r="M239" i="3"/>
  <c r="M244" i="3" s="1"/>
  <c r="BF239" i="3"/>
  <c r="BF244" i="3" s="1"/>
  <c r="N212" i="3"/>
  <c r="N52" i="8" s="1"/>
  <c r="D210" i="3"/>
  <c r="P212" i="3"/>
  <c r="P52" i="8" s="1"/>
  <c r="D238" i="3"/>
  <c r="AH239" i="3"/>
  <c r="AH244" i="3" s="1"/>
  <c r="Z239" i="3"/>
  <c r="Z244" i="3" s="1"/>
  <c r="R239" i="3"/>
  <c r="R244" i="3" s="1"/>
  <c r="BH239" i="3"/>
  <c r="BH244" i="3" s="1"/>
  <c r="J239" i="3"/>
  <c r="J244" i="3" s="1"/>
  <c r="H212" i="3"/>
  <c r="H243" i="3" s="1"/>
  <c r="AP239" i="3"/>
  <c r="AP244" i="3" s="1"/>
  <c r="CJ239" i="3"/>
  <c r="CJ244" i="3" s="1"/>
  <c r="CB239" i="3"/>
  <c r="CB244" i="3" s="1"/>
  <c r="BT239" i="3"/>
  <c r="BT244" i="3" s="1"/>
  <c r="BL239" i="3"/>
  <c r="BL244" i="3" s="1"/>
  <c r="BD239" i="3"/>
  <c r="BD244" i="3" s="1"/>
  <c r="AV239" i="3"/>
  <c r="AV244" i="3" s="1"/>
  <c r="AX239" i="3"/>
  <c r="AX244" i="3" s="1"/>
  <c r="X239" i="3"/>
  <c r="X244" i="3" s="1"/>
  <c r="BZ239" i="3"/>
  <c r="BZ244" i="3" s="1"/>
  <c r="P239" i="3"/>
  <c r="P244" i="3" s="1"/>
  <c r="BR239" i="3"/>
  <c r="BR244" i="3" s="1"/>
  <c r="H239" i="3"/>
  <c r="H244" i="3" s="1"/>
  <c r="BJ239" i="3"/>
  <c r="BJ244" i="3" s="1"/>
  <c r="BB239" i="3"/>
  <c r="BB244" i="3" s="1"/>
  <c r="AT239" i="3"/>
  <c r="AT244" i="3" s="1"/>
  <c r="AL239" i="3"/>
  <c r="AL244" i="3" s="1"/>
  <c r="AF239" i="3"/>
  <c r="AF244" i="3" s="1"/>
  <c r="CH239" i="3"/>
  <c r="CH244" i="3" s="1"/>
  <c r="N239" i="3"/>
  <c r="N244" i="3" s="1"/>
  <c r="D236" i="3"/>
  <c r="F239" i="3"/>
  <c r="F244" i="3" s="1"/>
  <c r="CK239" i="3"/>
  <c r="CK244" i="3" s="1"/>
  <c r="BO239" i="3"/>
  <c r="BO244" i="3" s="1"/>
  <c r="CC239" i="3"/>
  <c r="CC244" i="3" s="1"/>
  <c r="BG239" i="3"/>
  <c r="BG244" i="3" s="1"/>
  <c r="BU239" i="3"/>
  <c r="BU244" i="3" s="1"/>
  <c r="AY239" i="3"/>
  <c r="AY244" i="3" s="1"/>
  <c r="BM239" i="3"/>
  <c r="BM244" i="3" s="1"/>
  <c r="AR239" i="3"/>
  <c r="AR244" i="3" s="1"/>
  <c r="AN239" i="3"/>
  <c r="AN244" i="3" s="1"/>
  <c r="V239" i="3"/>
  <c r="V244" i="3" s="1"/>
  <c r="AA239" i="3"/>
  <c r="AA244" i="3" s="1"/>
  <c r="AO239" i="3"/>
  <c r="AO244" i="3" s="1"/>
  <c r="S239" i="3"/>
  <c r="S244" i="3" s="1"/>
  <c r="AG239" i="3"/>
  <c r="AG244" i="3" s="1"/>
  <c r="K239" i="3"/>
  <c r="K244" i="3" s="1"/>
  <c r="Y239" i="3"/>
  <c r="Y244" i="3" s="1"/>
  <c r="Q239" i="3"/>
  <c r="Q244" i="3" s="1"/>
  <c r="AB239" i="3"/>
  <c r="AB244" i="3" s="1"/>
  <c r="I239" i="3"/>
  <c r="I244" i="3" s="1"/>
  <c r="K44" i="5"/>
  <c r="K75" i="7" s="1"/>
  <c r="K35" i="7"/>
  <c r="K73" i="7" s="1"/>
  <c r="AS69" i="8"/>
  <c r="AS70" i="8" s="1"/>
  <c r="AT68" i="8" s="1"/>
  <c r="AR69" i="8"/>
  <c r="AR70" i="8" s="1"/>
  <c r="AS68" i="8" s="1"/>
  <c r="AH35" i="7"/>
  <c r="AH73" i="7" s="1"/>
  <c r="AZ44" i="5"/>
  <c r="AZ51" i="5" s="1"/>
  <c r="AH69" i="8"/>
  <c r="AH70" i="8" s="1"/>
  <c r="AI68" i="8" s="1"/>
  <c r="AR35" i="7"/>
  <c r="AJ35" i="7"/>
  <c r="AJ73" i="7" s="1"/>
  <c r="U69" i="8"/>
  <c r="U70" i="8" s="1"/>
  <c r="V68" i="8" s="1"/>
  <c r="AM35" i="7"/>
  <c r="S35" i="7"/>
  <c r="S73" i="7" s="1"/>
  <c r="U35" i="7"/>
  <c r="U73" i="7" s="1"/>
  <c r="AM44" i="5"/>
  <c r="AM75" i="7" s="1"/>
  <c r="BH69" i="8"/>
  <c r="BH70" i="8" s="1"/>
  <c r="BI68" i="8" s="1"/>
  <c r="AN44" i="5"/>
  <c r="AN75" i="7" s="1"/>
  <c r="AY35" i="7"/>
  <c r="BH44" i="5"/>
  <c r="BH51" i="5" s="1"/>
  <c r="P44" i="5"/>
  <c r="P51" i="5" s="1"/>
  <c r="AZ35" i="7"/>
  <c r="AJ44" i="5"/>
  <c r="AJ51" i="5" s="1"/>
  <c r="BC35" i="7"/>
  <c r="BC73" i="7" s="1"/>
  <c r="AX35" i="7"/>
  <c r="AX73" i="7" s="1"/>
  <c r="AX69" i="8"/>
  <c r="AX70" i="8" s="1"/>
  <c r="AY68" i="8" s="1"/>
  <c r="BA44" i="5"/>
  <c r="BA75" i="7" s="1"/>
  <c r="BA69" i="8"/>
  <c r="BA70" i="8" s="1"/>
  <c r="BB68" i="8" s="1"/>
  <c r="AQ35" i="7"/>
  <c r="AQ73" i="7" s="1"/>
  <c r="AQ44" i="5"/>
  <c r="AQ75" i="7" s="1"/>
  <c r="O44" i="5"/>
  <c r="O51" i="5" s="1"/>
  <c r="P69" i="8"/>
  <c r="P70" i="8" s="1"/>
  <c r="Q68" i="8" s="1"/>
  <c r="Q44" i="5"/>
  <c r="Q75" i="7" s="1"/>
  <c r="AY69" i="8"/>
  <c r="AY70" i="8" s="1"/>
  <c r="AZ68" i="8" s="1"/>
  <c r="AZ81" i="8" s="1"/>
  <c r="AZ74" i="7" s="1"/>
  <c r="Q69" i="8"/>
  <c r="Q70" i="8" s="1"/>
  <c r="R68" i="8" s="1"/>
  <c r="R81" i="8" s="1"/>
  <c r="S69" i="8"/>
  <c r="S70" i="8" s="1"/>
  <c r="T68" i="8" s="1"/>
  <c r="BE69" i="8"/>
  <c r="BE70" i="8" s="1"/>
  <c r="BF68" i="8" s="1"/>
  <c r="BF81" i="8" s="1"/>
  <c r="BF74" i="7" s="1"/>
  <c r="BE35" i="7"/>
  <c r="BE73" i="7" s="1"/>
  <c r="BJ35" i="7"/>
  <c r="BJ73" i="7" s="1"/>
  <c r="AN69" i="8"/>
  <c r="AN70" i="8" s="1"/>
  <c r="AO68" i="8" s="1"/>
  <c r="N35" i="7"/>
  <c r="N73" i="7" s="1"/>
  <c r="BJ69" i="8"/>
  <c r="BJ70" i="8" s="1"/>
  <c r="BK68" i="8" s="1"/>
  <c r="BK81" i="8" s="1"/>
  <c r="BK74" i="7" s="1"/>
  <c r="N69" i="8"/>
  <c r="N70" i="8" s="1"/>
  <c r="N148" i="7" s="1"/>
  <c r="BK44" i="5"/>
  <c r="BK75" i="7" s="1"/>
  <c r="R35" i="7"/>
  <c r="R73" i="7" s="1"/>
  <c r="H35" i="7"/>
  <c r="H73" i="7" s="1"/>
  <c r="O35" i="7"/>
  <c r="H69" i="8"/>
  <c r="H70" i="8" s="1"/>
  <c r="I68" i="8" s="1"/>
  <c r="R44" i="5"/>
  <c r="R51" i="5" s="1"/>
  <c r="BC69" i="8"/>
  <c r="BC70" i="8" s="1"/>
  <c r="BD68" i="8" s="1"/>
  <c r="Z44" i="5"/>
  <c r="Z75" i="7" s="1"/>
  <c r="BK35" i="7"/>
  <c r="Z69" i="8"/>
  <c r="Z70" i="8" s="1"/>
  <c r="AA68" i="8" s="1"/>
  <c r="BL73" i="7"/>
  <c r="F44" i="5"/>
  <c r="F69" i="8"/>
  <c r="F70" i="8" s="1"/>
  <c r="F35" i="7"/>
  <c r="H75" i="7"/>
  <c r="H51" i="5"/>
  <c r="AR75" i="7"/>
  <c r="AR51" i="5"/>
  <c r="AK51" i="5"/>
  <c r="AK75" i="7"/>
  <c r="AN68" i="8"/>
  <c r="BE75" i="7"/>
  <c r="BE51" i="5"/>
  <c r="BC51" i="5"/>
  <c r="BC75" i="7"/>
  <c r="AC44" i="5"/>
  <c r="AC69" i="8"/>
  <c r="AC70" i="8" s="1"/>
  <c r="AC35" i="7"/>
  <c r="AY51" i="5"/>
  <c r="AY75" i="7"/>
  <c r="BA73" i="7"/>
  <c r="Z73" i="7"/>
  <c r="BL68" i="8"/>
  <c r="BL81" i="8" s="1"/>
  <c r="BL74" i="7" s="1"/>
  <c r="BM44" i="5"/>
  <c r="BM69" i="8"/>
  <c r="BM70" i="8" s="1"/>
  <c r="BN68" i="8" s="1"/>
  <c r="BN81" i="8" s="1"/>
  <c r="BN74" i="7" s="1"/>
  <c r="BN76" i="7" s="1"/>
  <c r="BM35" i="7"/>
  <c r="AA69" i="8"/>
  <c r="AA70" i="8" s="1"/>
  <c r="AA35" i="7"/>
  <c r="AA44" i="5"/>
  <c r="J35" i="7"/>
  <c r="J44" i="5"/>
  <c r="J69" i="8"/>
  <c r="J70" i="8" s="1"/>
  <c r="AT69" i="8"/>
  <c r="AT70" i="8" s="1"/>
  <c r="AT44" i="5"/>
  <c r="AT35" i="7"/>
  <c r="X69" i="8"/>
  <c r="X70" i="8" s="1"/>
  <c r="X44" i="5"/>
  <c r="X35" i="7"/>
  <c r="M69" i="8"/>
  <c r="M70" i="8" s="1"/>
  <c r="M44" i="5"/>
  <c r="M35" i="7"/>
  <c r="AI44" i="5"/>
  <c r="AI69" i="8"/>
  <c r="AI70" i="8" s="1"/>
  <c r="AI35" i="7"/>
  <c r="AR68" i="8"/>
  <c r="AL68" i="8"/>
  <c r="AV35" i="7"/>
  <c r="AV44" i="5"/>
  <c r="AV69" i="8"/>
  <c r="AV70" i="8" s="1"/>
  <c r="U75" i="7"/>
  <c r="U51" i="5"/>
  <c r="G51" i="5"/>
  <c r="G75" i="7"/>
  <c r="AS51" i="5"/>
  <c r="AS75" i="7"/>
  <c r="AH68" i="8"/>
  <c r="AC68" i="8"/>
  <c r="N51" i="5"/>
  <c r="N75" i="7"/>
  <c r="BJ51" i="5"/>
  <c r="BJ75" i="7"/>
  <c r="BB44" i="5"/>
  <c r="BB35" i="7"/>
  <c r="BB69" i="8"/>
  <c r="BB70" i="8" s="1"/>
  <c r="BH73" i="7"/>
  <c r="AH75" i="7"/>
  <c r="AH51" i="5"/>
  <c r="W69" i="8"/>
  <c r="W70" i="8" s="1"/>
  <c r="W35" i="7"/>
  <c r="W44" i="5"/>
  <c r="AX75" i="7"/>
  <c r="AX51" i="5"/>
  <c r="L68" i="8"/>
  <c r="K148" i="7"/>
  <c r="AW69" i="8"/>
  <c r="AW70" i="8" s="1"/>
  <c r="AW35" i="7"/>
  <c r="AW44" i="5"/>
  <c r="Y44" i="5"/>
  <c r="Y69" i="8"/>
  <c r="Y70" i="8" s="1"/>
  <c r="Y35" i="7"/>
  <c r="AO44" i="5"/>
  <c r="AO69" i="8"/>
  <c r="AO70" i="8" s="1"/>
  <c r="AO35" i="7"/>
  <c r="AE69" i="8"/>
  <c r="AE70" i="8" s="1"/>
  <c r="AE44" i="5"/>
  <c r="AE35" i="7"/>
  <c r="V35" i="7"/>
  <c r="V44" i="5"/>
  <c r="V69" i="8"/>
  <c r="V70" i="8" s="1"/>
  <c r="AD35" i="7"/>
  <c r="AD44" i="5"/>
  <c r="AD69" i="8"/>
  <c r="AD70" i="8" s="1"/>
  <c r="H68" i="8"/>
  <c r="G148" i="7"/>
  <c r="BD44" i="5"/>
  <c r="BD69" i="8"/>
  <c r="BD70" i="8" s="1"/>
  <c r="BD35" i="7"/>
  <c r="BI35" i="7"/>
  <c r="BI44" i="5"/>
  <c r="BI69" i="8"/>
  <c r="BI70" i="8" s="1"/>
  <c r="AG73" i="7"/>
  <c r="AB73" i="7"/>
  <c r="Q73" i="7"/>
  <c r="BA68" i="8"/>
  <c r="BF75" i="7"/>
  <c r="BF51" i="5"/>
  <c r="T44" i="5"/>
  <c r="T69" i="8"/>
  <c r="T70" i="8" s="1"/>
  <c r="T35" i="7"/>
  <c r="G73" i="7"/>
  <c r="S68" i="8"/>
  <c r="R148" i="7"/>
  <c r="BG68" i="8"/>
  <c r="BL51" i="5"/>
  <c r="BL75" i="7"/>
  <c r="AU35" i="7"/>
  <c r="AU69" i="8"/>
  <c r="AU70" i="8" s="1"/>
  <c r="AU44" i="5"/>
  <c r="AL44" i="5"/>
  <c r="AL69" i="8"/>
  <c r="AL70" i="8" s="1"/>
  <c r="AL35" i="7"/>
  <c r="I35" i="7"/>
  <c r="I69" i="8"/>
  <c r="I70" i="8" s="1"/>
  <c r="I44" i="5"/>
  <c r="BF73" i="7"/>
  <c r="BM68" i="8"/>
  <c r="D162" i="3"/>
  <c r="BG69" i="8"/>
  <c r="BG70" i="8" s="1"/>
  <c r="BG44" i="5"/>
  <c r="BG35" i="7"/>
  <c r="AK73" i="7"/>
  <c r="AP69" i="8"/>
  <c r="AP70" i="8" s="1"/>
  <c r="AP44" i="5"/>
  <c r="AP35" i="7"/>
  <c r="L44" i="5"/>
  <c r="L35" i="7"/>
  <c r="L69" i="8"/>
  <c r="L70" i="8" s="1"/>
  <c r="P73" i="7"/>
  <c r="AF35" i="7"/>
  <c r="AF69" i="8"/>
  <c r="AF70" i="8" s="1"/>
  <c r="AF44" i="5"/>
  <c r="AG75" i="7"/>
  <c r="AG51" i="5"/>
  <c r="AB51" i="5"/>
  <c r="AB75" i="7"/>
  <c r="S51" i="5"/>
  <c r="S75" i="7"/>
  <c r="P68" i="8"/>
  <c r="O148" i="7"/>
  <c r="AN73" i="7"/>
  <c r="AK68" i="8"/>
  <c r="AK81" i="8" s="1"/>
  <c r="AK74" i="7" s="1"/>
  <c r="O81" i="4"/>
  <c r="AB91" i="4"/>
  <c r="AB148" i="7"/>
  <c r="AD85" i="4"/>
  <c r="AD88" i="4" s="1"/>
  <c r="AC90" i="4"/>
  <c r="AA92" i="4"/>
  <c r="AA177" i="7" s="1"/>
  <c r="AD142" i="4"/>
  <c r="AD145" i="4" s="1"/>
  <c r="AC147" i="4"/>
  <c r="AC148" i="4" s="1"/>
  <c r="AC149" i="4" s="1"/>
  <c r="AM245" i="3" l="1"/>
  <c r="AM75" i="8" s="1"/>
  <c r="AM76" i="8" s="1"/>
  <c r="AN74" i="8" s="1"/>
  <c r="S336" i="3"/>
  <c r="S338" i="3"/>
  <c r="S344" i="3" s="1"/>
  <c r="S337" i="3"/>
  <c r="S343" i="3" s="1"/>
  <c r="M63" i="9"/>
  <c r="K116" i="15" s="1"/>
  <c r="L63" i="9"/>
  <c r="J116" i="15" s="1"/>
  <c r="BA245" i="3"/>
  <c r="BA45" i="5" s="1"/>
  <c r="K18" i="9"/>
  <c r="I73" i="15" s="1"/>
  <c r="AM73" i="7"/>
  <c r="I18" i="9"/>
  <c r="H18" i="9"/>
  <c r="F18" i="9"/>
  <c r="O73" i="7"/>
  <c r="G18" i="9"/>
  <c r="AY73" i="7"/>
  <c r="J18" i="9"/>
  <c r="BK73" i="7"/>
  <c r="BK76" i="7" s="1"/>
  <c r="AU245" i="3"/>
  <c r="AU37" i="7" s="1"/>
  <c r="AU80" i="7" s="1"/>
  <c r="D35" i="7"/>
  <c r="CG243" i="3"/>
  <c r="CG245" i="3" s="1"/>
  <c r="CG37" i="7" s="1"/>
  <c r="CG52" i="8"/>
  <c r="BP243" i="3"/>
  <c r="BP245" i="3" s="1"/>
  <c r="BP37" i="7" s="1"/>
  <c r="BP52" i="8"/>
  <c r="CF243" i="3"/>
  <c r="CF245" i="3" s="1"/>
  <c r="CF37" i="7" s="1"/>
  <c r="CF52" i="8"/>
  <c r="CJ243" i="3"/>
  <c r="CJ245" i="3" s="1"/>
  <c r="CJ37" i="7" s="1"/>
  <c r="CJ52" i="8"/>
  <c r="BS243" i="3"/>
  <c r="BS245" i="3" s="1"/>
  <c r="BS37" i="7" s="1"/>
  <c r="BS52" i="8"/>
  <c r="BQ243" i="3"/>
  <c r="BQ245" i="3" s="1"/>
  <c r="BQ37" i="7" s="1"/>
  <c r="BQ52" i="8"/>
  <c r="BU243" i="3"/>
  <c r="BU245" i="3" s="1"/>
  <c r="BU37" i="7" s="1"/>
  <c r="BU52" i="8"/>
  <c r="BZ243" i="3"/>
  <c r="BZ245" i="3" s="1"/>
  <c r="BZ37" i="7" s="1"/>
  <c r="BZ52" i="8"/>
  <c r="BY243" i="3"/>
  <c r="BY245" i="3" s="1"/>
  <c r="BY37" i="7" s="1"/>
  <c r="BY52" i="8"/>
  <c r="BX243" i="3"/>
  <c r="BX245" i="3" s="1"/>
  <c r="BX37" i="7" s="1"/>
  <c r="BX52" i="8"/>
  <c r="CC243" i="3"/>
  <c r="CC245" i="3" s="1"/>
  <c r="CC37" i="7" s="1"/>
  <c r="CC52" i="8"/>
  <c r="BT243" i="3"/>
  <c r="BT245" i="3" s="1"/>
  <c r="BT37" i="7" s="1"/>
  <c r="BT52" i="8"/>
  <c r="CD243" i="3"/>
  <c r="CD245" i="3" s="1"/>
  <c r="CD37" i="7" s="1"/>
  <c r="CD52" i="8"/>
  <c r="CE243" i="3"/>
  <c r="CE245" i="3" s="1"/>
  <c r="CE37" i="7" s="1"/>
  <c r="CE52" i="8"/>
  <c r="CB243" i="3"/>
  <c r="CB245" i="3" s="1"/>
  <c r="CB37" i="7" s="1"/>
  <c r="CB52" i="8"/>
  <c r="CH243" i="3"/>
  <c r="CH245" i="3" s="1"/>
  <c r="CH37" i="7" s="1"/>
  <c r="CH52" i="8"/>
  <c r="CI243" i="3"/>
  <c r="CI245" i="3" s="1"/>
  <c r="CI37" i="7" s="1"/>
  <c r="CI52" i="8"/>
  <c r="BN243" i="3"/>
  <c r="BN245" i="3" s="1"/>
  <c r="BN37" i="7" s="1"/>
  <c r="BN52" i="8"/>
  <c r="BR243" i="3"/>
  <c r="BR245" i="3" s="1"/>
  <c r="BR37" i="7" s="1"/>
  <c r="BR52" i="8"/>
  <c r="BV243" i="3"/>
  <c r="BV245" i="3" s="1"/>
  <c r="BV37" i="7" s="1"/>
  <c r="BV52" i="8"/>
  <c r="CK243" i="3"/>
  <c r="CK245" i="3" s="1"/>
  <c r="CK37" i="7" s="1"/>
  <c r="CK52" i="8"/>
  <c r="CA243" i="3"/>
  <c r="CA245" i="3" s="1"/>
  <c r="CA37" i="7" s="1"/>
  <c r="CA52" i="8"/>
  <c r="BO243" i="3"/>
  <c r="BO245" i="3" s="1"/>
  <c r="BO37" i="7" s="1"/>
  <c r="BO52" i="8"/>
  <c r="BW243" i="3"/>
  <c r="BW245" i="3" s="1"/>
  <c r="BW37" i="7" s="1"/>
  <c r="BW52" i="8"/>
  <c r="D44" i="5"/>
  <c r="AD245" i="3"/>
  <c r="AD45" i="5" s="1"/>
  <c r="AK243" i="3"/>
  <c r="AK245" i="3" s="1"/>
  <c r="AK75" i="8" s="1"/>
  <c r="AK76" i="8" s="1"/>
  <c r="AL74" i="8" s="1"/>
  <c r="AI243" i="3"/>
  <c r="AI245" i="3" s="1"/>
  <c r="AI45" i="5" s="1"/>
  <c r="R243" i="3"/>
  <c r="R245" i="3" s="1"/>
  <c r="R75" i="8" s="1"/>
  <c r="R76" i="8" s="1"/>
  <c r="Z243" i="3"/>
  <c r="Z245" i="3" s="1"/>
  <c r="Z37" i="7" s="1"/>
  <c r="N243" i="3"/>
  <c r="N245" i="3" s="1"/>
  <c r="N75" i="8" s="1"/>
  <c r="N76" i="8" s="1"/>
  <c r="AB173" i="7"/>
  <c r="G160" i="9" s="1"/>
  <c r="AC319" i="3"/>
  <c r="AC322" i="3" s="1"/>
  <c r="Y243" i="3"/>
  <c r="Y245" i="3" s="1"/>
  <c r="Y37" i="7" s="1"/>
  <c r="Y80" i="7" s="1"/>
  <c r="K52" i="8"/>
  <c r="K53" i="8" s="1"/>
  <c r="X243" i="3"/>
  <c r="X245" i="3" s="1"/>
  <c r="X37" i="7" s="1"/>
  <c r="X80" i="7" s="1"/>
  <c r="AS52" i="8"/>
  <c r="AS59" i="8" s="1"/>
  <c r="M243" i="3"/>
  <c r="M245" i="3" s="1"/>
  <c r="M45" i="5" s="1"/>
  <c r="AG52" i="8"/>
  <c r="AG53" i="8" s="1"/>
  <c r="AZ243" i="3"/>
  <c r="AZ245" i="3" s="1"/>
  <c r="AZ45" i="5" s="1"/>
  <c r="P243" i="3"/>
  <c r="P245" i="3" s="1"/>
  <c r="P75" i="8" s="1"/>
  <c r="P76" i="8" s="1"/>
  <c r="AM52" i="8"/>
  <c r="AM53" i="8" s="1"/>
  <c r="AQ243" i="3"/>
  <c r="AQ245" i="3" s="1"/>
  <c r="AQ37" i="7" s="1"/>
  <c r="AQ80" i="7" s="1"/>
  <c r="F243" i="3"/>
  <c r="F245" i="3" s="1"/>
  <c r="T52" i="8"/>
  <c r="T59" i="8" s="1"/>
  <c r="AU52" i="8"/>
  <c r="AU53" i="8" s="1"/>
  <c r="AF52" i="8"/>
  <c r="AF53" i="8" s="1"/>
  <c r="AH52" i="8"/>
  <c r="AH53" i="8" s="1"/>
  <c r="BB52" i="8"/>
  <c r="BB53" i="8" s="1"/>
  <c r="J245" i="3"/>
  <c r="J75" i="8" s="1"/>
  <c r="J76" i="8" s="1"/>
  <c r="BL52" i="8"/>
  <c r="BL53" i="8" s="1"/>
  <c r="G243" i="3"/>
  <c r="G245" i="3" s="1"/>
  <c r="G75" i="8" s="1"/>
  <c r="G76" i="8" s="1"/>
  <c r="BJ243" i="3"/>
  <c r="BJ245" i="3" s="1"/>
  <c r="BJ45" i="5" s="1"/>
  <c r="H52" i="8"/>
  <c r="H59" i="8" s="1"/>
  <c r="J52" i="8"/>
  <c r="J53" i="8" s="1"/>
  <c r="AA52" i="8"/>
  <c r="AA53" i="8" s="1"/>
  <c r="AX245" i="3"/>
  <c r="AX75" i="8" s="1"/>
  <c r="AX76" i="8" s="1"/>
  <c r="AY74" i="8" s="1"/>
  <c r="BA52" i="8"/>
  <c r="BA53" i="8" s="1"/>
  <c r="V243" i="3"/>
  <c r="V245" i="3" s="1"/>
  <c r="V45" i="5" s="1"/>
  <c r="AX52" i="8"/>
  <c r="AX53" i="8" s="1"/>
  <c r="AW243" i="3"/>
  <c r="AW245" i="3" s="1"/>
  <c r="AW45" i="5" s="1"/>
  <c r="BB245" i="3"/>
  <c r="BB45" i="5" s="1"/>
  <c r="AJ245" i="3"/>
  <c r="AJ37" i="7" s="1"/>
  <c r="AJ80" i="7" s="1"/>
  <c r="AC245" i="3"/>
  <c r="AC75" i="8" s="1"/>
  <c r="AC76" i="8" s="1"/>
  <c r="AD74" i="8" s="1"/>
  <c r="AG245" i="3"/>
  <c r="AG45" i="5" s="1"/>
  <c r="BM52" i="8"/>
  <c r="BM59" i="8" s="1"/>
  <c r="BC243" i="3"/>
  <c r="BC245" i="3" s="1"/>
  <c r="BC37" i="7" s="1"/>
  <c r="BC80" i="7" s="1"/>
  <c r="W243" i="3"/>
  <c r="W245" i="3" s="1"/>
  <c r="W75" i="8" s="1"/>
  <c r="W76" i="8" s="1"/>
  <c r="AN243" i="3"/>
  <c r="AN245" i="3" s="1"/>
  <c r="AN37" i="7" s="1"/>
  <c r="AC52" i="8"/>
  <c r="AC53" i="8" s="1"/>
  <c r="BF243" i="3"/>
  <c r="BF245" i="3" s="1"/>
  <c r="BI52" i="8"/>
  <c r="BI59" i="8" s="1"/>
  <c r="BK243" i="3"/>
  <c r="BK245" i="3" s="1"/>
  <c r="BK45" i="5" s="1"/>
  <c r="AB243" i="3"/>
  <c r="AB245" i="3" s="1"/>
  <c r="AB75" i="8" s="1"/>
  <c r="AB76" i="8" s="1"/>
  <c r="AB172" i="7" s="1"/>
  <c r="AJ52" i="8"/>
  <c r="AJ53" i="8" s="1"/>
  <c r="AR52" i="8"/>
  <c r="AR53" i="8" s="1"/>
  <c r="T245" i="3"/>
  <c r="T45" i="5" s="1"/>
  <c r="BG243" i="3"/>
  <c r="BG245" i="3" s="1"/>
  <c r="BG45" i="5" s="1"/>
  <c r="O243" i="3"/>
  <c r="O245" i="3" s="1"/>
  <c r="AS245" i="3"/>
  <c r="AS37" i="7" s="1"/>
  <c r="BE243" i="3"/>
  <c r="BE245" i="3" s="1"/>
  <c r="BE37" i="7" s="1"/>
  <c r="BE80" i="7" s="1"/>
  <c r="AT245" i="3"/>
  <c r="AT45" i="5" s="1"/>
  <c r="BD245" i="3"/>
  <c r="BD37" i="7" s="1"/>
  <c r="BD80" i="7" s="1"/>
  <c r="K51" i="5"/>
  <c r="BD52" i="8"/>
  <c r="BD53" i="8" s="1"/>
  <c r="BH243" i="3"/>
  <c r="BH245" i="3" s="1"/>
  <c r="BH37" i="7" s="1"/>
  <c r="AT52" i="8"/>
  <c r="AT59" i="8" s="1"/>
  <c r="AR245" i="3"/>
  <c r="AR45" i="5" s="1"/>
  <c r="AP243" i="3"/>
  <c r="AP245" i="3" s="1"/>
  <c r="AP75" i="8" s="1"/>
  <c r="AP76" i="8" s="1"/>
  <c r="AO52" i="8"/>
  <c r="AO53" i="8" s="1"/>
  <c r="AH245" i="3"/>
  <c r="AH75" i="8" s="1"/>
  <c r="AH76" i="8" s="1"/>
  <c r="AI74" i="8" s="1"/>
  <c r="AY245" i="3"/>
  <c r="AY75" i="8" s="1"/>
  <c r="AY76" i="8" s="1"/>
  <c r="D212" i="3"/>
  <c r="I52" i="8"/>
  <c r="I59" i="8" s="1"/>
  <c r="BM245" i="3"/>
  <c r="BM37" i="7" s="1"/>
  <c r="BM80" i="7" s="1"/>
  <c r="L243" i="3"/>
  <c r="L245" i="3" s="1"/>
  <c r="L45" i="5" s="1"/>
  <c r="U243" i="3"/>
  <c r="U245" i="3" s="1"/>
  <c r="AV243" i="3"/>
  <c r="AV245" i="3" s="1"/>
  <c r="AV45" i="5" s="1"/>
  <c r="BI245" i="3"/>
  <c r="BI75" i="8" s="1"/>
  <c r="BI76" i="8" s="1"/>
  <c r="S243" i="3"/>
  <c r="S245" i="3" s="1"/>
  <c r="S75" i="8" s="1"/>
  <c r="S76" i="8" s="1"/>
  <c r="AY52" i="8"/>
  <c r="AY53" i="8" s="1"/>
  <c r="AD52" i="8"/>
  <c r="AD59" i="8" s="1"/>
  <c r="D244" i="3"/>
  <c r="BF53" i="8"/>
  <c r="BF59" i="8"/>
  <c r="AE245" i="3"/>
  <c r="AE45" i="5" s="1"/>
  <c r="AL245" i="3"/>
  <c r="AL75" i="8" s="1"/>
  <c r="AL76" i="8" s="1"/>
  <c r="AE52" i="8"/>
  <c r="AE59" i="8" s="1"/>
  <c r="Q243" i="3"/>
  <c r="Q245" i="3" s="1"/>
  <c r="Q45" i="5" s="1"/>
  <c r="AF245" i="3"/>
  <c r="AF75" i="8" s="1"/>
  <c r="AF76" i="8" s="1"/>
  <c r="AG74" i="8" s="1"/>
  <c r="AO245" i="3"/>
  <c r="AO37" i="7" s="1"/>
  <c r="AO80" i="7" s="1"/>
  <c r="D239" i="3"/>
  <c r="AL52" i="8"/>
  <c r="AL53" i="8" s="1"/>
  <c r="AA245" i="3"/>
  <c r="AA37" i="7" s="1"/>
  <c r="I245" i="3"/>
  <c r="I37" i="7" s="1"/>
  <c r="I80" i="7" s="1"/>
  <c r="BL245" i="3"/>
  <c r="BL37" i="7" s="1"/>
  <c r="H245" i="3"/>
  <c r="H45" i="5" s="1"/>
  <c r="K245" i="3"/>
  <c r="K45" i="5" s="1"/>
  <c r="AR81" i="8"/>
  <c r="AR74" i="7" s="1"/>
  <c r="BC53" i="8"/>
  <c r="BC59" i="8"/>
  <c r="BH59" i="8"/>
  <c r="BH53" i="8"/>
  <c r="V59" i="8"/>
  <c r="V53" i="8"/>
  <c r="Q53" i="8"/>
  <c r="Q59" i="8"/>
  <c r="Z53" i="8"/>
  <c r="Z59" i="8"/>
  <c r="G59" i="8"/>
  <c r="G53" i="8"/>
  <c r="BK59" i="8"/>
  <c r="BK53" i="8"/>
  <c r="M59" i="8"/>
  <c r="M53" i="8"/>
  <c r="AZ53" i="8"/>
  <c r="AZ59" i="8"/>
  <c r="AP53" i="8"/>
  <c r="AP59" i="8"/>
  <c r="BJ59" i="8"/>
  <c r="BJ53" i="8"/>
  <c r="W53" i="8"/>
  <c r="W59" i="8"/>
  <c r="R59" i="8"/>
  <c r="R53" i="8"/>
  <c r="O53" i="8"/>
  <c r="O59" i="8"/>
  <c r="BE53" i="8"/>
  <c r="BE59" i="8"/>
  <c r="AI59" i="8"/>
  <c r="AI53" i="8"/>
  <c r="AQ59" i="8"/>
  <c r="AQ53" i="8"/>
  <c r="AN53" i="8"/>
  <c r="AN59" i="8"/>
  <c r="AK59" i="8"/>
  <c r="AK53" i="8"/>
  <c r="AB59" i="8"/>
  <c r="AB53" i="8"/>
  <c r="X59" i="8"/>
  <c r="X53" i="8"/>
  <c r="Y53" i="8"/>
  <c r="Y59" i="8"/>
  <c r="F59" i="8"/>
  <c r="F47" i="8"/>
  <c r="F48" i="8" s="1"/>
  <c r="G45" i="8" s="1"/>
  <c r="G47" i="8" s="1"/>
  <c r="G48" i="8" s="1"/>
  <c r="H45" i="8" s="1"/>
  <c r="F53" i="8"/>
  <c r="F58" i="8" s="1"/>
  <c r="L59" i="8"/>
  <c r="L53" i="8"/>
  <c r="P59" i="8"/>
  <c r="P53" i="8"/>
  <c r="S59" i="8"/>
  <c r="S53" i="8"/>
  <c r="AW53" i="8"/>
  <c r="AW59" i="8"/>
  <c r="N59" i="8"/>
  <c r="N53" i="8"/>
  <c r="U53" i="8"/>
  <c r="U59" i="8"/>
  <c r="AV53" i="8"/>
  <c r="AV59" i="8"/>
  <c r="BG53" i="8"/>
  <c r="BG59" i="8"/>
  <c r="AR73" i="7"/>
  <c r="BA81" i="8"/>
  <c r="BA74" i="7" s="1"/>
  <c r="BA76" i="7" s="1"/>
  <c r="U148" i="7"/>
  <c r="AM51" i="5"/>
  <c r="AJ75" i="7"/>
  <c r="AS81" i="8"/>
  <c r="AS74" i="7" s="1"/>
  <c r="AS76" i="7" s="1"/>
  <c r="AZ75" i="7"/>
  <c r="BH75" i="7"/>
  <c r="P81" i="8"/>
  <c r="P74" i="7" s="1"/>
  <c r="BA51" i="5"/>
  <c r="BA66" i="5" s="1"/>
  <c r="AH81" i="8"/>
  <c r="AH74" i="7" s="1"/>
  <c r="AH76" i="7" s="1"/>
  <c r="P75" i="7"/>
  <c r="AN51" i="5"/>
  <c r="Q51" i="5"/>
  <c r="R66" i="5" s="1"/>
  <c r="R75" i="7"/>
  <c r="AZ73" i="7"/>
  <c r="H148" i="7"/>
  <c r="AQ51" i="5"/>
  <c r="AS66" i="5" s="1"/>
  <c r="AY81" i="8"/>
  <c r="AY74" i="7" s="1"/>
  <c r="S148" i="7"/>
  <c r="P148" i="7"/>
  <c r="F135" i="9" s="1"/>
  <c r="O68" i="8"/>
  <c r="O81" i="8" s="1"/>
  <c r="O74" i="7" s="1"/>
  <c r="O75" i="7"/>
  <c r="BK51" i="5"/>
  <c r="S81" i="8"/>
  <c r="S74" i="7" s="1"/>
  <c r="S76" i="7" s="1"/>
  <c r="H81" i="8"/>
  <c r="H74" i="7" s="1"/>
  <c r="H76" i="7" s="1"/>
  <c r="AN81" i="8"/>
  <c r="AN74" i="7" s="1"/>
  <c r="AN76" i="7" s="1"/>
  <c r="Q81" i="8"/>
  <c r="Q74" i="7" s="1"/>
  <c r="Q76" i="7" s="1"/>
  <c r="Q148" i="7"/>
  <c r="Z148" i="7"/>
  <c r="G135" i="9" s="1"/>
  <c r="Z51" i="5"/>
  <c r="AL73" i="7"/>
  <c r="U68" i="8"/>
  <c r="U81" i="8" s="1"/>
  <c r="T81" i="8"/>
  <c r="T148" i="7"/>
  <c r="BD51" i="5"/>
  <c r="BE66" i="5" s="1"/>
  <c r="BD75" i="7"/>
  <c r="AD75" i="7"/>
  <c r="AD51" i="5"/>
  <c r="Z68" i="8"/>
  <c r="Z81" i="8" s="1"/>
  <c r="Y148" i="7"/>
  <c r="BM75" i="7"/>
  <c r="K62" i="9" s="1"/>
  <c r="BM51" i="5"/>
  <c r="BO66" i="5" s="1"/>
  <c r="I75" i="7"/>
  <c r="I51" i="5"/>
  <c r="AM68" i="8"/>
  <c r="AM81" i="8" s="1"/>
  <c r="AM74" i="7" s="1"/>
  <c r="AL81" i="8"/>
  <c r="AL74" i="7" s="1"/>
  <c r="AU73" i="7"/>
  <c r="P66" i="5"/>
  <c r="T75" i="7"/>
  <c r="T51" i="5"/>
  <c r="U66" i="5" s="1"/>
  <c r="BI73" i="7"/>
  <c r="AD73" i="7"/>
  <c r="AE73" i="7"/>
  <c r="AP68" i="8"/>
  <c r="AP81" i="8" s="1"/>
  <c r="AP74" i="7" s="1"/>
  <c r="AO81" i="8"/>
  <c r="AO74" i="7" s="1"/>
  <c r="Y51" i="5"/>
  <c r="Y75" i="7"/>
  <c r="W75" i="7"/>
  <c r="W51" i="5"/>
  <c r="BC68" i="8"/>
  <c r="BC81" i="8" s="1"/>
  <c r="BC74" i="7" s="1"/>
  <c r="BC76" i="7" s="1"/>
  <c r="BB81" i="8"/>
  <c r="BB74" i="7" s="1"/>
  <c r="AW68" i="8"/>
  <c r="AW81" i="8" s="1"/>
  <c r="AW74" i="7" s="1"/>
  <c r="M73" i="7"/>
  <c r="X51" i="5"/>
  <c r="X75" i="7"/>
  <c r="AU68" i="8"/>
  <c r="AU81" i="8" s="1"/>
  <c r="AU74" i="7" s="1"/>
  <c r="AT81" i="8"/>
  <c r="AT74" i="7" s="1"/>
  <c r="AB68" i="8"/>
  <c r="AB81" i="8" s="1"/>
  <c r="AA81" i="8"/>
  <c r="AA148" i="7"/>
  <c r="AC73" i="7"/>
  <c r="F75" i="7"/>
  <c r="F51" i="5"/>
  <c r="AG68" i="8"/>
  <c r="AG81" i="8" s="1"/>
  <c r="AG74" i="7" s="1"/>
  <c r="AG76" i="7" s="1"/>
  <c r="AV68" i="8"/>
  <c r="AV81" i="8" s="1"/>
  <c r="AV74" i="7" s="1"/>
  <c r="V73" i="7"/>
  <c r="AX68" i="8"/>
  <c r="AX81" i="8" s="1"/>
  <c r="AX74" i="7" s="1"/>
  <c r="AX76" i="7" s="1"/>
  <c r="AI51" i="5"/>
  <c r="AJ66" i="5" s="1"/>
  <c r="AI75" i="7"/>
  <c r="AT51" i="5"/>
  <c r="AT75" i="7"/>
  <c r="AA73" i="7"/>
  <c r="F81" i="8"/>
  <c r="G68" i="8"/>
  <c r="G81" i="8" s="1"/>
  <c r="F148" i="7"/>
  <c r="AF73" i="7"/>
  <c r="AP73" i="7"/>
  <c r="AK76" i="7"/>
  <c r="BG73" i="7"/>
  <c r="L75" i="7"/>
  <c r="L51" i="5"/>
  <c r="AP51" i="5"/>
  <c r="AP75" i="7"/>
  <c r="I81" i="8"/>
  <c r="J68" i="8"/>
  <c r="J81" i="8" s="1"/>
  <c r="I148" i="7"/>
  <c r="BD73" i="7"/>
  <c r="V81" i="8"/>
  <c r="W68" i="8"/>
  <c r="W81" i="8" s="1"/>
  <c r="V148" i="7"/>
  <c r="AE75" i="7"/>
  <c r="AE51" i="5"/>
  <c r="AO51" i="5"/>
  <c r="AO75" i="7"/>
  <c r="AW75" i="7"/>
  <c r="AW51" i="5"/>
  <c r="W73" i="7"/>
  <c r="BB73" i="7"/>
  <c r="AV75" i="7"/>
  <c r="AV51" i="5"/>
  <c r="AI73" i="7"/>
  <c r="M51" i="5"/>
  <c r="M75" i="7"/>
  <c r="Y68" i="8"/>
  <c r="Y81" i="8" s="1"/>
  <c r="X148" i="7"/>
  <c r="K68" i="8"/>
  <c r="K81" i="8" s="1"/>
  <c r="J148" i="7"/>
  <c r="BM73" i="7"/>
  <c r="AC81" i="8"/>
  <c r="AC74" i="7" s="1"/>
  <c r="AD68" i="8"/>
  <c r="AD81" i="8" s="1"/>
  <c r="AD74" i="7" s="1"/>
  <c r="M68" i="8"/>
  <c r="M81" i="8" s="1"/>
  <c r="L81" i="8"/>
  <c r="L148" i="7"/>
  <c r="BF76" i="7"/>
  <c r="R74" i="7"/>
  <c r="BI75" i="7"/>
  <c r="BI51" i="5"/>
  <c r="AO73" i="7"/>
  <c r="X73" i="7"/>
  <c r="J73" i="7"/>
  <c r="L73" i="7"/>
  <c r="BG51" i="5"/>
  <c r="BG75" i="7"/>
  <c r="AL51" i="5"/>
  <c r="AL75" i="7"/>
  <c r="AF51" i="5"/>
  <c r="AF75" i="7"/>
  <c r="AQ68" i="8"/>
  <c r="AQ81" i="8" s="1"/>
  <c r="AQ74" i="7" s="1"/>
  <c r="AQ76" i="7" s="1"/>
  <c r="BG81" i="8"/>
  <c r="BG74" i="7" s="1"/>
  <c r="BH68" i="8"/>
  <c r="BH81" i="8" s="1"/>
  <c r="BH74" i="7" s="1"/>
  <c r="I73" i="7"/>
  <c r="AU75" i="7"/>
  <c r="AU51" i="5"/>
  <c r="T73" i="7"/>
  <c r="BJ68" i="8"/>
  <c r="BJ81" i="8" s="1"/>
  <c r="BJ74" i="7" s="1"/>
  <c r="BJ76" i="7" s="1"/>
  <c r="BI81" i="8"/>
  <c r="BI74" i="7" s="1"/>
  <c r="BD81" i="8"/>
  <c r="BD74" i="7" s="1"/>
  <c r="BE68" i="8"/>
  <c r="BE81" i="8" s="1"/>
  <c r="BE74" i="7" s="1"/>
  <c r="AE68" i="8"/>
  <c r="AE81" i="8" s="1"/>
  <c r="AE74" i="7" s="1"/>
  <c r="V51" i="5"/>
  <c r="V75" i="7"/>
  <c r="AF68" i="8"/>
  <c r="AF81" i="8" s="1"/>
  <c r="AF74" i="7" s="1"/>
  <c r="Y73" i="7"/>
  <c r="AW73" i="7"/>
  <c r="AZ66" i="5"/>
  <c r="X68" i="8"/>
  <c r="X81" i="8" s="1"/>
  <c r="W148" i="7"/>
  <c r="BB75" i="7"/>
  <c r="BB51" i="5"/>
  <c r="AV73" i="7"/>
  <c r="AI81" i="8"/>
  <c r="AI74" i="7" s="1"/>
  <c r="AJ68" i="8"/>
  <c r="AJ81" i="8" s="1"/>
  <c r="AJ74" i="7" s="1"/>
  <c r="N68" i="8"/>
  <c r="N81" i="8" s="1"/>
  <c r="M148" i="7"/>
  <c r="AT73" i="7"/>
  <c r="J51" i="5"/>
  <c r="J75" i="7"/>
  <c r="AA51" i="5"/>
  <c r="AA75" i="7"/>
  <c r="BM81" i="8"/>
  <c r="BM74" i="7" s="1"/>
  <c r="K61" i="9" s="1"/>
  <c r="AC75" i="7"/>
  <c r="AC51" i="5"/>
  <c r="F73" i="7"/>
  <c r="BL76" i="7"/>
  <c r="O142" i="7"/>
  <c r="O143" i="7" s="1"/>
  <c r="O43" i="12" s="1"/>
  <c r="O157" i="5"/>
  <c r="O158" i="5" s="1"/>
  <c r="O163" i="5" s="1"/>
  <c r="P78" i="4"/>
  <c r="AC91" i="4"/>
  <c r="AC148" i="7"/>
  <c r="AD90" i="4"/>
  <c r="AE85" i="4"/>
  <c r="AE88" i="4" s="1"/>
  <c r="AD147" i="4"/>
  <c r="AD148" i="4" s="1"/>
  <c r="AD149" i="4" s="1"/>
  <c r="AE142" i="4"/>
  <c r="AE145" i="4" s="1"/>
  <c r="AB92" i="4"/>
  <c r="AB177" i="7" s="1"/>
  <c r="G164" i="9" s="1"/>
  <c r="AM45" i="5" l="1"/>
  <c r="AM87" i="7" s="1"/>
  <c r="AM37" i="7"/>
  <c r="AM80" i="7" s="1"/>
  <c r="S342" i="3"/>
  <c r="T336" i="3" a="1"/>
  <c r="BA37" i="7"/>
  <c r="BA80" i="7" s="1"/>
  <c r="BA75" i="8"/>
  <c r="BA76" i="8" s="1"/>
  <c r="BB74" i="8" s="1"/>
  <c r="J62" i="9"/>
  <c r="AM76" i="7"/>
  <c r="I61" i="9"/>
  <c r="J61" i="9"/>
  <c r="I62" i="9"/>
  <c r="H62" i="9"/>
  <c r="H60" i="9"/>
  <c r="K60" i="9"/>
  <c r="K63" i="9" s="1"/>
  <c r="I116" i="15" s="1"/>
  <c r="I60" i="9"/>
  <c r="J60" i="9"/>
  <c r="G62" i="9"/>
  <c r="G60" i="9"/>
  <c r="F62" i="9"/>
  <c r="F60" i="9"/>
  <c r="AU75" i="8"/>
  <c r="AU76" i="8" s="1"/>
  <c r="AV74" i="8" s="1"/>
  <c r="AU45" i="5"/>
  <c r="AU52" i="5" s="1"/>
  <c r="AU53" i="5" s="1"/>
  <c r="AU58" i="5" s="1"/>
  <c r="L20" i="9"/>
  <c r="AA38" i="7"/>
  <c r="AA39" i="7" s="1"/>
  <c r="AA48" i="12" s="1"/>
  <c r="M20" i="9"/>
  <c r="AY76" i="7"/>
  <c r="D18" i="9"/>
  <c r="E28" i="11" s="1"/>
  <c r="CA38" i="7"/>
  <c r="CA39" i="7" s="1"/>
  <c r="CA48" i="12" s="1"/>
  <c r="CA80" i="7"/>
  <c r="BN38" i="7"/>
  <c r="BN39" i="7" s="1"/>
  <c r="BN48" i="12" s="1"/>
  <c r="BN80" i="7"/>
  <c r="CE38" i="7"/>
  <c r="CE39" i="7" s="1"/>
  <c r="CE48" i="12" s="1"/>
  <c r="CE80" i="7"/>
  <c r="BX38" i="7"/>
  <c r="BX39" i="7" s="1"/>
  <c r="BX48" i="12" s="1"/>
  <c r="BX80" i="7"/>
  <c r="BQ38" i="7"/>
  <c r="BQ39" i="7" s="1"/>
  <c r="BQ48" i="12" s="1"/>
  <c r="BQ80" i="7"/>
  <c r="BP38" i="7"/>
  <c r="BP39" i="7" s="1"/>
  <c r="BP48" i="12" s="1"/>
  <c r="BP80" i="7"/>
  <c r="CK38" i="7"/>
  <c r="CK39" i="7" s="1"/>
  <c r="CK48" i="12" s="1"/>
  <c r="CK80" i="7"/>
  <c r="CI38" i="7"/>
  <c r="CI39" i="7" s="1"/>
  <c r="CI48" i="12" s="1"/>
  <c r="CI80" i="7"/>
  <c r="CD38" i="7"/>
  <c r="CD39" i="7" s="1"/>
  <c r="CD48" i="12" s="1"/>
  <c r="CD80" i="7"/>
  <c r="BY38" i="7"/>
  <c r="BY39" i="7" s="1"/>
  <c r="BY48" i="12" s="1"/>
  <c r="BY80" i="7"/>
  <c r="BS38" i="7"/>
  <c r="BS39" i="7" s="1"/>
  <c r="BS48" i="12" s="1"/>
  <c r="BS80" i="7"/>
  <c r="CG38" i="7"/>
  <c r="CG39" i="7" s="1"/>
  <c r="CG48" i="12" s="1"/>
  <c r="CG80" i="7"/>
  <c r="BW38" i="7"/>
  <c r="BW39" i="7" s="1"/>
  <c r="BW48" i="12" s="1"/>
  <c r="BW80" i="7"/>
  <c r="BV38" i="7"/>
  <c r="BV39" i="7" s="1"/>
  <c r="BV48" i="12" s="1"/>
  <c r="BV80" i="7"/>
  <c r="CH38" i="7"/>
  <c r="CH39" i="7" s="1"/>
  <c r="CH48" i="12" s="1"/>
  <c r="CH80" i="7"/>
  <c r="BT38" i="7"/>
  <c r="BT39" i="7" s="1"/>
  <c r="BT48" i="12" s="1"/>
  <c r="BT80" i="7"/>
  <c r="BZ38" i="7"/>
  <c r="BZ39" i="7" s="1"/>
  <c r="BZ48" i="12" s="1"/>
  <c r="BZ80" i="7"/>
  <c r="CJ38" i="7"/>
  <c r="CJ39" i="7" s="1"/>
  <c r="CJ48" i="12" s="1"/>
  <c r="CJ80" i="7"/>
  <c r="BO38" i="7"/>
  <c r="BO39" i="7" s="1"/>
  <c r="BO48" i="12" s="1"/>
  <c r="BO80" i="7"/>
  <c r="BR38" i="7"/>
  <c r="BR39" i="7" s="1"/>
  <c r="BR48" i="12" s="1"/>
  <c r="BR80" i="7"/>
  <c r="CB38" i="7"/>
  <c r="CB39" i="7" s="1"/>
  <c r="CB48" i="12" s="1"/>
  <c r="CB80" i="7"/>
  <c r="CC38" i="7"/>
  <c r="CC39" i="7" s="1"/>
  <c r="CC48" i="12" s="1"/>
  <c r="CC80" i="7"/>
  <c r="BU38" i="7"/>
  <c r="BU39" i="7" s="1"/>
  <c r="BU48" i="12" s="1"/>
  <c r="BU80" i="7"/>
  <c r="CF38" i="7"/>
  <c r="CF39" i="7" s="1"/>
  <c r="CF48" i="12" s="1"/>
  <c r="CF80" i="7"/>
  <c r="D75" i="7"/>
  <c r="D73" i="7"/>
  <c r="D81" i="8"/>
  <c r="CB45" i="5"/>
  <c r="CB75" i="8"/>
  <c r="CB76" i="8" s="1"/>
  <c r="BR45" i="5"/>
  <c r="BR75" i="8"/>
  <c r="BR76" i="8" s="1"/>
  <c r="BU45" i="5"/>
  <c r="BU75" i="8"/>
  <c r="BU76" i="8" s="1"/>
  <c r="CC45" i="5"/>
  <c r="CC75" i="8"/>
  <c r="CC76" i="8" s="1"/>
  <c r="BN45" i="5"/>
  <c r="BN75" i="8"/>
  <c r="BN76" i="8" s="1"/>
  <c r="BW45" i="5"/>
  <c r="BW75" i="8"/>
  <c r="BW76" i="8" s="1"/>
  <c r="BV45" i="5"/>
  <c r="BV75" i="8"/>
  <c r="BV76" i="8" s="1"/>
  <c r="BT45" i="5"/>
  <c r="BT75" i="8"/>
  <c r="BT76" i="8" s="1"/>
  <c r="BZ45" i="5"/>
  <c r="BZ75" i="8"/>
  <c r="BZ76" i="8" s="1"/>
  <c r="BY45" i="5"/>
  <c r="BY75" i="8"/>
  <c r="BY76" i="8" s="1"/>
  <c r="CI45" i="5"/>
  <c r="CI75" i="8"/>
  <c r="CI76" i="8" s="1"/>
  <c r="CH45" i="5"/>
  <c r="CH75" i="8"/>
  <c r="CH76" i="8" s="1"/>
  <c r="CJ45" i="5"/>
  <c r="CJ75" i="8"/>
  <c r="CJ76" i="8" s="1"/>
  <c r="CF45" i="5"/>
  <c r="CF75" i="8"/>
  <c r="CF76" i="8" s="1"/>
  <c r="CD45" i="5"/>
  <c r="CD75" i="8"/>
  <c r="CD76" i="8" s="1"/>
  <c r="BS45" i="5"/>
  <c r="BS75" i="8"/>
  <c r="BS76" i="8" s="1"/>
  <c r="CA45" i="5"/>
  <c r="CA75" i="8"/>
  <c r="CA76" i="8" s="1"/>
  <c r="CE45" i="5"/>
  <c r="CE75" i="8"/>
  <c r="CE76" i="8" s="1"/>
  <c r="BX45" i="5"/>
  <c r="BX75" i="8"/>
  <c r="BX76" i="8" s="1"/>
  <c r="BQ45" i="5"/>
  <c r="BQ75" i="8"/>
  <c r="BQ76" i="8" s="1"/>
  <c r="BP45" i="5"/>
  <c r="BP75" i="8"/>
  <c r="BP76" i="8" s="1"/>
  <c r="CG45" i="5"/>
  <c r="CG75" i="8"/>
  <c r="CG76" i="8" s="1"/>
  <c r="CK45" i="5"/>
  <c r="CK75" i="8"/>
  <c r="CK76" i="8" s="1"/>
  <c r="BO45" i="5"/>
  <c r="BO75" i="8"/>
  <c r="BO76" i="8" s="1"/>
  <c r="BW53" i="8"/>
  <c r="BW59" i="8"/>
  <c r="BV53" i="8"/>
  <c r="BV59" i="8"/>
  <c r="CH53" i="8"/>
  <c r="CH59" i="8"/>
  <c r="BT53" i="8"/>
  <c r="BT59" i="8"/>
  <c r="BZ53" i="8"/>
  <c r="BZ59" i="8"/>
  <c r="CJ53" i="8"/>
  <c r="CJ59" i="8"/>
  <c r="BO53" i="8"/>
  <c r="BO59" i="8"/>
  <c r="BR53" i="8"/>
  <c r="BR59" i="8"/>
  <c r="CB53" i="8"/>
  <c r="CB59" i="8"/>
  <c r="CC53" i="8"/>
  <c r="CC59" i="8"/>
  <c r="BU53" i="8"/>
  <c r="BU59" i="8"/>
  <c r="CF53" i="8"/>
  <c r="CF59" i="8"/>
  <c r="CA53" i="8"/>
  <c r="CA59" i="8"/>
  <c r="BN53" i="8"/>
  <c r="BN59" i="8"/>
  <c r="CE53" i="8"/>
  <c r="CE59" i="8"/>
  <c r="BX53" i="8"/>
  <c r="BX59" i="8"/>
  <c r="BQ53" i="8"/>
  <c r="BQ59" i="8"/>
  <c r="BP53" i="8"/>
  <c r="BP59" i="8"/>
  <c r="CK53" i="8"/>
  <c r="CK59" i="8"/>
  <c r="CI53" i="8"/>
  <c r="CI59" i="8"/>
  <c r="CD53" i="8"/>
  <c r="CD59" i="8"/>
  <c r="BY53" i="8"/>
  <c r="BY59" i="8"/>
  <c r="BS53" i="8"/>
  <c r="BS59" i="8"/>
  <c r="CG53" i="8"/>
  <c r="CG59" i="8"/>
  <c r="H66" i="5"/>
  <c r="D51" i="5"/>
  <c r="F66" i="5" s="1"/>
  <c r="BN66" i="5"/>
  <c r="AD37" i="7"/>
  <c r="AD80" i="7" s="1"/>
  <c r="AD75" i="8"/>
  <c r="AD76" i="8" s="1"/>
  <c r="AE74" i="8" s="1"/>
  <c r="AT37" i="7"/>
  <c r="AT80" i="7" s="1"/>
  <c r="Z75" i="8"/>
  <c r="Z76" i="8" s="1"/>
  <c r="Z172" i="7" s="1"/>
  <c r="Z45" i="5"/>
  <c r="Z87" i="7" s="1"/>
  <c r="AM59" i="8"/>
  <c r="AP37" i="7"/>
  <c r="AP80" i="7" s="1"/>
  <c r="K59" i="8"/>
  <c r="AS53" i="8"/>
  <c r="AT75" i="8"/>
  <c r="AT76" i="8" s="1"/>
  <c r="AU74" i="8" s="1"/>
  <c r="AO45" i="5"/>
  <c r="AO52" i="5" s="1"/>
  <c r="N45" i="5"/>
  <c r="N87" i="7" s="1"/>
  <c r="AD319" i="3"/>
  <c r="AD322" i="3" s="1"/>
  <c r="AC173" i="7"/>
  <c r="N37" i="7"/>
  <c r="N80" i="7" s="1"/>
  <c r="BA59" i="8"/>
  <c r="AJ45" i="5"/>
  <c r="AJ87" i="7" s="1"/>
  <c r="L37" i="7"/>
  <c r="L80" i="7" s="1"/>
  <c r="X45" i="5"/>
  <c r="X52" i="5" s="1"/>
  <c r="X53" i="5" s="1"/>
  <c r="X58" i="5" s="1"/>
  <c r="R45" i="5"/>
  <c r="R87" i="7" s="1"/>
  <c r="R37" i="7"/>
  <c r="R80" i="7" s="1"/>
  <c r="X75" i="8"/>
  <c r="X76" i="8" s="1"/>
  <c r="Y74" i="8" s="1"/>
  <c r="AF59" i="8"/>
  <c r="AP45" i="5"/>
  <c r="AP87" i="7" s="1"/>
  <c r="H53" i="8"/>
  <c r="AG59" i="8"/>
  <c r="P37" i="7"/>
  <c r="P80" i="7" s="1"/>
  <c r="P45" i="5"/>
  <c r="P87" i="7" s="1"/>
  <c r="BK75" i="8"/>
  <c r="BK76" i="8" s="1"/>
  <c r="BL74" i="8" s="1"/>
  <c r="AC37" i="7"/>
  <c r="AC80" i="7" s="1"/>
  <c r="T53" i="8"/>
  <c r="BK37" i="7"/>
  <c r="AC45" i="5"/>
  <c r="AC87" i="7" s="1"/>
  <c r="BB59" i="8"/>
  <c r="AI37" i="7"/>
  <c r="AI80" i="7" s="1"/>
  <c r="AI75" i="8"/>
  <c r="AI76" i="8" s="1"/>
  <c r="AJ74" i="8" s="1"/>
  <c r="W37" i="7"/>
  <c r="W80" i="7" s="1"/>
  <c r="AK45" i="5"/>
  <c r="AK87" i="7" s="1"/>
  <c r="J45" i="5"/>
  <c r="J87" i="7" s="1"/>
  <c r="J37" i="7"/>
  <c r="J80" i="7" s="1"/>
  <c r="AQ45" i="5"/>
  <c r="AQ87" i="7" s="1"/>
  <c r="AF45" i="5"/>
  <c r="AF52" i="5" s="1"/>
  <c r="AQ75" i="8"/>
  <c r="AQ76" i="8" s="1"/>
  <c r="AR74" i="8" s="1"/>
  <c r="AV75" i="8"/>
  <c r="AV76" i="8" s="1"/>
  <c r="AW74" i="8" s="1"/>
  <c r="AV37" i="7"/>
  <c r="AV80" i="7" s="1"/>
  <c r="AO59" i="8"/>
  <c r="AO75" i="8"/>
  <c r="AO76" i="8" s="1"/>
  <c r="AP74" i="8" s="1"/>
  <c r="AP82" i="8" s="1"/>
  <c r="AP86" i="7" s="1"/>
  <c r="V75" i="8"/>
  <c r="V76" i="8" s="1"/>
  <c r="V172" i="7" s="1"/>
  <c r="BD45" i="5"/>
  <c r="BD87" i="7" s="1"/>
  <c r="BM53" i="8"/>
  <c r="AX59" i="8"/>
  <c r="AH59" i="8"/>
  <c r="BI45" i="5"/>
  <c r="BI52" i="5" s="1"/>
  <c r="BI53" i="5" s="1"/>
  <c r="BI58" i="5" s="1"/>
  <c r="V37" i="7"/>
  <c r="V80" i="7" s="1"/>
  <c r="BD59" i="8"/>
  <c r="AG75" i="8"/>
  <c r="AG76" i="8" s="1"/>
  <c r="AH74" i="8" s="1"/>
  <c r="AH82" i="8" s="1"/>
  <c r="AH86" i="7" s="1"/>
  <c r="AS45" i="5"/>
  <c r="AS52" i="5" s="1"/>
  <c r="AG37" i="7"/>
  <c r="AG80" i="7" s="1"/>
  <c r="AU59" i="8"/>
  <c r="AB45" i="5"/>
  <c r="AB87" i="7" s="1"/>
  <c r="J59" i="8"/>
  <c r="AS75" i="8"/>
  <c r="AS76" i="8" s="1"/>
  <c r="AT74" i="8" s="1"/>
  <c r="AB37" i="7"/>
  <c r="AB38" i="7" s="1"/>
  <c r="AB39" i="7" s="1"/>
  <c r="AB48" i="12" s="1"/>
  <c r="AA59" i="8"/>
  <c r="BL59" i="8"/>
  <c r="AC59" i="8"/>
  <c r="BM45" i="5"/>
  <c r="BM87" i="7" s="1"/>
  <c r="T37" i="7"/>
  <c r="T80" i="7" s="1"/>
  <c r="BM75" i="8"/>
  <c r="BM76" i="8" s="1"/>
  <c r="BN74" i="8" s="1"/>
  <c r="T75" i="8"/>
  <c r="T76" i="8" s="1"/>
  <c r="T172" i="7" s="1"/>
  <c r="Y45" i="5"/>
  <c r="Y87" i="7" s="1"/>
  <c r="Y75" i="8"/>
  <c r="Y76" i="8" s="1"/>
  <c r="Z74" i="8" s="1"/>
  <c r="AJ75" i="8"/>
  <c r="AJ76" i="8" s="1"/>
  <c r="AK74" i="8" s="1"/>
  <c r="AK82" i="8" s="1"/>
  <c r="AK86" i="7" s="1"/>
  <c r="AF37" i="7"/>
  <c r="AF80" i="7" s="1"/>
  <c r="AD53" i="8"/>
  <c r="AX45" i="5"/>
  <c r="AX87" i="7" s="1"/>
  <c r="AX37" i="7"/>
  <c r="AX80" i="7" s="1"/>
  <c r="BB75" i="8"/>
  <c r="BB76" i="8" s="1"/>
  <c r="BC74" i="8" s="1"/>
  <c r="W45" i="5"/>
  <c r="W87" i="7" s="1"/>
  <c r="AH45" i="5"/>
  <c r="AH87" i="7" s="1"/>
  <c r="K75" i="8"/>
  <c r="K76" i="8" s="1"/>
  <c r="L74" i="8" s="1"/>
  <c r="AH37" i="7"/>
  <c r="AH80" i="7" s="1"/>
  <c r="AT53" i="8"/>
  <c r="AJ59" i="8"/>
  <c r="S45" i="5"/>
  <c r="S52" i="5" s="1"/>
  <c r="AA45" i="5"/>
  <c r="AA87" i="7" s="1"/>
  <c r="AK37" i="7"/>
  <c r="AK80" i="7" s="1"/>
  <c r="AE37" i="7"/>
  <c r="AE80" i="7" s="1"/>
  <c r="X38" i="7"/>
  <c r="X39" i="7" s="1"/>
  <c r="X48" i="12" s="1"/>
  <c r="BB37" i="7"/>
  <c r="AN75" i="8"/>
  <c r="AN76" i="8" s="1"/>
  <c r="AN82" i="8" s="1"/>
  <c r="AN86" i="7" s="1"/>
  <c r="AN45" i="5"/>
  <c r="AN87" i="7" s="1"/>
  <c r="AY59" i="8"/>
  <c r="Q75" i="8"/>
  <c r="Q76" i="8" s="1"/>
  <c r="R74" i="8" s="1"/>
  <c r="R82" i="8" s="1"/>
  <c r="AR59" i="8"/>
  <c r="I75" i="8"/>
  <c r="I76" i="8" s="1"/>
  <c r="I172" i="7" s="1"/>
  <c r="BE45" i="5"/>
  <c r="BE87" i="7" s="1"/>
  <c r="Q37" i="7"/>
  <c r="Q38" i="7" s="1"/>
  <c r="Q39" i="7" s="1"/>
  <c r="Q48" i="12" s="1"/>
  <c r="I45" i="5"/>
  <c r="I87" i="7" s="1"/>
  <c r="I53" i="8"/>
  <c r="BE75" i="8"/>
  <c r="BE76" i="8" s="1"/>
  <c r="BF74" i="8" s="1"/>
  <c r="AR75" i="8"/>
  <c r="AR76" i="8" s="1"/>
  <c r="AR37" i="7"/>
  <c r="AR80" i="7" s="1"/>
  <c r="AL59" i="8"/>
  <c r="BH75" i="8"/>
  <c r="BH76" i="8" s="1"/>
  <c r="BI74" i="8" s="1"/>
  <c r="BI82" i="8" s="1"/>
  <c r="BI86" i="7" s="1"/>
  <c r="AY37" i="7"/>
  <c r="AW37" i="7"/>
  <c r="AW80" i="7" s="1"/>
  <c r="BH45" i="5"/>
  <c r="BH52" i="5" s="1"/>
  <c r="G37" i="7"/>
  <c r="G38" i="7" s="1"/>
  <c r="AW75" i="8"/>
  <c r="AW76" i="8" s="1"/>
  <c r="AX74" i="8" s="1"/>
  <c r="AX82" i="8" s="1"/>
  <c r="AX86" i="7" s="1"/>
  <c r="AZ37" i="7"/>
  <c r="AZ80" i="7" s="1"/>
  <c r="G45" i="5"/>
  <c r="G87" i="7" s="1"/>
  <c r="BM38" i="7"/>
  <c r="BM39" i="7" s="1"/>
  <c r="BM48" i="12" s="1"/>
  <c r="AL45" i="5"/>
  <c r="AL52" i="5" s="1"/>
  <c r="AL53" i="5" s="1"/>
  <c r="AL58" i="5" s="1"/>
  <c r="AZ75" i="8"/>
  <c r="AZ76" i="8" s="1"/>
  <c r="BA74" i="8" s="1"/>
  <c r="AL37" i="7"/>
  <c r="AL80" i="7" s="1"/>
  <c r="BC75" i="8"/>
  <c r="BC76" i="8" s="1"/>
  <c r="BD74" i="8" s="1"/>
  <c r="BC45" i="5"/>
  <c r="BC87" i="7" s="1"/>
  <c r="AY45" i="5"/>
  <c r="AY87" i="7" s="1"/>
  <c r="U45" i="5"/>
  <c r="U87" i="7" s="1"/>
  <c r="U75" i="8"/>
  <c r="U76" i="8" s="1"/>
  <c r="V74" i="8" s="1"/>
  <c r="U37" i="7"/>
  <c r="U80" i="7" s="1"/>
  <c r="O37" i="7"/>
  <c r="O45" i="5"/>
  <c r="O52" i="5" s="1"/>
  <c r="O75" i="8"/>
  <c r="O76" i="8" s="1"/>
  <c r="P74" i="8" s="1"/>
  <c r="P82" i="8" s="1"/>
  <c r="P86" i="7" s="1"/>
  <c r="BD75" i="8"/>
  <c r="BD76" i="8" s="1"/>
  <c r="BE74" i="8" s="1"/>
  <c r="L75" i="8"/>
  <c r="L76" i="8" s="1"/>
  <c r="M74" i="8" s="1"/>
  <c r="BI53" i="8"/>
  <c r="BJ37" i="7"/>
  <c r="BJ80" i="7" s="1"/>
  <c r="BL75" i="8"/>
  <c r="BL76" i="8" s="1"/>
  <c r="BM74" i="8" s="1"/>
  <c r="BJ75" i="8"/>
  <c r="BJ76" i="8" s="1"/>
  <c r="BK74" i="8" s="1"/>
  <c r="AA75" i="8"/>
  <c r="AA76" i="8" s="1"/>
  <c r="AB74" i="8" s="1"/>
  <c r="AB82" i="8" s="1"/>
  <c r="S37" i="7"/>
  <c r="S80" i="7" s="1"/>
  <c r="H75" i="8"/>
  <c r="H76" i="8" s="1"/>
  <c r="I74" i="8" s="1"/>
  <c r="BI37" i="7"/>
  <c r="BI80" i="7" s="1"/>
  <c r="AE53" i="8"/>
  <c r="AE75" i="8"/>
  <c r="AE76" i="8" s="1"/>
  <c r="AF74" i="8" s="1"/>
  <c r="AF82" i="8" s="1"/>
  <c r="AF86" i="7" s="1"/>
  <c r="D243" i="3"/>
  <c r="D245" i="3" s="1"/>
  <c r="BG75" i="8"/>
  <c r="BG76" i="8" s="1"/>
  <c r="BH74" i="8" s="1"/>
  <c r="H37" i="7"/>
  <c r="H80" i="7" s="1"/>
  <c r="BG37" i="7"/>
  <c r="BG80" i="7" s="1"/>
  <c r="BL45" i="5"/>
  <c r="BL87" i="7" s="1"/>
  <c r="BF75" i="8"/>
  <c r="BF76" i="8" s="1"/>
  <c r="BG74" i="8" s="1"/>
  <c r="BF37" i="7"/>
  <c r="BF45" i="5"/>
  <c r="M75" i="8"/>
  <c r="M76" i="8" s="1"/>
  <c r="N74" i="8" s="1"/>
  <c r="N82" i="8" s="1"/>
  <c r="N86" i="7" s="1"/>
  <c r="M37" i="7"/>
  <c r="M80" i="7" s="1"/>
  <c r="AR76" i="7"/>
  <c r="K37" i="7"/>
  <c r="K80" i="7" s="1"/>
  <c r="BE38" i="7"/>
  <c r="BE39" i="7" s="1"/>
  <c r="BE48" i="12" s="1"/>
  <c r="Y38" i="7"/>
  <c r="Y39" i="7" s="1"/>
  <c r="Y48" i="12" s="1"/>
  <c r="AO38" i="7"/>
  <c r="AO39" i="7" s="1"/>
  <c r="AO48" i="12" s="1"/>
  <c r="AQ38" i="7"/>
  <c r="AQ39" i="7" s="1"/>
  <c r="AQ48" i="12" s="1"/>
  <c r="AU38" i="7"/>
  <c r="AU39" i="7" s="1"/>
  <c r="AU48" i="12" s="1"/>
  <c r="AJ38" i="7"/>
  <c r="AJ39" i="7" s="1"/>
  <c r="AJ48" i="12" s="1"/>
  <c r="BC38" i="7"/>
  <c r="BC39" i="7" s="1"/>
  <c r="BC48" i="12" s="1"/>
  <c r="F60" i="8"/>
  <c r="G57" i="8" s="1"/>
  <c r="G58" i="8" s="1"/>
  <c r="G60" i="8" s="1"/>
  <c r="I38" i="7"/>
  <c r="I39" i="7" s="1"/>
  <c r="I48" i="12" s="1"/>
  <c r="BD38" i="7"/>
  <c r="BD39" i="7" s="1"/>
  <c r="BD48" i="12" s="1"/>
  <c r="AM74" i="8"/>
  <c r="AM82" i="8" s="1"/>
  <c r="AM86" i="7" s="1"/>
  <c r="AL82" i="8"/>
  <c r="AL86" i="7" s="1"/>
  <c r="AW87" i="7"/>
  <c r="AW52" i="5"/>
  <c r="AW53" i="5" s="1"/>
  <c r="AW58" i="5" s="1"/>
  <c r="BH80" i="7"/>
  <c r="BH38" i="7"/>
  <c r="BH39" i="7" s="1"/>
  <c r="BH48" i="12" s="1"/>
  <c r="L87" i="7"/>
  <c r="L52" i="5"/>
  <c r="L53" i="5" s="1"/>
  <c r="L58" i="5" s="1"/>
  <c r="AC74" i="8"/>
  <c r="AC82" i="8" s="1"/>
  <c r="AC86" i="7" s="1"/>
  <c r="BJ74" i="8"/>
  <c r="K74" i="8"/>
  <c r="J172" i="7"/>
  <c r="AS80" i="7"/>
  <c r="AS38" i="7"/>
  <c r="AS39" i="7" s="1"/>
  <c r="AS48" i="12" s="1"/>
  <c r="AQ74" i="8"/>
  <c r="H74" i="8"/>
  <c r="G172" i="7"/>
  <c r="BL80" i="7"/>
  <c r="BL38" i="7"/>
  <c r="BL39" i="7" s="1"/>
  <c r="BL48" i="12" s="1"/>
  <c r="V87" i="7"/>
  <c r="V52" i="5"/>
  <c r="V53" i="5" s="1"/>
  <c r="V58" i="5" s="1"/>
  <c r="AE87" i="7"/>
  <c r="AE52" i="5"/>
  <c r="AE53" i="5" s="1"/>
  <c r="AE58" i="5" s="1"/>
  <c r="K87" i="7"/>
  <c r="K52" i="5"/>
  <c r="AZ74" i="8"/>
  <c r="AY82" i="8"/>
  <c r="AY86" i="7" s="1"/>
  <c r="M87" i="7"/>
  <c r="M52" i="5"/>
  <c r="M53" i="5" s="1"/>
  <c r="M58" i="5" s="1"/>
  <c r="AA80" i="7"/>
  <c r="T74" i="8"/>
  <c r="S172" i="7"/>
  <c r="F45" i="5"/>
  <c r="F75" i="8"/>
  <c r="F76" i="8" s="1"/>
  <c r="F37" i="7"/>
  <c r="S74" i="8"/>
  <c r="S82" i="8" s="1"/>
  <c r="R172" i="7"/>
  <c r="T52" i="5"/>
  <c r="T87" i="7"/>
  <c r="BG87" i="7"/>
  <c r="BG52" i="5"/>
  <c r="BG53" i="5" s="1"/>
  <c r="BG58" i="5" s="1"/>
  <c r="AV87" i="7"/>
  <c r="AV52" i="5"/>
  <c r="AV53" i="5" s="1"/>
  <c r="AV58" i="5" s="1"/>
  <c r="H47" i="8"/>
  <c r="H48" i="8" s="1"/>
  <c r="I45" i="8" s="1"/>
  <c r="I47" i="8" s="1"/>
  <c r="I48" i="8" s="1"/>
  <c r="J45" i="8" s="1"/>
  <c r="J47" i="8" s="1"/>
  <c r="J48" i="8" s="1"/>
  <c r="K45" i="8" s="1"/>
  <c r="K47" i="8" s="1"/>
  <c r="K48" i="8" s="1"/>
  <c r="L45" i="8" s="1"/>
  <c r="L47" i="8" s="1"/>
  <c r="L48" i="8" s="1"/>
  <c r="M45" i="8" s="1"/>
  <c r="AI87" i="7"/>
  <c r="AI52" i="5"/>
  <c r="AI53" i="5" s="1"/>
  <c r="AI58" i="5" s="1"/>
  <c r="X74" i="8"/>
  <c r="W172" i="7"/>
  <c r="O74" i="8"/>
  <c r="N172" i="7"/>
  <c r="AT87" i="7"/>
  <c r="AT52" i="5"/>
  <c r="H87" i="7"/>
  <c r="H52" i="5"/>
  <c r="Z80" i="7"/>
  <c r="Z38" i="7"/>
  <c r="Z39" i="7" s="1"/>
  <c r="Z48" i="12" s="1"/>
  <c r="BJ52" i="5"/>
  <c r="BJ87" i="7"/>
  <c r="AZ87" i="7"/>
  <c r="AZ52" i="5"/>
  <c r="BK87" i="7"/>
  <c r="BK52" i="5"/>
  <c r="BK53" i="5" s="1"/>
  <c r="BK58" i="5" s="1"/>
  <c r="AG87" i="7"/>
  <c r="AG52" i="5"/>
  <c r="Q74" i="8"/>
  <c r="P172" i="7"/>
  <c r="BA87" i="7"/>
  <c r="BA52" i="5"/>
  <c r="BA53" i="5" s="1"/>
  <c r="BA58" i="5" s="1"/>
  <c r="AN80" i="7"/>
  <c r="AN38" i="7"/>
  <c r="AN39" i="7" s="1"/>
  <c r="AN48" i="12" s="1"/>
  <c r="Q87" i="7"/>
  <c r="Q52" i="5"/>
  <c r="Q53" i="5" s="1"/>
  <c r="Q58" i="5" s="1"/>
  <c r="AD87" i="7"/>
  <c r="AD52" i="5"/>
  <c r="BB52" i="5"/>
  <c r="BB87" i="7"/>
  <c r="AR87" i="7"/>
  <c r="AR52" i="5"/>
  <c r="BH76" i="7"/>
  <c r="AJ76" i="7"/>
  <c r="BH66" i="5"/>
  <c r="BL66" i="5"/>
  <c r="AM66" i="5"/>
  <c r="AZ76" i="7"/>
  <c r="Q66" i="5"/>
  <c r="S66" i="5"/>
  <c r="BM66" i="5"/>
  <c r="P76" i="7"/>
  <c r="R76" i="7"/>
  <c r="W66" i="5"/>
  <c r="AT76" i="7"/>
  <c r="AI66" i="5"/>
  <c r="AU66" i="5"/>
  <c r="G73" i="15"/>
  <c r="AP76" i="7"/>
  <c r="BE76" i="7"/>
  <c r="AT66" i="5"/>
  <c r="AR66" i="5"/>
  <c r="X74" i="7"/>
  <c r="X76" i="7" s="1"/>
  <c r="Y74" i="7"/>
  <c r="Y76" i="7" s="1"/>
  <c r="AC66" i="5"/>
  <c r="M74" i="7"/>
  <c r="M76" i="7" s="1"/>
  <c r="L66" i="5"/>
  <c r="BG76" i="7"/>
  <c r="N66" i="5"/>
  <c r="D73" i="15"/>
  <c r="N74" i="7"/>
  <c r="N76" i="7" s="1"/>
  <c r="AV76" i="7"/>
  <c r="BD66" i="5"/>
  <c r="AW76" i="7"/>
  <c r="AO66" i="5"/>
  <c r="AF66" i="5"/>
  <c r="AB66" i="5"/>
  <c r="AQ66" i="5"/>
  <c r="BM76" i="7"/>
  <c r="J74" i="7"/>
  <c r="J76" i="7" s="1"/>
  <c r="AI76" i="7"/>
  <c r="AW66" i="5"/>
  <c r="AY66" i="5"/>
  <c r="AG66" i="5"/>
  <c r="V74" i="7"/>
  <c r="V76" i="7" s="1"/>
  <c r="M66" i="5"/>
  <c r="G74" i="7"/>
  <c r="G76" i="7" s="1"/>
  <c r="F73" i="15"/>
  <c r="G66" i="5"/>
  <c r="AC76" i="7"/>
  <c r="AA74" i="7"/>
  <c r="AD76" i="7"/>
  <c r="I66" i="5"/>
  <c r="K66" i="5"/>
  <c r="AH66" i="5"/>
  <c r="U74" i="7"/>
  <c r="U76" i="7" s="1"/>
  <c r="H73" i="15"/>
  <c r="W74" i="7"/>
  <c r="W76" i="7" s="1"/>
  <c r="BI66" i="5"/>
  <c r="BK66" i="5"/>
  <c r="AE66" i="5"/>
  <c r="J66" i="5"/>
  <c r="L74" i="7"/>
  <c r="L76" i="7" s="1"/>
  <c r="K74" i="7"/>
  <c r="K76" i="7" s="1"/>
  <c r="AV66" i="5"/>
  <c r="AX66" i="5"/>
  <c r="E73" i="15"/>
  <c r="AF76" i="7"/>
  <c r="F74" i="7"/>
  <c r="AB74" i="7"/>
  <c r="AB76" i="7" s="1"/>
  <c r="BB66" i="5"/>
  <c r="BB76" i="7"/>
  <c r="T66" i="5"/>
  <c r="AU76" i="7"/>
  <c r="V66" i="5"/>
  <c r="BI76" i="7"/>
  <c r="AN66" i="5"/>
  <c r="AD66" i="5"/>
  <c r="BG66" i="5"/>
  <c r="BJ66" i="5"/>
  <c r="O66" i="5"/>
  <c r="BD76" i="7"/>
  <c r="I74" i="7"/>
  <c r="I76" i="7" s="1"/>
  <c r="AK66" i="5"/>
  <c r="AP66" i="5"/>
  <c r="X66" i="5"/>
  <c r="Z66" i="5"/>
  <c r="BC66" i="5"/>
  <c r="AA66" i="5"/>
  <c r="AE76" i="7"/>
  <c r="AL76" i="7"/>
  <c r="O76" i="7"/>
  <c r="Z74" i="7"/>
  <c r="Z76" i="7" s="1"/>
  <c r="AL66" i="5"/>
  <c r="Y66" i="5"/>
  <c r="AO76" i="7"/>
  <c r="BF66" i="5"/>
  <c r="T74" i="7"/>
  <c r="T76" i="7" s="1"/>
  <c r="AE147" i="4"/>
  <c r="AE148" i="4" s="1"/>
  <c r="AE149" i="4" s="1"/>
  <c r="AF142" i="4"/>
  <c r="AF145" i="4" s="1"/>
  <c r="AC92" i="4"/>
  <c r="AC177" i="7" s="1"/>
  <c r="AC172" i="7"/>
  <c r="P80" i="4"/>
  <c r="P48" i="7" s="1"/>
  <c r="AE90" i="4"/>
  <c r="AF85" i="4"/>
  <c r="AF88" i="4" s="1"/>
  <c r="O44" i="7"/>
  <c r="AD91" i="4"/>
  <c r="AD148" i="7"/>
  <c r="AM52" i="5" l="1"/>
  <c r="AM53" i="5" s="1"/>
  <c r="AM58" i="5" s="1"/>
  <c r="AM38" i="7"/>
  <c r="AM39" i="7" s="1"/>
  <c r="AM48" i="12" s="1"/>
  <c r="T336" i="3"/>
  <c r="T337" i="3"/>
  <c r="T343" i="3" s="1"/>
  <c r="T338" i="3"/>
  <c r="T344" i="3" s="1"/>
  <c r="BA38" i="7"/>
  <c r="BA39" i="7" s="1"/>
  <c r="BA48" i="12" s="1"/>
  <c r="AU87" i="7"/>
  <c r="BA82" i="8"/>
  <c r="BA86" i="7" s="1"/>
  <c r="C145" i="15" a="1"/>
  <c r="C73" i="15"/>
  <c r="M21" i="9"/>
  <c r="M22" i="9" s="1"/>
  <c r="K74" i="15"/>
  <c r="L21" i="9"/>
  <c r="L22" i="9" s="1"/>
  <c r="J74" i="15"/>
  <c r="M67" i="9"/>
  <c r="AU82" i="8"/>
  <c r="AU86" i="7" s="1"/>
  <c r="L67" i="9"/>
  <c r="I63" i="9"/>
  <c r="G116" i="15" s="1"/>
  <c r="J63" i="9"/>
  <c r="H116" i="15" s="1"/>
  <c r="G61" i="9"/>
  <c r="G63" i="9" s="1"/>
  <c r="E116" i="15" s="1"/>
  <c r="AA76" i="7"/>
  <c r="H61" i="9"/>
  <c r="H63" i="9" s="1"/>
  <c r="F116" i="15" s="1"/>
  <c r="F61" i="9"/>
  <c r="D62" i="9"/>
  <c r="D60" i="9"/>
  <c r="J20" i="9"/>
  <c r="H74" i="15" s="1"/>
  <c r="I20" i="9"/>
  <c r="G74" i="15" s="1"/>
  <c r="BK80" i="7"/>
  <c r="K67" i="9" s="1"/>
  <c r="K20" i="9"/>
  <c r="H20" i="9"/>
  <c r="F74" i="15" s="1"/>
  <c r="O38" i="7"/>
  <c r="O39" i="7" s="1"/>
  <c r="O48" i="12" s="1"/>
  <c r="G20" i="9"/>
  <c r="E74" i="15" s="1"/>
  <c r="AY38" i="7"/>
  <c r="AY39" i="7" s="1"/>
  <c r="AY48" i="12" s="1"/>
  <c r="BO52" i="5"/>
  <c r="BO53" i="5" s="1"/>
  <c r="BO58" i="5" s="1"/>
  <c r="BO87" i="7"/>
  <c r="BQ52" i="5"/>
  <c r="BQ53" i="5" s="1"/>
  <c r="BQ58" i="5" s="1"/>
  <c r="BQ87" i="7"/>
  <c r="BS52" i="5"/>
  <c r="BS87" i="7"/>
  <c r="CH52" i="5"/>
  <c r="CH53" i="5" s="1"/>
  <c r="CH58" i="5" s="1"/>
  <c r="CH87" i="7"/>
  <c r="BT52" i="5"/>
  <c r="BT53" i="5" s="1"/>
  <c r="BT58" i="5" s="1"/>
  <c r="BT87" i="7"/>
  <c r="CC52" i="5"/>
  <c r="CC53" i="5" s="1"/>
  <c r="CC58" i="5" s="1"/>
  <c r="CC87" i="7"/>
  <c r="CK52" i="5"/>
  <c r="CK53" i="5" s="1"/>
  <c r="CK58" i="5" s="1"/>
  <c r="CK87" i="7"/>
  <c r="BX52" i="5"/>
  <c r="BX53" i="5" s="1"/>
  <c r="BX58" i="5" s="1"/>
  <c r="BX87" i="7"/>
  <c r="CD52" i="5"/>
  <c r="CD53" i="5" s="1"/>
  <c r="CD58" i="5" s="1"/>
  <c r="CD87" i="7"/>
  <c r="CI52" i="5"/>
  <c r="CI53" i="5" s="1"/>
  <c r="CI58" i="5" s="1"/>
  <c r="CI87" i="7"/>
  <c r="BV52" i="5"/>
  <c r="BV53" i="5" s="1"/>
  <c r="BV58" i="5" s="1"/>
  <c r="BV87" i="7"/>
  <c r="BU52" i="5"/>
  <c r="BU53" i="5" s="1"/>
  <c r="BU58" i="5" s="1"/>
  <c r="BU87" i="7"/>
  <c r="CG52" i="5"/>
  <c r="CG53" i="5" s="1"/>
  <c r="CG58" i="5" s="1"/>
  <c r="CG87" i="7"/>
  <c r="CE52" i="5"/>
  <c r="CE53" i="5" s="1"/>
  <c r="CE58" i="5" s="1"/>
  <c r="CE87" i="7"/>
  <c r="CF52" i="5"/>
  <c r="CF53" i="5" s="1"/>
  <c r="CF58" i="5" s="1"/>
  <c r="CF87" i="7"/>
  <c r="BY52" i="5"/>
  <c r="BY53" i="5" s="1"/>
  <c r="BY58" i="5" s="1"/>
  <c r="BY87" i="7"/>
  <c r="BW52" i="5"/>
  <c r="BW53" i="5" s="1"/>
  <c r="BW58" i="5" s="1"/>
  <c r="BW87" i="7"/>
  <c r="BR52" i="5"/>
  <c r="BR53" i="5" s="1"/>
  <c r="BR58" i="5" s="1"/>
  <c r="BR87" i="7"/>
  <c r="BP52" i="5"/>
  <c r="BP53" i="5" s="1"/>
  <c r="BP58" i="5" s="1"/>
  <c r="BP87" i="7"/>
  <c r="CA52" i="5"/>
  <c r="CA53" i="5" s="1"/>
  <c r="CA58" i="5" s="1"/>
  <c r="CA87" i="7"/>
  <c r="CJ52" i="5"/>
  <c r="CJ53" i="5" s="1"/>
  <c r="CJ58" i="5" s="1"/>
  <c r="CJ87" i="7"/>
  <c r="BZ52" i="5"/>
  <c r="BZ53" i="5" s="1"/>
  <c r="BZ58" i="5" s="1"/>
  <c r="BZ87" i="7"/>
  <c r="BN52" i="5"/>
  <c r="BN53" i="5" s="1"/>
  <c r="BN58" i="5" s="1"/>
  <c r="BN87" i="7"/>
  <c r="CB52" i="5"/>
  <c r="CB53" i="5" s="1"/>
  <c r="CB58" i="5" s="1"/>
  <c r="CB87" i="7"/>
  <c r="F76" i="7"/>
  <c r="D74" i="7"/>
  <c r="D76" i="7" s="1"/>
  <c r="Z82" i="8"/>
  <c r="Z86" i="7" s="1"/>
  <c r="D37" i="7"/>
  <c r="CD74" i="8"/>
  <c r="CD82" i="8" s="1"/>
  <c r="CD86" i="7" s="1"/>
  <c r="BU74" i="8"/>
  <c r="BU82" i="8" s="1"/>
  <c r="BU86" i="7" s="1"/>
  <c r="BY74" i="8"/>
  <c r="BY82" i="8" s="1"/>
  <c r="BY86" i="7" s="1"/>
  <c r="CE74" i="8"/>
  <c r="CE82" i="8" s="1"/>
  <c r="CE86" i="7" s="1"/>
  <c r="CJ74" i="8"/>
  <c r="CJ82" i="8" s="1"/>
  <c r="CJ86" i="7" s="1"/>
  <c r="BW74" i="8"/>
  <c r="BW82" i="8" s="1"/>
  <c r="BW86" i="7" s="1"/>
  <c r="BV74" i="8"/>
  <c r="BV82" i="8" s="1"/>
  <c r="BV86" i="7" s="1"/>
  <c r="BT74" i="8"/>
  <c r="BT82" i="8" s="1"/>
  <c r="BT86" i="7" s="1"/>
  <c r="CH74" i="8"/>
  <c r="CH82" i="8" s="1"/>
  <c r="CH86" i="7" s="1"/>
  <c r="CF74" i="8"/>
  <c r="CF82" i="8" s="1"/>
  <c r="CF86" i="7" s="1"/>
  <c r="CG74" i="8"/>
  <c r="CG82" i="8" s="1"/>
  <c r="CG86" i="7" s="1"/>
  <c r="BZ74" i="8"/>
  <c r="BZ82" i="8" s="1"/>
  <c r="BZ86" i="7" s="1"/>
  <c r="BX74" i="8"/>
  <c r="BX82" i="8" s="1"/>
  <c r="BX86" i="7" s="1"/>
  <c r="BS74" i="8"/>
  <c r="BS82" i="8" s="1"/>
  <c r="BS86" i="7" s="1"/>
  <c r="CI74" i="8"/>
  <c r="CI82" i="8" s="1"/>
  <c r="CI86" i="7" s="1"/>
  <c r="BR74" i="8"/>
  <c r="BR82" i="8" s="1"/>
  <c r="BR86" i="7" s="1"/>
  <c r="BQ74" i="8"/>
  <c r="BQ82" i="8" s="1"/>
  <c r="BQ86" i="7" s="1"/>
  <c r="CB74" i="8"/>
  <c r="CB82" i="8" s="1"/>
  <c r="CB86" i="7" s="1"/>
  <c r="CK74" i="8"/>
  <c r="CK82" i="8" s="1"/>
  <c r="CK86" i="7" s="1"/>
  <c r="CA74" i="8"/>
  <c r="CA82" i="8" s="1"/>
  <c r="CA86" i="7" s="1"/>
  <c r="BO74" i="8"/>
  <c r="BO82" i="8" s="1"/>
  <c r="BO86" i="7" s="1"/>
  <c r="BN82" i="8"/>
  <c r="BN86" i="7" s="1"/>
  <c r="CC74" i="8"/>
  <c r="CC82" i="8" s="1"/>
  <c r="CC86" i="7" s="1"/>
  <c r="BP74" i="8"/>
  <c r="BP82" i="8" s="1"/>
  <c r="BP86" i="7" s="1"/>
  <c r="D59" i="8"/>
  <c r="D66" i="5"/>
  <c r="D45" i="5"/>
  <c r="AD38" i="7"/>
  <c r="AD39" i="7" s="1"/>
  <c r="AD48" i="12" s="1"/>
  <c r="Z52" i="5"/>
  <c r="Z53" i="5" s="1"/>
  <c r="Z58" i="5" s="1"/>
  <c r="AD82" i="8"/>
  <c r="AD86" i="7" s="1"/>
  <c r="AT38" i="7"/>
  <c r="AT39" i="7" s="1"/>
  <c r="AT48" i="12" s="1"/>
  <c r="AO87" i="7"/>
  <c r="AA74" i="8"/>
  <c r="AA82" i="8" s="1"/>
  <c r="AA86" i="7" s="1"/>
  <c r="N52" i="5"/>
  <c r="N53" i="5" s="1"/>
  <c r="N58" i="5" s="1"/>
  <c r="X87" i="7"/>
  <c r="W74" i="8"/>
  <c r="W82" i="8" s="1"/>
  <c r="W86" i="7" s="1"/>
  <c r="AF87" i="7"/>
  <c r="AP38" i="7"/>
  <c r="AP39" i="7" s="1"/>
  <c r="AP48" i="12" s="1"/>
  <c r="L38" i="7"/>
  <c r="L39" i="7" s="1"/>
  <c r="L48" i="12" s="1"/>
  <c r="AT82" i="8"/>
  <c r="AT86" i="7" s="1"/>
  <c r="N38" i="7"/>
  <c r="N39" i="7" s="1"/>
  <c r="N48" i="12" s="1"/>
  <c r="AP52" i="5"/>
  <c r="AP53" i="5" s="1"/>
  <c r="AP58" i="5" s="1"/>
  <c r="J38" i="7"/>
  <c r="AJ52" i="5"/>
  <c r="AJ53" i="5" s="1"/>
  <c r="AJ58" i="5" s="1"/>
  <c r="AC52" i="5"/>
  <c r="AC53" i="5" s="1"/>
  <c r="AC58" i="5" s="1"/>
  <c r="P52" i="5"/>
  <c r="Q67" i="5" s="1"/>
  <c r="Q68" i="5" s="1"/>
  <c r="Q59" i="5" s="1"/>
  <c r="AE319" i="3"/>
  <c r="AE322" i="3" s="1"/>
  <c r="AD173" i="7"/>
  <c r="AV82" i="8"/>
  <c r="AV86" i="7" s="1"/>
  <c r="R52" i="5"/>
  <c r="AI82" i="8"/>
  <c r="AI86" i="7" s="1"/>
  <c r="U74" i="8"/>
  <c r="U82" i="8" s="1"/>
  <c r="U86" i="7" s="1"/>
  <c r="X82" i="8"/>
  <c r="X86" i="7" s="1"/>
  <c r="H172" i="7"/>
  <c r="X172" i="7"/>
  <c r="AC38" i="7"/>
  <c r="AC39" i="7" s="1"/>
  <c r="AC48" i="12" s="1"/>
  <c r="AK52" i="5"/>
  <c r="AB80" i="7"/>
  <c r="H67" i="9" s="1"/>
  <c r="R38" i="7"/>
  <c r="R39" i="7" s="1"/>
  <c r="R48" i="12" s="1"/>
  <c r="J52" i="5"/>
  <c r="J53" i="5" s="1"/>
  <c r="J58" i="5" s="1"/>
  <c r="BK38" i="7"/>
  <c r="BK39" i="7" s="1"/>
  <c r="BK48" i="12" s="1"/>
  <c r="V82" i="8"/>
  <c r="V86" i="7" s="1"/>
  <c r="K172" i="7"/>
  <c r="BH82" i="8"/>
  <c r="BH86" i="7" s="1"/>
  <c r="BM82" i="8"/>
  <c r="BM86" i="7" s="1"/>
  <c r="AX38" i="7"/>
  <c r="AX39" i="7" s="1"/>
  <c r="AX48" i="12" s="1"/>
  <c r="G80" i="7"/>
  <c r="S87" i="7"/>
  <c r="P38" i="7"/>
  <c r="P39" i="7" s="1"/>
  <c r="P48" i="12" s="1"/>
  <c r="AI38" i="7"/>
  <c r="AI39" i="7" s="1"/>
  <c r="AI48" i="12" s="1"/>
  <c r="BK82" i="8"/>
  <c r="BK86" i="7" s="1"/>
  <c r="AN52" i="5"/>
  <c r="O87" i="7"/>
  <c r="BH87" i="7"/>
  <c r="AV38" i="7"/>
  <c r="AV39" i="7" s="1"/>
  <c r="AV48" i="12" s="1"/>
  <c r="W38" i="7"/>
  <c r="W39" i="7" s="1"/>
  <c r="W48" i="12" s="1"/>
  <c r="BB82" i="8"/>
  <c r="BB86" i="7" s="1"/>
  <c r="BD52" i="5"/>
  <c r="BD53" i="5" s="1"/>
  <c r="BD58" i="5" s="1"/>
  <c r="AQ52" i="5"/>
  <c r="AQ53" i="5" s="1"/>
  <c r="AQ58" i="5" s="1"/>
  <c r="Q80" i="7"/>
  <c r="AL87" i="7"/>
  <c r="BM52" i="5"/>
  <c r="AG38" i="7"/>
  <c r="AG39" i="7" s="1"/>
  <c r="AG48" i="12" s="1"/>
  <c r="AQ82" i="8"/>
  <c r="AQ86" i="7" s="1"/>
  <c r="AL38" i="7"/>
  <c r="AL39" i="7" s="1"/>
  <c r="AL48" i="12" s="1"/>
  <c r="U38" i="7"/>
  <c r="U39" i="7" s="1"/>
  <c r="U48" i="12" s="1"/>
  <c r="AA172" i="7"/>
  <c r="G159" i="9" s="1"/>
  <c r="AR82" i="8"/>
  <c r="AR86" i="7" s="1"/>
  <c r="AY80" i="7"/>
  <c r="I67" i="9" s="1"/>
  <c r="BG38" i="7"/>
  <c r="BG39" i="7" s="1"/>
  <c r="BG48" i="12" s="1"/>
  <c r="K38" i="7"/>
  <c r="K39" i="7" s="1"/>
  <c r="K48" i="12" s="1"/>
  <c r="AS87" i="7"/>
  <c r="J74" i="8"/>
  <c r="J82" i="8" s="1"/>
  <c r="J86" i="7" s="1"/>
  <c r="T82" i="8"/>
  <c r="T86" i="7" s="1"/>
  <c r="V38" i="7"/>
  <c r="V39" i="7" s="1"/>
  <c r="V48" i="12" s="1"/>
  <c r="U52" i="5"/>
  <c r="V67" i="5" s="1"/>
  <c r="V68" i="5" s="1"/>
  <c r="M38" i="7"/>
  <c r="O80" i="7"/>
  <c r="BI87" i="7"/>
  <c r="AO74" i="8"/>
  <c r="AO82" i="8" s="1"/>
  <c r="AO86" i="7" s="1"/>
  <c r="T38" i="7"/>
  <c r="T39" i="7" s="1"/>
  <c r="T48" i="12" s="1"/>
  <c r="BL52" i="5"/>
  <c r="AG82" i="8"/>
  <c r="AG86" i="7" s="1"/>
  <c r="BJ38" i="7"/>
  <c r="BJ39" i="7" s="1"/>
  <c r="BJ48" i="12" s="1"/>
  <c r="BJ82" i="8"/>
  <c r="BJ86" i="7" s="1"/>
  <c r="G52" i="5"/>
  <c r="AX52" i="5"/>
  <c r="AX53" i="5" s="1"/>
  <c r="AX58" i="5" s="1"/>
  <c r="AF38" i="7"/>
  <c r="AF39" i="7" s="1"/>
  <c r="AF48" i="12" s="1"/>
  <c r="AJ82" i="8"/>
  <c r="AJ86" i="7" s="1"/>
  <c r="AE38" i="7"/>
  <c r="AE39" i="7" s="1"/>
  <c r="AE48" i="12" s="1"/>
  <c r="I82" i="8"/>
  <c r="I86" i="7" s="1"/>
  <c r="AH38" i="7"/>
  <c r="AH39" i="7" s="1"/>
  <c r="AH48" i="12" s="1"/>
  <c r="AB52" i="5"/>
  <c r="I52" i="5"/>
  <c r="I53" i="5" s="1"/>
  <c r="I58" i="5" s="1"/>
  <c r="BE52" i="5"/>
  <c r="BE53" i="5" s="1"/>
  <c r="BE58" i="5" s="1"/>
  <c r="K82" i="8"/>
  <c r="K86" i="7" s="1"/>
  <c r="U172" i="7"/>
  <c r="AZ82" i="8"/>
  <c r="AZ86" i="7" s="1"/>
  <c r="AW38" i="7"/>
  <c r="AW39" i="7" s="1"/>
  <c r="AW48" i="12" s="1"/>
  <c r="Q172" i="7"/>
  <c r="Q82" i="8"/>
  <c r="Q86" i="7" s="1"/>
  <c r="W52" i="5"/>
  <c r="W53" i="5" s="1"/>
  <c r="W58" i="5" s="1"/>
  <c r="AK38" i="7"/>
  <c r="AK39" i="7" s="1"/>
  <c r="AK48" i="12" s="1"/>
  <c r="AW82" i="8"/>
  <c r="AW86" i="7" s="1"/>
  <c r="BD82" i="8"/>
  <c r="BD86" i="7" s="1"/>
  <c r="BC52" i="5"/>
  <c r="BC53" i="5" s="1"/>
  <c r="BC58" i="5" s="1"/>
  <c r="Y52" i="5"/>
  <c r="Y53" i="5" s="1"/>
  <c r="Y58" i="5" s="1"/>
  <c r="AS74" i="8"/>
  <c r="AS82" i="8" s="1"/>
  <c r="AS86" i="7" s="1"/>
  <c r="H82" i="8"/>
  <c r="H86" i="7" s="1"/>
  <c r="L172" i="7"/>
  <c r="AH52" i="5"/>
  <c r="AI67" i="5" s="1"/>
  <c r="AI68" i="5" s="1"/>
  <c r="AI71" i="5" s="1"/>
  <c r="L82" i="8"/>
  <c r="L86" i="7" s="1"/>
  <c r="BG82" i="8"/>
  <c r="BG86" i="7" s="1"/>
  <c r="Y82" i="8"/>
  <c r="Y86" i="7" s="1"/>
  <c r="AR38" i="7"/>
  <c r="AR39" i="7" s="1"/>
  <c r="AR48" i="12" s="1"/>
  <c r="AY52" i="5"/>
  <c r="BA67" i="5" s="1"/>
  <c r="BA68" i="5" s="1"/>
  <c r="Y172" i="7"/>
  <c r="AZ38" i="7"/>
  <c r="AZ39" i="7" s="1"/>
  <c r="AZ48" i="12" s="1"/>
  <c r="O82" i="8"/>
  <c r="O86" i="7" s="1"/>
  <c r="BE82" i="8"/>
  <c r="BE86" i="7" s="1"/>
  <c r="AA52" i="5"/>
  <c r="AA53" i="5" s="1"/>
  <c r="AA58" i="5" s="1"/>
  <c r="O172" i="7"/>
  <c r="F159" i="9" s="1"/>
  <c r="BC82" i="8"/>
  <c r="BC86" i="7" s="1"/>
  <c r="S38" i="7"/>
  <c r="S39" i="7" s="1"/>
  <c r="S48" i="12" s="1"/>
  <c r="BB80" i="7"/>
  <c r="BB38" i="7"/>
  <c r="BB39" i="7" s="1"/>
  <c r="BB48" i="12" s="1"/>
  <c r="F64" i="8"/>
  <c r="F80" i="8" s="1"/>
  <c r="AE82" i="8"/>
  <c r="AE86" i="7" s="1"/>
  <c r="BL82" i="8"/>
  <c r="BL86" i="7" s="1"/>
  <c r="BF82" i="8"/>
  <c r="BF86" i="7" s="1"/>
  <c r="BI38" i="7"/>
  <c r="BI39" i="7" s="1"/>
  <c r="BI48" i="12" s="1"/>
  <c r="H38" i="7"/>
  <c r="M172" i="7"/>
  <c r="M82" i="8"/>
  <c r="M86" i="7" s="1"/>
  <c r="BF87" i="7"/>
  <c r="BF52" i="5"/>
  <c r="BF53" i="5" s="1"/>
  <c r="BF58" i="5" s="1"/>
  <c r="BF80" i="7"/>
  <c r="BF38" i="7"/>
  <c r="BF39" i="7" s="1"/>
  <c r="BF48" i="12" s="1"/>
  <c r="AV67" i="5"/>
  <c r="AV68" i="5" s="1"/>
  <c r="AV71" i="5" s="1"/>
  <c r="F151" i="7"/>
  <c r="BK67" i="5"/>
  <c r="BK68" i="5" s="1"/>
  <c r="T53" i="5"/>
  <c r="T58" i="5" s="1"/>
  <c r="AF53" i="5"/>
  <c r="AF58" i="5" s="1"/>
  <c r="AF67" i="5"/>
  <c r="AF68" i="5" s="1"/>
  <c r="AT53" i="5"/>
  <c r="AT58" i="5" s="1"/>
  <c r="R86" i="7"/>
  <c r="AB86" i="7"/>
  <c r="S86" i="7"/>
  <c r="M47" i="8"/>
  <c r="M48" i="8" s="1"/>
  <c r="N45" i="8" s="1"/>
  <c r="N47" i="8" s="1"/>
  <c r="N48" i="8" s="1"/>
  <c r="O45" i="8" s="1"/>
  <c r="O47" i="8" s="1"/>
  <c r="O48" i="8" s="1"/>
  <c r="P45" i="8" s="1"/>
  <c r="P47" i="8" s="1"/>
  <c r="P48" i="8" s="1"/>
  <c r="Q45" i="8" s="1"/>
  <c r="Q47" i="8" s="1"/>
  <c r="Q48" i="8" s="1"/>
  <c r="R45" i="8" s="1"/>
  <c r="BJ53" i="5"/>
  <c r="BJ58" i="5" s="1"/>
  <c r="BJ67" i="5"/>
  <c r="BJ68" i="5" s="1"/>
  <c r="BH53" i="5"/>
  <c r="BH58" i="5" s="1"/>
  <c r="M67" i="5"/>
  <c r="M68" i="5" s="1"/>
  <c r="K53" i="5"/>
  <c r="K58" i="5" s="1"/>
  <c r="H57" i="8"/>
  <c r="H58" i="8" s="1"/>
  <c r="H60" i="8" s="1"/>
  <c r="G151" i="7"/>
  <c r="G64" i="8"/>
  <c r="G80" i="8" s="1"/>
  <c r="G85" i="7" s="1"/>
  <c r="AU67" i="5"/>
  <c r="AU68" i="5" s="1"/>
  <c r="AS53" i="5"/>
  <c r="AS58" i="5" s="1"/>
  <c r="BB53" i="5"/>
  <c r="BB58" i="5" s="1"/>
  <c r="O53" i="5"/>
  <c r="O58" i="5" s="1"/>
  <c r="F80" i="7"/>
  <c r="F20" i="9"/>
  <c r="F38" i="7"/>
  <c r="G39" i="7"/>
  <c r="G48" i="12" s="1"/>
  <c r="BB67" i="5"/>
  <c r="BB68" i="5" s="1"/>
  <c r="AZ53" i="5"/>
  <c r="AZ58" i="5" s="1"/>
  <c r="H53" i="5"/>
  <c r="H58" i="5" s="1"/>
  <c r="F172" i="7"/>
  <c r="F82" i="8"/>
  <c r="G74" i="8"/>
  <c r="G82" i="8" s="1"/>
  <c r="AD53" i="5"/>
  <c r="AD58" i="5" s="1"/>
  <c r="AT67" i="5"/>
  <c r="AT68" i="5" s="1"/>
  <c r="AR53" i="5"/>
  <c r="AR58" i="5" s="1"/>
  <c r="F52" i="5"/>
  <c r="F87" i="7"/>
  <c r="S53" i="5"/>
  <c r="S58" i="5" s="1"/>
  <c r="AG67" i="5"/>
  <c r="AG68" i="5" s="1"/>
  <c r="AW67" i="5"/>
  <c r="AW68" i="5" s="1"/>
  <c r="AG53" i="5"/>
  <c r="AG58" i="5" s="1"/>
  <c r="BI67" i="5"/>
  <c r="BI68" i="5" s="1"/>
  <c r="AO53" i="5"/>
  <c r="AO58" i="5" s="1"/>
  <c r="P81" i="4"/>
  <c r="P142" i="7" s="1"/>
  <c r="AF147" i="4"/>
  <c r="AF148" i="4" s="1"/>
  <c r="AF149" i="4" s="1"/>
  <c r="AG142" i="4"/>
  <c r="AG145" i="4" s="1"/>
  <c r="AF90" i="4"/>
  <c r="AG85" i="4"/>
  <c r="AG88" i="4" s="1"/>
  <c r="AE91" i="4"/>
  <c r="AE148" i="7"/>
  <c r="AD92" i="4"/>
  <c r="AD177" i="7" s="1"/>
  <c r="AD172" i="7"/>
  <c r="AM67" i="5" l="1"/>
  <c r="AM68" i="5" s="1"/>
  <c r="AM59" i="5" s="1"/>
  <c r="T342" i="3"/>
  <c r="U336" i="3" a="1"/>
  <c r="P143" i="7"/>
  <c r="P43" i="12" s="1"/>
  <c r="F129" i="9"/>
  <c r="F74" i="9"/>
  <c r="J145" i="15"/>
  <c r="C145" i="15"/>
  <c r="D145" i="15"/>
  <c r="E145" i="15"/>
  <c r="F145" i="15"/>
  <c r="G145" i="15"/>
  <c r="H145" i="15"/>
  <c r="I145" i="15"/>
  <c r="J75" i="15"/>
  <c r="J76" i="15" s="1"/>
  <c r="K75" i="15"/>
  <c r="K76" i="15" s="1"/>
  <c r="K21" i="9"/>
  <c r="K22" i="9" s="1"/>
  <c r="I74" i="15"/>
  <c r="J74" i="9"/>
  <c r="M73" i="9"/>
  <c r="K74" i="9"/>
  <c r="G67" i="9"/>
  <c r="H74" i="9"/>
  <c r="J73" i="9"/>
  <c r="I74" i="9"/>
  <c r="I73" i="9"/>
  <c r="G73" i="9"/>
  <c r="K73" i="9"/>
  <c r="L73" i="9"/>
  <c r="M74" i="9"/>
  <c r="H73" i="9"/>
  <c r="L74" i="9"/>
  <c r="J67" i="9"/>
  <c r="G74" i="9"/>
  <c r="F67" i="9"/>
  <c r="D61" i="9"/>
  <c r="D20" i="9"/>
  <c r="BS67" i="5"/>
  <c r="BS68" i="5" s="1"/>
  <c r="BS59" i="5" s="1"/>
  <c r="BZ67" i="5"/>
  <c r="BZ68" i="5" s="1"/>
  <c r="BZ71" i="5" s="1"/>
  <c r="CB67" i="5"/>
  <c r="CB68" i="5" s="1"/>
  <c r="CB59" i="5" s="1"/>
  <c r="CA67" i="5"/>
  <c r="CA68" i="5" s="1"/>
  <c r="CA59" i="5" s="1"/>
  <c r="CC67" i="5"/>
  <c r="CC68" i="5" s="1"/>
  <c r="CC71" i="5" s="1"/>
  <c r="CH67" i="5"/>
  <c r="CH68" i="5" s="1"/>
  <c r="CH59" i="5" s="1"/>
  <c r="BS53" i="5"/>
  <c r="BS58" i="5" s="1"/>
  <c r="BR67" i="5"/>
  <c r="BR68" i="5" s="1"/>
  <c r="BR71" i="5" s="1"/>
  <c r="BT67" i="5"/>
  <c r="BT68" i="5" s="1"/>
  <c r="BT71" i="5" s="1"/>
  <c r="BQ67" i="5"/>
  <c r="BQ68" i="5" s="1"/>
  <c r="BQ71" i="5" s="1"/>
  <c r="CE67" i="5"/>
  <c r="CE68" i="5" s="1"/>
  <c r="CE71" i="5" s="1"/>
  <c r="BU67" i="5"/>
  <c r="BU68" i="5" s="1"/>
  <c r="BU71" i="5" s="1"/>
  <c r="CF67" i="5"/>
  <c r="CF68" i="5" s="1"/>
  <c r="CF71" i="5" s="1"/>
  <c r="CI67" i="5"/>
  <c r="CI68" i="5" s="1"/>
  <c r="CI71" i="5" s="1"/>
  <c r="BV67" i="5"/>
  <c r="BV68" i="5" s="1"/>
  <c r="BV59" i="5" s="1"/>
  <c r="CD67" i="5"/>
  <c r="CD68" i="5" s="1"/>
  <c r="CD71" i="5" s="1"/>
  <c r="CG67" i="5"/>
  <c r="CG68" i="5" s="1"/>
  <c r="CG71" i="5" s="1"/>
  <c r="BY67" i="5"/>
  <c r="BY68" i="5" s="1"/>
  <c r="BY71" i="5" s="1"/>
  <c r="CJ67" i="5"/>
  <c r="CJ68" i="5" s="1"/>
  <c r="CJ71" i="5" s="1"/>
  <c r="BP67" i="5"/>
  <c r="BP68" i="5" s="1"/>
  <c r="BP71" i="5" s="1"/>
  <c r="BW67" i="5"/>
  <c r="BW68" i="5" s="1"/>
  <c r="BW71" i="5" s="1"/>
  <c r="BX67" i="5"/>
  <c r="BX68" i="5" s="1"/>
  <c r="BX71" i="5" s="1"/>
  <c r="CK67" i="5"/>
  <c r="CK68" i="5" s="1"/>
  <c r="CK59" i="5" s="1"/>
  <c r="D80" i="7"/>
  <c r="D87" i="7"/>
  <c r="D38" i="7"/>
  <c r="D39" i="7" s="1"/>
  <c r="D82" i="8"/>
  <c r="F85" i="7"/>
  <c r="BL53" i="5"/>
  <c r="BL58" i="5" s="1"/>
  <c r="BN67" i="5"/>
  <c r="BN68" i="5" s="1"/>
  <c r="BM53" i="5"/>
  <c r="BM58" i="5" s="1"/>
  <c r="BO67" i="5"/>
  <c r="BO68" i="5" s="1"/>
  <c r="D52" i="5"/>
  <c r="D53" i="5" s="1"/>
  <c r="N67" i="5"/>
  <c r="N68" i="5" s="1"/>
  <c r="N59" i="5" s="1"/>
  <c r="O67" i="5"/>
  <c r="O68" i="5" s="1"/>
  <c r="O59" i="5" s="1"/>
  <c r="AS67" i="5"/>
  <c r="AS68" i="5" s="1"/>
  <c r="AS59" i="5" s="1"/>
  <c r="AK53" i="5"/>
  <c r="AK58" i="5" s="1"/>
  <c r="L67" i="5"/>
  <c r="L68" i="5" s="1"/>
  <c r="L59" i="5" s="1"/>
  <c r="J39" i="7"/>
  <c r="J48" i="12" s="1"/>
  <c r="P53" i="5"/>
  <c r="P58" i="5" s="1"/>
  <c r="P67" i="5"/>
  <c r="P68" i="5" s="1"/>
  <c r="P71" i="5" s="1"/>
  <c r="R67" i="5"/>
  <c r="R68" i="5" s="1"/>
  <c r="R59" i="5" s="1"/>
  <c r="AP67" i="5"/>
  <c r="AP68" i="5" s="1"/>
  <c r="AP59" i="5" s="1"/>
  <c r="AQ67" i="5"/>
  <c r="AQ68" i="5" s="1"/>
  <c r="AQ59" i="5" s="1"/>
  <c r="AK67" i="5"/>
  <c r="AK68" i="5" s="1"/>
  <c r="AK71" i="5" s="1"/>
  <c r="AD67" i="5"/>
  <c r="AD68" i="5" s="1"/>
  <c r="AD59" i="5" s="1"/>
  <c r="AE67" i="5"/>
  <c r="AE68" i="5" s="1"/>
  <c r="AE59" i="5" s="1"/>
  <c r="AL67" i="5"/>
  <c r="AL68" i="5" s="1"/>
  <c r="AL71" i="5" s="1"/>
  <c r="R53" i="5"/>
  <c r="R58" i="5" s="1"/>
  <c r="T67" i="5"/>
  <c r="T68" i="5" s="1"/>
  <c r="T59" i="5" s="1"/>
  <c r="S67" i="5"/>
  <c r="S68" i="5" s="1"/>
  <c r="S59" i="5" s="1"/>
  <c r="U67" i="5"/>
  <c r="U68" i="5" s="1"/>
  <c r="U59" i="5" s="1"/>
  <c r="AF319" i="3"/>
  <c r="AF322" i="3" s="1"/>
  <c r="AE173" i="7"/>
  <c r="U53" i="5"/>
  <c r="U58" i="5" s="1"/>
  <c r="AN53" i="5"/>
  <c r="AN58" i="5" s="1"/>
  <c r="AO67" i="5"/>
  <c r="AO68" i="5" s="1"/>
  <c r="AO71" i="5" s="1"/>
  <c r="AR67" i="5"/>
  <c r="AR68" i="5" s="1"/>
  <c r="AR71" i="5" s="1"/>
  <c r="AN67" i="5"/>
  <c r="AN68" i="5" s="1"/>
  <c r="AN59" i="5" s="1"/>
  <c r="I67" i="5"/>
  <c r="I68" i="5" s="1"/>
  <c r="I71" i="5" s="1"/>
  <c r="F75" i="15"/>
  <c r="F76" i="15" s="1"/>
  <c r="K67" i="5"/>
  <c r="K68" i="5" s="1"/>
  <c r="K71" i="5" s="1"/>
  <c r="G53" i="5"/>
  <c r="G58" i="5" s="1"/>
  <c r="J67" i="5"/>
  <c r="J68" i="5" s="1"/>
  <c r="J59" i="5" s="1"/>
  <c r="H21" i="9"/>
  <c r="G75" i="15"/>
  <c r="G76" i="15" s="1"/>
  <c r="M39" i="7"/>
  <c r="M48" i="12" s="1"/>
  <c r="AH67" i="5"/>
  <c r="AH68" i="5" s="1"/>
  <c r="AH71" i="5" s="1"/>
  <c r="BC67" i="5"/>
  <c r="BC68" i="5" s="1"/>
  <c r="BC71" i="5" s="1"/>
  <c r="BD67" i="5"/>
  <c r="BD68" i="5" s="1"/>
  <c r="BD71" i="5" s="1"/>
  <c r="AB67" i="5"/>
  <c r="AB68" i="5" s="1"/>
  <c r="AB59" i="5" s="1"/>
  <c r="AB53" i="5"/>
  <c r="AB58" i="5" s="1"/>
  <c r="BL67" i="5"/>
  <c r="BL68" i="5" s="1"/>
  <c r="BL59" i="5" s="1"/>
  <c r="BM67" i="5"/>
  <c r="BM68" i="5" s="1"/>
  <c r="BM71" i="5" s="1"/>
  <c r="I21" i="9"/>
  <c r="W67" i="5"/>
  <c r="W68" i="5" s="1"/>
  <c r="W71" i="5" s="1"/>
  <c r="X67" i="5"/>
  <c r="X68" i="5" s="1"/>
  <c r="X59" i="5" s="1"/>
  <c r="AY67" i="5"/>
  <c r="AY68" i="5" s="1"/>
  <c r="AY59" i="5" s="1"/>
  <c r="AX67" i="5"/>
  <c r="AX68" i="5" s="1"/>
  <c r="AX59" i="5" s="1"/>
  <c r="BE67" i="5"/>
  <c r="BE68" i="5" s="1"/>
  <c r="BE59" i="5" s="1"/>
  <c r="AH53" i="5"/>
  <c r="AH58" i="5" s="1"/>
  <c r="AJ67" i="5"/>
  <c r="AJ68" i="5" s="1"/>
  <c r="AJ59" i="5" s="1"/>
  <c r="E75" i="15"/>
  <c r="E76" i="15" s="1"/>
  <c r="H75" i="15"/>
  <c r="H76" i="15" s="1"/>
  <c r="G21" i="9"/>
  <c r="AA67" i="5"/>
  <c r="AA68" i="5" s="1"/>
  <c r="AA71" i="5" s="1"/>
  <c r="Y67" i="5"/>
  <c r="Y68" i="5" s="1"/>
  <c r="Y71" i="5" s="1"/>
  <c r="Z67" i="5"/>
  <c r="Z68" i="5" s="1"/>
  <c r="Z59" i="5" s="1"/>
  <c r="AC67" i="5"/>
  <c r="AC68" i="5" s="1"/>
  <c r="AC71" i="5" s="1"/>
  <c r="AZ67" i="5"/>
  <c r="AZ68" i="5" s="1"/>
  <c r="AZ71" i="5" s="1"/>
  <c r="AY53" i="5"/>
  <c r="AY58" i="5" s="1"/>
  <c r="J21" i="9"/>
  <c r="BF67" i="5"/>
  <c r="BF68" i="5" s="1"/>
  <c r="BF59" i="5" s="1"/>
  <c r="BG67" i="5"/>
  <c r="BG68" i="5" s="1"/>
  <c r="BG71" i="5" s="1"/>
  <c r="BH67" i="5"/>
  <c r="BH68" i="5" s="1"/>
  <c r="BH71" i="5" s="1"/>
  <c r="H39" i="7"/>
  <c r="H48" i="12" s="1"/>
  <c r="V59" i="5"/>
  <c r="V71" i="5"/>
  <c r="AV59" i="5"/>
  <c r="BK71" i="5"/>
  <c r="BK59" i="5"/>
  <c r="AF71" i="5"/>
  <c r="AF59" i="5"/>
  <c r="AT71" i="5"/>
  <c r="AT59" i="5"/>
  <c r="Q71" i="5"/>
  <c r="R47" i="8"/>
  <c r="R48" i="8" s="1"/>
  <c r="S45" i="8" s="1"/>
  <c r="S47" i="8" s="1"/>
  <c r="S48" i="8" s="1"/>
  <c r="T45" i="8" s="1"/>
  <c r="T47" i="8" s="1"/>
  <c r="T48" i="8" s="1"/>
  <c r="U45" i="8" s="1"/>
  <c r="U47" i="8" s="1"/>
  <c r="U48" i="8" s="1"/>
  <c r="V45" i="8" s="1"/>
  <c r="V47" i="8" s="1"/>
  <c r="V48" i="8" s="1"/>
  <c r="W45" i="8" s="1"/>
  <c r="W47" i="8" s="1"/>
  <c r="W48" i="8" s="1"/>
  <c r="X45" i="8" s="1"/>
  <c r="X47" i="8" s="1"/>
  <c r="X48" i="8" s="1"/>
  <c r="Y45" i="8" s="1"/>
  <c r="Y47" i="8" s="1"/>
  <c r="Y48" i="8" s="1"/>
  <c r="Z45" i="8" s="1"/>
  <c r="Z47" i="8" s="1"/>
  <c r="Z48" i="8" s="1"/>
  <c r="AA45" i="8" s="1"/>
  <c r="AA47" i="8" s="1"/>
  <c r="AA48" i="8" s="1"/>
  <c r="AB45" i="8" s="1"/>
  <c r="AB47" i="8" s="1"/>
  <c r="AB48" i="8" s="1"/>
  <c r="AC45" i="8" s="1"/>
  <c r="AC47" i="8" s="1"/>
  <c r="AC48" i="8" s="1"/>
  <c r="AD45" i="8" s="1"/>
  <c r="AD47" i="8" s="1"/>
  <c r="AD48" i="8" s="1"/>
  <c r="AE45" i="8" s="1"/>
  <c r="AE47" i="8" s="1"/>
  <c r="AE48" i="8" s="1"/>
  <c r="AF45" i="8" s="1"/>
  <c r="AF47" i="8" s="1"/>
  <c r="AF48" i="8" s="1"/>
  <c r="AG45" i="8" s="1"/>
  <c r="AG47" i="8" s="1"/>
  <c r="AG48" i="8" s="1"/>
  <c r="AH45" i="8" s="1"/>
  <c r="AH47" i="8" s="1"/>
  <c r="AH48" i="8" s="1"/>
  <c r="AI45" i="8" s="1"/>
  <c r="AI47" i="8" s="1"/>
  <c r="AI48" i="8" s="1"/>
  <c r="AJ45" i="8" s="1"/>
  <c r="AJ47" i="8" s="1"/>
  <c r="AJ48" i="8" s="1"/>
  <c r="AK45" i="8" s="1"/>
  <c r="AK47" i="8" s="1"/>
  <c r="AK48" i="8" s="1"/>
  <c r="AL45" i="8" s="1"/>
  <c r="AL47" i="8" s="1"/>
  <c r="AL48" i="8" s="1"/>
  <c r="AM45" i="8" s="1"/>
  <c r="AM47" i="8" s="1"/>
  <c r="AM48" i="8" s="1"/>
  <c r="AN45" i="8" s="1"/>
  <c r="AN47" i="8" s="1"/>
  <c r="AN48" i="8" s="1"/>
  <c r="AO45" i="8" s="1"/>
  <c r="AO47" i="8" s="1"/>
  <c r="AO48" i="8" s="1"/>
  <c r="AP45" i="8" s="1"/>
  <c r="AP47" i="8" s="1"/>
  <c r="AP48" i="8" s="1"/>
  <c r="AQ45" i="8" s="1"/>
  <c r="AQ47" i="8" s="1"/>
  <c r="AQ48" i="8" s="1"/>
  <c r="AR45" i="8" s="1"/>
  <c r="AR47" i="8" s="1"/>
  <c r="AR48" i="8" s="1"/>
  <c r="AS45" i="8" s="1"/>
  <c r="AS47" i="8" s="1"/>
  <c r="AS48" i="8" s="1"/>
  <c r="AT45" i="8" s="1"/>
  <c r="AT47" i="8" s="1"/>
  <c r="AT48" i="8" s="1"/>
  <c r="AU45" i="8" s="1"/>
  <c r="AU47" i="8" s="1"/>
  <c r="AU48" i="8" s="1"/>
  <c r="AV45" i="8" s="1"/>
  <c r="AV47" i="8" s="1"/>
  <c r="AV48" i="8" s="1"/>
  <c r="AW45" i="8" s="1"/>
  <c r="AW47" i="8" s="1"/>
  <c r="AW48" i="8" s="1"/>
  <c r="AX45" i="8" s="1"/>
  <c r="AX47" i="8" s="1"/>
  <c r="AX48" i="8" s="1"/>
  <c r="AY45" i="8" s="1"/>
  <c r="AY47" i="8" s="1"/>
  <c r="AY48" i="8" s="1"/>
  <c r="AZ45" i="8" s="1"/>
  <c r="AZ47" i="8" s="1"/>
  <c r="AZ48" i="8" s="1"/>
  <c r="BA45" i="8" s="1"/>
  <c r="BA47" i="8" s="1"/>
  <c r="BA48" i="8" s="1"/>
  <c r="BB45" i="8" s="1"/>
  <c r="BB47" i="8" s="1"/>
  <c r="BB48" i="8" s="1"/>
  <c r="BC45" i="8" s="1"/>
  <c r="BC47" i="8" s="1"/>
  <c r="BC48" i="8" s="1"/>
  <c r="BD45" i="8" s="1"/>
  <c r="BD47" i="8" s="1"/>
  <c r="BD48" i="8" s="1"/>
  <c r="BE45" i="8" s="1"/>
  <c r="BE47" i="8" s="1"/>
  <c r="BE48" i="8" s="1"/>
  <c r="BF45" i="8" s="1"/>
  <c r="BF47" i="8" s="1"/>
  <c r="BF48" i="8" s="1"/>
  <c r="BG45" i="8" s="1"/>
  <c r="BG47" i="8" s="1"/>
  <c r="BG48" i="8" s="1"/>
  <c r="BH45" i="8" s="1"/>
  <c r="BH47" i="8" s="1"/>
  <c r="BH48" i="8" s="1"/>
  <c r="BI45" i="8" s="1"/>
  <c r="BI47" i="8" s="1"/>
  <c r="BI48" i="8" s="1"/>
  <c r="BJ45" i="8" s="1"/>
  <c r="BJ47" i="8" s="1"/>
  <c r="BJ48" i="8" s="1"/>
  <c r="BK45" i="8" s="1"/>
  <c r="BK47" i="8" s="1"/>
  <c r="BK48" i="8" s="1"/>
  <c r="BL45" i="8" s="1"/>
  <c r="BL47" i="8" s="1"/>
  <c r="BL48" i="8" s="1"/>
  <c r="BM45" i="8" s="1"/>
  <c r="AG59" i="5"/>
  <c r="AG71" i="5"/>
  <c r="BI59" i="5"/>
  <c r="BI71" i="5"/>
  <c r="BJ71" i="5"/>
  <c r="BJ59" i="5"/>
  <c r="BB59" i="5"/>
  <c r="BB71" i="5"/>
  <c r="AM71" i="5"/>
  <c r="M71" i="5"/>
  <c r="M59" i="5"/>
  <c r="AU71" i="5"/>
  <c r="AU59" i="5"/>
  <c r="AW71" i="5"/>
  <c r="AW59" i="5"/>
  <c r="AI59" i="5"/>
  <c r="D74" i="15"/>
  <c r="F21" i="9"/>
  <c r="G86" i="7"/>
  <c r="G88" i="7" s="1"/>
  <c r="G83" i="8"/>
  <c r="F86" i="7"/>
  <c r="F83" i="8"/>
  <c r="I57" i="8"/>
  <c r="I58" i="8" s="1"/>
  <c r="I60" i="8" s="1"/>
  <c r="H151" i="7"/>
  <c r="H64" i="8"/>
  <c r="H80" i="8" s="1"/>
  <c r="BA59" i="5"/>
  <c r="BA71" i="5"/>
  <c r="H67" i="5"/>
  <c r="H68" i="5" s="1"/>
  <c r="G67" i="5"/>
  <c r="G68" i="5" s="1"/>
  <c r="F67" i="5"/>
  <c r="F53" i="5"/>
  <c r="F58" i="5" s="1"/>
  <c r="F39" i="7"/>
  <c r="F48" i="12" s="1"/>
  <c r="F63" i="9"/>
  <c r="D63" i="9" s="1"/>
  <c r="Q78" i="4"/>
  <c r="Q80" i="4" s="1"/>
  <c r="Q48" i="7" s="1"/>
  <c r="P157" i="5"/>
  <c r="P158" i="5" s="1"/>
  <c r="P163" i="5" s="1"/>
  <c r="AE172" i="7"/>
  <c r="AE92" i="4"/>
  <c r="AE177" i="7" s="1"/>
  <c r="AG147" i="4"/>
  <c r="AG148" i="4" s="1"/>
  <c r="AG149" i="4" s="1"/>
  <c r="AH142" i="4"/>
  <c r="AH145" i="4" s="1"/>
  <c r="AH85" i="4"/>
  <c r="AH88" i="4" s="1"/>
  <c r="AG90" i="4"/>
  <c r="AF91" i="4"/>
  <c r="AF148" i="7"/>
  <c r="U336" i="3" l="1"/>
  <c r="U337" i="3"/>
  <c r="U343" i="3" s="1"/>
  <c r="U338" i="3"/>
  <c r="U344" i="3" s="1"/>
  <c r="Q164" i="5"/>
  <c r="Q93" i="7" s="1"/>
  <c r="O164" i="5"/>
  <c r="O93" i="7" s="1"/>
  <c r="P164" i="5"/>
  <c r="P93" i="7" s="1"/>
  <c r="C138" i="15" a="1"/>
  <c r="J138" i="15" s="1"/>
  <c r="C74" i="15"/>
  <c r="I75" i="15"/>
  <c r="I76" i="15" s="1"/>
  <c r="F73" i="9"/>
  <c r="D73" i="9" s="1"/>
  <c r="D67" i="9"/>
  <c r="D74" i="9"/>
  <c r="BS71" i="5"/>
  <c r="J22" i="9"/>
  <c r="G22" i="9"/>
  <c r="H22" i="9"/>
  <c r="I22" i="9"/>
  <c r="D21" i="9"/>
  <c r="D22" i="9" s="1"/>
  <c r="CB71" i="5"/>
  <c r="CC59" i="5"/>
  <c r="BP59" i="5"/>
  <c r="BU59" i="5"/>
  <c r="BZ59" i="5"/>
  <c r="CH71" i="5"/>
  <c r="CA71" i="5"/>
  <c r="BQ59" i="5"/>
  <c r="BR59" i="5"/>
  <c r="CG59" i="5"/>
  <c r="CE59" i="5"/>
  <c r="CJ59" i="5"/>
  <c r="BT59" i="5"/>
  <c r="BY59" i="5"/>
  <c r="CI59" i="5"/>
  <c r="CD59" i="5"/>
  <c r="BX59" i="5"/>
  <c r="BW59" i="5"/>
  <c r="CF59" i="5"/>
  <c r="BV71" i="5"/>
  <c r="CK71" i="5"/>
  <c r="D86" i="7"/>
  <c r="F88" i="7"/>
  <c r="D58" i="5"/>
  <c r="BO71" i="5"/>
  <c r="BO59" i="5"/>
  <c r="F68" i="5"/>
  <c r="F71" i="5" s="1"/>
  <c r="F74" i="5" s="1"/>
  <c r="D67" i="5"/>
  <c r="D68" i="5" s="1"/>
  <c r="BN59" i="5"/>
  <c r="BN71" i="5"/>
  <c r="L71" i="5"/>
  <c r="N71" i="5"/>
  <c r="O71" i="5"/>
  <c r="AS71" i="5"/>
  <c r="R71" i="5"/>
  <c r="AK59" i="5"/>
  <c r="P59" i="5"/>
  <c r="AL59" i="5"/>
  <c r="S71" i="5"/>
  <c r="AP71" i="5"/>
  <c r="U71" i="5"/>
  <c r="AQ71" i="5"/>
  <c r="AD71" i="5"/>
  <c r="AE71" i="5"/>
  <c r="AO59" i="5"/>
  <c r="T71" i="5"/>
  <c r="BM59" i="5"/>
  <c r="K59" i="5"/>
  <c r="J71" i="5"/>
  <c r="AH59" i="5"/>
  <c r="AR59" i="5"/>
  <c r="AG319" i="3"/>
  <c r="AG322" i="3" s="1"/>
  <c r="AF173" i="7"/>
  <c r="AN71" i="5"/>
  <c r="I59" i="5"/>
  <c r="AB71" i="5"/>
  <c r="BC59" i="5"/>
  <c r="W59" i="5"/>
  <c r="BD59" i="5"/>
  <c r="BL71" i="5"/>
  <c r="BE71" i="5"/>
  <c r="AX71" i="5"/>
  <c r="BH59" i="5"/>
  <c r="Z71" i="5"/>
  <c r="AZ59" i="5"/>
  <c r="X71" i="5"/>
  <c r="AA59" i="5"/>
  <c r="BF71" i="5"/>
  <c r="AY71" i="5"/>
  <c r="AC59" i="5"/>
  <c r="AJ71" i="5"/>
  <c r="Y59" i="5"/>
  <c r="BG59" i="5"/>
  <c r="BM47" i="8"/>
  <c r="D47" i="8" s="1"/>
  <c r="D48" i="8" s="1"/>
  <c r="H85" i="7"/>
  <c r="H83" i="8"/>
  <c r="J57" i="8"/>
  <c r="J58" i="8" s="1"/>
  <c r="J60" i="8" s="1"/>
  <c r="I64" i="8"/>
  <c r="I80" i="8" s="1"/>
  <c r="I151" i="7"/>
  <c r="G71" i="5"/>
  <c r="G59" i="5"/>
  <c r="F22" i="9"/>
  <c r="H59" i="5"/>
  <c r="H71" i="5"/>
  <c r="D75" i="15"/>
  <c r="D116" i="15"/>
  <c r="C116" i="15" s="1"/>
  <c r="P44" i="7"/>
  <c r="Q81" i="4"/>
  <c r="Q142" i="7" s="1"/>
  <c r="AG91" i="4"/>
  <c r="AG148" i="7"/>
  <c r="AF172" i="7"/>
  <c r="AF92" i="4"/>
  <c r="AF177" i="7" s="1"/>
  <c r="AI85" i="4"/>
  <c r="AI88" i="4" s="1"/>
  <c r="AH90" i="4"/>
  <c r="AI142" i="4"/>
  <c r="AI145" i="4" s="1"/>
  <c r="AH147" i="4"/>
  <c r="AH148" i="4" s="1"/>
  <c r="AH149" i="4" s="1"/>
  <c r="U342" i="3" l="1"/>
  <c r="V336" i="3" a="1"/>
  <c r="C75" i="15"/>
  <c r="C76" i="15" s="1"/>
  <c r="I138" i="15"/>
  <c r="H138" i="15"/>
  <c r="F138" i="15"/>
  <c r="G138" i="15"/>
  <c r="E138" i="15"/>
  <c r="D138" i="15"/>
  <c r="C138" i="15"/>
  <c r="F59" i="5"/>
  <c r="D71" i="5"/>
  <c r="AH319" i="3"/>
  <c r="AH322" i="3" s="1"/>
  <c r="AG173" i="7"/>
  <c r="D76" i="15"/>
  <c r="I85" i="7"/>
  <c r="I88" i="7" s="1"/>
  <c r="I83" i="8"/>
  <c r="H88" i="7"/>
  <c r="J151" i="7"/>
  <c r="J64" i="8"/>
  <c r="J80" i="8" s="1"/>
  <c r="K57" i="8"/>
  <c r="K58" i="8" s="1"/>
  <c r="K60" i="8" s="1"/>
  <c r="BM48" i="8"/>
  <c r="BN45" i="8" s="1"/>
  <c r="G70" i="5"/>
  <c r="F149" i="7"/>
  <c r="F174" i="7"/>
  <c r="Q157" i="5"/>
  <c r="Q158" i="5" s="1"/>
  <c r="Q163" i="5" s="1"/>
  <c r="Q44" i="7" s="1"/>
  <c r="R78" i="4"/>
  <c r="R80" i="4" s="1"/>
  <c r="R48" i="7" s="1"/>
  <c r="AJ85" i="4"/>
  <c r="AJ88" i="4" s="1"/>
  <c r="AI90" i="4"/>
  <c r="F130" i="9"/>
  <c r="D101" i="15" s="1"/>
  <c r="Q143" i="7"/>
  <c r="Q43" i="12" s="1"/>
  <c r="AG172" i="7"/>
  <c r="AG92" i="4"/>
  <c r="AG177" i="7" s="1"/>
  <c r="AJ142" i="4"/>
  <c r="AJ145" i="4" s="1"/>
  <c r="AI147" i="4"/>
  <c r="AI148" i="4" s="1"/>
  <c r="AI149" i="4" s="1"/>
  <c r="AH91" i="4"/>
  <c r="AH148" i="7"/>
  <c r="V336" i="3" l="1"/>
  <c r="V338" i="3"/>
  <c r="V344" i="3" s="1"/>
  <c r="V337" i="3"/>
  <c r="V343" i="3" s="1"/>
  <c r="F60" i="5"/>
  <c r="F175" i="7" s="1"/>
  <c r="D59" i="5"/>
  <c r="D60" i="5" s="1"/>
  <c r="BN47" i="8"/>
  <c r="BN48" i="8" s="1"/>
  <c r="BO45" i="8" s="1"/>
  <c r="AI319" i="3"/>
  <c r="AI322" i="3" s="1"/>
  <c r="AH173" i="7"/>
  <c r="L57" i="8"/>
  <c r="L58" i="8" s="1"/>
  <c r="L60" i="8" s="1"/>
  <c r="K151" i="7"/>
  <c r="K64" i="8"/>
  <c r="K80" i="8" s="1"/>
  <c r="J85" i="7"/>
  <c r="J83" i="8"/>
  <c r="G72" i="5"/>
  <c r="G73" i="5"/>
  <c r="R81" i="4"/>
  <c r="AK142" i="4"/>
  <c r="AK145" i="4" s="1"/>
  <c r="AJ147" i="4"/>
  <c r="AJ148" i="4" s="1"/>
  <c r="AJ149" i="4" s="1"/>
  <c r="AH172" i="7"/>
  <c r="AH92" i="4"/>
  <c r="AH177" i="7" s="1"/>
  <c r="AI91" i="4"/>
  <c r="AI148" i="7"/>
  <c r="AK85" i="4"/>
  <c r="AK88" i="4" s="1"/>
  <c r="AJ90" i="4"/>
  <c r="V342" i="3" l="1"/>
  <c r="W336" i="3" a="1"/>
  <c r="F150" i="7"/>
  <c r="G57" i="5"/>
  <c r="G60" i="5" s="1"/>
  <c r="G175" i="7" s="1"/>
  <c r="BO47" i="8"/>
  <c r="BO48" i="8" s="1"/>
  <c r="BP45" i="8" s="1"/>
  <c r="AI173" i="7"/>
  <c r="AJ319" i="3"/>
  <c r="AJ322" i="3" s="1"/>
  <c r="J88" i="7"/>
  <c r="K85" i="7"/>
  <c r="K88" i="7" s="1"/>
  <c r="K83" i="8"/>
  <c r="L64" i="8"/>
  <c r="L80" i="8" s="1"/>
  <c r="M57" i="8"/>
  <c r="M58" i="8" s="1"/>
  <c r="M60" i="8" s="1"/>
  <c r="L151" i="7"/>
  <c r="G74" i="5"/>
  <c r="H70" i="5" s="1"/>
  <c r="G90" i="7"/>
  <c r="AL142" i="4"/>
  <c r="AL145" i="4" s="1"/>
  <c r="AK147" i="4"/>
  <c r="AK148" i="4" s="1"/>
  <c r="AK149" i="4" s="1"/>
  <c r="AL85" i="4"/>
  <c r="AL88" i="4" s="1"/>
  <c r="AK90" i="4"/>
  <c r="AJ91" i="4"/>
  <c r="AJ148" i="7"/>
  <c r="AI172" i="7"/>
  <c r="AI92" i="4"/>
  <c r="AI177" i="7" s="1"/>
  <c r="R157" i="5"/>
  <c r="R158" i="5" s="1"/>
  <c r="R163" i="5" s="1"/>
  <c r="R142" i="7"/>
  <c r="R143" i="7" s="1"/>
  <c r="R43" i="12" s="1"/>
  <c r="S78" i="4"/>
  <c r="W336" i="3" l="1"/>
  <c r="W338" i="3"/>
  <c r="W344" i="3" s="1"/>
  <c r="W337" i="3"/>
  <c r="W343" i="3" s="1"/>
  <c r="H57" i="5"/>
  <c r="H60" i="5" s="1"/>
  <c r="H175" i="7" s="1"/>
  <c r="G150" i="7"/>
  <c r="BP47" i="8"/>
  <c r="BP48" i="8" s="1"/>
  <c r="BQ45" i="8" s="1"/>
  <c r="AJ173" i="7"/>
  <c r="AK319" i="3"/>
  <c r="AK322" i="3" s="1"/>
  <c r="M151" i="7"/>
  <c r="M64" i="8"/>
  <c r="M80" i="8" s="1"/>
  <c r="N57" i="8"/>
  <c r="N58" i="8" s="1"/>
  <c r="N60" i="8" s="1"/>
  <c r="L85" i="7"/>
  <c r="L88" i="7" s="1"/>
  <c r="L83" i="8"/>
  <c r="G149" i="7"/>
  <c r="G174" i="7"/>
  <c r="H73" i="5"/>
  <c r="H72" i="5"/>
  <c r="AK91" i="4"/>
  <c r="AK148" i="7"/>
  <c r="S80" i="4"/>
  <c r="S48" i="7" s="1"/>
  <c r="AJ172" i="7"/>
  <c r="AJ92" i="4"/>
  <c r="AJ177" i="7" s="1"/>
  <c r="AM85" i="4"/>
  <c r="AM88" i="4" s="1"/>
  <c r="AL90" i="4"/>
  <c r="R44" i="7"/>
  <c r="AL147" i="4"/>
  <c r="AL148" i="4" s="1"/>
  <c r="AL149" i="4" s="1"/>
  <c r="AM142" i="4"/>
  <c r="AM145" i="4" s="1"/>
  <c r="W342" i="3" l="1"/>
  <c r="X336" i="3" a="1"/>
  <c r="I57" i="5"/>
  <c r="I60" i="5" s="1"/>
  <c r="I150" i="7" s="1"/>
  <c r="H150" i="7"/>
  <c r="BQ47" i="8"/>
  <c r="BQ48" i="8" s="1"/>
  <c r="BR45" i="8" s="1"/>
  <c r="AL319" i="3"/>
  <c r="AL322" i="3" s="1"/>
  <c r="AK173" i="7"/>
  <c r="N64" i="8"/>
  <c r="N80" i="8" s="1"/>
  <c r="O57" i="8"/>
  <c r="O58" i="8" s="1"/>
  <c r="O60" i="8" s="1"/>
  <c r="N151" i="7"/>
  <c r="M85" i="7"/>
  <c r="M88" i="7" s="1"/>
  <c r="M83" i="8"/>
  <c r="H74" i="5"/>
  <c r="H174" i="7" s="1"/>
  <c r="H90" i="7"/>
  <c r="S81" i="4"/>
  <c r="AN142" i="4"/>
  <c r="AN145" i="4" s="1"/>
  <c r="AM147" i="4"/>
  <c r="AM148" i="4" s="1"/>
  <c r="AM149" i="4" s="1"/>
  <c r="AK172" i="7"/>
  <c r="AK92" i="4"/>
  <c r="AK177" i="7" s="1"/>
  <c r="AL91" i="4"/>
  <c r="AL148" i="7"/>
  <c r="AM90" i="4"/>
  <c r="AN85" i="4"/>
  <c r="AN88" i="4" s="1"/>
  <c r="X336" i="3" l="1"/>
  <c r="X337" i="3"/>
  <c r="X343" i="3" s="1"/>
  <c r="X338" i="3"/>
  <c r="X344" i="3" s="1"/>
  <c r="J57" i="5"/>
  <c r="J60" i="5" s="1"/>
  <c r="J150" i="7" s="1"/>
  <c r="I175" i="7"/>
  <c r="BR47" i="8"/>
  <c r="BR48" i="8" s="1"/>
  <c r="BS45" i="8" s="1"/>
  <c r="AM319" i="3"/>
  <c r="AM322" i="3" s="1"/>
  <c r="AL173" i="7"/>
  <c r="O151" i="7"/>
  <c r="O64" i="8"/>
  <c r="O80" i="8" s="1"/>
  <c r="P57" i="8"/>
  <c r="P58" i="8" s="1"/>
  <c r="P60" i="8" s="1"/>
  <c r="N85" i="7"/>
  <c r="N88" i="7" s="1"/>
  <c r="N83" i="8"/>
  <c r="H149" i="7"/>
  <c r="I70" i="5"/>
  <c r="I72" i="5" s="1"/>
  <c r="AL172" i="7"/>
  <c r="AL92" i="4"/>
  <c r="AL177" i="7" s="1"/>
  <c r="AN90" i="4"/>
  <c r="AO85" i="4"/>
  <c r="AO88" i="4" s="1"/>
  <c r="S157" i="5"/>
  <c r="S158" i="5" s="1"/>
  <c r="S163" i="5" s="1"/>
  <c r="S142" i="7"/>
  <c r="S143" i="7" s="1"/>
  <c r="S43" i="12" s="1"/>
  <c r="T78" i="4"/>
  <c r="AN147" i="4"/>
  <c r="AN148" i="4" s="1"/>
  <c r="AN149" i="4" s="1"/>
  <c r="AO142" i="4"/>
  <c r="AO145" i="4" s="1"/>
  <c r="AM91" i="4"/>
  <c r="AM148" i="7"/>
  <c r="X342" i="3" l="1"/>
  <c r="Y336" i="3" a="1"/>
  <c r="J175" i="7"/>
  <c r="K57" i="5"/>
  <c r="K60" i="5" s="1"/>
  <c r="K150" i="7" s="1"/>
  <c r="R164" i="5"/>
  <c r="R93" i="7" s="1"/>
  <c r="S164" i="5"/>
  <c r="S93" i="7" s="1"/>
  <c r="BS47" i="8"/>
  <c r="BS48" i="8" s="1"/>
  <c r="BT45" i="8" s="1"/>
  <c r="AM173" i="7"/>
  <c r="AN319" i="3"/>
  <c r="AN322" i="3" s="1"/>
  <c r="P151" i="7"/>
  <c r="F138" i="9" s="1"/>
  <c r="P64" i="8"/>
  <c r="P80" i="8" s="1"/>
  <c r="Q57" i="8"/>
  <c r="Q58" i="8" s="1"/>
  <c r="Q60" i="8" s="1"/>
  <c r="O85" i="7"/>
  <c r="O83" i="8"/>
  <c r="I73" i="5"/>
  <c r="I74" i="5" s="1"/>
  <c r="J70" i="5" s="1"/>
  <c r="S44" i="7"/>
  <c r="T164" i="5"/>
  <c r="T93" i="7" s="1"/>
  <c r="AO90" i="4"/>
  <c r="AP85" i="4"/>
  <c r="AP88" i="4" s="1"/>
  <c r="AO147" i="4"/>
  <c r="AO148" i="4" s="1"/>
  <c r="AO149" i="4" s="1"/>
  <c r="AP142" i="4"/>
  <c r="AP145" i="4" s="1"/>
  <c r="AN91" i="4"/>
  <c r="AN148" i="7"/>
  <c r="H135" i="9" s="1"/>
  <c r="AM92" i="4"/>
  <c r="AM177" i="7" s="1"/>
  <c r="AM172" i="7"/>
  <c r="T80" i="4"/>
  <c r="T48" i="7" s="1"/>
  <c r="Y338" i="3" l="1"/>
  <c r="Y344" i="3" s="1"/>
  <c r="Y336" i="3"/>
  <c r="Y337" i="3"/>
  <c r="Y343" i="3" s="1"/>
  <c r="L57" i="5"/>
  <c r="L60" i="5" s="1"/>
  <c r="L175" i="7" s="1"/>
  <c r="K175" i="7"/>
  <c r="AA336" i="3" a="1"/>
  <c r="BT47" i="8"/>
  <c r="BT48" i="8" s="1"/>
  <c r="BU45" i="8" s="1"/>
  <c r="AO319" i="3"/>
  <c r="AO322" i="3" s="1"/>
  <c r="AN173" i="7"/>
  <c r="H160" i="9" s="1"/>
  <c r="O88" i="7"/>
  <c r="R57" i="8"/>
  <c r="R58" i="8" s="1"/>
  <c r="R60" i="8" s="1"/>
  <c r="Q64" i="8"/>
  <c r="Q80" i="8" s="1"/>
  <c r="Q151" i="7"/>
  <c r="P85" i="7"/>
  <c r="P88" i="7" s="1"/>
  <c r="P83" i="8"/>
  <c r="I90" i="7"/>
  <c r="I174" i="7"/>
  <c r="I149" i="7"/>
  <c r="J72" i="5"/>
  <c r="J73" i="5"/>
  <c r="AQ142" i="4"/>
  <c r="AQ145" i="4" s="1"/>
  <c r="AP147" i="4"/>
  <c r="AP148" i="4" s="1"/>
  <c r="AP149" i="4" s="1"/>
  <c r="AQ85" i="4"/>
  <c r="AQ88" i="4" s="1"/>
  <c r="AP90" i="4"/>
  <c r="T81" i="4"/>
  <c r="AO91" i="4"/>
  <c r="AO148" i="7"/>
  <c r="AN172" i="7"/>
  <c r="H159" i="9" s="1"/>
  <c r="AN92" i="4"/>
  <c r="AN177" i="7" s="1"/>
  <c r="H164" i="9" s="1"/>
  <c r="Y342" i="3" l="1"/>
  <c r="Z336" i="3" a="1"/>
  <c r="M57" i="5"/>
  <c r="M60" i="5" s="1"/>
  <c r="M150" i="7" s="1"/>
  <c r="L150" i="7"/>
  <c r="AA338" i="3"/>
  <c r="AA344" i="3" s="1"/>
  <c r="AA336" i="3"/>
  <c r="AA337" i="3"/>
  <c r="AA343" i="3" s="1"/>
  <c r="BU47" i="8"/>
  <c r="BU48" i="8" s="1"/>
  <c r="BV45" i="8" s="1"/>
  <c r="AO173" i="7"/>
  <c r="AP319" i="3"/>
  <c r="AP322" i="3" s="1"/>
  <c r="Q85" i="7"/>
  <c r="Q88" i="7" s="1"/>
  <c r="Q83" i="8"/>
  <c r="R64" i="8"/>
  <c r="R80" i="8" s="1"/>
  <c r="R151" i="7"/>
  <c r="S57" i="8"/>
  <c r="S58" i="8" s="1"/>
  <c r="S60" i="8" s="1"/>
  <c r="J90" i="7"/>
  <c r="J74" i="5"/>
  <c r="U78" i="4"/>
  <c r="T142" i="7"/>
  <c r="T143" i="7" s="1"/>
  <c r="T43" i="12" s="1"/>
  <c r="T157" i="5"/>
  <c r="T158" i="5" s="1"/>
  <c r="T163" i="5" s="1"/>
  <c r="AP91" i="4"/>
  <c r="AP148" i="7"/>
  <c r="AR85" i="4"/>
  <c r="AR88" i="4" s="1"/>
  <c r="AQ90" i="4"/>
  <c r="AO172" i="7"/>
  <c r="AO92" i="4"/>
  <c r="AO177" i="7" s="1"/>
  <c r="AR142" i="4"/>
  <c r="AR145" i="4" s="1"/>
  <c r="AQ147" i="4"/>
  <c r="AQ148" i="4" s="1"/>
  <c r="AQ149" i="4" s="1"/>
  <c r="Z336" i="3" l="1"/>
  <c r="Z342" i="3" s="1"/>
  <c r="Z338" i="3"/>
  <c r="Z344" i="3" s="1"/>
  <c r="Z337" i="3"/>
  <c r="Z343" i="3" s="1"/>
  <c r="M175" i="7"/>
  <c r="N57" i="5"/>
  <c r="N60" i="5" s="1"/>
  <c r="O57" i="5" s="1"/>
  <c r="O60" i="5" s="1"/>
  <c r="P57" i="5" s="1"/>
  <c r="P60" i="5" s="1"/>
  <c r="AA342" i="3"/>
  <c r="AB336" i="3" a="1"/>
  <c r="BV47" i="8"/>
  <c r="BV48" i="8" s="1"/>
  <c r="BW45" i="8" s="1"/>
  <c r="AP173" i="7"/>
  <c r="AQ319" i="3"/>
  <c r="AQ322" i="3" s="1"/>
  <c r="S151" i="7"/>
  <c r="S64" i="8"/>
  <c r="S80" i="8" s="1"/>
  <c r="T57" i="8"/>
  <c r="T58" i="8" s="1"/>
  <c r="T60" i="8" s="1"/>
  <c r="R85" i="7"/>
  <c r="R83" i="8"/>
  <c r="J149" i="7"/>
  <c r="K70" i="5"/>
  <c r="J174" i="7"/>
  <c r="AR147" i="4"/>
  <c r="AR148" i="4" s="1"/>
  <c r="AR149" i="4" s="1"/>
  <c r="AS142" i="4"/>
  <c r="AS145" i="4" s="1"/>
  <c r="AR90" i="4"/>
  <c r="AS85" i="4"/>
  <c r="AS88" i="4" s="1"/>
  <c r="AP92" i="4"/>
  <c r="AP177" i="7" s="1"/>
  <c r="AP172" i="7"/>
  <c r="T44" i="7"/>
  <c r="AQ91" i="4"/>
  <c r="AQ148" i="7"/>
  <c r="U80" i="4"/>
  <c r="U48" i="7" s="1"/>
  <c r="O150" i="7" l="1"/>
  <c r="O175" i="7"/>
  <c r="N150" i="7"/>
  <c r="N175" i="7"/>
  <c r="AB336" i="3"/>
  <c r="AB337" i="3"/>
  <c r="AB343" i="3" s="1"/>
  <c r="AB338" i="3"/>
  <c r="AB344" i="3" s="1"/>
  <c r="BW47" i="8"/>
  <c r="BW48" i="8" s="1"/>
  <c r="BX45" i="8" s="1"/>
  <c r="AQ173" i="7"/>
  <c r="AR319" i="3"/>
  <c r="AR322" i="3" s="1"/>
  <c r="R88" i="7"/>
  <c r="U57" i="8"/>
  <c r="U58" i="8" s="1"/>
  <c r="U60" i="8" s="1"/>
  <c r="T151" i="7"/>
  <c r="T64" i="8"/>
  <c r="T80" i="8" s="1"/>
  <c r="S85" i="7"/>
  <c r="S88" i="7" s="1"/>
  <c r="S83" i="8"/>
  <c r="K72" i="5"/>
  <c r="K73" i="5"/>
  <c r="P175" i="7"/>
  <c r="P150" i="7"/>
  <c r="Q57" i="5"/>
  <c r="Q60" i="5" s="1"/>
  <c r="AQ172" i="7"/>
  <c r="AQ92" i="4"/>
  <c r="AQ177" i="7" s="1"/>
  <c r="AS90" i="4"/>
  <c r="AT85" i="4"/>
  <c r="AT88" i="4" s="1"/>
  <c r="AR91" i="4"/>
  <c r="AR148" i="7"/>
  <c r="U81" i="4"/>
  <c r="AS147" i="4"/>
  <c r="AS148" i="4" s="1"/>
  <c r="AS149" i="4" s="1"/>
  <c r="AT142" i="4"/>
  <c r="AT145" i="4" s="1"/>
  <c r="F162" i="9" l="1"/>
  <c r="F137" i="9"/>
  <c r="AB342" i="3"/>
  <c r="AC336" i="3" a="1"/>
  <c r="BX47" i="8"/>
  <c r="BX48" i="8" s="1"/>
  <c r="BY45" i="8" s="1"/>
  <c r="AR173" i="7"/>
  <c r="AS319" i="3"/>
  <c r="AS322" i="3" s="1"/>
  <c r="T85" i="7"/>
  <c r="T88" i="7" s="1"/>
  <c r="T83" i="8"/>
  <c r="U151" i="7"/>
  <c r="U64" i="8"/>
  <c r="U80" i="8" s="1"/>
  <c r="V57" i="8"/>
  <c r="V58" i="8" s="1"/>
  <c r="V60" i="8" s="1"/>
  <c r="K74" i="5"/>
  <c r="K174" i="7" s="1"/>
  <c r="K90" i="7"/>
  <c r="Q175" i="7"/>
  <c r="R57" i="5"/>
  <c r="R60" i="5" s="1"/>
  <c r="Q150" i="7"/>
  <c r="AR172" i="7"/>
  <c r="AR92" i="4"/>
  <c r="AR177" i="7" s="1"/>
  <c r="AU85" i="4"/>
  <c r="AU88" i="4" s="1"/>
  <c r="AT90" i="4"/>
  <c r="AS91" i="4"/>
  <c r="AS148" i="7"/>
  <c r="AU142" i="4"/>
  <c r="AU145" i="4" s="1"/>
  <c r="AT147" i="4"/>
  <c r="AT148" i="4" s="1"/>
  <c r="AT149" i="4" s="1"/>
  <c r="U142" i="7"/>
  <c r="U143" i="7" s="1"/>
  <c r="U43" i="12" s="1"/>
  <c r="U157" i="5"/>
  <c r="U158" i="5" s="1"/>
  <c r="U163" i="5" s="1"/>
  <c r="V78" i="4"/>
  <c r="AC336" i="3" l="1"/>
  <c r="AC337" i="3"/>
  <c r="AC343" i="3" s="1"/>
  <c r="AC338" i="3"/>
  <c r="AC344" i="3" s="1"/>
  <c r="BY47" i="8"/>
  <c r="BY48" i="8" s="1"/>
  <c r="BZ45" i="8" s="1"/>
  <c r="AS173" i="7"/>
  <c r="AT319" i="3"/>
  <c r="AT322" i="3" s="1"/>
  <c r="V151" i="7"/>
  <c r="W57" i="8"/>
  <c r="W58" i="8" s="1"/>
  <c r="W60" i="8" s="1"/>
  <c r="V64" i="8"/>
  <c r="V80" i="8" s="1"/>
  <c r="U85" i="7"/>
  <c r="U83" i="8"/>
  <c r="K149" i="7"/>
  <c r="L70" i="5"/>
  <c r="L72" i="5" s="1"/>
  <c r="R175" i="7"/>
  <c r="S57" i="5"/>
  <c r="S60" i="5" s="1"/>
  <c r="R150" i="7"/>
  <c r="AV142" i="4"/>
  <c r="AV145" i="4" s="1"/>
  <c r="AU147" i="4"/>
  <c r="AU148" i="4" s="1"/>
  <c r="AU149" i="4" s="1"/>
  <c r="U44" i="7"/>
  <c r="AS92" i="4"/>
  <c r="AS177" i="7" s="1"/>
  <c r="AS172" i="7"/>
  <c r="AT91" i="4"/>
  <c r="AT148" i="7"/>
  <c r="V80" i="4"/>
  <c r="V48" i="7" s="1"/>
  <c r="AU90" i="4"/>
  <c r="AV85" i="4"/>
  <c r="AV88" i="4" s="1"/>
  <c r="AD336" i="3" l="1" a="1"/>
  <c r="AC342" i="3"/>
  <c r="BZ47" i="8"/>
  <c r="BZ48" i="8" s="1"/>
  <c r="CA45" i="8" s="1"/>
  <c r="AU319" i="3"/>
  <c r="AU322" i="3" s="1"/>
  <c r="AT173" i="7"/>
  <c r="U88" i="7"/>
  <c r="V85" i="7"/>
  <c r="V88" i="7" s="1"/>
  <c r="V83" i="8"/>
  <c r="W64" i="8"/>
  <c r="W80" i="8" s="1"/>
  <c r="X57" i="8"/>
  <c r="X58" i="8" s="1"/>
  <c r="X60" i="8" s="1"/>
  <c r="W151" i="7"/>
  <c r="L73" i="5"/>
  <c r="L74" i="5" s="1"/>
  <c r="S175" i="7"/>
  <c r="T57" i="5"/>
  <c r="T60" i="5" s="1"/>
  <c r="S150" i="7"/>
  <c r="V81" i="4"/>
  <c r="V157" i="5" s="1"/>
  <c r="V158" i="5" s="1"/>
  <c r="V163" i="5" s="1"/>
  <c r="AW85" i="4"/>
  <c r="AW88" i="4" s="1"/>
  <c r="AV90" i="4"/>
  <c r="AW142" i="4"/>
  <c r="AW145" i="4" s="1"/>
  <c r="AV147" i="4"/>
  <c r="AV148" i="4" s="1"/>
  <c r="AV149" i="4" s="1"/>
  <c r="AU91" i="4"/>
  <c r="AU148" i="7"/>
  <c r="AT172" i="7"/>
  <c r="AT92" i="4"/>
  <c r="AT177" i="7" s="1"/>
  <c r="AD336" i="3" l="1"/>
  <c r="AD338" i="3"/>
  <c r="AD344" i="3" s="1"/>
  <c r="AD337" i="3"/>
  <c r="AD343" i="3" s="1"/>
  <c r="U164" i="5"/>
  <c r="U93" i="7" s="1"/>
  <c r="V164" i="5"/>
  <c r="V93" i="7" s="1"/>
  <c r="CA47" i="8"/>
  <c r="CA48" i="8" s="1"/>
  <c r="CB45" i="8" s="1"/>
  <c r="AU173" i="7"/>
  <c r="AV319" i="3"/>
  <c r="AV322" i="3" s="1"/>
  <c r="Y57" i="8"/>
  <c r="Y58" i="8" s="1"/>
  <c r="Y60" i="8" s="1"/>
  <c r="X151" i="7"/>
  <c r="X64" i="8"/>
  <c r="X80" i="8" s="1"/>
  <c r="W85" i="7"/>
  <c r="W88" i="7" s="1"/>
  <c r="W83" i="8"/>
  <c r="L90" i="7"/>
  <c r="T150" i="7"/>
  <c r="U57" i="5"/>
  <c r="U60" i="5" s="1"/>
  <c r="T175" i="7"/>
  <c r="L174" i="7"/>
  <c r="L149" i="7"/>
  <c r="M70" i="5"/>
  <c r="W78" i="4"/>
  <c r="W80" i="4" s="1"/>
  <c r="W48" i="7" s="1"/>
  <c r="V142" i="7"/>
  <c r="V143" i="7" s="1"/>
  <c r="V43" i="12" s="1"/>
  <c r="V44" i="7"/>
  <c r="W164" i="5"/>
  <c r="W93" i="7" s="1"/>
  <c r="AX142" i="4"/>
  <c r="AX145" i="4" s="1"/>
  <c r="AW147" i="4"/>
  <c r="AW148" i="4" s="1"/>
  <c r="AW149" i="4" s="1"/>
  <c r="AV91" i="4"/>
  <c r="AV148" i="7"/>
  <c r="AX85" i="4"/>
  <c r="AX88" i="4" s="1"/>
  <c r="AW90" i="4"/>
  <c r="AU92" i="4"/>
  <c r="AU177" i="7" s="1"/>
  <c r="AU172" i="7"/>
  <c r="AE336" i="3" l="1" a="1"/>
  <c r="AD342" i="3"/>
  <c r="CB47" i="8"/>
  <c r="CB48" i="8" s="1"/>
  <c r="CC45" i="8" s="1"/>
  <c r="AW319" i="3"/>
  <c r="AW322" i="3" s="1"/>
  <c r="AV173" i="7"/>
  <c r="X85" i="7"/>
  <c r="X88" i="7" s="1"/>
  <c r="X83" i="8"/>
  <c r="Z57" i="8"/>
  <c r="Z58" i="8" s="1"/>
  <c r="Z60" i="8" s="1"/>
  <c r="Y151" i="7"/>
  <c r="Y64" i="8"/>
  <c r="Y80" i="8" s="1"/>
  <c r="M72" i="5"/>
  <c r="M73" i="5"/>
  <c r="U175" i="7"/>
  <c r="U150" i="7"/>
  <c r="V57" i="5"/>
  <c r="V60" i="5" s="1"/>
  <c r="W81" i="4"/>
  <c r="W157" i="5" s="1"/>
  <c r="W158" i="5" s="1"/>
  <c r="W163" i="5" s="1"/>
  <c r="AX147" i="4"/>
  <c r="AX148" i="4" s="1"/>
  <c r="AX149" i="4" s="1"/>
  <c r="AY142" i="4"/>
  <c r="AY145" i="4" s="1"/>
  <c r="AY85" i="4"/>
  <c r="AY88" i="4" s="1"/>
  <c r="AX90" i="4"/>
  <c r="AV172" i="7"/>
  <c r="AV92" i="4"/>
  <c r="AV177" i="7" s="1"/>
  <c r="AW91" i="4"/>
  <c r="AW148" i="7"/>
  <c r="AE338" i="3" l="1"/>
  <c r="AE344" i="3" s="1"/>
  <c r="AE336" i="3"/>
  <c r="AE337" i="3"/>
  <c r="AE343" i="3" s="1"/>
  <c r="CC47" i="8"/>
  <c r="CC48" i="8" s="1"/>
  <c r="CD45" i="8" s="1"/>
  <c r="AW173" i="7"/>
  <c r="AX319" i="3"/>
  <c r="AX322" i="3" s="1"/>
  <c r="Y85" i="7"/>
  <c r="Y88" i="7" s="1"/>
  <c r="Y83" i="8"/>
  <c r="Z151" i="7"/>
  <c r="AA57" i="8"/>
  <c r="AA58" i="8" s="1"/>
  <c r="AA60" i="8" s="1"/>
  <c r="Z64" i="8"/>
  <c r="Z80" i="8" s="1"/>
  <c r="M74" i="5"/>
  <c r="M149" i="7" s="1"/>
  <c r="M90" i="7"/>
  <c r="V175" i="7"/>
  <c r="W57" i="5"/>
  <c r="W60" i="5" s="1"/>
  <c r="V150" i="7"/>
  <c r="X78" i="4"/>
  <c r="X80" i="4" s="1"/>
  <c r="X48" i="7" s="1"/>
  <c r="W142" i="7"/>
  <c r="W143" i="7" s="1"/>
  <c r="W43" i="12" s="1"/>
  <c r="AX91" i="4"/>
  <c r="AX148" i="7"/>
  <c r="W44" i="7"/>
  <c r="AZ85" i="4"/>
  <c r="AZ88" i="4" s="1"/>
  <c r="AY90" i="4"/>
  <c r="AW172" i="7"/>
  <c r="AW92" i="4"/>
  <c r="AW177" i="7" s="1"/>
  <c r="AZ142" i="4"/>
  <c r="AZ145" i="4" s="1"/>
  <c r="AY147" i="4"/>
  <c r="AY148" i="4" s="1"/>
  <c r="AY149" i="4" s="1"/>
  <c r="AF336" i="3" l="1" a="1"/>
  <c r="AE342" i="3"/>
  <c r="CD47" i="8"/>
  <c r="CD48" i="8" s="1"/>
  <c r="CE45" i="8" s="1"/>
  <c r="AY319" i="3"/>
  <c r="AY322" i="3" s="1"/>
  <c r="AX173" i="7"/>
  <c r="Z85" i="7"/>
  <c r="Z88" i="7" s="1"/>
  <c r="Z83" i="8"/>
  <c r="AA64" i="8"/>
  <c r="AA80" i="8" s="1"/>
  <c r="AA151" i="7"/>
  <c r="AB57" i="8"/>
  <c r="AB58" i="8" s="1"/>
  <c r="AB60" i="8" s="1"/>
  <c r="M174" i="7"/>
  <c r="N70" i="5"/>
  <c r="N73" i="5" s="1"/>
  <c r="W175" i="7"/>
  <c r="W150" i="7"/>
  <c r="X57" i="5"/>
  <c r="X60" i="5" s="1"/>
  <c r="AX92" i="4"/>
  <c r="AX177" i="7" s="1"/>
  <c r="AX172" i="7"/>
  <c r="AZ147" i="4"/>
  <c r="AZ148" i="4" s="1"/>
  <c r="AZ149" i="4" s="1"/>
  <c r="BA142" i="4"/>
  <c r="BA145" i="4" s="1"/>
  <c r="AY91" i="4"/>
  <c r="AY148" i="7"/>
  <c r="BA85" i="4"/>
  <c r="BA88" i="4" s="1"/>
  <c r="AZ90" i="4"/>
  <c r="X81" i="4"/>
  <c r="AF336" i="3" l="1"/>
  <c r="AF337" i="3"/>
  <c r="AF343" i="3" s="1"/>
  <c r="AF338" i="3"/>
  <c r="AF344" i="3" s="1"/>
  <c r="CE47" i="8"/>
  <c r="CE48" i="8" s="1"/>
  <c r="CF45" i="8" s="1"/>
  <c r="AZ319" i="3"/>
  <c r="AZ322" i="3" s="1"/>
  <c r="AY173" i="7"/>
  <c r="AC57" i="8"/>
  <c r="AC58" i="8" s="1"/>
  <c r="AC60" i="8" s="1"/>
  <c r="AB64" i="8"/>
  <c r="AB80" i="8" s="1"/>
  <c r="AB151" i="7"/>
  <c r="G138" i="9" s="1"/>
  <c r="AA85" i="7"/>
  <c r="AA83" i="8"/>
  <c r="N72" i="5"/>
  <c r="N74" i="5" s="1"/>
  <c r="O70" i="5" s="1"/>
  <c r="X150" i="7"/>
  <c r="X175" i="7"/>
  <c r="Y57" i="5"/>
  <c r="Y60" i="5" s="1"/>
  <c r="AY92" i="4"/>
  <c r="AY177" i="7" s="1"/>
  <c r="AY172" i="7"/>
  <c r="BA147" i="4"/>
  <c r="BA148" i="4" s="1"/>
  <c r="BA149" i="4" s="1"/>
  <c r="BB142" i="4"/>
  <c r="BB145" i="4" s="1"/>
  <c r="X157" i="5"/>
  <c r="X158" i="5" s="1"/>
  <c r="X163" i="5" s="1"/>
  <c r="X142" i="7"/>
  <c r="X143" i="7" s="1"/>
  <c r="X43" i="12" s="1"/>
  <c r="Y78" i="4"/>
  <c r="AZ91" i="4"/>
  <c r="AZ148" i="7"/>
  <c r="I135" i="9" s="1"/>
  <c r="BB85" i="4"/>
  <c r="BB88" i="4" s="1"/>
  <c r="BA90" i="4"/>
  <c r="AG336" i="3" l="1" a="1"/>
  <c r="AF342" i="3"/>
  <c r="AA88" i="7"/>
  <c r="CF47" i="8"/>
  <c r="CF48" i="8" s="1"/>
  <c r="CG45" i="8" s="1"/>
  <c r="AZ173" i="7"/>
  <c r="I160" i="9" s="1"/>
  <c r="BA319" i="3"/>
  <c r="BA322" i="3" s="1"/>
  <c r="AB85" i="7"/>
  <c r="AB88" i="7" s="1"/>
  <c r="AB83" i="8"/>
  <c r="AC64" i="8"/>
  <c r="AC80" i="8" s="1"/>
  <c r="AC151" i="7"/>
  <c r="AD57" i="8"/>
  <c r="AD58" i="8" s="1"/>
  <c r="AD60" i="8" s="1"/>
  <c r="N90" i="7"/>
  <c r="N149" i="7"/>
  <c r="N174" i="7"/>
  <c r="Y150" i="7"/>
  <c r="Z57" i="5"/>
  <c r="Z60" i="5" s="1"/>
  <c r="Y175" i="7"/>
  <c r="O73" i="5"/>
  <c r="O72" i="5"/>
  <c r="Y80" i="4"/>
  <c r="Y48" i="7" s="1"/>
  <c r="BA91" i="4"/>
  <c r="BA148" i="7"/>
  <c r="X44" i="7"/>
  <c r="AZ172" i="7"/>
  <c r="I159" i="9" s="1"/>
  <c r="AZ92" i="4"/>
  <c r="AZ177" i="7" s="1"/>
  <c r="I164" i="9" s="1"/>
  <c r="BB147" i="4"/>
  <c r="BB148" i="4" s="1"/>
  <c r="BB149" i="4" s="1"/>
  <c r="BC142" i="4"/>
  <c r="BC145" i="4" s="1"/>
  <c r="BB90" i="4"/>
  <c r="BC85" i="4"/>
  <c r="BC88" i="4" s="1"/>
  <c r="AG338" i="3" l="1"/>
  <c r="AG344" i="3" s="1"/>
  <c r="AG337" i="3"/>
  <c r="AG343" i="3" s="1"/>
  <c r="AG336" i="3"/>
  <c r="CG47" i="8"/>
  <c r="CG48" i="8" s="1"/>
  <c r="CH45" i="8" s="1"/>
  <c r="BA173" i="7"/>
  <c r="BB319" i="3"/>
  <c r="BB322" i="3" s="1"/>
  <c r="AD64" i="8"/>
  <c r="AD80" i="8" s="1"/>
  <c r="AD151" i="7"/>
  <c r="AE57" i="8"/>
  <c r="AE58" i="8" s="1"/>
  <c r="AE60" i="8" s="1"/>
  <c r="AC85" i="7"/>
  <c r="AC83" i="8"/>
  <c r="AA57" i="5"/>
  <c r="AA60" i="5" s="1"/>
  <c r="Z150" i="7"/>
  <c r="Z175" i="7"/>
  <c r="O74" i="5"/>
  <c r="O90" i="7"/>
  <c r="BC90" i="4"/>
  <c r="BD85" i="4"/>
  <c r="BD88" i="4" s="1"/>
  <c r="BA92" i="4"/>
  <c r="BA177" i="7" s="1"/>
  <c r="BA172" i="7"/>
  <c r="BB91" i="4"/>
  <c r="BB148" i="7"/>
  <c r="BC147" i="4"/>
  <c r="BC148" i="4" s="1"/>
  <c r="BC149" i="4" s="1"/>
  <c r="BD142" i="4"/>
  <c r="BD145" i="4" s="1"/>
  <c r="Y81" i="4"/>
  <c r="AH336" i="3" l="1" a="1"/>
  <c r="AG342" i="3"/>
  <c r="AC88" i="7"/>
  <c r="CH47" i="8"/>
  <c r="CH48" i="8" s="1"/>
  <c r="CI45" i="8" s="1"/>
  <c r="BC319" i="3"/>
  <c r="BC322" i="3" s="1"/>
  <c r="BB173" i="7"/>
  <c r="AF57" i="8"/>
  <c r="AF58" i="8" s="1"/>
  <c r="AF60" i="8" s="1"/>
  <c r="AE64" i="8"/>
  <c r="AE80" i="8" s="1"/>
  <c r="AE151" i="7"/>
  <c r="AD85" i="7"/>
  <c r="AD88" i="7" s="1"/>
  <c r="AD83" i="8"/>
  <c r="P70" i="5"/>
  <c r="O149" i="7"/>
  <c r="O174" i="7"/>
  <c r="AA175" i="7"/>
  <c r="AB57" i="5"/>
  <c r="AB60" i="5" s="1"/>
  <c r="AA150" i="7"/>
  <c r="BD90" i="4"/>
  <c r="BE85" i="4"/>
  <c r="BE88" i="4" s="1"/>
  <c r="BC91" i="4"/>
  <c r="BC148" i="7"/>
  <c r="BD147" i="4"/>
  <c r="BD148" i="4" s="1"/>
  <c r="BD149" i="4" s="1"/>
  <c r="BE142" i="4"/>
  <c r="BE145" i="4" s="1"/>
  <c r="Y157" i="5"/>
  <c r="Y158" i="5" s="1"/>
  <c r="Y163" i="5" s="1"/>
  <c r="Y142" i="7"/>
  <c r="Y143" i="7" s="1"/>
  <c r="Y43" i="12" s="1"/>
  <c r="Z78" i="4"/>
  <c r="BB92" i="4"/>
  <c r="BB177" i="7" s="1"/>
  <c r="BB172" i="7"/>
  <c r="AH337" i="3" l="1"/>
  <c r="AH343" i="3" s="1"/>
  <c r="AH338" i="3"/>
  <c r="AH344" i="3" s="1"/>
  <c r="AH336" i="3"/>
  <c r="X164" i="5"/>
  <c r="X93" i="7" s="1"/>
  <c r="Y164" i="5"/>
  <c r="Y93" i="7" s="1"/>
  <c r="CI47" i="8"/>
  <c r="CI48" i="8" s="1"/>
  <c r="CJ45" i="8" s="1"/>
  <c r="BC173" i="7"/>
  <c r="BD319" i="3"/>
  <c r="BD322" i="3" s="1"/>
  <c r="AE85" i="7"/>
  <c r="AE83" i="8"/>
  <c r="AF151" i="7"/>
  <c r="AF64" i="8"/>
  <c r="AF80" i="8" s="1"/>
  <c r="AG57" i="8"/>
  <c r="AG58" i="8" s="1"/>
  <c r="AG60" i="8" s="1"/>
  <c r="P72" i="5"/>
  <c r="P73" i="5"/>
  <c r="AC57" i="5"/>
  <c r="AC60" i="5" s="1"/>
  <c r="AB175" i="7"/>
  <c r="G162" i="9" s="1"/>
  <c r="AB150" i="7"/>
  <c r="G137" i="9" s="1"/>
  <c r="BE147" i="4"/>
  <c r="BE148" i="4" s="1"/>
  <c r="BE149" i="4" s="1"/>
  <c r="BF142" i="4"/>
  <c r="BF145" i="4" s="1"/>
  <c r="Z80" i="4"/>
  <c r="Z48" i="7" s="1"/>
  <c r="BC172" i="7"/>
  <c r="BC92" i="4"/>
  <c r="BC177" i="7" s="1"/>
  <c r="Y44" i="7"/>
  <c r="Z164" i="5"/>
  <c r="Z93" i="7" s="1"/>
  <c r="BF85" i="4"/>
  <c r="BF88" i="4" s="1"/>
  <c r="BE90" i="4"/>
  <c r="BD91" i="4"/>
  <c r="BD148" i="7"/>
  <c r="AI336" i="3" l="1" a="1"/>
  <c r="AH342" i="3"/>
  <c r="AE88" i="7"/>
  <c r="CJ47" i="8"/>
  <c r="CJ48" i="8" s="1"/>
  <c r="CK45" i="8" s="1"/>
  <c r="BD173" i="7"/>
  <c r="BE319" i="3"/>
  <c r="BE322" i="3" s="1"/>
  <c r="AG64" i="8"/>
  <c r="AG80" i="8" s="1"/>
  <c r="AG151" i="7"/>
  <c r="AH57" i="8"/>
  <c r="AH58" i="8" s="1"/>
  <c r="AH60" i="8" s="1"/>
  <c r="AF85" i="7"/>
  <c r="AF88" i="7" s="1"/>
  <c r="AF83" i="8"/>
  <c r="P90" i="7"/>
  <c r="AC175" i="7"/>
  <c r="AC150" i="7"/>
  <c r="AD57" i="5"/>
  <c r="AD60" i="5" s="1"/>
  <c r="P74" i="5"/>
  <c r="Z81" i="4"/>
  <c r="AA78" i="4" s="1"/>
  <c r="BE91" i="4"/>
  <c r="BE148" i="7"/>
  <c r="BG142" i="4"/>
  <c r="BG145" i="4" s="1"/>
  <c r="BF147" i="4"/>
  <c r="BF148" i="4" s="1"/>
  <c r="BF149" i="4" s="1"/>
  <c r="BG85" i="4"/>
  <c r="BG88" i="4" s="1"/>
  <c r="BF90" i="4"/>
  <c r="BD172" i="7"/>
  <c r="BD92" i="4"/>
  <c r="BD177" i="7" s="1"/>
  <c r="AI338" i="3" l="1"/>
  <c r="AI344" i="3" s="1"/>
  <c r="AI337" i="3"/>
  <c r="AI343" i="3" s="1"/>
  <c r="AI336" i="3"/>
  <c r="CK47" i="8"/>
  <c r="CK48" i="8" s="1"/>
  <c r="BF319" i="3"/>
  <c r="BF322" i="3" s="1"/>
  <c r="BE173" i="7"/>
  <c r="AH64" i="8"/>
  <c r="AH80" i="8" s="1"/>
  <c r="AH151" i="7"/>
  <c r="AI57" i="8"/>
  <c r="AI58" i="8" s="1"/>
  <c r="AI60" i="8" s="1"/>
  <c r="AG85" i="7"/>
  <c r="AG83" i="8"/>
  <c r="Q70" i="5"/>
  <c r="P174" i="7"/>
  <c r="F161" i="9" s="1"/>
  <c r="P149" i="7"/>
  <c r="F136" i="9" s="1"/>
  <c r="AD150" i="7"/>
  <c r="AE57" i="5"/>
  <c r="AE60" i="5" s="1"/>
  <c r="AD175" i="7"/>
  <c r="Z157" i="5"/>
  <c r="Z158" i="5" s="1"/>
  <c r="Z163" i="5" s="1"/>
  <c r="Z44" i="7" s="1"/>
  <c r="Z142" i="7"/>
  <c r="BG90" i="4"/>
  <c r="BH85" i="4"/>
  <c r="BH88" i="4" s="1"/>
  <c r="BG147" i="4"/>
  <c r="BG148" i="4" s="1"/>
  <c r="BG149" i="4" s="1"/>
  <c r="BH142" i="4"/>
  <c r="BH145" i="4" s="1"/>
  <c r="AA80" i="4"/>
  <c r="AA48" i="7" s="1"/>
  <c r="BF91" i="4"/>
  <c r="BF148" i="7"/>
  <c r="BE92" i="4"/>
  <c r="BE177" i="7" s="1"/>
  <c r="BE172" i="7"/>
  <c r="AJ336" i="3" l="1" a="1"/>
  <c r="AI342" i="3"/>
  <c r="Z143" i="7"/>
  <c r="Z43" i="12" s="1"/>
  <c r="AG88" i="7"/>
  <c r="BG319" i="3"/>
  <c r="BG322" i="3" s="1"/>
  <c r="BF173" i="7"/>
  <c r="AI151" i="7"/>
  <c r="AJ57" i="8"/>
  <c r="AJ58" i="8" s="1"/>
  <c r="AJ60" i="8" s="1"/>
  <c r="AI64" i="8"/>
  <c r="AI80" i="8" s="1"/>
  <c r="AH83" i="8"/>
  <c r="AH85" i="7"/>
  <c r="AH88" i="7" s="1"/>
  <c r="AE175" i="7"/>
  <c r="AF57" i="5"/>
  <c r="AF60" i="5" s="1"/>
  <c r="AE150" i="7"/>
  <c r="Q72" i="5"/>
  <c r="Q73" i="5"/>
  <c r="AA81" i="4"/>
  <c r="BH147" i="4"/>
  <c r="BH148" i="4" s="1"/>
  <c r="BH149" i="4" s="1"/>
  <c r="BI142" i="4"/>
  <c r="BI145" i="4" s="1"/>
  <c r="BF92" i="4"/>
  <c r="BF177" i="7" s="1"/>
  <c r="BF172" i="7"/>
  <c r="BI85" i="4"/>
  <c r="BI88" i="4" s="1"/>
  <c r="BH90" i="4"/>
  <c r="BG91" i="4"/>
  <c r="BG148" i="7"/>
  <c r="AJ336" i="3" l="1"/>
  <c r="AJ342" i="3" s="1"/>
  <c r="AJ337" i="3"/>
  <c r="AJ343" i="3" s="1"/>
  <c r="AJ338" i="3"/>
  <c r="BG173" i="7"/>
  <c r="BH319" i="3"/>
  <c r="BH322" i="3" s="1"/>
  <c r="AI85" i="7"/>
  <c r="AI83" i="8"/>
  <c r="AK57" i="8"/>
  <c r="AK58" i="8" s="1"/>
  <c r="AK60" i="8" s="1"/>
  <c r="AJ151" i="7"/>
  <c r="AJ64" i="8"/>
  <c r="AJ80" i="8" s="1"/>
  <c r="Q90" i="7"/>
  <c r="Q74" i="5"/>
  <c r="AG57" i="5"/>
  <c r="AG60" i="5" s="1"/>
  <c r="AF150" i="7"/>
  <c r="AF175" i="7"/>
  <c r="BI90" i="4"/>
  <c r="BJ85" i="4"/>
  <c r="BJ88" i="4" s="1"/>
  <c r="BG92" i="4"/>
  <c r="BG177" i="7" s="1"/>
  <c r="BG172" i="7"/>
  <c r="BI147" i="4"/>
  <c r="BI148" i="4" s="1"/>
  <c r="BI149" i="4" s="1"/>
  <c r="BJ142" i="4"/>
  <c r="BJ145" i="4" s="1"/>
  <c r="AA142" i="7"/>
  <c r="AA143" i="7" s="1"/>
  <c r="AA43" i="12" s="1"/>
  <c r="AA157" i="5"/>
  <c r="AA158" i="5" s="1"/>
  <c r="AA163" i="5" s="1"/>
  <c r="AB78" i="4"/>
  <c r="BH91" i="4"/>
  <c r="BH148" i="7"/>
  <c r="AK336" i="3" l="1" a="1"/>
  <c r="AJ344" i="3"/>
  <c r="AI88" i="7"/>
  <c r="BH173" i="7"/>
  <c r="BI319" i="3"/>
  <c r="BI322" i="3" s="1"/>
  <c r="AJ85" i="7"/>
  <c r="AJ88" i="7" s="1"/>
  <c r="AJ83" i="8"/>
  <c r="AK64" i="8"/>
  <c r="AK80" i="8" s="1"/>
  <c r="AK151" i="7"/>
  <c r="AL57" i="8"/>
  <c r="AL58" i="8" s="1"/>
  <c r="AL60" i="8" s="1"/>
  <c r="AG150" i="7"/>
  <c r="AG175" i="7"/>
  <c r="AH57" i="5"/>
  <c r="AH60" i="5" s="1"/>
  <c r="Q149" i="7"/>
  <c r="R70" i="5"/>
  <c r="Q174" i="7"/>
  <c r="AB80" i="4"/>
  <c r="AB81" i="4" s="1"/>
  <c r="AA44" i="7"/>
  <c r="BJ147" i="4"/>
  <c r="BJ148" i="4" s="1"/>
  <c r="BJ149" i="4" s="1"/>
  <c r="BK142" i="4"/>
  <c r="BK145" i="4" s="1"/>
  <c r="BK85" i="4"/>
  <c r="BK88" i="4" s="1"/>
  <c r="BJ90" i="4"/>
  <c r="BH172" i="7"/>
  <c r="BH92" i="4"/>
  <c r="BH177" i="7" s="1"/>
  <c r="BI91" i="4"/>
  <c r="BI148" i="7"/>
  <c r="AK336" i="3" l="1"/>
  <c r="AK338" i="3"/>
  <c r="AK344" i="3" s="1"/>
  <c r="AK337" i="3"/>
  <c r="AK343" i="3" s="1"/>
  <c r="BJ319" i="3"/>
  <c r="BJ322" i="3" s="1"/>
  <c r="BI173" i="7"/>
  <c r="AL151" i="7"/>
  <c r="AM57" i="8"/>
  <c r="AM58" i="8" s="1"/>
  <c r="AM60" i="8" s="1"/>
  <c r="AL64" i="8"/>
  <c r="AL80" i="8" s="1"/>
  <c r="AK85" i="7"/>
  <c r="AK88" i="7" s="1"/>
  <c r="AK83" i="8"/>
  <c r="AI57" i="5"/>
  <c r="AI60" i="5" s="1"/>
  <c r="AH175" i="7"/>
  <c r="AH150" i="7"/>
  <c r="R72" i="5"/>
  <c r="R73" i="5"/>
  <c r="AB157" i="5"/>
  <c r="AB158" i="5" s="1"/>
  <c r="AB163" i="5" s="1"/>
  <c r="AC78" i="4"/>
  <c r="AB142" i="7"/>
  <c r="BJ91" i="4"/>
  <c r="BJ148" i="7"/>
  <c r="AB48" i="7"/>
  <c r="BI172" i="7"/>
  <c r="BI92" i="4"/>
  <c r="BI177" i="7" s="1"/>
  <c r="BL142" i="4"/>
  <c r="BL145" i="4" s="1"/>
  <c r="BK147" i="4"/>
  <c r="BK148" i="4" s="1"/>
  <c r="BK149" i="4" s="1"/>
  <c r="BL85" i="4"/>
  <c r="BL88" i="4" s="1"/>
  <c r="BK90" i="4"/>
  <c r="AB143" i="7" l="1"/>
  <c r="AB43" i="12" s="1"/>
  <c r="G129" i="9"/>
  <c r="G130" i="9" s="1"/>
  <c r="AL336" i="3" a="1"/>
  <c r="AK342" i="3"/>
  <c r="AA164" i="5"/>
  <c r="AA93" i="7" s="1"/>
  <c r="AB164" i="5"/>
  <c r="AB93" i="7" s="1"/>
  <c r="BJ173" i="7"/>
  <c r="BK319" i="3"/>
  <c r="BK322" i="3" s="1"/>
  <c r="AL83" i="8"/>
  <c r="AL85" i="7"/>
  <c r="AL88" i="7" s="1"/>
  <c r="AM151" i="7"/>
  <c r="AM64" i="8"/>
  <c r="AM80" i="8" s="1"/>
  <c r="AN57" i="8"/>
  <c r="AN58" i="8" s="1"/>
  <c r="AN60" i="8" s="1"/>
  <c r="R90" i="7"/>
  <c r="R74" i="5"/>
  <c r="AJ57" i="5"/>
  <c r="AJ60" i="5" s="1"/>
  <c r="AI175" i="7"/>
  <c r="AI150" i="7"/>
  <c r="BM142" i="4"/>
  <c r="BM145" i="4" s="1"/>
  <c r="BL147" i="4"/>
  <c r="BL148" i="4" s="1"/>
  <c r="BL149" i="4" s="1"/>
  <c r="BK91" i="4"/>
  <c r="BK148" i="7"/>
  <c r="AC80" i="4"/>
  <c r="AC81" i="4" s="1"/>
  <c r="BM85" i="4"/>
  <c r="BM88" i="4" s="1"/>
  <c r="BL90" i="4"/>
  <c r="BJ92" i="4"/>
  <c r="BJ177" i="7" s="1"/>
  <c r="BJ172" i="7"/>
  <c r="AB44" i="7"/>
  <c r="AC164" i="5"/>
  <c r="AL337" i="3" l="1"/>
  <c r="AL343" i="3" s="1"/>
  <c r="AL336" i="3"/>
  <c r="AL338" i="3"/>
  <c r="AL344" i="3" s="1"/>
  <c r="BK173" i="7"/>
  <c r="BL319" i="3"/>
  <c r="BL322" i="3" s="1"/>
  <c r="AN151" i="7"/>
  <c r="H138" i="9" s="1"/>
  <c r="AO57" i="8"/>
  <c r="AO58" i="8" s="1"/>
  <c r="AO60" i="8" s="1"/>
  <c r="AN64" i="8"/>
  <c r="AN80" i="8" s="1"/>
  <c r="AM85" i="7"/>
  <c r="AM83" i="8"/>
  <c r="AK57" i="5"/>
  <c r="AK60" i="5" s="1"/>
  <c r="AJ150" i="7"/>
  <c r="AJ175" i="7"/>
  <c r="S70" i="5"/>
  <c r="R149" i="7"/>
  <c r="R174" i="7"/>
  <c r="BM90" i="4"/>
  <c r="BM91" i="4" s="1"/>
  <c r="BN85" i="4"/>
  <c r="BN88" i="4" s="1"/>
  <c r="BM147" i="4"/>
  <c r="BM148" i="4" s="1"/>
  <c r="BM149" i="4" s="1"/>
  <c r="BN142" i="4"/>
  <c r="BN145" i="4" s="1"/>
  <c r="AD78" i="4"/>
  <c r="AC142" i="7"/>
  <c r="AC157" i="5"/>
  <c r="AC158" i="5" s="1"/>
  <c r="AC163" i="5" s="1"/>
  <c r="BL91" i="4"/>
  <c r="BL148" i="7"/>
  <c r="J135" i="9" s="1"/>
  <c r="BK172" i="7"/>
  <c r="BK92" i="4"/>
  <c r="BK177" i="7" s="1"/>
  <c r="AC93" i="7"/>
  <c r="AC48" i="7"/>
  <c r="AM336" i="3" l="1" a="1"/>
  <c r="AL342" i="3"/>
  <c r="AM88" i="7"/>
  <c r="BL173" i="7"/>
  <c r="J160" i="9" s="1"/>
  <c r="BM319" i="3"/>
  <c r="BM322" i="3" s="1"/>
  <c r="AN83" i="8"/>
  <c r="AN85" i="7"/>
  <c r="AN88" i="7" s="1"/>
  <c r="AO151" i="7"/>
  <c r="AP57" i="8"/>
  <c r="AP58" i="8" s="1"/>
  <c r="AP60" i="8" s="1"/>
  <c r="AO64" i="8"/>
  <c r="AO80" i="8" s="1"/>
  <c r="S73" i="5"/>
  <c r="S72" i="5"/>
  <c r="AK175" i="7"/>
  <c r="AL57" i="5"/>
  <c r="AL60" i="5" s="1"/>
  <c r="AK150" i="7"/>
  <c r="BM148" i="7"/>
  <c r="BO85" i="4"/>
  <c r="BO88" i="4" s="1"/>
  <c r="BN90" i="4"/>
  <c r="BO142" i="4"/>
  <c r="BO145" i="4" s="1"/>
  <c r="BN147" i="4"/>
  <c r="BN148" i="4" s="1"/>
  <c r="BN149" i="4" s="1"/>
  <c r="BL172" i="7"/>
  <c r="J159" i="9" s="1"/>
  <c r="BL92" i="4"/>
  <c r="BL177" i="7" s="1"/>
  <c r="J164" i="9" s="1"/>
  <c r="BM172" i="7"/>
  <c r="BM92" i="4"/>
  <c r="BM177" i="7" s="1"/>
  <c r="AC44" i="7"/>
  <c r="E101" i="15"/>
  <c r="AC143" i="7"/>
  <c r="AC43" i="12" s="1"/>
  <c r="AD80" i="4"/>
  <c r="AM338" i="3" l="1"/>
  <c r="AM344" i="3" s="1"/>
  <c r="AM337" i="3"/>
  <c r="AM343" i="3" s="1"/>
  <c r="AM336" i="3"/>
  <c r="BN91" i="4"/>
  <c r="BN148" i="7"/>
  <c r="BM173" i="7"/>
  <c r="BN319" i="3"/>
  <c r="BN322" i="3" s="1"/>
  <c r="AO85" i="7"/>
  <c r="AO83" i="8"/>
  <c r="AP151" i="7"/>
  <c r="AQ57" i="8"/>
  <c r="AQ58" i="8" s="1"/>
  <c r="AQ60" i="8" s="1"/>
  <c r="AP64" i="8"/>
  <c r="AP80" i="8" s="1"/>
  <c r="S74" i="5"/>
  <c r="S174" i="7" s="1"/>
  <c r="S90" i="7"/>
  <c r="AL150" i="7"/>
  <c r="AM57" i="5"/>
  <c r="AM60" i="5" s="1"/>
  <c r="AL175" i="7"/>
  <c r="BO90" i="4"/>
  <c r="BP85" i="4"/>
  <c r="BP88" i="4" s="1"/>
  <c r="BO147" i="4"/>
  <c r="BO148" i="4" s="1"/>
  <c r="BO149" i="4" s="1"/>
  <c r="BP142" i="4"/>
  <c r="BP145" i="4" s="1"/>
  <c r="AD48" i="7"/>
  <c r="AD81" i="4"/>
  <c r="AM342" i="3" l="1"/>
  <c r="AN336" i="3" a="1"/>
  <c r="AO88" i="7"/>
  <c r="BO319" i="3"/>
  <c r="BO322" i="3" s="1"/>
  <c r="BN173" i="7"/>
  <c r="BN92" i="4"/>
  <c r="BN177" i="7" s="1"/>
  <c r="BN172" i="7"/>
  <c r="BO91" i="4"/>
  <c r="BO148" i="7"/>
  <c r="AP83" i="8"/>
  <c r="AP85" i="7"/>
  <c r="AP88" i="7" s="1"/>
  <c r="AQ64" i="8"/>
  <c r="AQ80" i="8" s="1"/>
  <c r="AR57" i="8"/>
  <c r="AR58" i="8" s="1"/>
  <c r="AR60" i="8" s="1"/>
  <c r="AQ151" i="7"/>
  <c r="S149" i="7"/>
  <c r="T70" i="5"/>
  <c r="T73" i="5" s="1"/>
  <c r="AM175" i="7"/>
  <c r="AN57" i="5"/>
  <c r="AN60" i="5" s="1"/>
  <c r="AM150" i="7"/>
  <c r="BP90" i="4"/>
  <c r="BQ85" i="4"/>
  <c r="BQ88" i="4" s="1"/>
  <c r="BP147" i="4"/>
  <c r="BP148" i="4" s="1"/>
  <c r="BP149" i="4" s="1"/>
  <c r="BQ142" i="4"/>
  <c r="BQ145" i="4" s="1"/>
  <c r="AD157" i="5"/>
  <c r="AD158" i="5" s="1"/>
  <c r="AD163" i="5" s="1"/>
  <c r="AD142" i="7"/>
  <c r="AD143" i="7" s="1"/>
  <c r="AD43" i="12" s="1"/>
  <c r="AE78" i="4"/>
  <c r="AN336" i="3" l="1"/>
  <c r="AN337" i="3"/>
  <c r="AN343" i="3" s="1"/>
  <c r="AN338" i="3"/>
  <c r="AN344" i="3" s="1"/>
  <c r="BO92" i="4"/>
  <c r="BO177" i="7" s="1"/>
  <c r="BO172" i="7"/>
  <c r="BP319" i="3"/>
  <c r="BP322" i="3" s="1"/>
  <c r="BO173" i="7"/>
  <c r="BP91" i="4"/>
  <c r="BP148" i="7"/>
  <c r="AS57" i="8"/>
  <c r="AS58" i="8" s="1"/>
  <c r="AS60" i="8" s="1"/>
  <c r="AR151" i="7"/>
  <c r="AR64" i="8"/>
  <c r="AR80" i="8" s="1"/>
  <c r="AQ85" i="7"/>
  <c r="AQ83" i="8"/>
  <c r="T72" i="5"/>
  <c r="T74" i="5" s="1"/>
  <c r="U70" i="5" s="1"/>
  <c r="AN150" i="7"/>
  <c r="H137" i="9" s="1"/>
  <c r="AN175" i="7"/>
  <c r="H162" i="9" s="1"/>
  <c r="AO57" i="5"/>
  <c r="AO60" i="5" s="1"/>
  <c r="BR85" i="4"/>
  <c r="BR88" i="4" s="1"/>
  <c r="BQ90" i="4"/>
  <c r="BR142" i="4"/>
  <c r="BR145" i="4" s="1"/>
  <c r="BQ147" i="4"/>
  <c r="BQ148" i="4" s="1"/>
  <c r="BQ149" i="4" s="1"/>
  <c r="AE80" i="4"/>
  <c r="AD44" i="7"/>
  <c r="AN342" i="3" l="1"/>
  <c r="AO336" i="3" a="1"/>
  <c r="AQ88" i="7"/>
  <c r="BP92" i="4"/>
  <c r="BP177" i="7" s="1"/>
  <c r="BP172" i="7"/>
  <c r="BQ319" i="3"/>
  <c r="BQ322" i="3" s="1"/>
  <c r="BP173" i="7"/>
  <c r="BQ91" i="4"/>
  <c r="BQ148" i="7"/>
  <c r="AR85" i="7"/>
  <c r="AR83" i="8"/>
  <c r="AS151" i="7"/>
  <c r="AS64" i="8"/>
  <c r="AS80" i="8" s="1"/>
  <c r="AT57" i="8"/>
  <c r="AT58" i="8" s="1"/>
  <c r="AT60" i="8" s="1"/>
  <c r="T90" i="7"/>
  <c r="T149" i="7"/>
  <c r="T174" i="7"/>
  <c r="AP57" i="5"/>
  <c r="AP60" i="5" s="1"/>
  <c r="AO175" i="7"/>
  <c r="AO150" i="7"/>
  <c r="U73" i="5"/>
  <c r="U72" i="5"/>
  <c r="BR90" i="4"/>
  <c r="BS85" i="4"/>
  <c r="BS88" i="4" s="1"/>
  <c r="BR147" i="4"/>
  <c r="BR148" i="4" s="1"/>
  <c r="BR149" i="4" s="1"/>
  <c r="BS142" i="4"/>
  <c r="BS145" i="4" s="1"/>
  <c r="AE48" i="7"/>
  <c r="AE81" i="4"/>
  <c r="AO337" i="3" l="1"/>
  <c r="AO343" i="3" s="1"/>
  <c r="AO336" i="3"/>
  <c r="AO338" i="3"/>
  <c r="AO344" i="3" s="1"/>
  <c r="BQ92" i="4"/>
  <c r="BQ177" i="7" s="1"/>
  <c r="BQ172" i="7"/>
  <c r="BR319" i="3"/>
  <c r="BR322" i="3" s="1"/>
  <c r="BQ173" i="7"/>
  <c r="BR91" i="4"/>
  <c r="BR148" i="7"/>
  <c r="AU57" i="8"/>
  <c r="AU58" i="8" s="1"/>
  <c r="AU60" i="8" s="1"/>
  <c r="AT151" i="7"/>
  <c r="AT64" i="8"/>
  <c r="AT80" i="8" s="1"/>
  <c r="AS85" i="7"/>
  <c r="AS88" i="7" s="1"/>
  <c r="AS83" i="8"/>
  <c r="AR88" i="7"/>
  <c r="U74" i="5"/>
  <c r="V70" i="5" s="1"/>
  <c r="U90" i="7"/>
  <c r="AP150" i="7"/>
  <c r="AQ57" i="5"/>
  <c r="AQ60" i="5" s="1"/>
  <c r="AP175" i="7"/>
  <c r="BT85" i="4"/>
  <c r="BT88" i="4" s="1"/>
  <c r="BS90" i="4"/>
  <c r="BS147" i="4"/>
  <c r="BS148" i="4" s="1"/>
  <c r="BS149" i="4" s="1"/>
  <c r="BT142" i="4"/>
  <c r="BT145" i="4" s="1"/>
  <c r="AE142" i="7"/>
  <c r="AE143" i="7" s="1"/>
  <c r="AE43" i="12" s="1"/>
  <c r="AF78" i="4"/>
  <c r="AE157" i="5"/>
  <c r="AE158" i="5" s="1"/>
  <c r="AE163" i="5" s="1"/>
  <c r="AP336" i="3" l="1" a="1"/>
  <c r="AO342" i="3"/>
  <c r="AD164" i="5"/>
  <c r="AD93" i="7" s="1"/>
  <c r="AE164" i="5"/>
  <c r="AE93" i="7" s="1"/>
  <c r="BR92" i="4"/>
  <c r="BR177" i="7" s="1"/>
  <c r="BR172" i="7"/>
  <c r="BS319" i="3"/>
  <c r="BS322" i="3" s="1"/>
  <c r="BR173" i="7"/>
  <c r="BS91" i="4"/>
  <c r="BS148" i="7"/>
  <c r="AT83" i="8"/>
  <c r="AT85" i="7"/>
  <c r="AU151" i="7"/>
  <c r="AV57" i="8"/>
  <c r="AV58" i="8" s="1"/>
  <c r="AV60" i="8" s="1"/>
  <c r="AU64" i="8"/>
  <c r="AU80" i="8" s="1"/>
  <c r="U174" i="7"/>
  <c r="U149" i="7"/>
  <c r="AQ150" i="7"/>
  <c r="AQ175" i="7"/>
  <c r="AR57" i="5"/>
  <c r="AR60" i="5" s="1"/>
  <c r="V72" i="5"/>
  <c r="V73" i="5"/>
  <c r="BT90" i="4"/>
  <c r="BU85" i="4"/>
  <c r="BU88" i="4" s="1"/>
  <c r="BT147" i="4"/>
  <c r="BT148" i="4" s="1"/>
  <c r="BT149" i="4" s="1"/>
  <c r="BU142" i="4"/>
  <c r="BU145" i="4" s="1"/>
  <c r="AE44" i="7"/>
  <c r="AF164" i="5"/>
  <c r="AF80" i="4"/>
  <c r="AF81" i="4" s="1"/>
  <c r="AP336" i="3" l="1"/>
  <c r="AP337" i="3"/>
  <c r="AP343" i="3" s="1"/>
  <c r="AP338" i="3"/>
  <c r="AP344" i="3" s="1"/>
  <c r="BS92" i="4"/>
  <c r="BS177" i="7" s="1"/>
  <c r="BS172" i="7"/>
  <c r="BT319" i="3"/>
  <c r="BT322" i="3" s="1"/>
  <c r="BS173" i="7"/>
  <c r="BT91" i="4"/>
  <c r="BT148" i="7"/>
  <c r="AU85" i="7"/>
  <c r="AU88" i="7" s="1"/>
  <c r="AU83" i="8"/>
  <c r="AV151" i="7"/>
  <c r="AW57" i="8"/>
  <c r="AW58" i="8" s="1"/>
  <c r="AW60" i="8" s="1"/>
  <c r="AV64" i="8"/>
  <c r="AV80" i="8" s="1"/>
  <c r="AT88" i="7"/>
  <c r="V90" i="7"/>
  <c r="AR175" i="7"/>
  <c r="AR150" i="7"/>
  <c r="AS57" i="5"/>
  <c r="AS60" i="5" s="1"/>
  <c r="V74" i="5"/>
  <c r="BV85" i="4"/>
  <c r="BV88" i="4" s="1"/>
  <c r="BU90" i="4"/>
  <c r="BV142" i="4"/>
  <c r="BV145" i="4" s="1"/>
  <c r="BU147" i="4"/>
  <c r="BU148" i="4" s="1"/>
  <c r="BU149" i="4" s="1"/>
  <c r="AG78" i="4"/>
  <c r="AF142" i="7"/>
  <c r="AF143" i="7" s="1"/>
  <c r="AF43" i="12" s="1"/>
  <c r="AF157" i="5"/>
  <c r="AF158" i="5" s="1"/>
  <c r="AF163" i="5" s="1"/>
  <c r="AF48" i="7"/>
  <c r="AF93" i="7"/>
  <c r="AP342" i="3" l="1"/>
  <c r="AQ336" i="3" a="1"/>
  <c r="BT92" i="4"/>
  <c r="BT177" i="7" s="1"/>
  <c r="BT172" i="7"/>
  <c r="BU319" i="3"/>
  <c r="BU322" i="3" s="1"/>
  <c r="BT173" i="7"/>
  <c r="BU91" i="4"/>
  <c r="BU148" i="7"/>
  <c r="AV83" i="8"/>
  <c r="AV85" i="7"/>
  <c r="AW151" i="7"/>
  <c r="AX57" i="8"/>
  <c r="AX58" i="8" s="1"/>
  <c r="AX60" i="8" s="1"/>
  <c r="AW64" i="8"/>
  <c r="AW80" i="8" s="1"/>
  <c r="AS150" i="7"/>
  <c r="AT57" i="5"/>
  <c r="AT60" i="5" s="1"/>
  <c r="AS175" i="7"/>
  <c r="V149" i="7"/>
  <c r="V174" i="7"/>
  <c r="W70" i="5"/>
  <c r="BV90" i="4"/>
  <c r="BW85" i="4"/>
  <c r="BW88" i="4" s="1"/>
  <c r="BV147" i="4"/>
  <c r="BV148" i="4" s="1"/>
  <c r="BV149" i="4" s="1"/>
  <c r="BW142" i="4"/>
  <c r="BW145" i="4" s="1"/>
  <c r="AF44" i="7"/>
  <c r="AG80" i="4"/>
  <c r="AG48" i="7" s="1"/>
  <c r="AQ336" i="3" l="1"/>
  <c r="AQ338" i="3"/>
  <c r="AQ344" i="3" s="1"/>
  <c r="AQ337" i="3"/>
  <c r="AQ343" i="3" s="1"/>
  <c r="BU92" i="4"/>
  <c r="BU177" i="7" s="1"/>
  <c r="BU172" i="7"/>
  <c r="BV319" i="3"/>
  <c r="BV322" i="3" s="1"/>
  <c r="BU173" i="7"/>
  <c r="BV91" i="4"/>
  <c r="BV148" i="7"/>
  <c r="AW83" i="8"/>
  <c r="AW85" i="7"/>
  <c r="AW88" i="7" s="1"/>
  <c r="AX64" i="8"/>
  <c r="AX80" i="8" s="1"/>
  <c r="AY57" i="8"/>
  <c r="AY58" i="8" s="1"/>
  <c r="AY60" i="8" s="1"/>
  <c r="AX151" i="7"/>
  <c r="AV88" i="7"/>
  <c r="W73" i="5"/>
  <c r="W72" i="5"/>
  <c r="AU57" i="5"/>
  <c r="AU60" i="5" s="1"/>
  <c r="AT150" i="7"/>
  <c r="AT175" i="7"/>
  <c r="BX85" i="4"/>
  <c r="BX88" i="4" s="1"/>
  <c r="BW90" i="4"/>
  <c r="BW147" i="4"/>
  <c r="BW148" i="4" s="1"/>
  <c r="BW149" i="4" s="1"/>
  <c r="BX142" i="4"/>
  <c r="BX145" i="4" s="1"/>
  <c r="AG81" i="4"/>
  <c r="AG142" i="7" s="1"/>
  <c r="AG143" i="7" s="1"/>
  <c r="AG43" i="12" s="1"/>
  <c r="AQ342" i="3" l="1"/>
  <c r="AR336" i="3" a="1"/>
  <c r="BV92" i="4"/>
  <c r="BV177" i="7" s="1"/>
  <c r="BV172" i="7"/>
  <c r="BW319" i="3"/>
  <c r="BW322" i="3" s="1"/>
  <c r="BV173" i="7"/>
  <c r="BW91" i="4"/>
  <c r="BW148" i="7"/>
  <c r="AY151" i="7"/>
  <c r="AY64" i="8"/>
  <c r="AY80" i="8" s="1"/>
  <c r="AZ57" i="8"/>
  <c r="AZ58" i="8" s="1"/>
  <c r="AZ60" i="8" s="1"/>
  <c r="AX85" i="7"/>
  <c r="AX83" i="8"/>
  <c r="W90" i="7"/>
  <c r="AV57" i="5"/>
  <c r="AV60" i="5" s="1"/>
  <c r="AU175" i="7"/>
  <c r="AU150" i="7"/>
  <c r="W74" i="5"/>
  <c r="BX90" i="4"/>
  <c r="BY85" i="4"/>
  <c r="BY88" i="4" s="1"/>
  <c r="BX147" i="4"/>
  <c r="BX148" i="4" s="1"/>
  <c r="BX149" i="4" s="1"/>
  <c r="BY142" i="4"/>
  <c r="BY145" i="4" s="1"/>
  <c r="AG157" i="5"/>
  <c r="AG158" i="5" s="1"/>
  <c r="AG163" i="5" s="1"/>
  <c r="AH78" i="4"/>
  <c r="AH80" i="4" s="1"/>
  <c r="AH48" i="7" s="1"/>
  <c r="AR336" i="3" l="1"/>
  <c r="AR338" i="3"/>
  <c r="AR344" i="3" s="1"/>
  <c r="AR337" i="3"/>
  <c r="AR343" i="3" s="1"/>
  <c r="BW92" i="4"/>
  <c r="BW177" i="7" s="1"/>
  <c r="BW172" i="7"/>
  <c r="BX319" i="3"/>
  <c r="BX322" i="3" s="1"/>
  <c r="BW173" i="7"/>
  <c r="BX91" i="4"/>
  <c r="BX148" i="7"/>
  <c r="K135" i="9" s="1"/>
  <c r="AX88" i="7"/>
  <c r="AZ151" i="7"/>
  <c r="I138" i="9" s="1"/>
  <c r="AZ64" i="8"/>
  <c r="AZ80" i="8" s="1"/>
  <c r="BA57" i="8"/>
  <c r="BA58" i="8" s="1"/>
  <c r="BA60" i="8" s="1"/>
  <c r="AY83" i="8"/>
  <c r="AY85" i="7"/>
  <c r="X70" i="5"/>
  <c r="W149" i="7"/>
  <c r="W174" i="7"/>
  <c r="AV175" i="7"/>
  <c r="AV150" i="7"/>
  <c r="AW57" i="5"/>
  <c r="AW60" i="5" s="1"/>
  <c r="BZ85" i="4"/>
  <c r="BZ88" i="4" s="1"/>
  <c r="BY90" i="4"/>
  <c r="BZ142" i="4"/>
  <c r="BZ145" i="4" s="1"/>
  <c r="BY147" i="4"/>
  <c r="BY148" i="4" s="1"/>
  <c r="BY149" i="4" s="1"/>
  <c r="AG44" i="7"/>
  <c r="AH81" i="4"/>
  <c r="AS336" i="3" l="1" a="1"/>
  <c r="AR342" i="3"/>
  <c r="BX92" i="4"/>
  <c r="BX177" i="7" s="1"/>
  <c r="K164" i="9" s="1"/>
  <c r="BX172" i="7"/>
  <c r="K159" i="9" s="1"/>
  <c r="BY319" i="3"/>
  <c r="BY322" i="3" s="1"/>
  <c r="BX173" i="7"/>
  <c r="K160" i="9" s="1"/>
  <c r="BY91" i="4"/>
  <c r="BY148" i="7"/>
  <c r="AY88" i="7"/>
  <c r="BA64" i="8"/>
  <c r="BA80" i="8" s="1"/>
  <c r="BB57" i="8"/>
  <c r="BB58" i="8" s="1"/>
  <c r="BB60" i="8" s="1"/>
  <c r="BA151" i="7"/>
  <c r="AZ85" i="7"/>
  <c r="AZ88" i="7" s="1"/>
  <c r="AZ83" i="8"/>
  <c r="AW150" i="7"/>
  <c r="AX57" i="5"/>
  <c r="AX60" i="5" s="1"/>
  <c r="AW175" i="7"/>
  <c r="X73" i="5"/>
  <c r="X72" i="5"/>
  <c r="BZ90" i="4"/>
  <c r="CA85" i="4"/>
  <c r="CA88" i="4" s="1"/>
  <c r="BZ147" i="4"/>
  <c r="BZ148" i="4" s="1"/>
  <c r="BZ149" i="4" s="1"/>
  <c r="CA142" i="4"/>
  <c r="CA145" i="4" s="1"/>
  <c r="AH157" i="5"/>
  <c r="AH158" i="5" s="1"/>
  <c r="AH163" i="5" s="1"/>
  <c r="AI78" i="4"/>
  <c r="AH142" i="7"/>
  <c r="AH143" i="7" s="1"/>
  <c r="AH43" i="12" s="1"/>
  <c r="AS336" i="3" l="1"/>
  <c r="AS337" i="3"/>
  <c r="AS343" i="3" s="1"/>
  <c r="AS338" i="3"/>
  <c r="AS344" i="3" s="1"/>
  <c r="AG164" i="5"/>
  <c r="AG93" i="7" s="1"/>
  <c r="AH164" i="5"/>
  <c r="AH93" i="7" s="1"/>
  <c r="BY92" i="4"/>
  <c r="BY177" i="7" s="1"/>
  <c r="BY172" i="7"/>
  <c r="BZ319" i="3"/>
  <c r="BZ322" i="3" s="1"/>
  <c r="BY173" i="7"/>
  <c r="BZ91" i="4"/>
  <c r="BZ148" i="7"/>
  <c r="BB64" i="8"/>
  <c r="BB80" i="8" s="1"/>
  <c r="BC57" i="8"/>
  <c r="BC58" i="8" s="1"/>
  <c r="BC60" i="8" s="1"/>
  <c r="BB151" i="7"/>
  <c r="BA83" i="8"/>
  <c r="BA85" i="7"/>
  <c r="X74" i="5"/>
  <c r="X174" i="7" s="1"/>
  <c r="AY57" i="5"/>
  <c r="AY60" i="5" s="1"/>
  <c r="AX150" i="7"/>
  <c r="AX175" i="7"/>
  <c r="X90" i="7"/>
  <c r="CA90" i="4"/>
  <c r="CB85" i="4"/>
  <c r="CB88" i="4" s="1"/>
  <c r="CA147" i="4"/>
  <c r="CA148" i="4" s="1"/>
  <c r="CA149" i="4" s="1"/>
  <c r="CB142" i="4"/>
  <c r="CB145" i="4" s="1"/>
  <c r="AI80" i="4"/>
  <c r="AI48" i="7" s="1"/>
  <c r="AH44" i="7"/>
  <c r="AI164" i="5"/>
  <c r="AI93" i="7" s="1"/>
  <c r="AS342" i="3" l="1"/>
  <c r="AT336" i="3" a="1"/>
  <c r="BZ92" i="4"/>
  <c r="BZ177" i="7" s="1"/>
  <c r="BZ172" i="7"/>
  <c r="CA319" i="3"/>
  <c r="CA322" i="3" s="1"/>
  <c r="BZ173" i="7"/>
  <c r="CA91" i="4"/>
  <c r="CA148" i="7"/>
  <c r="BA88" i="7"/>
  <c r="BC64" i="8"/>
  <c r="BC80" i="8" s="1"/>
  <c r="BC151" i="7"/>
  <c r="BD57" i="8"/>
  <c r="BD58" i="8" s="1"/>
  <c r="BD60" i="8" s="1"/>
  <c r="BB85" i="7"/>
  <c r="BB88" i="7" s="1"/>
  <c r="BB83" i="8"/>
  <c r="X149" i="7"/>
  <c r="Y70" i="5"/>
  <c r="Y73" i="5" s="1"/>
  <c r="AZ57" i="5"/>
  <c r="AZ60" i="5" s="1"/>
  <c r="AY175" i="7"/>
  <c r="AY150" i="7"/>
  <c r="CB90" i="4"/>
  <c r="CC85" i="4"/>
  <c r="CC88" i="4" s="1"/>
  <c r="CB147" i="4"/>
  <c r="CB148" i="4" s="1"/>
  <c r="CB149" i="4" s="1"/>
  <c r="CC142" i="4"/>
  <c r="CC145" i="4" s="1"/>
  <c r="AI81" i="4"/>
  <c r="AT336" i="3" l="1"/>
  <c r="AT338" i="3"/>
  <c r="AT344" i="3" s="1"/>
  <c r="AT337" i="3"/>
  <c r="AT343" i="3" s="1"/>
  <c r="CA92" i="4"/>
  <c r="CA177" i="7" s="1"/>
  <c r="CA172" i="7"/>
  <c r="CB319" i="3"/>
  <c r="CB322" i="3" s="1"/>
  <c r="CA173" i="7"/>
  <c r="CB91" i="4"/>
  <c r="CB148" i="7"/>
  <c r="BE57" i="8"/>
  <c r="BE58" i="8" s="1"/>
  <c r="BE60" i="8" s="1"/>
  <c r="BD151" i="7"/>
  <c r="BD64" i="8"/>
  <c r="BD80" i="8" s="1"/>
  <c r="BC83" i="8"/>
  <c r="BC85" i="7"/>
  <c r="Y72" i="5"/>
  <c r="Y90" i="7" s="1"/>
  <c r="AZ150" i="7"/>
  <c r="I137" i="9" s="1"/>
  <c r="BA57" i="5"/>
  <c r="BA60" i="5" s="1"/>
  <c r="AZ175" i="7"/>
  <c r="I162" i="9" s="1"/>
  <c r="CD85" i="4"/>
  <c r="CD88" i="4" s="1"/>
  <c r="CC90" i="4"/>
  <c r="CD142" i="4"/>
  <c r="CD145" i="4" s="1"/>
  <c r="CC147" i="4"/>
  <c r="CC148" i="4" s="1"/>
  <c r="CC149" i="4" s="1"/>
  <c r="AI157" i="5"/>
  <c r="AI158" i="5" s="1"/>
  <c r="AI163" i="5" s="1"/>
  <c r="AI142" i="7"/>
  <c r="AI143" i="7" s="1"/>
  <c r="AI43" i="12" s="1"/>
  <c r="AJ78" i="4"/>
  <c r="AU336" i="3" l="1" a="1"/>
  <c r="AT342" i="3"/>
  <c r="CB92" i="4"/>
  <c r="CB177" i="7" s="1"/>
  <c r="CB172" i="7"/>
  <c r="CC319" i="3"/>
  <c r="CC322" i="3" s="1"/>
  <c r="CB173" i="7"/>
  <c r="CC91" i="4"/>
  <c r="CC148" i="7"/>
  <c r="BC88" i="7"/>
  <c r="BD85" i="7"/>
  <c r="BD88" i="7" s="1"/>
  <c r="BD83" i="8"/>
  <c r="BE151" i="7"/>
  <c r="BF57" i="8"/>
  <c r="BF58" i="8" s="1"/>
  <c r="BF60" i="8" s="1"/>
  <c r="BE64" i="8"/>
  <c r="BE80" i="8" s="1"/>
  <c r="Y74" i="5"/>
  <c r="Y149" i="7" s="1"/>
  <c r="BA175" i="7"/>
  <c r="BB57" i="5"/>
  <c r="BB60" i="5" s="1"/>
  <c r="BA150" i="7"/>
  <c r="CD90" i="4"/>
  <c r="CE85" i="4"/>
  <c r="CE88" i="4" s="1"/>
  <c r="CD147" i="4"/>
  <c r="CD148" i="4" s="1"/>
  <c r="CD149" i="4" s="1"/>
  <c r="CE142" i="4"/>
  <c r="CE145" i="4" s="1"/>
  <c r="AJ80" i="4"/>
  <c r="AJ48" i="7" s="1"/>
  <c r="AI44" i="7"/>
  <c r="AU337" i="3" l="1"/>
  <c r="AU343" i="3" s="1"/>
  <c r="AU336" i="3"/>
  <c r="AU338" i="3"/>
  <c r="AU344" i="3" s="1"/>
  <c r="CC92" i="4"/>
  <c r="CC177" i="7" s="1"/>
  <c r="CC172" i="7"/>
  <c r="CD319" i="3"/>
  <c r="CD322" i="3" s="1"/>
  <c r="CC173" i="7"/>
  <c r="CD91" i="4"/>
  <c r="CD148" i="7"/>
  <c r="BE83" i="8"/>
  <c r="BE85" i="7"/>
  <c r="BG57" i="8"/>
  <c r="BG58" i="8" s="1"/>
  <c r="BG60" i="8" s="1"/>
  <c r="BF151" i="7"/>
  <c r="BF64" i="8"/>
  <c r="BF80" i="8" s="1"/>
  <c r="Y174" i="7"/>
  <c r="Z70" i="5"/>
  <c r="Z72" i="5" s="1"/>
  <c r="BB150" i="7"/>
  <c r="BB175" i="7"/>
  <c r="BC57" i="5"/>
  <c r="BC60" i="5" s="1"/>
  <c r="CF85" i="4"/>
  <c r="CF88" i="4" s="1"/>
  <c r="CE90" i="4"/>
  <c r="CE147" i="4"/>
  <c r="CE148" i="4" s="1"/>
  <c r="CE149" i="4" s="1"/>
  <c r="CF142" i="4"/>
  <c r="CF145" i="4" s="1"/>
  <c r="AJ81" i="4"/>
  <c r="AJ142" i="7" s="1"/>
  <c r="AJ143" i="7" s="1"/>
  <c r="AJ43" i="12" s="1"/>
  <c r="AU342" i="3" l="1"/>
  <c r="AV336" i="3" a="1"/>
  <c r="CD92" i="4"/>
  <c r="CD177" i="7" s="1"/>
  <c r="CD172" i="7"/>
  <c r="CE319" i="3"/>
  <c r="CE322" i="3" s="1"/>
  <c r="CD173" i="7"/>
  <c r="CE91" i="4"/>
  <c r="CE148" i="7"/>
  <c r="BF85" i="7"/>
  <c r="BF88" i="7" s="1"/>
  <c r="BF83" i="8"/>
  <c r="BH57" i="8"/>
  <c r="BH58" i="8" s="1"/>
  <c r="BH60" i="8" s="1"/>
  <c r="BG64" i="8"/>
  <c r="BG80" i="8" s="1"/>
  <c r="BG151" i="7"/>
  <c r="BE88" i="7"/>
  <c r="Z73" i="5"/>
  <c r="Z74" i="5" s="1"/>
  <c r="Z149" i="7" s="1"/>
  <c r="BC175" i="7"/>
  <c r="BC150" i="7"/>
  <c r="BD57" i="5"/>
  <c r="BD60" i="5" s="1"/>
  <c r="CF90" i="4"/>
  <c r="CG85" i="4"/>
  <c r="CG88" i="4" s="1"/>
  <c r="CF147" i="4"/>
  <c r="CF148" i="4" s="1"/>
  <c r="CF149" i="4" s="1"/>
  <c r="CG142" i="4"/>
  <c r="CG145" i="4" s="1"/>
  <c r="AJ157" i="5"/>
  <c r="AJ158" i="5" s="1"/>
  <c r="AJ163" i="5" s="1"/>
  <c r="AK78" i="4"/>
  <c r="AK80" i="4" s="1"/>
  <c r="AK48" i="7" s="1"/>
  <c r="AV336" i="3" l="1"/>
  <c r="AV342" i="3" s="1"/>
  <c r="AV338" i="3"/>
  <c r="AV344" i="3" s="1"/>
  <c r="AV337" i="3"/>
  <c r="CE92" i="4"/>
  <c r="CE177" i="7" s="1"/>
  <c r="CE172" i="7"/>
  <c r="CF319" i="3"/>
  <c r="CF322" i="3" s="1"/>
  <c r="CE173" i="7"/>
  <c r="CF91" i="4"/>
  <c r="CF148" i="7"/>
  <c r="BG85" i="7"/>
  <c r="BG83" i="8"/>
  <c r="BI57" i="8"/>
  <c r="BI58" i="8" s="1"/>
  <c r="BI60" i="8" s="1"/>
  <c r="BH64" i="8"/>
  <c r="BH80" i="8" s="1"/>
  <c r="BH151" i="7"/>
  <c r="Z90" i="7"/>
  <c r="Z174" i="7"/>
  <c r="AA70" i="5"/>
  <c r="AA73" i="5" s="1"/>
  <c r="BE57" i="5"/>
  <c r="BE60" i="5" s="1"/>
  <c r="BD175" i="7"/>
  <c r="BD150" i="7"/>
  <c r="CH85" i="4"/>
  <c r="CH88" i="4" s="1"/>
  <c r="CG90" i="4"/>
  <c r="CH142" i="4"/>
  <c r="CH145" i="4" s="1"/>
  <c r="CG147" i="4"/>
  <c r="CG148" i="4" s="1"/>
  <c r="CG149" i="4" s="1"/>
  <c r="AJ44" i="7"/>
  <c r="AK81" i="4"/>
  <c r="AK157" i="5" s="1"/>
  <c r="AK158" i="5" s="1"/>
  <c r="AK163" i="5" s="1"/>
  <c r="AJ164" i="5" s="1"/>
  <c r="AJ93" i="7" s="1"/>
  <c r="AW336" i="3" l="1" a="1"/>
  <c r="AV343" i="3"/>
  <c r="AK164" i="5"/>
  <c r="AK93" i="7" s="1"/>
  <c r="CF92" i="4"/>
  <c r="CF177" i="7" s="1"/>
  <c r="CF172" i="7"/>
  <c r="CG319" i="3"/>
  <c r="CG322" i="3" s="1"/>
  <c r="CF173" i="7"/>
  <c r="CG91" i="4"/>
  <c r="CG148" i="7"/>
  <c r="BH85" i="7"/>
  <c r="BH88" i="7" s="1"/>
  <c r="BH83" i="8"/>
  <c r="BI64" i="8"/>
  <c r="BI80" i="8" s="1"/>
  <c r="BI151" i="7"/>
  <c r="BJ57" i="8"/>
  <c r="BJ58" i="8" s="1"/>
  <c r="BJ60" i="8" s="1"/>
  <c r="BG88" i="7"/>
  <c r="AA72" i="5"/>
  <c r="AA90" i="7" s="1"/>
  <c r="BF57" i="5"/>
  <c r="BF60" i="5" s="1"/>
  <c r="BE150" i="7"/>
  <c r="BE175" i="7"/>
  <c r="CH90" i="4"/>
  <c r="CI85" i="4"/>
  <c r="CI88" i="4" s="1"/>
  <c r="CH147" i="4"/>
  <c r="CH148" i="4" s="1"/>
  <c r="CH149" i="4" s="1"/>
  <c r="CI142" i="4"/>
  <c r="CI145" i="4" s="1"/>
  <c r="AK142" i="7"/>
  <c r="AK143" i="7" s="1"/>
  <c r="AK43" i="12" s="1"/>
  <c r="AL78" i="4"/>
  <c r="AL80" i="4" s="1"/>
  <c r="AL48" i="7" s="1"/>
  <c r="AK44" i="7"/>
  <c r="AL164" i="5"/>
  <c r="AL93" i="7" s="1"/>
  <c r="AW336" i="3" l="1"/>
  <c r="AW338" i="3"/>
  <c r="AW344" i="3" s="1"/>
  <c r="AW337" i="3"/>
  <c r="AW343" i="3" s="1"/>
  <c r="CG92" i="4"/>
  <c r="CG177" i="7" s="1"/>
  <c r="CG172" i="7"/>
  <c r="CH319" i="3"/>
  <c r="CH322" i="3" s="1"/>
  <c r="CG173" i="7"/>
  <c r="CH91" i="4"/>
  <c r="CH148" i="7"/>
  <c r="BJ64" i="8"/>
  <c r="BJ80" i="8" s="1"/>
  <c r="BJ151" i="7"/>
  <c r="BK57" i="8"/>
  <c r="BK58" i="8" s="1"/>
  <c r="BK60" i="8" s="1"/>
  <c r="BI85" i="7"/>
  <c r="BI88" i="7" s="1"/>
  <c r="BI83" i="8"/>
  <c r="AA74" i="5"/>
  <c r="AA174" i="7" s="1"/>
  <c r="BF150" i="7"/>
  <c r="BF175" i="7"/>
  <c r="BG57" i="5"/>
  <c r="BG60" i="5" s="1"/>
  <c r="CI90" i="4"/>
  <c r="CJ85" i="4"/>
  <c r="CJ88" i="4" s="1"/>
  <c r="CI147" i="4"/>
  <c r="CI148" i="4" s="1"/>
  <c r="CI149" i="4" s="1"/>
  <c r="CJ142" i="4"/>
  <c r="CJ145" i="4" s="1"/>
  <c r="AL81" i="4"/>
  <c r="AX336" i="3" l="1" a="1"/>
  <c r="AW342" i="3"/>
  <c r="CI319" i="3"/>
  <c r="CI322" i="3" s="1"/>
  <c r="CH173" i="7"/>
  <c r="CH92" i="4"/>
  <c r="CH177" i="7" s="1"/>
  <c r="CH172" i="7"/>
  <c r="CI91" i="4"/>
  <c r="CI148" i="7"/>
  <c r="BL57" i="8"/>
  <c r="BL58" i="8" s="1"/>
  <c r="BL60" i="8" s="1"/>
  <c r="BK151" i="7"/>
  <c r="BK64" i="8"/>
  <c r="BK80" i="8" s="1"/>
  <c r="BJ83" i="8"/>
  <c r="BJ85" i="7"/>
  <c r="BJ88" i="7" s="1"/>
  <c r="AA149" i="7"/>
  <c r="AB70" i="5"/>
  <c r="AB73" i="5" s="1"/>
  <c r="BG175" i="7"/>
  <c r="BH57" i="5"/>
  <c r="BH60" i="5" s="1"/>
  <c r="BG150" i="7"/>
  <c r="CJ90" i="4"/>
  <c r="CK85" i="4"/>
  <c r="CK88" i="4" s="1"/>
  <c r="CK90" i="4" s="1"/>
  <c r="CJ147" i="4"/>
  <c r="CJ148" i="4" s="1"/>
  <c r="CJ149" i="4" s="1"/>
  <c r="CK142" i="4"/>
  <c r="CK145" i="4" s="1"/>
  <c r="CK147" i="4" s="1"/>
  <c r="CK148" i="4" s="1"/>
  <c r="CK149" i="4" s="1"/>
  <c r="AM78" i="4"/>
  <c r="AL157" i="5"/>
  <c r="AL158" i="5" s="1"/>
  <c r="AL163" i="5" s="1"/>
  <c r="AL142" i="7"/>
  <c r="AX338" i="3" l="1"/>
  <c r="AX344" i="3" s="1"/>
  <c r="AX336" i="3"/>
  <c r="AX337" i="3"/>
  <c r="AX343" i="3" s="1"/>
  <c r="AL143" i="7"/>
  <c r="AL43" i="12" s="1"/>
  <c r="CI92" i="4"/>
  <c r="CI177" i="7" s="1"/>
  <c r="CI172" i="7"/>
  <c r="CJ319" i="3"/>
  <c r="CJ322" i="3" s="1"/>
  <c r="CI173" i="7"/>
  <c r="CK91" i="4"/>
  <c r="CK148" i="7"/>
  <c r="M135" i="9" s="1"/>
  <c r="CJ91" i="4"/>
  <c r="CJ148" i="7"/>
  <c r="L135" i="9" s="1"/>
  <c r="BK83" i="8"/>
  <c r="BK85" i="7"/>
  <c r="BL64" i="8"/>
  <c r="BL80" i="8" s="1"/>
  <c r="BL151" i="7"/>
  <c r="J138" i="9" s="1"/>
  <c r="BM57" i="8"/>
  <c r="AB72" i="5"/>
  <c r="AB90" i="7" s="1"/>
  <c r="BH150" i="7"/>
  <c r="BH175" i="7"/>
  <c r="BI57" i="5"/>
  <c r="BI60" i="5" s="1"/>
  <c r="AL44" i="7"/>
  <c r="AM80" i="4"/>
  <c r="AM48" i="7" s="1"/>
  <c r="AY336" i="3" l="1" a="1"/>
  <c r="AX342" i="3"/>
  <c r="BK88" i="7"/>
  <c r="CK92" i="4"/>
  <c r="CK177" i="7" s="1"/>
  <c r="M164" i="9" s="1"/>
  <c r="CK172" i="7"/>
  <c r="M159" i="9" s="1"/>
  <c r="CK319" i="3"/>
  <c r="CK322" i="3" s="1"/>
  <c r="CK173" i="7" s="1"/>
  <c r="M160" i="9" s="1"/>
  <c r="CJ173" i="7"/>
  <c r="L160" i="9" s="1"/>
  <c r="CJ92" i="4"/>
  <c r="CJ177" i="7" s="1"/>
  <c r="L164" i="9" s="1"/>
  <c r="CJ172" i="7"/>
  <c r="L159" i="9" s="1"/>
  <c r="BM58" i="8"/>
  <c r="BL85" i="7"/>
  <c r="BL88" i="7" s="1"/>
  <c r="BL83" i="8"/>
  <c r="AB74" i="5"/>
  <c r="AC70" i="5" s="1"/>
  <c r="BJ57" i="5"/>
  <c r="BJ60" i="5" s="1"/>
  <c r="BI150" i="7"/>
  <c r="BI175" i="7"/>
  <c r="AM81" i="4"/>
  <c r="AY336" i="3" l="1"/>
  <c r="AY338" i="3"/>
  <c r="AY344" i="3" s="1"/>
  <c r="AY337" i="3"/>
  <c r="AY343" i="3" s="1"/>
  <c r="BM60" i="8"/>
  <c r="BN57" i="8" s="1"/>
  <c r="AB149" i="7"/>
  <c r="G136" i="9" s="1"/>
  <c r="AB174" i="7"/>
  <c r="G161" i="9" s="1"/>
  <c r="BJ175" i="7"/>
  <c r="BK57" i="5"/>
  <c r="BK60" i="5" s="1"/>
  <c r="BJ150" i="7"/>
  <c r="AC73" i="5"/>
  <c r="AC72" i="5"/>
  <c r="AM157" i="5"/>
  <c r="AM158" i="5" s="1"/>
  <c r="AM163" i="5" s="1"/>
  <c r="AN78" i="4"/>
  <c r="AM142" i="7"/>
  <c r="AM143" i="7" s="1"/>
  <c r="AM43" i="12" s="1"/>
  <c r="AZ336" i="3" l="1" a="1"/>
  <c r="AY342" i="3"/>
  <c r="BN58" i="8"/>
  <c r="BM151" i="7"/>
  <c r="BM64" i="8"/>
  <c r="AC74" i="5"/>
  <c r="AD70" i="5" s="1"/>
  <c r="BK175" i="7"/>
  <c r="BK150" i="7"/>
  <c r="BL57" i="5"/>
  <c r="BL60" i="5" s="1"/>
  <c r="AC90" i="7"/>
  <c r="AN80" i="4"/>
  <c r="AN48" i="7" s="1"/>
  <c r="AM44" i="7"/>
  <c r="AZ336" i="3" l="1"/>
  <c r="AZ337" i="3"/>
  <c r="AZ343" i="3" s="1"/>
  <c r="AZ338" i="3"/>
  <c r="AZ344" i="3" s="1"/>
  <c r="BN60" i="8"/>
  <c r="BN151" i="7" s="1"/>
  <c r="D64" i="8"/>
  <c r="BM80" i="8"/>
  <c r="AC149" i="7"/>
  <c r="AC174" i="7"/>
  <c r="BM57" i="5"/>
  <c r="BM60" i="5" s="1"/>
  <c r="BN57" i="5" s="1"/>
  <c r="BN60" i="5" s="1"/>
  <c r="BN175" i="7" s="1"/>
  <c r="BL150" i="7"/>
  <c r="J137" i="9" s="1"/>
  <c r="BL175" i="7"/>
  <c r="J162" i="9" s="1"/>
  <c r="AD72" i="5"/>
  <c r="AD73" i="5"/>
  <c r="AN81" i="4"/>
  <c r="AZ342" i="3" l="1"/>
  <c r="BA336" i="3" a="1"/>
  <c r="BO57" i="5"/>
  <c r="BO60" i="5" s="1"/>
  <c r="BO175" i="7" s="1"/>
  <c r="BN150" i="7"/>
  <c r="BO57" i="8"/>
  <c r="BO58" i="8" s="1"/>
  <c r="BN64" i="8"/>
  <c r="BN80" i="8" s="1"/>
  <c r="BM85" i="7"/>
  <c r="BM83" i="8"/>
  <c r="AD90" i="7"/>
  <c r="AD74" i="5"/>
  <c r="BM175" i="7"/>
  <c r="BM150" i="7"/>
  <c r="AN157" i="5"/>
  <c r="AN158" i="5" s="1"/>
  <c r="AN163" i="5" s="1"/>
  <c r="AN142" i="7"/>
  <c r="AO78" i="4"/>
  <c r="AN143" i="7" l="1"/>
  <c r="AN43" i="12" s="1"/>
  <c r="H129" i="9"/>
  <c r="H130" i="9" s="1"/>
  <c r="BA336" i="3"/>
  <c r="BA338" i="3"/>
  <c r="BA344" i="3" s="1"/>
  <c r="BA337" i="3"/>
  <c r="BA343" i="3" s="1"/>
  <c r="AM164" i="5"/>
  <c r="AM93" i="7" s="1"/>
  <c r="AN164" i="5"/>
  <c r="AN93" i="7" s="1"/>
  <c r="BP57" i="5"/>
  <c r="BP60" i="5" s="1"/>
  <c r="BP175" i="7" s="1"/>
  <c r="BO150" i="7"/>
  <c r="BN83" i="8"/>
  <c r="BN85" i="7"/>
  <c r="BN88" i="7" s="1"/>
  <c r="BO60" i="8"/>
  <c r="BO151" i="7" s="1"/>
  <c r="BM88" i="7"/>
  <c r="AE70" i="5"/>
  <c r="AD174" i="7"/>
  <c r="AD149" i="7"/>
  <c r="AO80" i="4"/>
  <c r="AO48" i="7" s="1"/>
  <c r="AN44" i="7"/>
  <c r="AO164" i="5"/>
  <c r="AO93" i="7" s="1"/>
  <c r="BB336" i="3" l="1" a="1"/>
  <c r="BA342" i="3"/>
  <c r="BQ57" i="5"/>
  <c r="BQ60" i="5" s="1"/>
  <c r="BQ175" i="7" s="1"/>
  <c r="BP150" i="7"/>
  <c r="BP57" i="8"/>
  <c r="BP58" i="8" s="1"/>
  <c r="BO64" i="8"/>
  <c r="BO80" i="8" s="1"/>
  <c r="AE73" i="5"/>
  <c r="AE72" i="5"/>
  <c r="AO81" i="4"/>
  <c r="BB336" i="3" l="1"/>
  <c r="BB338" i="3"/>
  <c r="BB344" i="3" s="1"/>
  <c r="BB337" i="3"/>
  <c r="BB343" i="3" s="1"/>
  <c r="BR57" i="5"/>
  <c r="BR60" i="5" s="1"/>
  <c r="BR175" i="7" s="1"/>
  <c r="BQ150" i="7"/>
  <c r="BO83" i="8"/>
  <c r="BO85" i="7"/>
  <c r="BP60" i="8"/>
  <c r="BP151" i="7" s="1"/>
  <c r="AE74" i="5"/>
  <c r="AF70" i="5" s="1"/>
  <c r="AE90" i="7"/>
  <c r="AP78" i="4"/>
  <c r="AO142" i="7"/>
  <c r="AO157" i="5"/>
  <c r="AO158" i="5" s="1"/>
  <c r="AO163" i="5" s="1"/>
  <c r="BB342" i="3" l="1"/>
  <c r="BC336" i="3" a="1"/>
  <c r="BS57" i="5"/>
  <c r="BS60" i="5" s="1"/>
  <c r="BS175" i="7" s="1"/>
  <c r="BR150" i="7"/>
  <c r="BO88" i="7"/>
  <c r="BQ57" i="8"/>
  <c r="BQ58" i="8" s="1"/>
  <c r="BQ60" i="8" s="1"/>
  <c r="BQ151" i="7" s="1"/>
  <c r="BP64" i="8"/>
  <c r="BP80" i="8" s="1"/>
  <c r="AE174" i="7"/>
  <c r="AE149" i="7"/>
  <c r="AF73" i="5"/>
  <c r="AF72" i="5"/>
  <c r="AO44" i="7"/>
  <c r="AO143" i="7"/>
  <c r="AO43" i="12" s="1"/>
  <c r="F101" i="15"/>
  <c r="AP80" i="4"/>
  <c r="AP48" i="7" s="1"/>
  <c r="BC337" i="3" l="1"/>
  <c r="BC343" i="3" s="1"/>
  <c r="BC338" i="3"/>
  <c r="BC344" i="3" s="1"/>
  <c r="BC336" i="3"/>
  <c r="BT57" i="5"/>
  <c r="BT60" i="5" s="1"/>
  <c r="BT175" i="7" s="1"/>
  <c r="BS150" i="7"/>
  <c r="BP83" i="8"/>
  <c r="BP85" i="7"/>
  <c r="BR57" i="8"/>
  <c r="BR58" i="8" s="1"/>
  <c r="BR60" i="8" s="1"/>
  <c r="BR151" i="7" s="1"/>
  <c r="BQ64" i="8"/>
  <c r="BQ80" i="8" s="1"/>
  <c r="AF74" i="5"/>
  <c r="AF149" i="7" s="1"/>
  <c r="AF90" i="7"/>
  <c r="AP81" i="4"/>
  <c r="AP157" i="5" s="1"/>
  <c r="AP158" i="5" s="1"/>
  <c r="AP163" i="5" s="1"/>
  <c r="BC342" i="3" l="1"/>
  <c r="BD336" i="3" a="1"/>
  <c r="BU57" i="5"/>
  <c r="BU60" i="5" s="1"/>
  <c r="BU175" i="7" s="1"/>
  <c r="BT150" i="7"/>
  <c r="BQ83" i="8"/>
  <c r="BQ85" i="7"/>
  <c r="BQ88" i="7" s="1"/>
  <c r="BP88" i="7"/>
  <c r="BS57" i="8"/>
  <c r="BS58" i="8" s="1"/>
  <c r="BS60" i="8" s="1"/>
  <c r="BS151" i="7" s="1"/>
  <c r="BR64" i="8"/>
  <c r="BR80" i="8" s="1"/>
  <c r="AF174" i="7"/>
  <c r="AG70" i="5"/>
  <c r="AG72" i="5" s="1"/>
  <c r="AQ78" i="4"/>
  <c r="AQ80" i="4" s="1"/>
  <c r="AQ48" i="7" s="1"/>
  <c r="AP142" i="7"/>
  <c r="AP143" i="7" s="1"/>
  <c r="AP43" i="12" s="1"/>
  <c r="AP44" i="7"/>
  <c r="BD336" i="3" l="1"/>
  <c r="BD337" i="3"/>
  <c r="BD343" i="3" s="1"/>
  <c r="BD338" i="3"/>
  <c r="BD344" i="3" s="1"/>
  <c r="BV57" i="5"/>
  <c r="BV60" i="5" s="1"/>
  <c r="BV175" i="7" s="1"/>
  <c r="BU150" i="7"/>
  <c r="BR83" i="8"/>
  <c r="BR85" i="7"/>
  <c r="BT57" i="8"/>
  <c r="BT58" i="8" s="1"/>
  <c r="BT60" i="8" s="1"/>
  <c r="BT151" i="7" s="1"/>
  <c r="BS64" i="8"/>
  <c r="BS80" i="8" s="1"/>
  <c r="AG73" i="5"/>
  <c r="AG74" i="5" s="1"/>
  <c r="AH70" i="5" s="1"/>
  <c r="AQ81" i="4"/>
  <c r="BE336" i="3" l="1" a="1"/>
  <c r="BD342" i="3"/>
  <c r="BW57" i="5"/>
  <c r="BW60" i="5" s="1"/>
  <c r="BW175" i="7" s="1"/>
  <c r="BV150" i="7"/>
  <c r="BR88" i="7"/>
  <c r="BS83" i="8"/>
  <c r="BS85" i="7"/>
  <c r="BS88" i="7" s="1"/>
  <c r="BU57" i="8"/>
  <c r="BU58" i="8" s="1"/>
  <c r="BU60" i="8" s="1"/>
  <c r="BU151" i="7" s="1"/>
  <c r="BT64" i="8"/>
  <c r="BT80" i="8" s="1"/>
  <c r="AG174" i="7"/>
  <c r="AG149" i="7"/>
  <c r="AG90" i="7"/>
  <c r="AH72" i="5"/>
  <c r="AH73" i="5"/>
  <c r="AQ157" i="5"/>
  <c r="AQ158" i="5" s="1"/>
  <c r="AQ163" i="5" s="1"/>
  <c r="AQ142" i="7"/>
  <c r="AQ143" i="7" s="1"/>
  <c r="AQ43" i="12" s="1"/>
  <c r="AR78" i="4"/>
  <c r="BE336" i="3" l="1"/>
  <c r="BE337" i="3"/>
  <c r="BE343" i="3" s="1"/>
  <c r="BE338" i="3"/>
  <c r="BE344" i="3" s="1"/>
  <c r="AP164" i="5"/>
  <c r="AP93" i="7" s="1"/>
  <c r="AQ164" i="5"/>
  <c r="AQ93" i="7" s="1"/>
  <c r="BX57" i="5"/>
  <c r="BX60" i="5" s="1"/>
  <c r="BX175" i="7" s="1"/>
  <c r="K162" i="9" s="1"/>
  <c r="BW150" i="7"/>
  <c r="BT83" i="8"/>
  <c r="BT85" i="7"/>
  <c r="BT88" i="7" s="1"/>
  <c r="BV57" i="8"/>
  <c r="BV58" i="8" s="1"/>
  <c r="BV60" i="8" s="1"/>
  <c r="BV151" i="7" s="1"/>
  <c r="BU64" i="8"/>
  <c r="BU80" i="8" s="1"/>
  <c r="AH90" i="7"/>
  <c r="AH74" i="5"/>
  <c r="AR80" i="4"/>
  <c r="AR48" i="7" s="1"/>
  <c r="AQ44" i="7"/>
  <c r="AR164" i="5"/>
  <c r="AR93" i="7" s="1"/>
  <c r="BF336" i="3" l="1" a="1"/>
  <c r="BE342" i="3"/>
  <c r="BY57" i="5"/>
  <c r="BY60" i="5" s="1"/>
  <c r="BY175" i="7" s="1"/>
  <c r="BX150" i="7"/>
  <c r="K137" i="9" s="1"/>
  <c r="BU83" i="8"/>
  <c r="BU85" i="7"/>
  <c r="BU88" i="7" s="1"/>
  <c r="BW57" i="8"/>
  <c r="BW58" i="8" s="1"/>
  <c r="BW60" i="8" s="1"/>
  <c r="BW151" i="7" s="1"/>
  <c r="BV64" i="8"/>
  <c r="BV80" i="8" s="1"/>
  <c r="AH149" i="7"/>
  <c r="AI70" i="5"/>
  <c r="AH174" i="7"/>
  <c r="AR81" i="4"/>
  <c r="AR157" i="5" s="1"/>
  <c r="AR158" i="5" s="1"/>
  <c r="AR163" i="5" s="1"/>
  <c r="BF336" i="3" l="1"/>
  <c r="BF337" i="3"/>
  <c r="BF343" i="3" s="1"/>
  <c r="BF338" i="3"/>
  <c r="BF344" i="3" s="1"/>
  <c r="BZ57" i="5"/>
  <c r="BZ60" i="5" s="1"/>
  <c r="BZ175" i="7" s="1"/>
  <c r="BY150" i="7"/>
  <c r="BV83" i="8"/>
  <c r="BV85" i="7"/>
  <c r="BV88" i="7" s="1"/>
  <c r="BX57" i="8"/>
  <c r="BX58" i="8" s="1"/>
  <c r="BX60" i="8" s="1"/>
  <c r="BX151" i="7" s="1"/>
  <c r="K138" i="9" s="1"/>
  <c r="BW64" i="8"/>
  <c r="BW80" i="8" s="1"/>
  <c r="AI73" i="5"/>
  <c r="AI72" i="5"/>
  <c r="AS78" i="4"/>
  <c r="AS80" i="4" s="1"/>
  <c r="AS48" i="7" s="1"/>
  <c r="AR142" i="7"/>
  <c r="AR143" i="7" s="1"/>
  <c r="AR43" i="12" s="1"/>
  <c r="AR44" i="7"/>
  <c r="BF342" i="3" l="1"/>
  <c r="BG336" i="3" a="1"/>
  <c r="CA57" i="5"/>
  <c r="CA60" i="5" s="1"/>
  <c r="CA175" i="7" s="1"/>
  <c r="BZ150" i="7"/>
  <c r="BW83" i="8"/>
  <c r="BW85" i="7"/>
  <c r="BY57" i="8"/>
  <c r="BY58" i="8" s="1"/>
  <c r="BY60" i="8" s="1"/>
  <c r="BY151" i="7" s="1"/>
  <c r="BX64" i="8"/>
  <c r="BX80" i="8" s="1"/>
  <c r="AI74" i="5"/>
  <c r="AJ70" i="5" s="1"/>
  <c r="AI90" i="7"/>
  <c r="AS81" i="4"/>
  <c r="BG336" i="3" l="1"/>
  <c r="BG337" i="3"/>
  <c r="BG343" i="3" s="1"/>
  <c r="BG338" i="3"/>
  <c r="BG344" i="3" s="1"/>
  <c r="BW88" i="7"/>
  <c r="CB57" i="5"/>
  <c r="CB60" i="5" s="1"/>
  <c r="CB175" i="7" s="1"/>
  <c r="CA150" i="7"/>
  <c r="BX83" i="8"/>
  <c r="BX85" i="7"/>
  <c r="BX88" i="7" s="1"/>
  <c r="BZ57" i="8"/>
  <c r="BZ58" i="8" s="1"/>
  <c r="BZ60" i="8" s="1"/>
  <c r="BZ151" i="7" s="1"/>
  <c r="BY64" i="8"/>
  <c r="BY80" i="8" s="1"/>
  <c r="AI174" i="7"/>
  <c r="AI149" i="7"/>
  <c r="AJ73" i="5"/>
  <c r="AJ72" i="5"/>
  <c r="AS157" i="5"/>
  <c r="AS158" i="5" s="1"/>
  <c r="AS163" i="5" s="1"/>
  <c r="AT78" i="4"/>
  <c r="AS142" i="7"/>
  <c r="AS143" i="7" s="1"/>
  <c r="AS43" i="12" s="1"/>
  <c r="BG342" i="3" l="1"/>
  <c r="BH336" i="3" a="1"/>
  <c r="CC57" i="5"/>
  <c r="CC60" i="5" s="1"/>
  <c r="CC175" i="7" s="1"/>
  <c r="CB150" i="7"/>
  <c r="BY83" i="8"/>
  <c r="BY85" i="7"/>
  <c r="CA57" i="8"/>
  <c r="CA58" i="8" s="1"/>
  <c r="CA60" i="8" s="1"/>
  <c r="CA151" i="7" s="1"/>
  <c r="BZ64" i="8"/>
  <c r="BZ80" i="8" s="1"/>
  <c r="AJ90" i="7"/>
  <c r="AJ74" i="5"/>
  <c r="AT80" i="4"/>
  <c r="AT48" i="7" s="1"/>
  <c r="AS44" i="7"/>
  <c r="BH336" i="3" l="1"/>
  <c r="BH342" i="3" s="1"/>
  <c r="BH337" i="3"/>
  <c r="BH343" i="3" s="1"/>
  <c r="BH338" i="3"/>
  <c r="BY88" i="7"/>
  <c r="CD57" i="5"/>
  <c r="CD60" i="5" s="1"/>
  <c r="CD175" i="7" s="1"/>
  <c r="CC150" i="7"/>
  <c r="BZ83" i="8"/>
  <c r="BZ85" i="7"/>
  <c r="BZ88" i="7" s="1"/>
  <c r="CB57" i="8"/>
  <c r="CB58" i="8" s="1"/>
  <c r="CB60" i="8" s="1"/>
  <c r="CB151" i="7" s="1"/>
  <c r="CA64" i="8"/>
  <c r="CA80" i="8" s="1"/>
  <c r="AJ149" i="7"/>
  <c r="AK70" i="5"/>
  <c r="AJ174" i="7"/>
  <c r="AT81" i="4"/>
  <c r="BI336" i="3" l="1" a="1"/>
  <c r="BH344" i="3"/>
  <c r="CE57" i="5"/>
  <c r="CE60" i="5" s="1"/>
  <c r="CE175" i="7" s="1"/>
  <c r="CD150" i="7"/>
  <c r="CA83" i="8"/>
  <c r="CA85" i="7"/>
  <c r="CC57" i="8"/>
  <c r="CC58" i="8" s="1"/>
  <c r="CC60" i="8" s="1"/>
  <c r="CC151" i="7" s="1"/>
  <c r="CB64" i="8"/>
  <c r="CB80" i="8" s="1"/>
  <c r="AK73" i="5"/>
  <c r="AK72" i="5"/>
  <c r="AT142" i="7"/>
  <c r="AT143" i="7" s="1"/>
  <c r="AT43" i="12" s="1"/>
  <c r="AU78" i="4"/>
  <c r="AT157" i="5"/>
  <c r="AT158" i="5" s="1"/>
  <c r="AT163" i="5" s="1"/>
  <c r="BI336" i="3" l="1"/>
  <c r="BI337" i="3"/>
  <c r="BI343" i="3" s="1"/>
  <c r="BI338" i="3"/>
  <c r="BI344" i="3" s="1"/>
  <c r="AS164" i="5"/>
  <c r="AS93" i="7" s="1"/>
  <c r="AT164" i="5"/>
  <c r="AT93" i="7" s="1"/>
  <c r="CA88" i="7"/>
  <c r="CF57" i="5"/>
  <c r="CF60" i="5" s="1"/>
  <c r="CF175" i="7" s="1"/>
  <c r="CE150" i="7"/>
  <c r="CB83" i="8"/>
  <c r="CB85" i="7"/>
  <c r="CB88" i="7" s="1"/>
  <c r="CD57" i="8"/>
  <c r="CD58" i="8" s="1"/>
  <c r="CD60" i="8" s="1"/>
  <c r="CD151" i="7" s="1"/>
  <c r="CC64" i="8"/>
  <c r="CC80" i="8" s="1"/>
  <c r="AK74" i="5"/>
  <c r="AL70" i="5" s="1"/>
  <c r="AK90" i="7"/>
  <c r="AT44" i="7"/>
  <c r="AU164" i="5"/>
  <c r="AU93" i="7" s="1"/>
  <c r="AU80" i="4"/>
  <c r="AU48" i="7" s="1"/>
  <c r="BJ336" i="3" l="1" a="1"/>
  <c r="BI342" i="3"/>
  <c r="CG57" i="5"/>
  <c r="CG60" i="5" s="1"/>
  <c r="CG175" i="7" s="1"/>
  <c r="CF150" i="7"/>
  <c r="CC83" i="8"/>
  <c r="CC85" i="7"/>
  <c r="CE57" i="8"/>
  <c r="CE58" i="8" s="1"/>
  <c r="CE60" i="8" s="1"/>
  <c r="CE151" i="7" s="1"/>
  <c r="CD64" i="8"/>
  <c r="CD80" i="8" s="1"/>
  <c r="AK174" i="7"/>
  <c r="AK149" i="7"/>
  <c r="AL72" i="5"/>
  <c r="AL73" i="5"/>
  <c r="AU81" i="4"/>
  <c r="AU157" i="5" s="1"/>
  <c r="AU158" i="5" s="1"/>
  <c r="AU163" i="5" s="1"/>
  <c r="BJ337" i="3" l="1"/>
  <c r="BJ343" i="3" s="1"/>
  <c r="BJ336" i="3"/>
  <c r="BJ338" i="3"/>
  <c r="BJ344" i="3" s="1"/>
  <c r="CC88" i="7"/>
  <c r="CH57" i="5"/>
  <c r="CH60" i="5" s="1"/>
  <c r="CH175" i="7" s="1"/>
  <c r="CG150" i="7"/>
  <c r="CD83" i="8"/>
  <c r="CD85" i="7"/>
  <c r="CD88" i="7" s="1"/>
  <c r="CF57" i="8"/>
  <c r="CF58" i="8" s="1"/>
  <c r="CF60" i="8" s="1"/>
  <c r="CF151" i="7" s="1"/>
  <c r="CE64" i="8"/>
  <c r="CE80" i="8" s="1"/>
  <c r="AL74" i="5"/>
  <c r="AL174" i="7" s="1"/>
  <c r="AL90" i="7"/>
  <c r="AU142" i="7"/>
  <c r="AU143" i="7" s="1"/>
  <c r="AU43" i="12" s="1"/>
  <c r="AV78" i="4"/>
  <c r="AV80" i="4" s="1"/>
  <c r="AV48" i="7" s="1"/>
  <c r="AU44" i="7"/>
  <c r="BK336" i="3" l="1" a="1"/>
  <c r="BJ342" i="3"/>
  <c r="CI57" i="5"/>
  <c r="CI60" i="5" s="1"/>
  <c r="CI175" i="7" s="1"/>
  <c r="CH150" i="7"/>
  <c r="CE83" i="8"/>
  <c r="CE85" i="7"/>
  <c r="CG57" i="8"/>
  <c r="CG58" i="8" s="1"/>
  <c r="CG60" i="8" s="1"/>
  <c r="CG151" i="7" s="1"/>
  <c r="CF64" i="8"/>
  <c r="CF80" i="8" s="1"/>
  <c r="AM70" i="5"/>
  <c r="AM72" i="5" s="1"/>
  <c r="AL149" i="7"/>
  <c r="AV81" i="4"/>
  <c r="BK337" i="3" l="1"/>
  <c r="BK343" i="3" s="1"/>
  <c r="BK336" i="3"/>
  <c r="BK338" i="3"/>
  <c r="BK344" i="3" s="1"/>
  <c r="CE88" i="7"/>
  <c r="CJ57" i="5"/>
  <c r="CJ60" i="5" s="1"/>
  <c r="CJ175" i="7" s="1"/>
  <c r="L162" i="9" s="1"/>
  <c r="CI150" i="7"/>
  <c r="CF83" i="8"/>
  <c r="CF85" i="7"/>
  <c r="CF88" i="7" s="1"/>
  <c r="CH57" i="8"/>
  <c r="CH58" i="8" s="1"/>
  <c r="CH60" i="8" s="1"/>
  <c r="CH151" i="7" s="1"/>
  <c r="CG64" i="8"/>
  <c r="CG80" i="8" s="1"/>
  <c r="AM73" i="5"/>
  <c r="AM74" i="5" s="1"/>
  <c r="AM174" i="7" s="1"/>
  <c r="AV142" i="7"/>
  <c r="AV143" i="7" s="1"/>
  <c r="AV43" i="12" s="1"/>
  <c r="AV157" i="5"/>
  <c r="AV158" i="5" s="1"/>
  <c r="AV163" i="5" s="1"/>
  <c r="AW78" i="4"/>
  <c r="BL336" i="3" l="1" a="1"/>
  <c r="BK342" i="3"/>
  <c r="CK57" i="5"/>
  <c r="CK60" i="5" s="1"/>
  <c r="CJ150" i="7"/>
  <c r="L137" i="9" s="1"/>
  <c r="CG83" i="8"/>
  <c r="CG85" i="7"/>
  <c r="CG88" i="7" s="1"/>
  <c r="CI57" i="8"/>
  <c r="CI58" i="8" s="1"/>
  <c r="CI60" i="8" s="1"/>
  <c r="CI151" i="7" s="1"/>
  <c r="CH64" i="8"/>
  <c r="CH80" i="8" s="1"/>
  <c r="AM90" i="7"/>
  <c r="AM149" i="7"/>
  <c r="AN70" i="5"/>
  <c r="AN72" i="5" s="1"/>
  <c r="AW80" i="4"/>
  <c r="AW48" i="7" s="1"/>
  <c r="AV44" i="7"/>
  <c r="BL337" i="3" l="1"/>
  <c r="BL343" i="3" s="1"/>
  <c r="BL336" i="3"/>
  <c r="BL338" i="3"/>
  <c r="BL344" i="3" s="1"/>
  <c r="CK150" i="7"/>
  <c r="M137" i="9" s="1"/>
  <c r="CK175" i="7"/>
  <c r="M162" i="9" s="1"/>
  <c r="CH83" i="8"/>
  <c r="CH85" i="7"/>
  <c r="CH88" i="7" s="1"/>
  <c r="CJ57" i="8"/>
  <c r="CJ58" i="8" s="1"/>
  <c r="CJ60" i="8" s="1"/>
  <c r="CJ151" i="7" s="1"/>
  <c r="L138" i="9" s="1"/>
  <c r="CI64" i="8"/>
  <c r="CI80" i="8" s="1"/>
  <c r="AN73" i="5"/>
  <c r="AN74" i="5" s="1"/>
  <c r="AO70" i="5" s="1"/>
  <c r="AW81" i="4"/>
  <c r="BM336" i="3" l="1" a="1"/>
  <c r="BL342" i="3"/>
  <c r="CI83" i="8"/>
  <c r="CI85" i="7"/>
  <c r="CK57" i="8"/>
  <c r="CK58" i="8" s="1"/>
  <c r="D58" i="8" s="1"/>
  <c r="D60" i="8" s="1"/>
  <c r="CJ64" i="8"/>
  <c r="CJ80" i="8" s="1"/>
  <c r="AN90" i="7"/>
  <c r="AN174" i="7"/>
  <c r="H161" i="9" s="1"/>
  <c r="AN149" i="7"/>
  <c r="H136" i="9" s="1"/>
  <c r="AO72" i="5"/>
  <c r="AO73" i="5"/>
  <c r="AW142" i="7"/>
  <c r="AW143" i="7" s="1"/>
  <c r="AW43" i="12" s="1"/>
  <c r="AX78" i="4"/>
  <c r="AW157" i="5"/>
  <c r="AW158" i="5" s="1"/>
  <c r="AW163" i="5" s="1"/>
  <c r="BM336" i="3" l="1"/>
  <c r="BM337" i="3"/>
  <c r="BM343" i="3" s="1"/>
  <c r="BM338" i="3"/>
  <c r="BM344" i="3" s="1"/>
  <c r="AV164" i="5"/>
  <c r="AV93" i="7" s="1"/>
  <c r="AW164" i="5"/>
  <c r="AW93" i="7" s="1"/>
  <c r="CI88" i="7"/>
  <c r="CJ83" i="8"/>
  <c r="CJ85" i="7"/>
  <c r="CJ88" i="7" s="1"/>
  <c r="CK60" i="8"/>
  <c r="AO90" i="7"/>
  <c r="AO74" i="5"/>
  <c r="AX164" i="5"/>
  <c r="AX93" i="7" s="1"/>
  <c r="AW44" i="7"/>
  <c r="AX80" i="4"/>
  <c r="AX48" i="7" s="1"/>
  <c r="BN336" i="3" l="1" a="1"/>
  <c r="BM342" i="3"/>
  <c r="CK64" i="8"/>
  <c r="CK80" i="8" s="1"/>
  <c r="CK85" i="7" s="1"/>
  <c r="CK151" i="7"/>
  <c r="M138" i="9" s="1"/>
  <c r="AO174" i="7"/>
  <c r="AO149" i="7"/>
  <c r="AP70" i="5"/>
  <c r="AX81" i="4"/>
  <c r="BN337" i="3" l="1"/>
  <c r="BN343" i="3" s="1"/>
  <c r="BN338" i="3"/>
  <c r="BN344" i="3" s="1"/>
  <c r="BN336" i="3"/>
  <c r="G72" i="9"/>
  <c r="G75" i="9" s="1"/>
  <c r="H72" i="9"/>
  <c r="H75" i="9" s="1"/>
  <c r="I72" i="9"/>
  <c r="I75" i="9" s="1"/>
  <c r="J72" i="9"/>
  <c r="J75" i="9" s="1"/>
  <c r="K72" i="9"/>
  <c r="K75" i="9" s="1"/>
  <c r="L72" i="9"/>
  <c r="L75" i="9" s="1"/>
  <c r="M72" i="9"/>
  <c r="M75" i="9" s="1"/>
  <c r="CK88" i="7"/>
  <c r="F72" i="9"/>
  <c r="CK83" i="8"/>
  <c r="D80" i="8"/>
  <c r="D83" i="8" s="1"/>
  <c r="D85" i="7"/>
  <c r="D88" i="7" s="1"/>
  <c r="AP73" i="5"/>
  <c r="AP72" i="5"/>
  <c r="AX142" i="7"/>
  <c r="AY78" i="4"/>
  <c r="AX157" i="5"/>
  <c r="AX158" i="5" s="1"/>
  <c r="AX163" i="5" s="1"/>
  <c r="BN342" i="3" l="1"/>
  <c r="BO336" i="3" a="1"/>
  <c r="AX143" i="7"/>
  <c r="AX43" i="12" s="1"/>
  <c r="D72" i="9"/>
  <c r="F75" i="9"/>
  <c r="D75" i="9" s="1"/>
  <c r="AP74" i="5"/>
  <c r="AP174" i="7" s="1"/>
  <c r="AP90" i="7"/>
  <c r="AX44" i="7"/>
  <c r="AY80" i="4"/>
  <c r="AY48" i="7" s="1"/>
  <c r="BO338" i="3" l="1"/>
  <c r="BO344" i="3" s="1"/>
  <c r="BO336" i="3"/>
  <c r="BO337" i="3"/>
  <c r="BO343" i="3" s="1"/>
  <c r="AP149" i="7"/>
  <c r="AQ70" i="5"/>
  <c r="AQ73" i="5" s="1"/>
  <c r="AY81" i="4"/>
  <c r="AY157" i="5" s="1"/>
  <c r="AY158" i="5" s="1"/>
  <c r="AY163" i="5" s="1"/>
  <c r="BO342" i="3" l="1"/>
  <c r="BP336" i="3" a="1"/>
  <c r="AQ72" i="5"/>
  <c r="AQ74" i="5" s="1"/>
  <c r="AQ174" i="7" s="1"/>
  <c r="AY142" i="7"/>
  <c r="AY143" i="7" s="1"/>
  <c r="AY43" i="12" s="1"/>
  <c r="AZ78" i="4"/>
  <c r="AZ80" i="4" s="1"/>
  <c r="AZ48" i="7" s="1"/>
  <c r="AY44" i="7"/>
  <c r="BP338" i="3" l="1"/>
  <c r="BP344" i="3" s="1"/>
  <c r="BP337" i="3"/>
  <c r="BP343" i="3" s="1"/>
  <c r="BP336" i="3"/>
  <c r="AQ90" i="7"/>
  <c r="AR70" i="5"/>
  <c r="AR72" i="5" s="1"/>
  <c r="AQ149" i="7"/>
  <c r="AZ81" i="4"/>
  <c r="BP342" i="3" l="1"/>
  <c r="BQ336" i="3" a="1"/>
  <c r="AR73" i="5"/>
  <c r="AR74" i="5" s="1"/>
  <c r="AZ142" i="7"/>
  <c r="AZ157" i="5"/>
  <c r="AZ158" i="5" s="1"/>
  <c r="AZ163" i="5" s="1"/>
  <c r="BA78" i="4"/>
  <c r="AZ143" i="7" l="1"/>
  <c r="AZ43" i="12" s="1"/>
  <c r="I129" i="9"/>
  <c r="I130" i="9" s="1"/>
  <c r="BQ336" i="3"/>
  <c r="BQ337" i="3"/>
  <c r="BQ343" i="3" s="1"/>
  <c r="BQ338" i="3"/>
  <c r="BQ344" i="3" s="1"/>
  <c r="AY164" i="5"/>
  <c r="AY93" i="7" s="1"/>
  <c r="AZ164" i="5"/>
  <c r="AZ93" i="7" s="1"/>
  <c r="AR90" i="7"/>
  <c r="AS70" i="5"/>
  <c r="AS73" i="5" s="1"/>
  <c r="AR174" i="7"/>
  <c r="AR149" i="7"/>
  <c r="BA80" i="4"/>
  <c r="BA48" i="7" s="1"/>
  <c r="AZ44" i="7"/>
  <c r="BA164" i="5"/>
  <c r="BA93" i="7" s="1"/>
  <c r="BQ342" i="3" l="1"/>
  <c r="BR336" i="3" a="1"/>
  <c r="AS72" i="5"/>
  <c r="AS90" i="7" s="1"/>
  <c r="BA81" i="4"/>
  <c r="BR338" i="3" l="1"/>
  <c r="BR344" i="3" s="1"/>
  <c r="BR337" i="3"/>
  <c r="BR343" i="3" s="1"/>
  <c r="BR336" i="3"/>
  <c r="AS74" i="5"/>
  <c r="AT70" i="5" s="1"/>
  <c r="BA157" i="5"/>
  <c r="BA158" i="5" s="1"/>
  <c r="BA163" i="5" s="1"/>
  <c r="BA142" i="7"/>
  <c r="BB78" i="4"/>
  <c r="BR342" i="3" l="1"/>
  <c r="BS336" i="3" a="1"/>
  <c r="AS174" i="7"/>
  <c r="AS149" i="7"/>
  <c r="AT72" i="5"/>
  <c r="AT73" i="5"/>
  <c r="BB80" i="4"/>
  <c r="BB48" i="7" s="1"/>
  <c r="BA143" i="7"/>
  <c r="BA43" i="12" s="1"/>
  <c r="G101" i="15"/>
  <c r="BA44" i="7"/>
  <c r="BS337" i="3" l="1"/>
  <c r="BS343" i="3" s="1"/>
  <c r="BS336" i="3"/>
  <c r="BS338" i="3"/>
  <c r="BS344" i="3" s="1"/>
  <c r="AT74" i="5"/>
  <c r="AU70" i="5" s="1"/>
  <c r="AT90" i="7"/>
  <c r="BB81" i="4"/>
  <c r="BS342" i="3" l="1"/>
  <c r="BT336" i="3" a="1"/>
  <c r="AT149" i="7"/>
  <c r="AT174" i="7"/>
  <c r="AU72" i="5"/>
  <c r="AU73" i="5"/>
  <c r="BB142" i="7"/>
  <c r="BB143" i="7" s="1"/>
  <c r="BB43" i="12" s="1"/>
  <c r="BC78" i="4"/>
  <c r="BB157" i="5"/>
  <c r="BB158" i="5" s="1"/>
  <c r="BB163" i="5" s="1"/>
  <c r="BT338" i="3" l="1"/>
  <c r="BT344" i="3" s="1"/>
  <c r="BT337" i="3"/>
  <c r="BT343" i="3" s="1"/>
  <c r="BT336" i="3"/>
  <c r="AU74" i="5"/>
  <c r="AU174" i="7" s="1"/>
  <c r="AU90" i="7"/>
  <c r="BB44" i="7"/>
  <c r="BC80" i="4"/>
  <c r="BC48" i="7" s="1"/>
  <c r="BU336" i="3" l="1" a="1"/>
  <c r="BT342" i="3"/>
  <c r="AU149" i="7"/>
  <c r="AV70" i="5"/>
  <c r="AV72" i="5" s="1"/>
  <c r="BC81" i="4"/>
  <c r="BC157" i="5" s="1"/>
  <c r="BC158" i="5" s="1"/>
  <c r="BC163" i="5" s="1"/>
  <c r="BU337" i="3" l="1"/>
  <c r="BU343" i="3" s="1"/>
  <c r="BU338" i="3"/>
  <c r="BU344" i="3" s="1"/>
  <c r="BU336" i="3"/>
  <c r="BB164" i="5"/>
  <c r="BB93" i="7" s="1"/>
  <c r="BC164" i="5"/>
  <c r="BC93" i="7" s="1"/>
  <c r="AV73" i="5"/>
  <c r="AV90" i="7" s="1"/>
  <c r="BC142" i="7"/>
  <c r="BC143" i="7" s="1"/>
  <c r="BC43" i="12" s="1"/>
  <c r="BD78" i="4"/>
  <c r="BD80" i="4" s="1"/>
  <c r="BD48" i="7" s="1"/>
  <c r="BC44" i="7"/>
  <c r="BD164" i="5"/>
  <c r="BD93" i="7" s="1"/>
  <c r="BV336" i="3" l="1" a="1"/>
  <c r="BU342" i="3"/>
  <c r="AV74" i="5"/>
  <c r="AV174" i="7" s="1"/>
  <c r="BD81" i="4"/>
  <c r="BV336" i="3" l="1"/>
  <c r="BV337" i="3"/>
  <c r="BV343" i="3" s="1"/>
  <c r="BV338" i="3"/>
  <c r="BV344" i="3" s="1"/>
  <c r="AW70" i="5"/>
  <c r="AW73" i="5" s="1"/>
  <c r="AV149" i="7"/>
  <c r="BD142" i="7"/>
  <c r="BD143" i="7" s="1"/>
  <c r="BD43" i="12" s="1"/>
  <c r="BD157" i="5"/>
  <c r="BD158" i="5" s="1"/>
  <c r="BD163" i="5" s="1"/>
  <c r="BE78" i="4"/>
  <c r="BV342" i="3" l="1"/>
  <c r="BW336" i="3" a="1"/>
  <c r="AW72" i="5"/>
  <c r="AW74" i="5" s="1"/>
  <c r="BD44" i="7"/>
  <c r="BE80" i="4"/>
  <c r="BE48" i="7" s="1"/>
  <c r="BW336" i="3" l="1"/>
  <c r="BW337" i="3"/>
  <c r="BW343" i="3" s="1"/>
  <c r="BW338" i="3"/>
  <c r="BW344" i="3" s="1"/>
  <c r="AW90" i="7"/>
  <c r="AX70" i="5"/>
  <c r="AW149" i="7"/>
  <c r="AW174" i="7"/>
  <c r="BE81" i="4"/>
  <c r="BE142" i="7" s="1"/>
  <c r="BE143" i="7" s="1"/>
  <c r="BE43" i="12" s="1"/>
  <c r="BW342" i="3" l="1"/>
  <c r="BX336" i="3" a="1"/>
  <c r="AX72" i="5"/>
  <c r="AX73" i="5"/>
  <c r="BF78" i="4"/>
  <c r="BF80" i="4" s="1"/>
  <c r="BF48" i="7" s="1"/>
  <c r="BE157" i="5"/>
  <c r="BE158" i="5" s="1"/>
  <c r="BE163" i="5" s="1"/>
  <c r="BX336" i="3" l="1"/>
  <c r="BX337" i="3"/>
  <c r="BX343" i="3" s="1"/>
  <c r="BX338" i="3"/>
  <c r="BX344" i="3" s="1"/>
  <c r="BE44" i="7"/>
  <c r="AX74" i="5"/>
  <c r="AX149" i="7" s="1"/>
  <c r="AX90" i="7"/>
  <c r="BF81" i="4"/>
  <c r="BX342" i="3" l="1"/>
  <c r="BY336" i="3" a="1"/>
  <c r="AX174" i="7"/>
  <c r="AY70" i="5"/>
  <c r="AY72" i="5" s="1"/>
  <c r="BF142" i="7"/>
  <c r="BF143" i="7" s="1"/>
  <c r="BF43" i="12" s="1"/>
  <c r="BF157" i="5"/>
  <c r="BF158" i="5" s="1"/>
  <c r="BF163" i="5" s="1"/>
  <c r="BG78" i="4"/>
  <c r="BY336" i="3" l="1"/>
  <c r="BY338" i="3"/>
  <c r="BY344" i="3" s="1"/>
  <c r="BY337" i="3"/>
  <c r="BY343" i="3" s="1"/>
  <c r="BE164" i="5"/>
  <c r="BE93" i="7" s="1"/>
  <c r="BF164" i="5"/>
  <c r="BF93" i="7" s="1"/>
  <c r="AY73" i="5"/>
  <c r="AY90" i="7" s="1"/>
  <c r="BF44" i="7"/>
  <c r="BG164" i="5"/>
  <c r="BG93" i="7" s="1"/>
  <c r="BG80" i="4"/>
  <c r="BG48" i="7" s="1"/>
  <c r="BY342" i="3" l="1"/>
  <c r="BZ336" i="3" a="1"/>
  <c r="AY74" i="5"/>
  <c r="AY174" i="7" s="1"/>
  <c r="BG81" i="4"/>
  <c r="BZ336" i="3" l="1"/>
  <c r="BZ337" i="3"/>
  <c r="BZ343" i="3" s="1"/>
  <c r="BZ338" i="3"/>
  <c r="BZ344" i="3" s="1"/>
  <c r="AZ70" i="5"/>
  <c r="AZ73" i="5" s="1"/>
  <c r="AY149" i="7"/>
  <c r="BH78" i="4"/>
  <c r="BG142" i="7"/>
  <c r="BG143" i="7" s="1"/>
  <c r="BG43" i="12" s="1"/>
  <c r="BG157" i="5"/>
  <c r="BG158" i="5" s="1"/>
  <c r="BG163" i="5" s="1"/>
  <c r="CA336" i="3" l="1" a="1"/>
  <c r="BZ342" i="3"/>
  <c r="AZ72" i="5"/>
  <c r="AZ90" i="7" s="1"/>
  <c r="BH80" i="4"/>
  <c r="BH48" i="7" s="1"/>
  <c r="BG44" i="7"/>
  <c r="CA336" i="3" l="1"/>
  <c r="CA337" i="3"/>
  <c r="CA343" i="3" s="1"/>
  <c r="CA338" i="3"/>
  <c r="CA344" i="3" s="1"/>
  <c r="AZ74" i="5"/>
  <c r="AZ174" i="7" s="1"/>
  <c r="I161" i="9" s="1"/>
  <c r="BH81" i="4"/>
  <c r="CA342" i="3" l="1"/>
  <c r="CB336" i="3" a="1"/>
  <c r="AZ149" i="7"/>
  <c r="I136" i="9" s="1"/>
  <c r="BA70" i="5"/>
  <c r="BA73" i="5" s="1"/>
  <c r="BH142" i="7"/>
  <c r="BH143" i="7" s="1"/>
  <c r="BH43" i="12" s="1"/>
  <c r="BH157" i="5"/>
  <c r="BH158" i="5" s="1"/>
  <c r="BH163" i="5" s="1"/>
  <c r="BI78" i="4"/>
  <c r="CB336" i="3" l="1"/>
  <c r="CB338" i="3"/>
  <c r="CB344" i="3" s="1"/>
  <c r="CB337" i="3"/>
  <c r="CB343" i="3" s="1"/>
  <c r="BA72" i="5"/>
  <c r="BA74" i="5" s="1"/>
  <c r="BI80" i="4"/>
  <c r="BI48" i="7" s="1"/>
  <c r="BH44" i="7"/>
  <c r="CB342" i="3" l="1"/>
  <c r="CC336" i="3" a="1"/>
  <c r="BA90" i="7"/>
  <c r="BB70" i="5"/>
  <c r="BA174" i="7"/>
  <c r="BA149" i="7"/>
  <c r="BI81" i="4"/>
  <c r="CC336" i="3" l="1"/>
  <c r="CC337" i="3"/>
  <c r="CC343" i="3" s="1"/>
  <c r="CC338" i="3"/>
  <c r="CC344" i="3" s="1"/>
  <c r="BB73" i="5"/>
  <c r="BB72" i="5"/>
  <c r="BJ78" i="4"/>
  <c r="BI142" i="7"/>
  <c r="BI143" i="7" s="1"/>
  <c r="BI43" i="12" s="1"/>
  <c r="BI157" i="5"/>
  <c r="BI158" i="5" s="1"/>
  <c r="BI163" i="5" s="1"/>
  <c r="CC342" i="3" l="1"/>
  <c r="CD336" i="3" a="1"/>
  <c r="BH164" i="5"/>
  <c r="BH93" i="7" s="1"/>
  <c r="BI164" i="5"/>
  <c r="BI93" i="7" s="1"/>
  <c r="BB90" i="7"/>
  <c r="BB74" i="5"/>
  <c r="BI44" i="7"/>
  <c r="BJ164" i="5"/>
  <c r="BJ93" i="7" s="1"/>
  <c r="BJ80" i="4"/>
  <c r="BJ48" i="7" s="1"/>
  <c r="CD337" i="3" l="1"/>
  <c r="CD343" i="3" s="1"/>
  <c r="CD336" i="3"/>
  <c r="CD338" i="3"/>
  <c r="CD344" i="3" s="1"/>
  <c r="BB174" i="7"/>
  <c r="BB149" i="7"/>
  <c r="BC70" i="5"/>
  <c r="BJ81" i="4"/>
  <c r="CD342" i="3" l="1"/>
  <c r="CE336" i="3" a="1"/>
  <c r="BC72" i="5"/>
  <c r="BC73" i="5"/>
  <c r="BK78" i="4"/>
  <c r="BJ142" i="7"/>
  <c r="BJ157" i="5"/>
  <c r="BJ158" i="5" s="1"/>
  <c r="BJ163" i="5" s="1"/>
  <c r="CE337" i="3" l="1"/>
  <c r="CE343" i="3" s="1"/>
  <c r="CE336" i="3"/>
  <c r="CE338" i="3"/>
  <c r="CE344" i="3" s="1"/>
  <c r="BJ143" i="7"/>
  <c r="BJ43" i="12" s="1"/>
  <c r="BC90" i="7"/>
  <c r="BC74" i="5"/>
  <c r="BK80" i="4"/>
  <c r="BK48" i="7" s="1"/>
  <c r="BJ44" i="7"/>
  <c r="CE342" i="3" l="1"/>
  <c r="CF336" i="3" a="1"/>
  <c r="BC174" i="7"/>
  <c r="BD70" i="5"/>
  <c r="BC149" i="7"/>
  <c r="BK81" i="4"/>
  <c r="CF336" i="3" l="1"/>
  <c r="CF338" i="3"/>
  <c r="CF344" i="3" s="1"/>
  <c r="CF337" i="3"/>
  <c r="CF343" i="3" s="1"/>
  <c r="BD72" i="5"/>
  <c r="BD73" i="5"/>
  <c r="BK157" i="5"/>
  <c r="BK158" i="5" s="1"/>
  <c r="BK163" i="5" s="1"/>
  <c r="BK142" i="7"/>
  <c r="BK143" i="7" s="1"/>
  <c r="BK43" i="12" s="1"/>
  <c r="BL78" i="4"/>
  <c r="CF342" i="3" l="1"/>
  <c r="CG336" i="3" a="1"/>
  <c r="BD74" i="5"/>
  <c r="BE70" i="5" s="1"/>
  <c r="BD90" i="7"/>
  <c r="BL80" i="4"/>
  <c r="BL48" i="7" s="1"/>
  <c r="BK44" i="7"/>
  <c r="CG336" i="3" l="1"/>
  <c r="CG337" i="3"/>
  <c r="CG343" i="3" s="1"/>
  <c r="CG338" i="3"/>
  <c r="CG344" i="3" s="1"/>
  <c r="BD149" i="7"/>
  <c r="BD174" i="7"/>
  <c r="BE72" i="5"/>
  <c r="BE73" i="5"/>
  <c r="BL81" i="4"/>
  <c r="CG342" i="3" l="1"/>
  <c r="CH336" i="3" a="1"/>
  <c r="BE74" i="5"/>
  <c r="BF70" i="5" s="1"/>
  <c r="BE90" i="7"/>
  <c r="BL157" i="5"/>
  <c r="BL158" i="5" s="1"/>
  <c r="BL163" i="5" s="1"/>
  <c r="BL142" i="7"/>
  <c r="BM78" i="4"/>
  <c r="BM80" i="4" s="1"/>
  <c r="BL143" i="7" l="1"/>
  <c r="BL43" i="12" s="1"/>
  <c r="J129" i="9"/>
  <c r="J130" i="9" s="1"/>
  <c r="CH336" i="3"/>
  <c r="CH337" i="3"/>
  <c r="CH343" i="3" s="1"/>
  <c r="CH338" i="3"/>
  <c r="CH344" i="3" s="1"/>
  <c r="BK164" i="5"/>
  <c r="BK93" i="7" s="1"/>
  <c r="BL164" i="5"/>
  <c r="BL93" i="7" s="1"/>
  <c r="BE149" i="7"/>
  <c r="BE174" i="7"/>
  <c r="BF73" i="5"/>
  <c r="BF72" i="5"/>
  <c r="BM81" i="4"/>
  <c r="BN78" i="4" s="1"/>
  <c r="BM48" i="7"/>
  <c r="BL44" i="7"/>
  <c r="BM164" i="5"/>
  <c r="CH342" i="3" l="1"/>
  <c r="CI336" i="3" a="1"/>
  <c r="BF90" i="7"/>
  <c r="BF74" i="5"/>
  <c r="BN80" i="4"/>
  <c r="BM93" i="7"/>
  <c r="BM157" i="5"/>
  <c r="BM158" i="5" s="1"/>
  <c r="BM163" i="5" s="1"/>
  <c r="BM142" i="7"/>
  <c r="CI336" i="3" l="1"/>
  <c r="CI337" i="3"/>
  <c r="CI343" i="3" s="1"/>
  <c r="CI338" i="3"/>
  <c r="CI344" i="3" s="1"/>
  <c r="BN81" i="4"/>
  <c r="BN142" i="7" s="1"/>
  <c r="BN143" i="7" s="1"/>
  <c r="BN43" i="12" s="1"/>
  <c r="BN48" i="7"/>
  <c r="BG70" i="5"/>
  <c r="BF149" i="7"/>
  <c r="BF174" i="7"/>
  <c r="BM143" i="7"/>
  <c r="BM43" i="12" s="1"/>
  <c r="H101" i="15"/>
  <c r="BM44" i="7"/>
  <c r="CI342" i="3" l="1"/>
  <c r="CJ336" i="3" a="1"/>
  <c r="BN157" i="5"/>
  <c r="BN158" i="5" s="1"/>
  <c r="BN163" i="5" s="1"/>
  <c r="BO78" i="4"/>
  <c r="BO80" i="4" s="1"/>
  <c r="BO81" i="4" s="1"/>
  <c r="BG73" i="5"/>
  <c r="BG72" i="5"/>
  <c r="CJ336" i="3" l="1"/>
  <c r="CJ337" i="3"/>
  <c r="CJ343" i="3" s="1"/>
  <c r="CJ338" i="3"/>
  <c r="CJ344" i="3" s="1"/>
  <c r="BN44" i="7"/>
  <c r="BO48" i="7"/>
  <c r="BP78" i="4"/>
  <c r="BP80" i="4" s="1"/>
  <c r="BP81" i="4" s="1"/>
  <c r="BO142" i="7"/>
  <c r="BO143" i="7" s="1"/>
  <c r="BO43" i="12" s="1"/>
  <c r="BO157" i="5"/>
  <c r="BO158" i="5" s="1"/>
  <c r="BO163" i="5" s="1"/>
  <c r="BN164" i="5" s="1"/>
  <c r="BN93" i="7" s="1"/>
  <c r="BG74" i="5"/>
  <c r="BH70" i="5" s="1"/>
  <c r="BG90" i="7"/>
  <c r="CJ342" i="3" l="1"/>
  <c r="CK336" i="3" a="1"/>
  <c r="BO164" i="5"/>
  <c r="BO93" i="7" s="1"/>
  <c r="BP48" i="7"/>
  <c r="BP142" i="7"/>
  <c r="BP143" i="7" s="1"/>
  <c r="BP43" i="12" s="1"/>
  <c r="BP157" i="5"/>
  <c r="BP158" i="5" s="1"/>
  <c r="BP163" i="5" s="1"/>
  <c r="BP44" i="7" s="1"/>
  <c r="BQ78" i="4"/>
  <c r="BQ80" i="4" s="1"/>
  <c r="BQ81" i="4" s="1"/>
  <c r="BP164" i="5"/>
  <c r="BP93" i="7" s="1"/>
  <c r="BO44" i="7"/>
  <c r="BG174" i="7"/>
  <c r="BG149" i="7"/>
  <c r="BH72" i="5"/>
  <c r="BH73" i="5"/>
  <c r="CK338" i="3" l="1"/>
  <c r="CK344" i="3" s="1"/>
  <c r="CK337" i="3"/>
  <c r="CK343" i="3" s="1"/>
  <c r="CK336" i="3"/>
  <c r="CK342" i="3" s="1"/>
  <c r="BQ142" i="7"/>
  <c r="BQ143" i="7" s="1"/>
  <c r="BQ43" i="12" s="1"/>
  <c r="BR78" i="4"/>
  <c r="BR80" i="4" s="1"/>
  <c r="BR81" i="4" s="1"/>
  <c r="BQ157" i="5"/>
  <c r="BQ158" i="5" s="1"/>
  <c r="BQ163" i="5" s="1"/>
  <c r="BQ48" i="7"/>
  <c r="BH90" i="7"/>
  <c r="BH74" i="5"/>
  <c r="F348" i="3" l="1" a="1"/>
  <c r="M348" i="3" s="1"/>
  <c r="BR48" i="7"/>
  <c r="BS78" i="4"/>
  <c r="BS80" i="4" s="1"/>
  <c r="BS81" i="4" s="1"/>
  <c r="BS142" i="7" s="1"/>
  <c r="BS143" i="7" s="1"/>
  <c r="BS43" i="12" s="1"/>
  <c r="BR142" i="7"/>
  <c r="BR143" i="7" s="1"/>
  <c r="BR43" i="12" s="1"/>
  <c r="BQ44" i="7"/>
  <c r="BR157" i="5"/>
  <c r="BR158" i="5" s="1"/>
  <c r="BR163" i="5" s="1"/>
  <c r="BQ164" i="5" s="1"/>
  <c r="BQ93" i="7" s="1"/>
  <c r="BI70" i="5"/>
  <c r="BH149" i="7"/>
  <c r="BH174" i="7"/>
  <c r="Z348" i="3" l="1"/>
  <c r="BY348" i="3"/>
  <c r="R348" i="3"/>
  <c r="R349" i="3"/>
  <c r="CE350" i="3"/>
  <c r="AV348" i="3"/>
  <c r="AB349" i="3"/>
  <c r="BM348" i="3"/>
  <c r="G348" i="3"/>
  <c r="AS349" i="3"/>
  <c r="I350" i="3"/>
  <c r="BN349" i="3"/>
  <c r="CC348" i="3"/>
  <c r="L349" i="3"/>
  <c r="BX349" i="3"/>
  <c r="CI350" i="3"/>
  <c r="AO349" i="3"/>
  <c r="AD349" i="3"/>
  <c r="AT349" i="3"/>
  <c r="BP348" i="3"/>
  <c r="BG349" i="3"/>
  <c r="CG348" i="3"/>
  <c r="BA348" i="3"/>
  <c r="BV350" i="3"/>
  <c r="T348" i="3"/>
  <c r="CD348" i="3"/>
  <c r="BL349" i="3"/>
  <c r="AM348" i="3"/>
  <c r="BR349" i="3"/>
  <c r="S348" i="3"/>
  <c r="AI348" i="3"/>
  <c r="BJ349" i="3"/>
  <c r="BL348" i="3"/>
  <c r="CE348" i="3"/>
  <c r="O349" i="3"/>
  <c r="AP350" i="3"/>
  <c r="AR349" i="3"/>
  <c r="BK349" i="3"/>
  <c r="CA349" i="3"/>
  <c r="AN349" i="3"/>
  <c r="X350" i="3"/>
  <c r="CJ349" i="3"/>
  <c r="CF350" i="3"/>
  <c r="BI349" i="3"/>
  <c r="O348" i="3"/>
  <c r="BZ350" i="3"/>
  <c r="AA349" i="3"/>
  <c r="BW349" i="3"/>
  <c r="BS350" i="3"/>
  <c r="P348" i="3"/>
  <c r="AQ349" i="3"/>
  <c r="BQ350" i="3"/>
  <c r="N350" i="3"/>
  <c r="U350" i="3"/>
  <c r="V348" i="3"/>
  <c r="CH348" i="3"/>
  <c r="CB348" i="3"/>
  <c r="BN348" i="3"/>
  <c r="AO350" i="3"/>
  <c r="CA348" i="3"/>
  <c r="U348" i="3"/>
  <c r="AK348" i="3"/>
  <c r="K350" i="3"/>
  <c r="M349" i="3"/>
  <c r="R350" i="3"/>
  <c r="CB350" i="3"/>
  <c r="BM349" i="3"/>
  <c r="CC349" i="3"/>
  <c r="AW349" i="3"/>
  <c r="BE350" i="3"/>
  <c r="I349" i="3"/>
  <c r="AZ349" i="3"/>
  <c r="AS350" i="3"/>
  <c r="BI350" i="3"/>
  <c r="W348" i="3"/>
  <c r="P349" i="3"/>
  <c r="L350" i="3"/>
  <c r="BX350" i="3"/>
  <c r="H348" i="3"/>
  <c r="AH348" i="3"/>
  <c r="AT348" i="3"/>
  <c r="BJ348" i="3"/>
  <c r="AJ348" i="3"/>
  <c r="N349" i="3"/>
  <c r="AQ350" i="3"/>
  <c r="BG350" i="3"/>
  <c r="AY348" i="3"/>
  <c r="CJ350" i="3"/>
  <c r="BT349" i="3"/>
  <c r="BH348" i="3"/>
  <c r="AD350" i="3"/>
  <c r="G350" i="3"/>
  <c r="BK348" i="3"/>
  <c r="BC349" i="3"/>
  <c r="CK350" i="3"/>
  <c r="CD349" i="3"/>
  <c r="AB350" i="3"/>
  <c r="AE349" i="3"/>
  <c r="AG348" i="3"/>
  <c r="BR350" i="3"/>
  <c r="CH350" i="3"/>
  <c r="K348" i="3"/>
  <c r="AZ350" i="3"/>
  <c r="AU348" i="3"/>
  <c r="CG350" i="3"/>
  <c r="S349" i="3"/>
  <c r="AI349" i="3"/>
  <c r="AG349" i="3"/>
  <c r="AU349" i="3"/>
  <c r="Z350" i="3"/>
  <c r="AM350" i="3"/>
  <c r="CE349" i="3"/>
  <c r="O350" i="3"/>
  <c r="M350" i="3"/>
  <c r="AA350" i="3"/>
  <c r="BK350" i="3"/>
  <c r="CA350" i="3"/>
  <c r="BY350" i="3"/>
  <c r="L348" i="3"/>
  <c r="X348" i="3"/>
  <c r="AN348" i="3"/>
  <c r="N348" i="3"/>
  <c r="BQ348" i="3"/>
  <c r="Z349" i="3"/>
  <c r="AP349" i="3"/>
  <c r="CG349" i="3"/>
  <c r="BZ349" i="3"/>
  <c r="BJ350" i="3"/>
  <c r="K349" i="3"/>
  <c r="AE348" i="3"/>
  <c r="BD349" i="3"/>
  <c r="AH349" i="3"/>
  <c r="AX348" i="3"/>
  <c r="V350" i="3"/>
  <c r="AP348" i="3"/>
  <c r="BF350" i="3"/>
  <c r="AV350" i="3"/>
  <c r="BL350" i="3"/>
  <c r="AL350" i="3"/>
  <c r="J349" i="3"/>
  <c r="BH350" i="3"/>
  <c r="BY349" i="3"/>
  <c r="BY355" i="3" s="1" a="1"/>
  <c r="BE348" i="3"/>
  <c r="BU348" i="3"/>
  <c r="BS348" i="3"/>
  <c r="BB350" i="3"/>
  <c r="BC348" i="3"/>
  <c r="BO348" i="3"/>
  <c r="AK349" i="3"/>
  <c r="BA349" i="3"/>
  <c r="AY349" i="3"/>
  <c r="CI348" i="3"/>
  <c r="Q350" i="3"/>
  <c r="AG350" i="3"/>
  <c r="AE350" i="3"/>
  <c r="AU350" i="3"/>
  <c r="CC350" i="3"/>
  <c r="AB348" i="3"/>
  <c r="AR348" i="3"/>
  <c r="BT348" i="3"/>
  <c r="CJ348" i="3"/>
  <c r="T349" i="3"/>
  <c r="BZ348" i="3"/>
  <c r="AC350" i="3"/>
  <c r="BR348" i="3"/>
  <c r="BC350" i="3"/>
  <c r="F348" i="3"/>
  <c r="BD350" i="3"/>
  <c r="AF349" i="3"/>
  <c r="AW348" i="3"/>
  <c r="J350" i="3"/>
  <c r="AC349" i="3"/>
  <c r="BT350" i="3"/>
  <c r="Y350" i="3"/>
  <c r="BU350" i="3"/>
  <c r="AT350" i="3"/>
  <c r="BI348" i="3"/>
  <c r="X349" i="3"/>
  <c r="CF349" i="3"/>
  <c r="BF349" i="3"/>
  <c r="AD348" i="3"/>
  <c r="AL349" i="3"/>
  <c r="BB349" i="3"/>
  <c r="P350" i="3"/>
  <c r="BM350" i="3"/>
  <c r="Q349" i="3"/>
  <c r="BV349" i="3"/>
  <c r="CD350" i="3"/>
  <c r="CF348" i="3"/>
  <c r="Y348" i="3"/>
  <c r="BW348" i="3"/>
  <c r="AH350" i="3"/>
  <c r="V349" i="3"/>
  <c r="AA348" i="3"/>
  <c r="AQ348" i="3"/>
  <c r="CK348" i="3"/>
  <c r="BX348" i="3"/>
  <c r="G349" i="3"/>
  <c r="W349" i="3"/>
  <c r="BQ349" i="3"/>
  <c r="BW350" i="3"/>
  <c r="BS349" i="3"/>
  <c r="CI349" i="3"/>
  <c r="AW350" i="3"/>
  <c r="BF348" i="3"/>
  <c r="AJ350" i="3"/>
  <c r="J348" i="3"/>
  <c r="BD348" i="3"/>
  <c r="AF350" i="3"/>
  <c r="BP350" i="3"/>
  <c r="CH349" i="3"/>
  <c r="U349" i="3"/>
  <c r="AZ348" i="3"/>
  <c r="BN350" i="3"/>
  <c r="AF348" i="3"/>
  <c r="S350" i="3"/>
  <c r="AN350" i="3"/>
  <c r="H350" i="3"/>
  <c r="Q348" i="3"/>
  <c r="W350" i="3"/>
  <c r="BP349" i="3"/>
  <c r="BV348" i="3"/>
  <c r="AJ349" i="3"/>
  <c r="AO348" i="3"/>
  <c r="AC348" i="3"/>
  <c r="BO349" i="3"/>
  <c r="F349" i="3"/>
  <c r="F350" i="3"/>
  <c r="I348" i="3"/>
  <c r="BE349" i="3"/>
  <c r="BU349" i="3"/>
  <c r="AI350" i="3"/>
  <c r="AX350" i="3"/>
  <c r="BH349" i="3"/>
  <c r="AX349" i="3"/>
  <c r="AK350" i="3"/>
  <c r="BA350" i="3"/>
  <c r="AS348" i="3"/>
  <c r="CB349" i="3"/>
  <c r="AV349" i="3"/>
  <c r="AR350" i="3"/>
  <c r="Y349" i="3"/>
  <c r="BG348" i="3"/>
  <c r="AL348" i="3"/>
  <c r="BB348" i="3"/>
  <c r="CK349" i="3"/>
  <c r="AM349" i="3"/>
  <c r="T350" i="3"/>
  <c r="AY350" i="3"/>
  <c r="BO350" i="3"/>
  <c r="H349" i="3"/>
  <c r="BR164" i="5"/>
  <c r="BR93" i="7" s="1"/>
  <c r="BS48" i="7"/>
  <c r="BS157" i="5"/>
  <c r="BS158" i="5" s="1"/>
  <c r="BS163" i="5" s="1"/>
  <c r="BS44" i="7" s="1"/>
  <c r="BT78" i="4"/>
  <c r="BT80" i="4" s="1"/>
  <c r="BT81" i="4" s="1"/>
  <c r="BS164" i="5"/>
  <c r="BS93" i="7" s="1"/>
  <c r="BR44" i="7"/>
  <c r="BI72" i="5"/>
  <c r="BI73" i="5"/>
  <c r="S351" i="3" l="1"/>
  <c r="AI351" i="3"/>
  <c r="AW355" i="3" a="1"/>
  <c r="AW356" i="3" s="1"/>
  <c r="X355" i="3" a="1"/>
  <c r="X356" i="3" s="1"/>
  <c r="CE355" i="3" a="1"/>
  <c r="CE355" i="3" s="1"/>
  <c r="AO351" i="3"/>
  <c r="T355" i="3" a="1"/>
  <c r="T355" i="3" s="1"/>
  <c r="BH351" i="3"/>
  <c r="AV355" i="3" a="1"/>
  <c r="AV355" i="3" s="1"/>
  <c r="BT351" i="3"/>
  <c r="M355" i="3" a="1"/>
  <c r="M357" i="3" s="1"/>
  <c r="CB351" i="3"/>
  <c r="Q355" i="3" a="1"/>
  <c r="Q355" i="3" s="1"/>
  <c r="AF355" i="3" a="1"/>
  <c r="AF357" i="3" s="1"/>
  <c r="AQ355" i="3" a="1"/>
  <c r="AQ356" i="3" s="1"/>
  <c r="CJ355" i="3" a="1"/>
  <c r="CJ357" i="3" s="1"/>
  <c r="AX355" i="3" a="1"/>
  <c r="AX357" i="3" s="1"/>
  <c r="AS351" i="3"/>
  <c r="BS351" i="3"/>
  <c r="BL355" i="3" a="1"/>
  <c r="BL355" i="3" s="1"/>
  <c r="BI355" i="3" a="1"/>
  <c r="BI357" i="3" s="1"/>
  <c r="R355" i="3" a="1"/>
  <c r="R357" i="3" s="1"/>
  <c r="AM351" i="3"/>
  <c r="BN351" i="3"/>
  <c r="BP351" i="3"/>
  <c r="AD355" i="3" a="1"/>
  <c r="AD355" i="3" s="1"/>
  <c r="BF351" i="3"/>
  <c r="AR351" i="3"/>
  <c r="AW351" i="3"/>
  <c r="G355" i="3" a="1"/>
  <c r="G357" i="3" s="1"/>
  <c r="BR351" i="3"/>
  <c r="CC355" i="3" a="1"/>
  <c r="CC356" i="3" s="1"/>
  <c r="O351" i="3"/>
  <c r="AN351" i="3"/>
  <c r="BJ351" i="3"/>
  <c r="BO355" i="3" a="1"/>
  <c r="BO355" i="3" s="1"/>
  <c r="N355" i="3" a="1"/>
  <c r="N357" i="3" s="1"/>
  <c r="AE355" i="3" a="1"/>
  <c r="AE356" i="3" s="1"/>
  <c r="AB351" i="3"/>
  <c r="Z355" i="3" a="1"/>
  <c r="Z357" i="3" s="1"/>
  <c r="K355" i="3" a="1"/>
  <c r="K356" i="3" s="1"/>
  <c r="AP355" i="3" a="1"/>
  <c r="AP357" i="3" s="1"/>
  <c r="BI351" i="3"/>
  <c r="BD355" i="3" a="1"/>
  <c r="BD357" i="3" s="1"/>
  <c r="Y355" i="3" a="1"/>
  <c r="Y357" i="3" s="1"/>
  <c r="AC351" i="3"/>
  <c r="AA351" i="3"/>
  <c r="O355" i="3" a="1"/>
  <c r="O356" i="3" s="1"/>
  <c r="BS355" i="3" a="1"/>
  <c r="BS357" i="3" s="1"/>
  <c r="AU351" i="3"/>
  <c r="AC355" i="3" a="1"/>
  <c r="AC357" i="3" s="1"/>
  <c r="AD351" i="3"/>
  <c r="AG351" i="3"/>
  <c r="BO351" i="3"/>
  <c r="N351" i="3"/>
  <c r="BX355" i="3" a="1"/>
  <c r="BX355" i="3" s="1"/>
  <c r="AK351" i="3"/>
  <c r="BK355" i="3" a="1"/>
  <c r="BK356" i="3" s="1"/>
  <c r="U355" i="3" a="1"/>
  <c r="U355" i="3" s="1"/>
  <c r="BL351" i="3"/>
  <c r="AG355" i="3" a="1"/>
  <c r="AG356" i="3" s="1"/>
  <c r="BB351" i="3"/>
  <c r="CA351" i="3"/>
  <c r="BC355" i="3" a="1"/>
  <c r="BC355" i="3" s="1"/>
  <c r="AX351" i="3"/>
  <c r="CF355" i="3" a="1"/>
  <c r="CF356" i="3" s="1"/>
  <c r="BH355" i="3" a="1"/>
  <c r="BH356" i="3" s="1"/>
  <c r="V355" i="3" a="1"/>
  <c r="V356" i="3" s="1"/>
  <c r="BR355" i="3" a="1"/>
  <c r="BR355" i="3" s="1"/>
  <c r="BC351" i="3"/>
  <c r="AQ351" i="3"/>
  <c r="BP355" i="3" a="1"/>
  <c r="BP355" i="3" s="1"/>
  <c r="Y351" i="3"/>
  <c r="BQ355" i="3" a="1"/>
  <c r="BQ357" i="3" s="1"/>
  <c r="AT351" i="3"/>
  <c r="CI351" i="3"/>
  <c r="BM351" i="3"/>
  <c r="J351" i="3"/>
  <c r="W355" i="3" a="1"/>
  <c r="W355" i="3" s="1"/>
  <c r="AA355" i="3" a="1"/>
  <c r="AA355" i="3" s="1"/>
  <c r="AL351" i="3"/>
  <c r="BG351" i="3"/>
  <c r="BZ351" i="3"/>
  <c r="CG351" i="3"/>
  <c r="K351" i="3"/>
  <c r="R351" i="3"/>
  <c r="CF351" i="3"/>
  <c r="AS355" i="3" a="1"/>
  <c r="AS357" i="3" s="1"/>
  <c r="G351" i="3"/>
  <c r="BZ355" i="3" a="1"/>
  <c r="BZ357" i="3" s="1"/>
  <c r="L351" i="3"/>
  <c r="Z351" i="3"/>
  <c r="AL355" i="3" a="1"/>
  <c r="AL355" i="3" s="1"/>
  <c r="AK355" i="3" a="1"/>
  <c r="AK356" i="3" s="1"/>
  <c r="CG355" i="3" a="1"/>
  <c r="CG356" i="3" s="1"/>
  <c r="BK351" i="3"/>
  <c r="U351" i="3"/>
  <c r="BG355" i="3" a="1"/>
  <c r="BG357" i="3" s="1"/>
  <c r="I355" i="3" a="1"/>
  <c r="I355" i="3" s="1"/>
  <c r="CK355" i="3" a="1"/>
  <c r="CK357" i="3" s="1"/>
  <c r="BU355" i="3" a="1"/>
  <c r="BU355" i="3" s="1"/>
  <c r="BW351" i="3"/>
  <c r="AY351" i="3"/>
  <c r="BX351" i="3"/>
  <c r="AB355" i="3" a="1"/>
  <c r="AB355" i="3" s="1"/>
  <c r="AP351" i="3"/>
  <c r="BF355" i="3" a="1"/>
  <c r="BF357" i="3" s="1"/>
  <c r="CI355" i="3" a="1"/>
  <c r="CI355" i="3" s="1"/>
  <c r="AO355" i="3" a="1"/>
  <c r="AO355" i="3" s="1"/>
  <c r="CJ351" i="3"/>
  <c r="AM355" i="3" a="1"/>
  <c r="AM356" i="3" s="1"/>
  <c r="BE351" i="3"/>
  <c r="BV355" i="3" a="1"/>
  <c r="BV357" i="3" s="1"/>
  <c r="AJ355" i="3" a="1"/>
  <c r="AJ355" i="3" s="1"/>
  <c r="BD351" i="3"/>
  <c r="CK351" i="3"/>
  <c r="BT355" i="3" a="1"/>
  <c r="BT355" i="3" s="1"/>
  <c r="AY355" i="3" a="1"/>
  <c r="AY356" i="3" s="1"/>
  <c r="CA355" i="3" a="1"/>
  <c r="CA357" i="3" s="1"/>
  <c r="BB355" i="3" a="1"/>
  <c r="BB355" i="3" s="1"/>
  <c r="I351" i="3"/>
  <c r="AR355" i="3" a="1"/>
  <c r="AR355" i="3" s="1"/>
  <c r="AN355" i="3" a="1"/>
  <c r="AN355" i="3" s="1"/>
  <c r="H355" i="3" a="1"/>
  <c r="H356" i="3" s="1"/>
  <c r="F351" i="3"/>
  <c r="J355" i="3" a="1"/>
  <c r="J355" i="3" s="1"/>
  <c r="L355" i="3" a="1"/>
  <c r="L355" i="3" s="1"/>
  <c r="W351" i="3"/>
  <c r="V351" i="3"/>
  <c r="CD351" i="3"/>
  <c r="CC351" i="3"/>
  <c r="BA351" i="3"/>
  <c r="AJ351" i="3"/>
  <c r="H351" i="3"/>
  <c r="BE355" i="3" a="1"/>
  <c r="BE357" i="3" s="1"/>
  <c r="BA355" i="3" a="1"/>
  <c r="BA357" i="3" s="1"/>
  <c r="Q351" i="3"/>
  <c r="AZ351" i="3"/>
  <c r="CH351" i="3"/>
  <c r="F355" i="3" a="1"/>
  <c r="F356" i="3" s="1"/>
  <c r="BN355" i="3" a="1"/>
  <c r="BN356" i="3" s="1"/>
  <c r="AF351" i="3"/>
  <c r="CB355" i="3" a="1"/>
  <c r="CB355" i="3" s="1"/>
  <c r="BU351" i="3"/>
  <c r="BW355" i="3" a="1"/>
  <c r="BW356" i="3" s="1"/>
  <c r="AE351" i="3"/>
  <c r="BY351" i="3"/>
  <c r="D350" i="3"/>
  <c r="D348" i="3"/>
  <c r="AH351" i="3"/>
  <c r="D349" i="3"/>
  <c r="BJ355" i="3" a="1"/>
  <c r="BJ356" i="3" s="1"/>
  <c r="BV351" i="3"/>
  <c r="BQ351" i="3"/>
  <c r="AI355" i="3" a="1"/>
  <c r="AI356" i="3" s="1"/>
  <c r="CH355" i="3" a="1"/>
  <c r="CH356" i="3" s="1"/>
  <c r="T351" i="3"/>
  <c r="P351" i="3"/>
  <c r="AT355" i="3" a="1"/>
  <c r="AT357" i="3" s="1"/>
  <c r="S355" i="3" a="1"/>
  <c r="S355" i="3" s="1"/>
  <c r="AV351" i="3"/>
  <c r="P355" i="3" a="1"/>
  <c r="P357" i="3" s="1"/>
  <c r="M351" i="3"/>
  <c r="X351" i="3"/>
  <c r="AH355" i="3" a="1"/>
  <c r="AH355" i="3" s="1"/>
  <c r="CE351" i="3"/>
  <c r="AZ355" i="3" a="1"/>
  <c r="AZ355" i="3" s="1"/>
  <c r="AU355" i="3" a="1"/>
  <c r="AU357" i="3" s="1"/>
  <c r="CD355" i="3" a="1"/>
  <c r="CD357" i="3" s="1"/>
  <c r="BM355" i="3" a="1"/>
  <c r="BM357" i="3" s="1"/>
  <c r="BY357" i="3"/>
  <c r="BY355" i="3"/>
  <c r="BY356" i="3"/>
  <c r="AF356" i="3"/>
  <c r="BT48" i="7"/>
  <c r="BT142" i="7"/>
  <c r="BT143" i="7" s="1"/>
  <c r="BT43" i="12" s="1"/>
  <c r="BU78" i="4"/>
  <c r="BU80" i="4" s="1"/>
  <c r="BU48" i="7" s="1"/>
  <c r="BT157" i="5"/>
  <c r="BT158" i="5" s="1"/>
  <c r="BT163" i="5" s="1"/>
  <c r="BT44" i="7" s="1"/>
  <c r="BI74" i="5"/>
  <c r="BJ70" i="5" s="1"/>
  <c r="BI90" i="7"/>
  <c r="AW355" i="3" l="1"/>
  <c r="T357" i="3"/>
  <c r="R355" i="3"/>
  <c r="M356" i="3"/>
  <c r="X355" i="3"/>
  <c r="T356" i="3"/>
  <c r="M355" i="3"/>
  <c r="AW357" i="3"/>
  <c r="X357" i="3"/>
  <c r="CJ356" i="3"/>
  <c r="CJ355" i="3"/>
  <c r="G356" i="3"/>
  <c r="AD357" i="3"/>
  <c r="AF355" i="3"/>
  <c r="AF358" i="3" s="1"/>
  <c r="AF363" i="3" s="1"/>
  <c r="AG364" i="3" s="1"/>
  <c r="AG94" i="7" s="1"/>
  <c r="AD356" i="3"/>
  <c r="BI355" i="3"/>
  <c r="Q356" i="3"/>
  <c r="AX356" i="3"/>
  <c r="BL356" i="3"/>
  <c r="CE356" i="3"/>
  <c r="AV356" i="3"/>
  <c r="AX355" i="3"/>
  <c r="Q357" i="3"/>
  <c r="CE357" i="3"/>
  <c r="AV357" i="3"/>
  <c r="BI356" i="3"/>
  <c r="AQ357" i="3"/>
  <c r="BL357" i="3"/>
  <c r="CC357" i="3"/>
  <c r="R356" i="3"/>
  <c r="G355" i="3"/>
  <c r="AQ355" i="3"/>
  <c r="BO356" i="3"/>
  <c r="CC355" i="3"/>
  <c r="CI357" i="3"/>
  <c r="K355" i="3"/>
  <c r="K357" i="3"/>
  <c r="N355" i="3"/>
  <c r="Y356" i="3"/>
  <c r="N356" i="3"/>
  <c r="Y355" i="3"/>
  <c r="CK355" i="3"/>
  <c r="BD356" i="3"/>
  <c r="AE357" i="3"/>
  <c r="AE355" i="3"/>
  <c r="BO357" i="3"/>
  <c r="CK356" i="3"/>
  <c r="V355" i="3"/>
  <c r="BD355" i="3"/>
  <c r="V357" i="3"/>
  <c r="BS356" i="3"/>
  <c r="BS355" i="3"/>
  <c r="AK355" i="3"/>
  <c r="AK357" i="3"/>
  <c r="H357" i="3"/>
  <c r="BR357" i="3"/>
  <c r="BR356" i="3"/>
  <c r="AL356" i="3"/>
  <c r="AG357" i="3"/>
  <c r="AL357" i="3"/>
  <c r="BU356" i="3"/>
  <c r="AG355" i="3"/>
  <c r="J356" i="3"/>
  <c r="BK355" i="3"/>
  <c r="CG357" i="3"/>
  <c r="W356" i="3"/>
  <c r="Z356" i="3"/>
  <c r="Z355" i="3"/>
  <c r="BX356" i="3"/>
  <c r="O355" i="3"/>
  <c r="BX357" i="3"/>
  <c r="AP356" i="3"/>
  <c r="BC356" i="3"/>
  <c r="BC357" i="3"/>
  <c r="O357" i="3"/>
  <c r="BP356" i="3"/>
  <c r="BK357" i="3"/>
  <c r="BP357" i="3"/>
  <c r="CF357" i="3"/>
  <c r="BQ356" i="3"/>
  <c r="CF355" i="3"/>
  <c r="BQ355" i="3"/>
  <c r="AP355" i="3"/>
  <c r="AC355" i="3"/>
  <c r="I356" i="3"/>
  <c r="U357" i="3"/>
  <c r="U356" i="3"/>
  <c r="AC356" i="3"/>
  <c r="AY355" i="3"/>
  <c r="AY357" i="3"/>
  <c r="J357" i="3"/>
  <c r="BH357" i="3"/>
  <c r="BH355" i="3"/>
  <c r="I357" i="3"/>
  <c r="AA357" i="3"/>
  <c r="AA356" i="3"/>
  <c r="AS356" i="3"/>
  <c r="AS355" i="3"/>
  <c r="H355" i="3"/>
  <c r="AM355" i="3"/>
  <c r="AM357" i="3"/>
  <c r="AB357" i="3"/>
  <c r="AB356" i="3"/>
  <c r="W357" i="3"/>
  <c r="CA355" i="3"/>
  <c r="CG355" i="3"/>
  <c r="BF355" i="3"/>
  <c r="BU357" i="3"/>
  <c r="AO356" i="3"/>
  <c r="BT356" i="3"/>
  <c r="BG356" i="3"/>
  <c r="CA356" i="3"/>
  <c r="AN357" i="3"/>
  <c r="BF356" i="3"/>
  <c r="AO357" i="3"/>
  <c r="AJ357" i="3"/>
  <c r="BG355" i="3"/>
  <c r="CI356" i="3"/>
  <c r="BZ355" i="3"/>
  <c r="BZ356" i="3"/>
  <c r="CB357" i="3"/>
  <c r="AJ356" i="3"/>
  <c r="BT357" i="3"/>
  <c r="AN356" i="3"/>
  <c r="L357" i="3"/>
  <c r="BB357" i="3"/>
  <c r="AR357" i="3"/>
  <c r="BB356" i="3"/>
  <c r="AR356" i="3"/>
  <c r="BN355" i="3"/>
  <c r="BE355" i="3"/>
  <c r="L356" i="3"/>
  <c r="BV355" i="3"/>
  <c r="BV356" i="3"/>
  <c r="BE356" i="3"/>
  <c r="F357" i="3"/>
  <c r="BW357" i="3"/>
  <c r="CB356" i="3"/>
  <c r="F355" i="3"/>
  <c r="BN357" i="3"/>
  <c r="BA355" i="3"/>
  <c r="BA356" i="3"/>
  <c r="AH357" i="3"/>
  <c r="S357" i="3"/>
  <c r="AT355" i="3"/>
  <c r="BW355" i="3"/>
  <c r="CH357" i="3"/>
  <c r="CH355" i="3"/>
  <c r="AI357" i="3"/>
  <c r="AT356" i="3"/>
  <c r="AH356" i="3"/>
  <c r="S356" i="3"/>
  <c r="P356" i="3"/>
  <c r="P355" i="3"/>
  <c r="BJ357" i="3"/>
  <c r="BJ355" i="3"/>
  <c r="AU355" i="3"/>
  <c r="CD356" i="3"/>
  <c r="D351" i="3"/>
  <c r="AI355" i="3"/>
  <c r="AZ356" i="3"/>
  <c r="BM356" i="3"/>
  <c r="AU356" i="3"/>
  <c r="BM355" i="3"/>
  <c r="CD355" i="3"/>
  <c r="AZ357" i="3"/>
  <c r="BY358" i="3"/>
  <c r="BY363" i="3" s="1"/>
  <c r="BY43" i="7" s="1"/>
  <c r="BU81" i="4"/>
  <c r="BU142" i="7" s="1"/>
  <c r="BU143" i="7" s="1"/>
  <c r="BU43" i="12" s="1"/>
  <c r="BI174" i="7"/>
  <c r="BI149" i="7"/>
  <c r="BJ73" i="5"/>
  <c r="BJ72" i="5"/>
  <c r="T358" i="3" l="1"/>
  <c r="T363" i="3" s="1"/>
  <c r="U364" i="3" s="1"/>
  <c r="U94" i="7" s="1"/>
  <c r="AW358" i="3"/>
  <c r="AW363" i="3" s="1"/>
  <c r="AX364" i="3" s="1"/>
  <c r="AX94" i="7" s="1"/>
  <c r="X358" i="3"/>
  <c r="X363" i="3" s="1"/>
  <c r="X43" i="7" s="1"/>
  <c r="X45" i="7" s="1"/>
  <c r="X49" i="7" s="1"/>
  <c r="R358" i="3"/>
  <c r="R363" i="3" s="1"/>
  <c r="R43" i="7" s="1"/>
  <c r="R45" i="7" s="1"/>
  <c r="R49" i="7" s="1"/>
  <c r="M358" i="3"/>
  <c r="M363" i="3" s="1"/>
  <c r="M43" i="7" s="1"/>
  <c r="M45" i="7" s="1"/>
  <c r="M49" i="7" s="1"/>
  <c r="CJ358" i="3"/>
  <c r="CJ363" i="3" s="1"/>
  <c r="CJ43" i="7" s="1"/>
  <c r="AX358" i="3"/>
  <c r="AX363" i="3" s="1"/>
  <c r="AX43" i="7" s="1"/>
  <c r="AX45" i="7" s="1"/>
  <c r="AX46" i="7" s="1"/>
  <c r="AX49" i="12" s="1"/>
  <c r="AV358" i="3"/>
  <c r="AV363" i="3" s="1"/>
  <c r="AV43" i="7" s="1"/>
  <c r="AV45" i="7" s="1"/>
  <c r="AV46" i="7" s="1"/>
  <c r="AV49" i="12" s="1"/>
  <c r="Q358" i="3"/>
  <c r="Q363" i="3" s="1"/>
  <c r="Q43" i="7" s="1"/>
  <c r="Q45" i="7" s="1"/>
  <c r="Q46" i="7" s="1"/>
  <c r="Q49" i="12" s="1"/>
  <c r="AD358" i="3"/>
  <c r="AD363" i="3" s="1"/>
  <c r="AD43" i="7" s="1"/>
  <c r="AD45" i="7" s="1"/>
  <c r="AD46" i="7" s="1"/>
  <c r="AD49" i="12" s="1"/>
  <c r="CE358" i="3"/>
  <c r="CE363" i="3" s="1"/>
  <c r="CE43" i="7" s="1"/>
  <c r="G358" i="3"/>
  <c r="G363" i="3" s="1"/>
  <c r="G43" i="7" s="1"/>
  <c r="G45" i="7" s="1"/>
  <c r="G49" i="7" s="1"/>
  <c r="BI358" i="3"/>
  <c r="BI363" i="3" s="1"/>
  <c r="BI43" i="7" s="1"/>
  <c r="BI45" i="7" s="1"/>
  <c r="BI46" i="7" s="1"/>
  <c r="BI49" i="12" s="1"/>
  <c r="BL358" i="3"/>
  <c r="BL363" i="3" s="1"/>
  <c r="BM364" i="3" s="1"/>
  <c r="BM94" i="7" s="1"/>
  <c r="AQ358" i="3"/>
  <c r="AQ363" i="3" s="1"/>
  <c r="AR364" i="3" s="1"/>
  <c r="AR94" i="7" s="1"/>
  <c r="CC358" i="3"/>
  <c r="CC363" i="3" s="1"/>
  <c r="CD364" i="3" s="1"/>
  <c r="CD94" i="7" s="1"/>
  <c r="BO358" i="3"/>
  <c r="BO363" i="3" s="1"/>
  <c r="BO43" i="7" s="1"/>
  <c r="BO45" i="7" s="1"/>
  <c r="BO49" i="7" s="1"/>
  <c r="K358" i="3"/>
  <c r="K363" i="3" s="1"/>
  <c r="L364" i="3" s="1"/>
  <c r="L94" i="7" s="1"/>
  <c r="CI358" i="3"/>
  <c r="CI363" i="3" s="1"/>
  <c r="CJ364" i="3" s="1"/>
  <c r="CJ94" i="7" s="1"/>
  <c r="Y358" i="3"/>
  <c r="Y363" i="3" s="1"/>
  <c r="Z364" i="3" s="1"/>
  <c r="Z94" i="7" s="1"/>
  <c r="V358" i="3"/>
  <c r="V363" i="3" s="1"/>
  <c r="V43" i="7" s="1"/>
  <c r="V45" i="7" s="1"/>
  <c r="V46" i="7" s="1"/>
  <c r="V49" i="12" s="1"/>
  <c r="N358" i="3"/>
  <c r="N363" i="3" s="1"/>
  <c r="N43" i="7" s="1"/>
  <c r="N45" i="7" s="1"/>
  <c r="N49" i="7" s="1"/>
  <c r="AE358" i="3"/>
  <c r="AE363" i="3" s="1"/>
  <c r="AF364" i="3" s="1"/>
  <c r="AF94" i="7" s="1"/>
  <c r="BD358" i="3"/>
  <c r="BD363" i="3" s="1"/>
  <c r="BE364" i="3" s="1"/>
  <c r="BE94" i="7" s="1"/>
  <c r="CK358" i="3"/>
  <c r="CK363" i="3" s="1"/>
  <c r="CK43" i="7" s="1"/>
  <c r="AK358" i="3"/>
  <c r="AK363" i="3" s="1"/>
  <c r="AK43" i="7" s="1"/>
  <c r="AK45" i="7" s="1"/>
  <c r="AK49" i="7" s="1"/>
  <c r="Z358" i="3"/>
  <c r="Z363" i="3" s="1"/>
  <c r="AA364" i="3" s="1"/>
  <c r="AA94" i="7" s="1"/>
  <c r="BS358" i="3"/>
  <c r="BS363" i="3" s="1"/>
  <c r="BS43" i="7" s="1"/>
  <c r="BS45" i="7" s="1"/>
  <c r="BS46" i="7" s="1"/>
  <c r="BS49" i="12" s="1"/>
  <c r="BU358" i="3"/>
  <c r="BU363" i="3" s="1"/>
  <c r="BU43" i="7" s="1"/>
  <c r="BK358" i="3"/>
  <c r="BK363" i="3" s="1"/>
  <c r="BL364" i="3" s="1"/>
  <c r="BL94" i="7" s="1"/>
  <c r="BA358" i="3"/>
  <c r="BA363" i="3" s="1"/>
  <c r="BB364" i="3" s="1"/>
  <c r="BB94" i="7" s="1"/>
  <c r="BV358" i="3"/>
  <c r="BV363" i="3" s="1"/>
  <c r="BW364" i="3" s="1"/>
  <c r="BW94" i="7" s="1"/>
  <c r="BR358" i="3"/>
  <c r="BR363" i="3" s="1"/>
  <c r="BS364" i="3" s="1"/>
  <c r="BS94" i="7" s="1"/>
  <c r="AL358" i="3"/>
  <c r="AL363" i="3" s="1"/>
  <c r="AM364" i="3" s="1"/>
  <c r="AM94" i="7" s="1"/>
  <c r="H358" i="3"/>
  <c r="H363" i="3" s="1"/>
  <c r="H43" i="7" s="1"/>
  <c r="H45" i="7" s="1"/>
  <c r="H49" i="7" s="1"/>
  <c r="O358" i="3"/>
  <c r="O363" i="3" s="1"/>
  <c r="P364" i="3" s="1"/>
  <c r="P94" i="7" s="1"/>
  <c r="AG358" i="3"/>
  <c r="AG363" i="3" s="1"/>
  <c r="AH364" i="3" s="1"/>
  <c r="AH94" i="7" s="1"/>
  <c r="J358" i="3"/>
  <c r="J363" i="3" s="1"/>
  <c r="J43" i="7" s="1"/>
  <c r="J45" i="7" s="1"/>
  <c r="J49" i="7" s="1"/>
  <c r="BP358" i="3"/>
  <c r="BP363" i="3" s="1"/>
  <c r="BP43" i="7" s="1"/>
  <c r="BP45" i="7" s="1"/>
  <c r="BX358" i="3"/>
  <c r="BX363" i="3" s="1"/>
  <c r="BX43" i="7" s="1"/>
  <c r="AH358" i="3"/>
  <c r="AH363" i="3" s="1"/>
  <c r="AI364" i="3" s="1"/>
  <c r="AI94" i="7" s="1"/>
  <c r="AT358" i="3"/>
  <c r="AT363" i="3" s="1"/>
  <c r="AU364" i="3" s="1"/>
  <c r="AU94" i="7" s="1"/>
  <c r="P358" i="3"/>
  <c r="P363" i="3" s="1"/>
  <c r="Q364" i="3" s="1"/>
  <c r="Q94" i="7" s="1"/>
  <c r="BW358" i="3"/>
  <c r="BW363" i="3" s="1"/>
  <c r="BW43" i="7" s="1"/>
  <c r="CB358" i="3"/>
  <c r="CB363" i="3" s="1"/>
  <c r="CC364" i="3" s="1"/>
  <c r="CC94" i="7" s="1"/>
  <c r="CG358" i="3"/>
  <c r="CG363" i="3" s="1"/>
  <c r="CH364" i="3" s="1"/>
  <c r="CH94" i="7" s="1"/>
  <c r="AS358" i="3"/>
  <c r="AS363" i="3" s="1"/>
  <c r="AT364" i="3" s="1"/>
  <c r="AT94" i="7" s="1"/>
  <c r="AY358" i="3"/>
  <c r="AY363" i="3" s="1"/>
  <c r="AY43" i="7" s="1"/>
  <c r="AY45" i="7" s="1"/>
  <c r="BC358" i="3"/>
  <c r="BC363" i="3" s="1"/>
  <c r="BD364" i="3" s="1"/>
  <c r="BD94" i="7" s="1"/>
  <c r="W358" i="3"/>
  <c r="W363" i="3" s="1"/>
  <c r="W43" i="7" s="1"/>
  <c r="W45" i="7" s="1"/>
  <c r="W49" i="7" s="1"/>
  <c r="AP358" i="3"/>
  <c r="AP363" i="3" s="1"/>
  <c r="AP43" i="7" s="1"/>
  <c r="AP45" i="7" s="1"/>
  <c r="AP46" i="7" s="1"/>
  <c r="AP49" i="12" s="1"/>
  <c r="BQ358" i="3"/>
  <c r="BQ363" i="3" s="1"/>
  <c r="BQ43" i="7" s="1"/>
  <c r="BQ45" i="7" s="1"/>
  <c r="AR358" i="3"/>
  <c r="AR363" i="3" s="1"/>
  <c r="AR43" i="7" s="1"/>
  <c r="AR45" i="7" s="1"/>
  <c r="AR46" i="7" s="1"/>
  <c r="AR49" i="12" s="1"/>
  <c r="CF358" i="3"/>
  <c r="CF363" i="3" s="1"/>
  <c r="CG364" i="3" s="1"/>
  <c r="CG94" i="7" s="1"/>
  <c r="AC358" i="3"/>
  <c r="AC363" i="3" s="1"/>
  <c r="AD364" i="3" s="1"/>
  <c r="AD94" i="7" s="1"/>
  <c r="BZ358" i="3"/>
  <c r="BZ363" i="3" s="1"/>
  <c r="BZ43" i="7" s="1"/>
  <c r="AA358" i="3"/>
  <c r="AA363" i="3" s="1"/>
  <c r="AA43" i="7" s="1"/>
  <c r="AA45" i="7" s="1"/>
  <c r="I358" i="3"/>
  <c r="I363" i="3" s="1"/>
  <c r="J364" i="3" s="1"/>
  <c r="J94" i="7" s="1"/>
  <c r="U358" i="3"/>
  <c r="U363" i="3" s="1"/>
  <c r="U43" i="7" s="1"/>
  <c r="U45" i="7" s="1"/>
  <c r="U49" i="7" s="1"/>
  <c r="BG358" i="3"/>
  <c r="BG363" i="3" s="1"/>
  <c r="BG43" i="7" s="1"/>
  <c r="BG45" i="7" s="1"/>
  <c r="AN358" i="3"/>
  <c r="AN363" i="3" s="1"/>
  <c r="AO364" i="3" s="1"/>
  <c r="AO94" i="7" s="1"/>
  <c r="BH358" i="3"/>
  <c r="BH363" i="3" s="1"/>
  <c r="BI364" i="3" s="1"/>
  <c r="BI94" i="7" s="1"/>
  <c r="AB358" i="3"/>
  <c r="AB363" i="3" s="1"/>
  <c r="AC364" i="3" s="1"/>
  <c r="AC94" i="7" s="1"/>
  <c r="S358" i="3"/>
  <c r="S363" i="3" s="1"/>
  <c r="S43" i="7" s="1"/>
  <c r="S45" i="7" s="1"/>
  <c r="S46" i="7" s="1"/>
  <c r="S49" i="12" s="1"/>
  <c r="BE358" i="3"/>
  <c r="BE363" i="3" s="1"/>
  <c r="BF364" i="3" s="1"/>
  <c r="BF94" i="7" s="1"/>
  <c r="AU358" i="3"/>
  <c r="AU363" i="3" s="1"/>
  <c r="AV364" i="3" s="1"/>
  <c r="AV94" i="7" s="1"/>
  <c r="BM358" i="3"/>
  <c r="BM363" i="3" s="1"/>
  <c r="BN364" i="3" s="1"/>
  <c r="BN94" i="7" s="1"/>
  <c r="F358" i="3"/>
  <c r="F363" i="3" s="1"/>
  <c r="G364" i="3" s="1"/>
  <c r="BT358" i="3"/>
  <c r="BT363" i="3" s="1"/>
  <c r="BT43" i="7" s="1"/>
  <c r="BT45" i="7" s="1"/>
  <c r="AJ358" i="3"/>
  <c r="AJ363" i="3" s="1"/>
  <c r="AK364" i="3" s="1"/>
  <c r="AK94" i="7" s="1"/>
  <c r="AM358" i="3"/>
  <c r="AM363" i="3" s="1"/>
  <c r="AM43" i="7" s="1"/>
  <c r="AM45" i="7" s="1"/>
  <c r="AO358" i="3"/>
  <c r="AO363" i="3" s="1"/>
  <c r="AP364" i="3" s="1"/>
  <c r="AP94" i="7" s="1"/>
  <c r="BB358" i="3"/>
  <c r="BB363" i="3" s="1"/>
  <c r="BB43" i="7" s="1"/>
  <c r="BB45" i="7" s="1"/>
  <c r="BZ364" i="3"/>
  <c r="BZ94" i="7" s="1"/>
  <c r="BF358" i="3"/>
  <c r="BF363" i="3" s="1"/>
  <c r="BF43" i="7" s="1"/>
  <c r="BF45" i="7" s="1"/>
  <c r="CA358" i="3"/>
  <c r="CA363" i="3" s="1"/>
  <c r="CB364" i="3" s="1"/>
  <c r="CB94" i="7" s="1"/>
  <c r="AZ358" i="3"/>
  <c r="AZ363" i="3" s="1"/>
  <c r="AZ43" i="7" s="1"/>
  <c r="AZ45" i="7" s="1"/>
  <c r="BJ358" i="3"/>
  <c r="BJ363" i="3" s="1"/>
  <c r="BK364" i="3" s="1"/>
  <c r="BK94" i="7" s="1"/>
  <c r="CH358" i="3"/>
  <c r="CH363" i="3" s="1"/>
  <c r="CI364" i="3" s="1"/>
  <c r="CI94" i="7" s="1"/>
  <c r="BN358" i="3"/>
  <c r="BN363" i="3" s="1"/>
  <c r="BO364" i="3" s="1"/>
  <c r="BO94" i="7" s="1"/>
  <c r="L358" i="3"/>
  <c r="L363" i="3" s="1"/>
  <c r="L43" i="7" s="1"/>
  <c r="L45" i="7" s="1"/>
  <c r="L46" i="7" s="1"/>
  <c r="L49" i="12" s="1"/>
  <c r="D355" i="3"/>
  <c r="AF43" i="7"/>
  <c r="AF45" i="7" s="1"/>
  <c r="AF46" i="7" s="1"/>
  <c r="AF49" i="12" s="1"/>
  <c r="D357" i="3"/>
  <c r="D356" i="3"/>
  <c r="AI358" i="3"/>
  <c r="AI363" i="3" s="1"/>
  <c r="AI43" i="7" s="1"/>
  <c r="AI45" i="7" s="1"/>
  <c r="CD358" i="3"/>
  <c r="CD363" i="3" s="1"/>
  <c r="CE364" i="3" s="1"/>
  <c r="CE94" i="7" s="1"/>
  <c r="BV78" i="4"/>
  <c r="BV80" i="4" s="1"/>
  <c r="BV48" i="7" s="1"/>
  <c r="BU157" i="5"/>
  <c r="BU158" i="5" s="1"/>
  <c r="BU163" i="5" s="1"/>
  <c r="BJ74" i="5"/>
  <c r="BK70" i="5" s="1"/>
  <c r="BJ90" i="7"/>
  <c r="T43" i="7" l="1"/>
  <c r="T45" i="7" s="1"/>
  <c r="T46" i="7" s="1"/>
  <c r="T49" i="12" s="1"/>
  <c r="AW43" i="7"/>
  <c r="AW45" i="7" s="1"/>
  <c r="AW49" i="7" s="1"/>
  <c r="AW102" i="10" s="1"/>
  <c r="X46" i="7"/>
  <c r="X49" i="12" s="1"/>
  <c r="Y364" i="3"/>
  <c r="Y94" i="7" s="1"/>
  <c r="M46" i="7"/>
  <c r="M49" i="12" s="1"/>
  <c r="BP364" i="3"/>
  <c r="BP94" i="7" s="1"/>
  <c r="S364" i="3"/>
  <c r="S94" i="7" s="1"/>
  <c r="R46" i="7"/>
  <c r="R49" i="12" s="1"/>
  <c r="AY364" i="3"/>
  <c r="AY94" i="7" s="1"/>
  <c r="AD49" i="7"/>
  <c r="AD102" i="10" s="1"/>
  <c r="N364" i="3"/>
  <c r="N94" i="7" s="1"/>
  <c r="AX49" i="7"/>
  <c r="AX35" i="12" s="1"/>
  <c r="AQ43" i="7"/>
  <c r="AQ45" i="7" s="1"/>
  <c r="AQ49" i="7" s="1"/>
  <c r="AQ50" i="7" s="1"/>
  <c r="AQ50" i="12" s="1"/>
  <c r="AW364" i="3"/>
  <c r="AW94" i="7" s="1"/>
  <c r="AE364" i="3"/>
  <c r="AE94" i="7" s="1"/>
  <c r="CK364" i="3"/>
  <c r="CK94" i="7" s="1"/>
  <c r="M81" i="9" s="1"/>
  <c r="Q49" i="7"/>
  <c r="Q50" i="7" s="1"/>
  <c r="Q50" i="12" s="1"/>
  <c r="BJ364" i="3"/>
  <c r="BJ94" i="7" s="1"/>
  <c r="R364" i="3"/>
  <c r="R94" i="7" s="1"/>
  <c r="BI49" i="7"/>
  <c r="BI50" i="7" s="1"/>
  <c r="BI50" i="12" s="1"/>
  <c r="AV49" i="7"/>
  <c r="AV102" i="10" s="1"/>
  <c r="G46" i="7"/>
  <c r="G49" i="12" s="1"/>
  <c r="CF364" i="3"/>
  <c r="CF94" i="7" s="1"/>
  <c r="CC43" i="7"/>
  <c r="H364" i="3"/>
  <c r="H94" i="7" s="1"/>
  <c r="BL43" i="7"/>
  <c r="BL45" i="7" s="1"/>
  <c r="BL46" i="7" s="1"/>
  <c r="BL49" i="12" s="1"/>
  <c r="CI43" i="7"/>
  <c r="M26" i="9" s="1"/>
  <c r="BO46" i="7"/>
  <c r="BO49" i="12" s="1"/>
  <c r="AK46" i="7"/>
  <c r="AK49" i="12" s="1"/>
  <c r="AL364" i="3"/>
  <c r="AL94" i="7" s="1"/>
  <c r="N46" i="7"/>
  <c r="N49" i="12" s="1"/>
  <c r="K43" i="7"/>
  <c r="K45" i="7" s="1"/>
  <c r="K49" i="7" s="1"/>
  <c r="K50" i="7" s="1"/>
  <c r="K50" i="12" s="1"/>
  <c r="BV364" i="3"/>
  <c r="BV94" i="7" s="1"/>
  <c r="Z43" i="7"/>
  <c r="Z45" i="7" s="1"/>
  <c r="Z49" i="7" s="1"/>
  <c r="Z50" i="7" s="1"/>
  <c r="Z50" i="12" s="1"/>
  <c r="BD43" i="7"/>
  <c r="BD45" i="7" s="1"/>
  <c r="BD49" i="7" s="1"/>
  <c r="Y43" i="7"/>
  <c r="Y45" i="7" s="1"/>
  <c r="Y46" i="7" s="1"/>
  <c r="Y49" i="12" s="1"/>
  <c r="BT364" i="3"/>
  <c r="BT94" i="7" s="1"/>
  <c r="BS49" i="7"/>
  <c r="BS102" i="10" s="1"/>
  <c r="W364" i="3"/>
  <c r="W94" i="7" s="1"/>
  <c r="V49" i="7"/>
  <c r="V50" i="7" s="1"/>
  <c r="V50" i="12" s="1"/>
  <c r="I364" i="3"/>
  <c r="I94" i="7" s="1"/>
  <c r="AZ364" i="3"/>
  <c r="AZ94" i="7" s="1"/>
  <c r="J46" i="7"/>
  <c r="J49" i="12" s="1"/>
  <c r="AT43" i="7"/>
  <c r="AT45" i="7" s="1"/>
  <c r="AT46" i="7" s="1"/>
  <c r="AT49" i="12" s="1"/>
  <c r="AE43" i="7"/>
  <c r="AE45" i="7" s="1"/>
  <c r="AE49" i="7" s="1"/>
  <c r="AE50" i="7" s="1"/>
  <c r="AE50" i="12" s="1"/>
  <c r="BR43" i="7"/>
  <c r="BR45" i="7" s="1"/>
  <c r="BR49" i="7" s="1"/>
  <c r="O364" i="3"/>
  <c r="O94" i="7" s="1"/>
  <c r="O43" i="7"/>
  <c r="O45" i="7" s="1"/>
  <c r="O46" i="7" s="1"/>
  <c r="O49" i="12" s="1"/>
  <c r="BA43" i="7"/>
  <c r="BA45" i="7" s="1"/>
  <c r="BA46" i="7" s="1"/>
  <c r="BA49" i="12" s="1"/>
  <c r="BK43" i="7"/>
  <c r="BK45" i="7" s="1"/>
  <c r="BK49" i="7" s="1"/>
  <c r="AG43" i="7"/>
  <c r="AG45" i="7" s="1"/>
  <c r="AG49" i="7" s="1"/>
  <c r="AG102" i="10" s="1"/>
  <c r="BV43" i="7"/>
  <c r="AH43" i="7"/>
  <c r="AH45" i="7" s="1"/>
  <c r="AH49" i="7" s="1"/>
  <c r="AH102" i="10" s="1"/>
  <c r="AL43" i="7"/>
  <c r="AL45" i="7" s="1"/>
  <c r="AL49" i="7" s="1"/>
  <c r="AL50" i="7" s="1"/>
  <c r="AL50" i="12" s="1"/>
  <c r="X364" i="3"/>
  <c r="X94" i="7" s="1"/>
  <c r="BQ364" i="3"/>
  <c r="BQ94" i="7" s="1"/>
  <c r="W46" i="7"/>
  <c r="W49" i="12" s="1"/>
  <c r="K364" i="3"/>
  <c r="K94" i="7" s="1"/>
  <c r="P43" i="7"/>
  <c r="P45" i="7" s="1"/>
  <c r="P46" i="7" s="1"/>
  <c r="P49" i="12" s="1"/>
  <c r="AP49" i="7"/>
  <c r="AP50" i="7" s="1"/>
  <c r="AP50" i="12" s="1"/>
  <c r="AQ364" i="3"/>
  <c r="AQ94" i="7" s="1"/>
  <c r="I43" i="7"/>
  <c r="I45" i="7" s="1"/>
  <c r="I46" i="7" s="1"/>
  <c r="I49" i="12" s="1"/>
  <c r="BY364" i="3"/>
  <c r="BY94" i="7" s="1"/>
  <c r="BF49" i="7"/>
  <c r="BF46" i="7"/>
  <c r="BF49" i="12" s="1"/>
  <c r="BQ46" i="7"/>
  <c r="BQ49" i="12" s="1"/>
  <c r="BQ49" i="7"/>
  <c r="BT49" i="7"/>
  <c r="BT46" i="7"/>
  <c r="BT49" i="12" s="1"/>
  <c r="AY46" i="7"/>
  <c r="AY49" i="12" s="1"/>
  <c r="AY49" i="7"/>
  <c r="AZ49" i="7"/>
  <c r="AZ46" i="7"/>
  <c r="AZ49" i="12" s="1"/>
  <c r="BB46" i="7"/>
  <c r="BB49" i="12" s="1"/>
  <c r="BB49" i="7"/>
  <c r="BP46" i="7"/>
  <c r="BP49" i="12" s="1"/>
  <c r="BP49" i="7"/>
  <c r="BG49" i="7"/>
  <c r="BG46" i="7"/>
  <c r="BG49" i="12" s="1"/>
  <c r="BO35" i="12"/>
  <c r="BO102" i="10"/>
  <c r="BO50" i="7"/>
  <c r="BO50" i="12" s="1"/>
  <c r="BX364" i="3"/>
  <c r="BX94" i="7" s="1"/>
  <c r="BR364" i="3"/>
  <c r="BR94" i="7" s="1"/>
  <c r="CB43" i="7"/>
  <c r="U46" i="7"/>
  <c r="U49" i="12" s="1"/>
  <c r="AS364" i="3"/>
  <c r="AS94" i="7" s="1"/>
  <c r="AR49" i="7"/>
  <c r="AR102" i="10" s="1"/>
  <c r="V364" i="3"/>
  <c r="V94" i="7" s="1"/>
  <c r="AC43" i="7"/>
  <c r="AC45" i="7" s="1"/>
  <c r="AC46" i="7" s="1"/>
  <c r="AC49" i="12" s="1"/>
  <c r="AS43" i="7"/>
  <c r="AS45" i="7" s="1"/>
  <c r="AS46" i="7" s="1"/>
  <c r="AS49" i="12" s="1"/>
  <c r="BH364" i="3"/>
  <c r="BH94" i="7" s="1"/>
  <c r="CF43" i="7"/>
  <c r="CG43" i="7"/>
  <c r="BC43" i="7"/>
  <c r="BC45" i="7" s="1"/>
  <c r="CA364" i="3"/>
  <c r="CA94" i="7" s="1"/>
  <c r="AN43" i="7"/>
  <c r="AN45" i="7" s="1"/>
  <c r="AN49" i="7" s="1"/>
  <c r="AN35" i="12" s="1"/>
  <c r="AB364" i="3"/>
  <c r="AB94" i="7" s="1"/>
  <c r="AU43" i="7"/>
  <c r="AU45" i="7" s="1"/>
  <c r="AU46" i="7" s="1"/>
  <c r="AU49" i="12" s="1"/>
  <c r="BH43" i="7"/>
  <c r="BH45" i="7" s="1"/>
  <c r="F365" i="3"/>
  <c r="G362" i="3" s="1"/>
  <c r="G365" i="3" s="1"/>
  <c r="H362" i="3" s="1"/>
  <c r="BM43" i="7"/>
  <c r="BM45" i="7" s="1"/>
  <c r="BE43" i="7"/>
  <c r="BE45" i="7" s="1"/>
  <c r="H46" i="7"/>
  <c r="H49" i="12" s="1"/>
  <c r="AN364" i="3"/>
  <c r="AN94" i="7" s="1"/>
  <c r="T364" i="3"/>
  <c r="T94" i="7" s="1"/>
  <c r="AF49" i="7"/>
  <c r="AF50" i="7" s="1"/>
  <c r="AF50" i="12" s="1"/>
  <c r="BA364" i="3"/>
  <c r="BA94" i="7" s="1"/>
  <c r="AB43" i="7"/>
  <c r="AB45" i="7" s="1"/>
  <c r="AB49" i="7" s="1"/>
  <c r="AB102" i="10" s="1"/>
  <c r="AO43" i="7"/>
  <c r="AO45" i="7" s="1"/>
  <c r="AO49" i="7" s="1"/>
  <c r="AO35" i="12" s="1"/>
  <c r="L49" i="7"/>
  <c r="L102" i="10" s="1"/>
  <c r="M364" i="3"/>
  <c r="M94" i="7" s="1"/>
  <c r="BN43" i="7"/>
  <c r="BN45" i="7" s="1"/>
  <c r="F43" i="7"/>
  <c r="F45" i="7" s="1"/>
  <c r="F46" i="7" s="1"/>
  <c r="F49" i="12" s="1"/>
  <c r="BC364" i="3"/>
  <c r="BC94" i="7" s="1"/>
  <c r="CD43" i="7"/>
  <c r="AJ43" i="7"/>
  <c r="AJ45" i="7" s="1"/>
  <c r="AJ49" i="7" s="1"/>
  <c r="AJ50" i="7" s="1"/>
  <c r="AJ50" i="12" s="1"/>
  <c r="BU364" i="3"/>
  <c r="BU94" i="7" s="1"/>
  <c r="BG364" i="3"/>
  <c r="BG94" i="7" s="1"/>
  <c r="BJ43" i="7"/>
  <c r="BJ45" i="7" s="1"/>
  <c r="D363" i="3"/>
  <c r="CH43" i="7"/>
  <c r="CA43" i="7"/>
  <c r="D358" i="3"/>
  <c r="AI49" i="7"/>
  <c r="AI35" i="12" s="1"/>
  <c r="AI46" i="7"/>
  <c r="AI49" i="12" s="1"/>
  <c r="S49" i="7"/>
  <c r="S50" i="7" s="1"/>
  <c r="S50" i="12" s="1"/>
  <c r="AJ364" i="3"/>
  <c r="AJ94" i="7" s="1"/>
  <c r="AK50" i="7"/>
  <c r="AK50" i="12" s="1"/>
  <c r="AK35" i="12"/>
  <c r="AK102" i="10"/>
  <c r="W50" i="7"/>
  <c r="W50" i="12" s="1"/>
  <c r="W35" i="12"/>
  <c r="W102" i="10"/>
  <c r="J50" i="7"/>
  <c r="J50" i="12" s="1"/>
  <c r="J35" i="12"/>
  <c r="J102" i="10"/>
  <c r="G50" i="7"/>
  <c r="G50" i="12" s="1"/>
  <c r="G102" i="10"/>
  <c r="G35" i="12"/>
  <c r="AA46" i="7"/>
  <c r="AA49" i="12" s="1"/>
  <c r="AA49" i="7"/>
  <c r="H102" i="10"/>
  <c r="H50" i="7"/>
  <c r="H50" i="12" s="1"/>
  <c r="H35" i="12"/>
  <c r="AM46" i="7"/>
  <c r="AM49" i="12" s="1"/>
  <c r="AM49" i="7"/>
  <c r="N102" i="10"/>
  <c r="N35" i="12"/>
  <c r="N50" i="7"/>
  <c r="N50" i="12" s="1"/>
  <c r="M50" i="7"/>
  <c r="M50" i="12" s="1"/>
  <c r="M35" i="12"/>
  <c r="M102" i="10"/>
  <c r="R35" i="12"/>
  <c r="R50" i="7"/>
  <c r="R50" i="12" s="1"/>
  <c r="R102" i="10"/>
  <c r="U102" i="10"/>
  <c r="U35" i="12"/>
  <c r="U50" i="7"/>
  <c r="U50" i="12" s="1"/>
  <c r="X35" i="12"/>
  <c r="X50" i="7"/>
  <c r="X50" i="12" s="1"/>
  <c r="X102" i="10"/>
  <c r="G94" i="7"/>
  <c r="BU44" i="7"/>
  <c r="BU45" i="7" s="1"/>
  <c r="BU46" i="7" s="1"/>
  <c r="BU49" i="12" s="1"/>
  <c r="BT164" i="5"/>
  <c r="BT93" i="7" s="1"/>
  <c r="BU164" i="5"/>
  <c r="BU93" i="7" s="1"/>
  <c r="BV81" i="4"/>
  <c r="BW78" i="4" s="1"/>
  <c r="BW80" i="4" s="1"/>
  <c r="BW81" i="4" s="1"/>
  <c r="BW157" i="5" s="1"/>
  <c r="BV164" i="5"/>
  <c r="BV93" i="7" s="1"/>
  <c r="BJ149" i="7"/>
  <c r="BJ174" i="7"/>
  <c r="BK73" i="5"/>
  <c r="BK72" i="5"/>
  <c r="AW50" i="7" l="1"/>
  <c r="AW50" i="12" s="1"/>
  <c r="AW35" i="12"/>
  <c r="AW46" i="7"/>
  <c r="AW49" i="12" s="1"/>
  <c r="T49" i="7"/>
  <c r="T102" i="10" s="1"/>
  <c r="Q102" i="10"/>
  <c r="AD50" i="7"/>
  <c r="AD50" i="12" s="1"/>
  <c r="AQ102" i="10"/>
  <c r="AQ35" i="12"/>
  <c r="AD35" i="12"/>
  <c r="AQ46" i="7"/>
  <c r="AQ49" i="12" s="1"/>
  <c r="AX102" i="10"/>
  <c r="AX50" i="7"/>
  <c r="AX50" i="12" s="1"/>
  <c r="AV50" i="7"/>
  <c r="AV50" i="12" s="1"/>
  <c r="Q35" i="12"/>
  <c r="BD46" i="7"/>
  <c r="BD49" i="12" s="1"/>
  <c r="BL49" i="7"/>
  <c r="BL50" i="7" s="1"/>
  <c r="BL50" i="12" s="1"/>
  <c r="BI102" i="10"/>
  <c r="BI35" i="12"/>
  <c r="AV35" i="12"/>
  <c r="V102" i="10"/>
  <c r="K35" i="12"/>
  <c r="H365" i="3"/>
  <c r="I362" i="3" s="1"/>
  <c r="I365" i="3" s="1"/>
  <c r="J362" i="3" s="1"/>
  <c r="J365" i="3" s="1"/>
  <c r="K362" i="3" s="1"/>
  <c r="K365" i="3" s="1"/>
  <c r="L362" i="3" s="1"/>
  <c r="L365" i="3" s="1"/>
  <c r="M362" i="3" s="1"/>
  <c r="M365" i="3" s="1"/>
  <c r="N362" i="3" s="1"/>
  <c r="N365" i="3" s="1"/>
  <c r="O362" i="3" s="1"/>
  <c r="O365" i="3" s="1"/>
  <c r="P362" i="3" s="1"/>
  <c r="P365" i="3" s="1"/>
  <c r="Q362" i="3" s="1"/>
  <c r="Q365" i="3" s="1"/>
  <c r="R362" i="3" s="1"/>
  <c r="R365" i="3" s="1"/>
  <c r="S362" i="3" s="1"/>
  <c r="S365" i="3" s="1"/>
  <c r="T362" i="3" s="1"/>
  <c r="T365" i="3" s="1"/>
  <c r="U362" i="3" s="1"/>
  <c r="U365" i="3" s="1"/>
  <c r="V362" i="3" s="1"/>
  <c r="V365" i="3" s="1"/>
  <c r="W362" i="3" s="1"/>
  <c r="W365" i="3" s="1"/>
  <c r="X362" i="3" s="1"/>
  <c r="X365" i="3" s="1"/>
  <c r="Y362" i="3" s="1"/>
  <c r="Y365" i="3" s="1"/>
  <c r="Z362" i="3" s="1"/>
  <c r="Z365" i="3" s="1"/>
  <c r="AA362" i="3" s="1"/>
  <c r="AA365" i="3" s="1"/>
  <c r="AB362" i="3" s="1"/>
  <c r="AB365" i="3" s="1"/>
  <c r="AC362" i="3" s="1"/>
  <c r="AC365" i="3" s="1"/>
  <c r="AD362" i="3" s="1"/>
  <c r="AD365" i="3" s="1"/>
  <c r="AE362" i="3" s="1"/>
  <c r="AE365" i="3" s="1"/>
  <c r="AF362" i="3" s="1"/>
  <c r="AF365" i="3" s="1"/>
  <c r="AG362" i="3" s="1"/>
  <c r="AG365" i="3" s="1"/>
  <c r="AH362" i="3" s="1"/>
  <c r="AH365" i="3" s="1"/>
  <c r="AI362" i="3" s="1"/>
  <c r="AI365" i="3" s="1"/>
  <c r="AJ362" i="3" s="1"/>
  <c r="AJ365" i="3" s="1"/>
  <c r="AK362" i="3" s="1"/>
  <c r="AK365" i="3" s="1"/>
  <c r="AL362" i="3" s="1"/>
  <c r="AL365" i="3" s="1"/>
  <c r="AM362" i="3" s="1"/>
  <c r="AM365" i="3" s="1"/>
  <c r="AN362" i="3" s="1"/>
  <c r="AN365" i="3" s="1"/>
  <c r="AO362" i="3" s="1"/>
  <c r="AO365" i="3" s="1"/>
  <c r="AP362" i="3" s="1"/>
  <c r="AP365" i="3" s="1"/>
  <c r="AQ362" i="3" s="1"/>
  <c r="AQ365" i="3" s="1"/>
  <c r="AR362" i="3" s="1"/>
  <c r="AR365" i="3" s="1"/>
  <c r="AS362" i="3" s="1"/>
  <c r="AS365" i="3" s="1"/>
  <c r="AT362" i="3" s="1"/>
  <c r="AT365" i="3" s="1"/>
  <c r="AU362" i="3" s="1"/>
  <c r="AU365" i="3" s="1"/>
  <c r="AV362" i="3" s="1"/>
  <c r="AV365" i="3" s="1"/>
  <c r="AW362" i="3" s="1"/>
  <c r="AW365" i="3" s="1"/>
  <c r="AX362" i="3" s="1"/>
  <c r="AX365" i="3" s="1"/>
  <c r="AY362" i="3" s="1"/>
  <c r="AY365" i="3" s="1"/>
  <c r="AZ362" i="3" s="1"/>
  <c r="AZ365" i="3" s="1"/>
  <c r="BA362" i="3" s="1"/>
  <c r="BA365" i="3" s="1"/>
  <c r="BB362" i="3" s="1"/>
  <c r="BB365" i="3" s="1"/>
  <c r="BC362" i="3" s="1"/>
  <c r="BC365" i="3" s="1"/>
  <c r="BD362" i="3" s="1"/>
  <c r="BD365" i="3" s="1"/>
  <c r="BE362" i="3" s="1"/>
  <c r="BE365" i="3" s="1"/>
  <c r="BF362" i="3" s="1"/>
  <c r="BF365" i="3" s="1"/>
  <c r="BG362" i="3" s="1"/>
  <c r="BG365" i="3" s="1"/>
  <c r="BH362" i="3" s="1"/>
  <c r="BH365" i="3" s="1"/>
  <c r="BI362" i="3" s="1"/>
  <c r="BI365" i="3" s="1"/>
  <c r="BJ362" i="3" s="1"/>
  <c r="BJ365" i="3" s="1"/>
  <c r="BK362" i="3" s="1"/>
  <c r="BK365" i="3" s="1"/>
  <c r="BL362" i="3" s="1"/>
  <c r="BL365" i="3" s="1"/>
  <c r="BM362" i="3" s="1"/>
  <c r="BM365" i="3" s="1"/>
  <c r="BN362" i="3" s="1"/>
  <c r="BN365" i="3" s="1"/>
  <c r="BO362" i="3" s="1"/>
  <c r="BO365" i="3" s="1"/>
  <c r="BP362" i="3" s="1"/>
  <c r="BP365" i="3" s="1"/>
  <c r="BQ362" i="3" s="1"/>
  <c r="BQ365" i="3" s="1"/>
  <c r="BR362" i="3" s="1"/>
  <c r="BR365" i="3" s="1"/>
  <c r="BS362" i="3" s="1"/>
  <c r="BS365" i="3" s="1"/>
  <c r="BT362" i="3" s="1"/>
  <c r="BT365" i="3" s="1"/>
  <c r="BU362" i="3" s="1"/>
  <c r="BU365" i="3" s="1"/>
  <c r="BV362" i="3" s="1"/>
  <c r="BV365" i="3" s="1"/>
  <c r="BW362" i="3" s="1"/>
  <c r="BW365" i="3" s="1"/>
  <c r="BX362" i="3" s="1"/>
  <c r="BX365" i="3" s="1"/>
  <c r="BY362" i="3" s="1"/>
  <c r="BY365" i="3" s="1"/>
  <c r="BZ362" i="3" s="1"/>
  <c r="BZ365" i="3" s="1"/>
  <c r="CA362" i="3" s="1"/>
  <c r="CA365" i="3" s="1"/>
  <c r="CB362" i="3" s="1"/>
  <c r="CB365" i="3" s="1"/>
  <c r="CC362" i="3" s="1"/>
  <c r="CC365" i="3" s="1"/>
  <c r="CD362" i="3" s="1"/>
  <c r="CD365" i="3" s="1"/>
  <c r="CE362" i="3" s="1"/>
  <c r="CE365" i="3" s="1"/>
  <c r="CF362" i="3" s="1"/>
  <c r="CF365" i="3" s="1"/>
  <c r="CG362" i="3" s="1"/>
  <c r="CG365" i="3" s="1"/>
  <c r="CH362" i="3" s="1"/>
  <c r="CH365" i="3" s="1"/>
  <c r="CI362" i="3" s="1"/>
  <c r="CI365" i="3" s="1"/>
  <c r="CJ362" i="3" s="1"/>
  <c r="CJ365" i="3" s="1"/>
  <c r="CK362" i="3" s="1"/>
  <c r="CK365" i="3" s="1"/>
  <c r="O49" i="7"/>
  <c r="O35" i="12" s="1"/>
  <c r="AT49" i="7"/>
  <c r="AT50" i="7" s="1"/>
  <c r="AT50" i="12" s="1"/>
  <c r="Z102" i="10"/>
  <c r="Z35" i="12"/>
  <c r="Z46" i="7"/>
  <c r="Z49" i="12" s="1"/>
  <c r="AE102" i="10"/>
  <c r="V35" i="12"/>
  <c r="K102" i="10"/>
  <c r="K46" i="7"/>
  <c r="K49" i="12" s="1"/>
  <c r="Y49" i="7"/>
  <c r="Y35" i="12" s="1"/>
  <c r="BS50" i="7"/>
  <c r="BS50" i="12" s="1"/>
  <c r="BR46" i="7"/>
  <c r="BR49" i="12" s="1"/>
  <c r="BS35" i="12"/>
  <c r="AH35" i="12"/>
  <c r="AE46" i="7"/>
  <c r="AE49" i="12" s="1"/>
  <c r="AL35" i="12"/>
  <c r="BK46" i="7"/>
  <c r="BK49" i="12" s="1"/>
  <c r="AR50" i="7"/>
  <c r="AR50" i="12" s="1"/>
  <c r="AE35" i="12"/>
  <c r="AR35" i="12"/>
  <c r="BA49" i="7"/>
  <c r="BA102" i="10" s="1"/>
  <c r="AH50" i="7"/>
  <c r="AH50" i="12" s="1"/>
  <c r="AH46" i="7"/>
  <c r="AH49" i="12" s="1"/>
  <c r="L81" i="9"/>
  <c r="AG35" i="12"/>
  <c r="AG46" i="7"/>
  <c r="AG49" i="12" s="1"/>
  <c r="AG50" i="7"/>
  <c r="AG50" i="12" s="1"/>
  <c r="I49" i="7"/>
  <c r="I50" i="7" s="1"/>
  <c r="I50" i="12" s="1"/>
  <c r="AL102" i="10"/>
  <c r="AL46" i="7"/>
  <c r="AL49" i="12" s="1"/>
  <c r="G26" i="9"/>
  <c r="P49" i="7"/>
  <c r="P50" i="7" s="1"/>
  <c r="P50" i="12" s="1"/>
  <c r="AP102" i="10"/>
  <c r="AP35" i="12"/>
  <c r="I81" i="9"/>
  <c r="AC49" i="7"/>
  <c r="AC50" i="7" s="1"/>
  <c r="AC50" i="12" s="1"/>
  <c r="H81" i="9"/>
  <c r="K81" i="9"/>
  <c r="AB50" i="7"/>
  <c r="AB50" i="12" s="1"/>
  <c r="AZ50" i="7"/>
  <c r="AZ50" i="12" s="1"/>
  <c r="AZ35" i="12"/>
  <c r="AZ102" i="10"/>
  <c r="BJ46" i="7"/>
  <c r="BJ49" i="12" s="1"/>
  <c r="BJ49" i="7"/>
  <c r="BE46" i="7"/>
  <c r="BE49" i="12" s="1"/>
  <c r="BE49" i="7"/>
  <c r="BM46" i="7"/>
  <c r="BM49" i="12" s="1"/>
  <c r="BM49" i="7"/>
  <c r="BK35" i="12"/>
  <c r="BK50" i="7"/>
  <c r="BK50" i="12" s="1"/>
  <c r="BK102" i="10"/>
  <c r="BR35" i="12"/>
  <c r="BR50" i="7"/>
  <c r="BR50" i="12" s="1"/>
  <c r="BR102" i="10"/>
  <c r="BP35" i="12"/>
  <c r="BP102" i="10"/>
  <c r="BP50" i="7"/>
  <c r="BP50" i="12" s="1"/>
  <c r="AY50" i="7"/>
  <c r="AY50" i="12" s="1"/>
  <c r="AY35" i="12"/>
  <c r="AY102" i="10"/>
  <c r="BH49" i="7"/>
  <c r="BH46" i="7"/>
  <c r="BH49" i="12" s="1"/>
  <c r="BC49" i="7"/>
  <c r="BC46" i="7"/>
  <c r="BC49" i="12" s="1"/>
  <c r="BQ35" i="12"/>
  <c r="BQ102" i="10"/>
  <c r="BQ50" i="7"/>
  <c r="BQ50" i="12" s="1"/>
  <c r="BN46" i="7"/>
  <c r="BN49" i="12" s="1"/>
  <c r="BN49" i="7"/>
  <c r="BB102" i="10"/>
  <c r="BB35" i="12"/>
  <c r="BB50" i="7"/>
  <c r="BB50" i="12" s="1"/>
  <c r="BG102" i="10"/>
  <c r="BG50" i="7"/>
  <c r="BG50" i="12" s="1"/>
  <c r="BG35" i="12"/>
  <c r="BT102" i="10"/>
  <c r="BT50" i="7"/>
  <c r="BT50" i="12" s="1"/>
  <c r="BT35" i="12"/>
  <c r="BD35" i="12"/>
  <c r="BD50" i="7"/>
  <c r="BD50" i="12" s="1"/>
  <c r="BD102" i="10"/>
  <c r="BF102" i="10"/>
  <c r="BF35" i="12"/>
  <c r="BF50" i="7"/>
  <c r="BF50" i="12" s="1"/>
  <c r="G81" i="9"/>
  <c r="T50" i="7"/>
  <c r="T50" i="12" s="1"/>
  <c r="AS49" i="7"/>
  <c r="AS50" i="7" s="1"/>
  <c r="AS50" i="12" s="1"/>
  <c r="AU49" i="7"/>
  <c r="AU35" i="12" s="1"/>
  <c r="AN50" i="7"/>
  <c r="AN50" i="12" s="1"/>
  <c r="AN102" i="10"/>
  <c r="AN46" i="7"/>
  <c r="AN49" i="12" s="1"/>
  <c r="S102" i="10"/>
  <c r="S35" i="12"/>
  <c r="F26" i="9"/>
  <c r="AF35" i="12"/>
  <c r="K26" i="9"/>
  <c r="AB46" i="7"/>
  <c r="AB49" i="12" s="1"/>
  <c r="AB35" i="12"/>
  <c r="J26" i="9"/>
  <c r="AO50" i="7"/>
  <c r="AO50" i="12" s="1"/>
  <c r="AO102" i="10"/>
  <c r="I26" i="9"/>
  <c r="L50" i="7"/>
  <c r="L50" i="12" s="1"/>
  <c r="L35" i="12"/>
  <c r="AJ102" i="10"/>
  <c r="H26" i="9"/>
  <c r="AJ35" i="12"/>
  <c r="J81" i="9"/>
  <c r="AF102" i="10"/>
  <c r="F49" i="7"/>
  <c r="F53" i="7" s="1"/>
  <c r="F60" i="12"/>
  <c r="L26" i="9"/>
  <c r="AO46" i="7"/>
  <c r="AO49" i="12" s="1"/>
  <c r="AI50" i="7"/>
  <c r="AI50" i="12" s="1"/>
  <c r="AI102" i="10"/>
  <c r="AJ46" i="7"/>
  <c r="AJ49" i="12" s="1"/>
  <c r="D43" i="7"/>
  <c r="D364" i="3"/>
  <c r="D365" i="3" s="1"/>
  <c r="AM50" i="7"/>
  <c r="AM50" i="12" s="1"/>
  <c r="AM102" i="10"/>
  <c r="AM35" i="12"/>
  <c r="AA35" i="12"/>
  <c r="AA50" i="7"/>
  <c r="AA50" i="12" s="1"/>
  <c r="AA102" i="10"/>
  <c r="F81" i="9"/>
  <c r="D94" i="7"/>
  <c r="BU49" i="7"/>
  <c r="BU50" i="7" s="1"/>
  <c r="BU50" i="12" s="1"/>
  <c r="BV142" i="7"/>
  <c r="BV143" i="7" s="1"/>
  <c r="BV43" i="12" s="1"/>
  <c r="BV157" i="5"/>
  <c r="BV158" i="5" s="1"/>
  <c r="BV163" i="5" s="1"/>
  <c r="BV44" i="7" s="1"/>
  <c r="BV45" i="7" s="1"/>
  <c r="BV46" i="7" s="1"/>
  <c r="BV49" i="12" s="1"/>
  <c r="BW48" i="7"/>
  <c r="BX78" i="4"/>
  <c r="BX80" i="4" s="1"/>
  <c r="BX48" i="7" s="1"/>
  <c r="BW142" i="7"/>
  <c r="BW143" i="7" s="1"/>
  <c r="BW43" i="12" s="1"/>
  <c r="BK74" i="5"/>
  <c r="BK149" i="7" s="1"/>
  <c r="BK90" i="7"/>
  <c r="T35" i="12" l="1"/>
  <c r="O102" i="10"/>
  <c r="BL35" i="12"/>
  <c r="BL102" i="10"/>
  <c r="O50" i="7"/>
  <c r="O50" i="12" s="1"/>
  <c r="I35" i="12"/>
  <c r="Y50" i="7"/>
  <c r="Y50" i="12" s="1"/>
  <c r="AT102" i="10"/>
  <c r="AT35" i="12"/>
  <c r="Y102" i="10"/>
  <c r="BA50" i="7"/>
  <c r="BA50" i="12" s="1"/>
  <c r="BA35" i="12"/>
  <c r="I102" i="10"/>
  <c r="P35" i="12"/>
  <c r="P102" i="10"/>
  <c r="AC102" i="10"/>
  <c r="AC35" i="12"/>
  <c r="AS102" i="10"/>
  <c r="AU50" i="7"/>
  <c r="AU50" i="12" s="1"/>
  <c r="D81" i="9"/>
  <c r="AU102" i="10"/>
  <c r="BE35" i="12"/>
  <c r="BE102" i="10"/>
  <c r="BE50" i="7"/>
  <c r="BE50" i="12" s="1"/>
  <c r="BJ102" i="10"/>
  <c r="BJ50" i="7"/>
  <c r="BJ50" i="12" s="1"/>
  <c r="BJ35" i="12"/>
  <c r="BC102" i="10"/>
  <c r="BC35" i="12"/>
  <c r="BC50" i="7"/>
  <c r="BC50" i="12" s="1"/>
  <c r="BN50" i="7"/>
  <c r="BN50" i="12" s="1"/>
  <c r="BN102" i="10"/>
  <c r="BN35" i="12"/>
  <c r="BH35" i="12"/>
  <c r="BH50" i="7"/>
  <c r="BH50" i="12" s="1"/>
  <c r="BH102" i="10"/>
  <c r="BM35" i="12"/>
  <c r="BM102" i="10"/>
  <c r="BM50" i="7"/>
  <c r="BM50" i="12" s="1"/>
  <c r="AS35" i="12"/>
  <c r="D26" i="9"/>
  <c r="F50" i="7"/>
  <c r="F50" i="12" s="1"/>
  <c r="F35" i="12"/>
  <c r="F102" i="10"/>
  <c r="BU102" i="10"/>
  <c r="BU35" i="12"/>
  <c r="F118" i="5"/>
  <c r="F84" i="5"/>
  <c r="F54" i="7"/>
  <c r="F51" i="12" s="1"/>
  <c r="BW158" i="5"/>
  <c r="BW163" i="5" s="1"/>
  <c r="BW44" i="7" s="1"/>
  <c r="BW45" i="7" s="1"/>
  <c r="BW46" i="7" s="1"/>
  <c r="BW49" i="12" s="1"/>
  <c r="BV49" i="7"/>
  <c r="BV35" i="12" s="1"/>
  <c r="BX81" i="4"/>
  <c r="BY78" i="4" s="1"/>
  <c r="BY80" i="4" s="1"/>
  <c r="BY48" i="7" s="1"/>
  <c r="BK174" i="7"/>
  <c r="BL70" i="5"/>
  <c r="BL73" i="5" s="1"/>
  <c r="BW49" i="7" l="1"/>
  <c r="BW35" i="12" s="1"/>
  <c r="BV102" i="10"/>
  <c r="BV50" i="7"/>
  <c r="BV50" i="12" s="1"/>
  <c r="BX142" i="7"/>
  <c r="BX157" i="5"/>
  <c r="BX158" i="5" s="1"/>
  <c r="BX163" i="5" s="1"/>
  <c r="BY81" i="4"/>
  <c r="BL72" i="5"/>
  <c r="BL90" i="7" s="1"/>
  <c r="BX143" i="7" l="1"/>
  <c r="BX43" i="12" s="1"/>
  <c r="K129" i="9"/>
  <c r="K130" i="9" s="1"/>
  <c r="I101" i="15" s="1"/>
  <c r="BW102" i="10"/>
  <c r="BW50" i="7"/>
  <c r="BW50" i="12" s="1"/>
  <c r="BX164" i="5"/>
  <c r="BX93" i="7" s="1"/>
  <c r="BW164" i="5"/>
  <c r="BW93" i="7" s="1"/>
  <c r="BX44" i="7"/>
  <c r="BX45" i="7" s="1"/>
  <c r="BY164" i="5"/>
  <c r="BY93" i="7" s="1"/>
  <c r="BZ78" i="4"/>
  <c r="BY142" i="7"/>
  <c r="BY143" i="7" s="1"/>
  <c r="BY43" i="12" s="1"/>
  <c r="BY157" i="5"/>
  <c r="BY158" i="5" s="1"/>
  <c r="BY163" i="5" s="1"/>
  <c r="BL74" i="5"/>
  <c r="BL149" i="7" s="1"/>
  <c r="J136" i="9" s="1"/>
  <c r="BX46" i="7" l="1"/>
  <c r="BX49" i="12" s="1"/>
  <c r="BX49" i="7"/>
  <c r="BY44" i="7"/>
  <c r="BZ80" i="4"/>
  <c r="BZ48" i="7" s="1"/>
  <c r="BL174" i="7"/>
  <c r="J161" i="9" s="1"/>
  <c r="BM70" i="5"/>
  <c r="BM73" i="5" s="1"/>
  <c r="BX50" i="7" l="1"/>
  <c r="BX50" i="12" s="1"/>
  <c r="BX35" i="12"/>
  <c r="BX102" i="10"/>
  <c r="BY45" i="7"/>
  <c r="BZ81" i="4"/>
  <c r="BM72" i="5"/>
  <c r="BM74" i="5" s="1"/>
  <c r="BN70" i="5" s="1"/>
  <c r="BY46" i="7" l="1"/>
  <c r="BY49" i="12" s="1"/>
  <c r="BY49" i="7"/>
  <c r="CA78" i="4"/>
  <c r="BZ157" i="5"/>
  <c r="BZ158" i="5" s="1"/>
  <c r="BZ163" i="5" s="1"/>
  <c r="BZ142" i="7"/>
  <c r="BZ143" i="7" s="1"/>
  <c r="BZ43" i="12" s="1"/>
  <c r="BN72" i="5"/>
  <c r="BN73" i="5"/>
  <c r="BM90" i="7"/>
  <c r="BM174" i="7"/>
  <c r="BM149" i="7"/>
  <c r="BY102" i="10" l="1"/>
  <c r="BY35" i="12"/>
  <c r="BY50" i="7"/>
  <c r="BY50" i="12" s="1"/>
  <c r="BZ44" i="7"/>
  <c r="CA80" i="4"/>
  <c r="CA48" i="7" s="1"/>
  <c r="BN90" i="7"/>
  <c r="BN74" i="5"/>
  <c r="BN174" i="7" s="1"/>
  <c r="BZ45" i="7" l="1"/>
  <c r="CA81" i="4"/>
  <c r="BO70" i="5"/>
  <c r="BO72" i="5" s="1"/>
  <c r="BN149" i="7"/>
  <c r="BZ46" i="7" l="1"/>
  <c r="BZ49" i="12" s="1"/>
  <c r="BZ49" i="7"/>
  <c r="BO73" i="5"/>
  <c r="BO74" i="5" s="1"/>
  <c r="BO174" i="7" s="1"/>
  <c r="CB78" i="4"/>
  <c r="CA142" i="7"/>
  <c r="CA143" i="7" s="1"/>
  <c r="CA43" i="12" s="1"/>
  <c r="CA157" i="5"/>
  <c r="CA158" i="5" s="1"/>
  <c r="CA163" i="5" s="1"/>
  <c r="BZ164" i="5" l="1"/>
  <c r="BZ93" i="7" s="1"/>
  <c r="CA164" i="5"/>
  <c r="CA93" i="7" s="1"/>
  <c r="BZ50" i="7"/>
  <c r="BZ50" i="12" s="1"/>
  <c r="BZ35" i="12"/>
  <c r="BZ102" i="10"/>
  <c r="BO90" i="7"/>
  <c r="BO149" i="7"/>
  <c r="BP70" i="5"/>
  <c r="BP72" i="5" s="1"/>
  <c r="CB164" i="5"/>
  <c r="CB93" i="7" s="1"/>
  <c r="CA44" i="7"/>
  <c r="CB80" i="4"/>
  <c r="CB48" i="7" s="1"/>
  <c r="CA45" i="7" l="1"/>
  <c r="BP73" i="5"/>
  <c r="BP74" i="5" s="1"/>
  <c r="BP149" i="7" s="1"/>
  <c r="CB81" i="4"/>
  <c r="CA46" i="7" l="1"/>
  <c r="CA49" i="12" s="1"/>
  <c r="CA49" i="7"/>
  <c r="BP174" i="7"/>
  <c r="BQ70" i="5"/>
  <c r="BP90" i="7"/>
  <c r="CC78" i="4"/>
  <c r="CB157" i="5"/>
  <c r="CB158" i="5" s="1"/>
  <c r="CB163" i="5" s="1"/>
  <c r="CB142" i="7"/>
  <c r="CB143" i="7" s="1"/>
  <c r="CB43" i="12" s="1"/>
  <c r="CA50" i="7" l="1"/>
  <c r="CA50" i="12" s="1"/>
  <c r="CA35" i="12"/>
  <c r="CA102" i="10"/>
  <c r="BQ72" i="5"/>
  <c r="BQ73" i="5"/>
  <c r="CB44" i="7"/>
  <c r="CB45" i="7" s="1"/>
  <c r="CC80" i="4"/>
  <c r="CC48" i="7" s="1"/>
  <c r="BQ90" i="7" l="1"/>
  <c r="BQ74" i="5"/>
  <c r="CC81" i="4"/>
  <c r="CB46" i="7"/>
  <c r="CB49" i="12" s="1"/>
  <c r="CB49" i="7"/>
  <c r="CB35" i="12" s="1"/>
  <c r="BQ174" i="7" l="1"/>
  <c r="BR70" i="5"/>
  <c r="BQ149" i="7"/>
  <c r="CB50" i="7"/>
  <c r="CB50" i="12" s="1"/>
  <c r="CB102" i="10"/>
  <c r="CD78" i="4"/>
  <c r="CC142" i="7"/>
  <c r="CC143" i="7" s="1"/>
  <c r="CC43" i="12" s="1"/>
  <c r="CC157" i="5"/>
  <c r="CC158" i="5" s="1"/>
  <c r="CC163" i="5" s="1"/>
  <c r="BR72" i="5" l="1"/>
  <c r="BR73" i="5"/>
  <c r="CC44" i="7"/>
  <c r="CC45" i="7" s="1"/>
  <c r="CD80" i="4"/>
  <c r="CD48" i="7" s="1"/>
  <c r="BR74" i="5" l="1"/>
  <c r="BR174" i="7" s="1"/>
  <c r="BR90" i="7"/>
  <c r="CD81" i="4"/>
  <c r="CC46" i="7"/>
  <c r="CC49" i="12" s="1"/>
  <c r="CC49" i="7"/>
  <c r="CC35" i="12" s="1"/>
  <c r="BS70" i="5" l="1"/>
  <c r="BS73" i="5" s="1"/>
  <c r="BR149" i="7"/>
  <c r="CC102" i="10"/>
  <c r="CC50" i="7"/>
  <c r="CC50" i="12" s="1"/>
  <c r="CD157" i="5"/>
  <c r="CD158" i="5" s="1"/>
  <c r="CD163" i="5" s="1"/>
  <c r="CE78" i="4"/>
  <c r="CD142" i="7"/>
  <c r="CD143" i="7" s="1"/>
  <c r="CD43" i="12" s="1"/>
  <c r="CC164" i="5" l="1"/>
  <c r="CC93" i="7" s="1"/>
  <c r="CD164" i="5"/>
  <c r="CD93" i="7" s="1"/>
  <c r="BS72" i="5"/>
  <c r="BS74" i="5" s="1"/>
  <c r="CE80" i="4"/>
  <c r="CE48" i="7" s="1"/>
  <c r="CD44" i="7"/>
  <c r="CD45" i="7" s="1"/>
  <c r="CE164" i="5"/>
  <c r="CE93" i="7" s="1"/>
  <c r="BS90" i="7" l="1"/>
  <c r="BT70" i="5"/>
  <c r="BT73" i="5" s="1"/>
  <c r="BS174" i="7"/>
  <c r="BS149" i="7"/>
  <c r="CE81" i="4"/>
  <c r="CE142" i="7" s="1"/>
  <c r="CE143" i="7" s="1"/>
  <c r="CE43" i="12" s="1"/>
  <c r="CD46" i="7"/>
  <c r="CD49" i="12" s="1"/>
  <c r="CD49" i="7"/>
  <c r="CD35" i="12" s="1"/>
  <c r="BT72" i="5" l="1"/>
  <c r="BT90" i="7" s="1"/>
  <c r="CE157" i="5"/>
  <c r="CE158" i="5" s="1"/>
  <c r="CE163" i="5" s="1"/>
  <c r="CF78" i="4"/>
  <c r="CF80" i="4" s="1"/>
  <c r="CF48" i="7" s="1"/>
  <c r="CD102" i="10"/>
  <c r="CD50" i="7"/>
  <c r="CD50" i="12" s="1"/>
  <c r="BT74" i="5" l="1"/>
  <c r="BU70" i="5" s="1"/>
  <c r="CE44" i="7"/>
  <c r="CE45" i="7" s="1"/>
  <c r="CF81" i="4"/>
  <c r="BT149" i="7" l="1"/>
  <c r="BT174" i="7"/>
  <c r="CE46" i="7"/>
  <c r="CE49" i="12" s="1"/>
  <c r="CE49" i="7"/>
  <c r="BU72" i="5"/>
  <c r="BU73" i="5"/>
  <c r="CF157" i="5"/>
  <c r="CF158" i="5" s="1"/>
  <c r="CF163" i="5" s="1"/>
  <c r="CG78" i="4"/>
  <c r="CG80" i="4" s="1"/>
  <c r="CF142" i="7"/>
  <c r="CF143" i="7" s="1"/>
  <c r="CF43" i="12" s="1"/>
  <c r="BU74" i="5" l="1"/>
  <c r="BU174" i="7" s="1"/>
  <c r="CE50" i="7"/>
  <c r="CE50" i="12" s="1"/>
  <c r="CE35" i="12"/>
  <c r="CE102" i="10"/>
  <c r="BU90" i="7"/>
  <c r="CG81" i="4"/>
  <c r="CG48" i="7"/>
  <c r="CF44" i="7"/>
  <c r="CF45" i="7" s="1"/>
  <c r="BV70" i="5" l="1"/>
  <c r="BV73" i="5" s="1"/>
  <c r="BU149" i="7"/>
  <c r="CF49" i="7"/>
  <c r="CF35" i="12" s="1"/>
  <c r="CF46" i="7"/>
  <c r="CF49" i="12" s="1"/>
  <c r="CH78" i="4"/>
  <c r="CH80" i="4" s="1"/>
  <c r="CG142" i="7"/>
  <c r="CG143" i="7" s="1"/>
  <c r="CG43" i="12" s="1"/>
  <c r="CG157" i="5"/>
  <c r="CG158" i="5" s="1"/>
  <c r="CG163" i="5" s="1"/>
  <c r="BV72" i="5" l="1"/>
  <c r="BV74" i="5" s="1"/>
  <c r="BW70" i="5" s="1"/>
  <c r="CF164" i="5"/>
  <c r="CF93" i="7" s="1"/>
  <c r="CG164" i="5"/>
  <c r="CG93" i="7" s="1"/>
  <c r="CG44" i="7"/>
  <c r="CG45" i="7" s="1"/>
  <c r="CH164" i="5"/>
  <c r="CH81" i="4"/>
  <c r="CH48" i="7"/>
  <c r="CF50" i="7"/>
  <c r="CF50" i="12" s="1"/>
  <c r="CF102" i="10"/>
  <c r="BV90" i="7" l="1"/>
  <c r="BV149" i="7"/>
  <c r="BV174" i="7"/>
  <c r="BW73" i="5"/>
  <c r="BW72" i="5"/>
  <c r="CI78" i="4"/>
  <c r="CI80" i="4" s="1"/>
  <c r="CH142" i="7"/>
  <c r="CH157" i="5"/>
  <c r="CH158" i="5" s="1"/>
  <c r="CH163" i="5" s="1"/>
  <c r="CH93" i="7"/>
  <c r="CG46" i="7"/>
  <c r="CG49" i="12" s="1"/>
  <c r="CG49" i="7"/>
  <c r="CG35" i="12" s="1"/>
  <c r="CH143" i="7" l="1"/>
  <c r="CH43" i="12" s="1"/>
  <c r="BW90" i="7"/>
  <c r="BW74" i="5"/>
  <c r="CG102" i="10"/>
  <c r="CG50" i="7"/>
  <c r="CG50" i="12" s="1"/>
  <c r="CH44" i="7"/>
  <c r="CI81" i="4"/>
  <c r="CI48" i="7"/>
  <c r="BX70" i="5" l="1"/>
  <c r="BW149" i="7"/>
  <c r="BW174" i="7"/>
  <c r="CH45" i="7"/>
  <c r="CJ78" i="4"/>
  <c r="CJ80" i="4" s="1"/>
  <c r="CI142" i="7"/>
  <c r="CI143" i="7" s="1"/>
  <c r="CI43" i="12" s="1"/>
  <c r="CI157" i="5"/>
  <c r="CI158" i="5" s="1"/>
  <c r="CI163" i="5" s="1"/>
  <c r="BX73" i="5" l="1"/>
  <c r="BX72" i="5"/>
  <c r="CI44" i="7"/>
  <c r="CJ81" i="4"/>
  <c r="CJ48" i="7"/>
  <c r="CH46" i="7"/>
  <c r="CH49" i="12" s="1"/>
  <c r="CH49" i="7"/>
  <c r="CH35" i="12" s="1"/>
  <c r="BX90" i="7" l="1"/>
  <c r="BX74" i="5"/>
  <c r="BX174" i="7" s="1"/>
  <c r="K161" i="9" s="1"/>
  <c r="CK78" i="4"/>
  <c r="CK80" i="4" s="1"/>
  <c r="CJ142" i="7"/>
  <c r="CJ157" i="5"/>
  <c r="CJ158" i="5" s="1"/>
  <c r="CJ163" i="5" s="1"/>
  <c r="CH102" i="10"/>
  <c r="CH50" i="7"/>
  <c r="CH50" i="12" s="1"/>
  <c r="CI45" i="7"/>
  <c r="CJ143" i="7" l="1"/>
  <c r="CJ43" i="12" s="1"/>
  <c r="L129" i="9"/>
  <c r="L130" i="9" s="1"/>
  <c r="J101" i="15" s="1"/>
  <c r="CI164" i="5"/>
  <c r="CI93" i="7" s="1"/>
  <c r="CJ164" i="5"/>
  <c r="CJ93" i="7" s="1"/>
  <c r="BY70" i="5"/>
  <c r="BY73" i="5" s="1"/>
  <c r="BX149" i="7"/>
  <c r="K136" i="9" s="1"/>
  <c r="CJ44" i="7"/>
  <c r="CK164" i="5"/>
  <c r="CI49" i="7"/>
  <c r="CI35" i="12" s="1"/>
  <c r="CI46" i="7"/>
  <c r="CI49" i="12" s="1"/>
  <c r="CK81" i="4"/>
  <c r="CK48" i="7"/>
  <c r="D80" i="4"/>
  <c r="D81" i="4" s="1"/>
  <c r="BY72" i="5" l="1"/>
  <c r="BY90" i="7" s="1"/>
  <c r="G31" i="9"/>
  <c r="E83" i="15" s="1"/>
  <c r="H31" i="9"/>
  <c r="F83" i="15" s="1"/>
  <c r="I31" i="9"/>
  <c r="G83" i="15" s="1"/>
  <c r="J31" i="9"/>
  <c r="H83" i="15" s="1"/>
  <c r="K31" i="9"/>
  <c r="I83" i="15" s="1"/>
  <c r="L31" i="9"/>
  <c r="J83" i="15" s="1"/>
  <c r="M31" i="9"/>
  <c r="K83" i="15" s="1"/>
  <c r="D48" i="7"/>
  <c r="F31" i="9"/>
  <c r="CK142" i="7"/>
  <c r="CK157" i="5"/>
  <c r="CK158" i="5" s="1"/>
  <c r="CK163" i="5" s="1"/>
  <c r="CI50" i="7"/>
  <c r="CI50" i="12" s="1"/>
  <c r="CI102" i="10"/>
  <c r="CK93" i="7"/>
  <c r="CJ45" i="7"/>
  <c r="BY74" i="5" l="1"/>
  <c r="BY174" i="7" s="1"/>
  <c r="CK143" i="7"/>
  <c r="CK43" i="12" s="1"/>
  <c r="M129" i="9"/>
  <c r="M130" i="9" s="1"/>
  <c r="K101" i="15" s="1"/>
  <c r="G80" i="9"/>
  <c r="H80" i="9"/>
  <c r="I80" i="9"/>
  <c r="J80" i="9"/>
  <c r="K80" i="9"/>
  <c r="L80" i="9"/>
  <c r="M80" i="9"/>
  <c r="D83" i="15"/>
  <c r="D31" i="9"/>
  <c r="CJ46" i="7"/>
  <c r="CJ49" i="12" s="1"/>
  <c r="CJ49" i="7"/>
  <c r="CJ35" i="12" s="1"/>
  <c r="CK44" i="7"/>
  <c r="D163" i="5"/>
  <c r="BY149" i="7" l="1"/>
  <c r="BZ70" i="5"/>
  <c r="BZ72" i="5" s="1"/>
  <c r="G164" i="5"/>
  <c r="G93" i="7" s="1"/>
  <c r="F164" i="5"/>
  <c r="C83" i="15"/>
  <c r="C141" i="15" a="1"/>
  <c r="F27" i="9"/>
  <c r="F28" i="9" s="1"/>
  <c r="G27" i="9"/>
  <c r="G28" i="9" s="1"/>
  <c r="H27" i="9"/>
  <c r="H28" i="9" s="1"/>
  <c r="I27" i="9"/>
  <c r="I28" i="9" s="1"/>
  <c r="J27" i="9"/>
  <c r="J28" i="9" s="1"/>
  <c r="K27" i="9"/>
  <c r="L27" i="9"/>
  <c r="M27" i="9"/>
  <c r="CK45" i="7"/>
  <c r="D44" i="7"/>
  <c r="CJ102" i="10"/>
  <c r="CJ50" i="7"/>
  <c r="CJ50" i="12" s="1"/>
  <c r="BZ73" i="5" l="1"/>
  <c r="BZ90" i="7" s="1"/>
  <c r="F93" i="7"/>
  <c r="F165" i="5"/>
  <c r="G162" i="5" s="1"/>
  <c r="G165" i="5" s="1"/>
  <c r="H162" i="5" s="1"/>
  <c r="H165" i="5" s="1"/>
  <c r="I162" i="5" s="1"/>
  <c r="I165" i="5" s="1"/>
  <c r="J162" i="5" s="1"/>
  <c r="J165" i="5" s="1"/>
  <c r="K162" i="5" s="1"/>
  <c r="K165" i="5" s="1"/>
  <c r="L162" i="5" s="1"/>
  <c r="L165" i="5" s="1"/>
  <c r="M162" i="5" s="1"/>
  <c r="M165" i="5" s="1"/>
  <c r="N162" i="5" s="1"/>
  <c r="N165" i="5" s="1"/>
  <c r="O162" i="5" s="1"/>
  <c r="O165" i="5" s="1"/>
  <c r="P162" i="5" s="1"/>
  <c r="P165" i="5" s="1"/>
  <c r="Q162" i="5" s="1"/>
  <c r="Q165" i="5" s="1"/>
  <c r="R162" i="5" s="1"/>
  <c r="R165" i="5" s="1"/>
  <c r="S162" i="5" s="1"/>
  <c r="S165" i="5" s="1"/>
  <c r="T162" i="5" s="1"/>
  <c r="T165" i="5" s="1"/>
  <c r="U162" i="5" s="1"/>
  <c r="U165" i="5" s="1"/>
  <c r="V162" i="5" s="1"/>
  <c r="V165" i="5" s="1"/>
  <c r="W162" i="5" s="1"/>
  <c r="W165" i="5" s="1"/>
  <c r="X162" i="5" s="1"/>
  <c r="X165" i="5" s="1"/>
  <c r="Y162" i="5" s="1"/>
  <c r="Y165" i="5" s="1"/>
  <c r="Z162" i="5" s="1"/>
  <c r="Z165" i="5" s="1"/>
  <c r="AA162" i="5" s="1"/>
  <c r="AA165" i="5" s="1"/>
  <c r="AB162" i="5" s="1"/>
  <c r="AB165" i="5" s="1"/>
  <c r="AC162" i="5" s="1"/>
  <c r="AC165" i="5" s="1"/>
  <c r="AD162" i="5" s="1"/>
  <c r="AD165" i="5" s="1"/>
  <c r="AE162" i="5" s="1"/>
  <c r="AE165" i="5" s="1"/>
  <c r="AF162" i="5" s="1"/>
  <c r="AF165" i="5" s="1"/>
  <c r="AG162" i="5" s="1"/>
  <c r="AG165" i="5" s="1"/>
  <c r="AH162" i="5" s="1"/>
  <c r="AH165" i="5" s="1"/>
  <c r="AI162" i="5" s="1"/>
  <c r="AI165" i="5" s="1"/>
  <c r="AJ162" i="5" s="1"/>
  <c r="AJ165" i="5" s="1"/>
  <c r="AK162" i="5" s="1"/>
  <c r="AK165" i="5" s="1"/>
  <c r="AL162" i="5" s="1"/>
  <c r="AL165" i="5" s="1"/>
  <c r="AM162" i="5" s="1"/>
  <c r="AM165" i="5" s="1"/>
  <c r="AN162" i="5" s="1"/>
  <c r="AN165" i="5" s="1"/>
  <c r="AO162" i="5" s="1"/>
  <c r="AO165" i="5" s="1"/>
  <c r="AP162" i="5" s="1"/>
  <c r="AP165" i="5" s="1"/>
  <c r="AQ162" i="5" s="1"/>
  <c r="AQ165" i="5" s="1"/>
  <c r="AR162" i="5" s="1"/>
  <c r="AR165" i="5" s="1"/>
  <c r="AS162" i="5" s="1"/>
  <c r="AS165" i="5" s="1"/>
  <c r="AT162" i="5" s="1"/>
  <c r="AT165" i="5" s="1"/>
  <c r="AU162" i="5" s="1"/>
  <c r="AU165" i="5" s="1"/>
  <c r="AV162" i="5" s="1"/>
  <c r="AV165" i="5" s="1"/>
  <c r="AW162" i="5" s="1"/>
  <c r="AW165" i="5" s="1"/>
  <c r="AX162" i="5" s="1"/>
  <c r="AX165" i="5" s="1"/>
  <c r="AY162" i="5" s="1"/>
  <c r="AY165" i="5" s="1"/>
  <c r="AZ162" i="5" s="1"/>
  <c r="AZ165" i="5" s="1"/>
  <c r="BA162" i="5" s="1"/>
  <c r="BA165" i="5" s="1"/>
  <c r="BB162" i="5" s="1"/>
  <c r="BB165" i="5" s="1"/>
  <c r="BC162" i="5" s="1"/>
  <c r="BC165" i="5" s="1"/>
  <c r="BD162" i="5" s="1"/>
  <c r="BD165" i="5" s="1"/>
  <c r="BE162" i="5" s="1"/>
  <c r="BE165" i="5" s="1"/>
  <c r="BF162" i="5" s="1"/>
  <c r="BF165" i="5" s="1"/>
  <c r="BG162" i="5" s="1"/>
  <c r="BG165" i="5" s="1"/>
  <c r="BH162" i="5" s="1"/>
  <c r="BH165" i="5" s="1"/>
  <c r="BI162" i="5" s="1"/>
  <c r="BI165" i="5" s="1"/>
  <c r="BJ162" i="5" s="1"/>
  <c r="BJ165" i="5" s="1"/>
  <c r="BK162" i="5" s="1"/>
  <c r="BK165" i="5" s="1"/>
  <c r="BL162" i="5" s="1"/>
  <c r="BL165" i="5" s="1"/>
  <c r="BM162" i="5" s="1"/>
  <c r="BM165" i="5" s="1"/>
  <c r="BN162" i="5" s="1"/>
  <c r="BN165" i="5" s="1"/>
  <c r="BO162" i="5" s="1"/>
  <c r="BO165" i="5" s="1"/>
  <c r="BP162" i="5" s="1"/>
  <c r="BP165" i="5" s="1"/>
  <c r="BQ162" i="5" s="1"/>
  <c r="BQ165" i="5" s="1"/>
  <c r="BR162" i="5" s="1"/>
  <c r="BR165" i="5" s="1"/>
  <c r="BS162" i="5" s="1"/>
  <c r="BS165" i="5" s="1"/>
  <c r="BT162" i="5" s="1"/>
  <c r="BT165" i="5" s="1"/>
  <c r="BU162" i="5" s="1"/>
  <c r="BU165" i="5" s="1"/>
  <c r="BV162" i="5" s="1"/>
  <c r="BV165" i="5" s="1"/>
  <c r="BW162" i="5" s="1"/>
  <c r="BW165" i="5" s="1"/>
  <c r="BX162" i="5" s="1"/>
  <c r="BX165" i="5" s="1"/>
  <c r="BY162" i="5" s="1"/>
  <c r="BY165" i="5" s="1"/>
  <c r="BZ162" i="5" s="1"/>
  <c r="BZ165" i="5" s="1"/>
  <c r="CA162" i="5" s="1"/>
  <c r="CA165" i="5" s="1"/>
  <c r="CB162" i="5" s="1"/>
  <c r="CB165" i="5" s="1"/>
  <c r="CC162" i="5" s="1"/>
  <c r="CC165" i="5" s="1"/>
  <c r="CD162" i="5" s="1"/>
  <c r="CD165" i="5" s="1"/>
  <c r="CE162" i="5" s="1"/>
  <c r="CE165" i="5" s="1"/>
  <c r="CF162" i="5" s="1"/>
  <c r="CF165" i="5" s="1"/>
  <c r="CG162" i="5" s="1"/>
  <c r="CG165" i="5" s="1"/>
  <c r="CH162" i="5" s="1"/>
  <c r="CH165" i="5" s="1"/>
  <c r="CI162" i="5" s="1"/>
  <c r="CI165" i="5" s="1"/>
  <c r="CJ162" i="5" s="1"/>
  <c r="CJ165" i="5" s="1"/>
  <c r="CK162" i="5" s="1"/>
  <c r="CK165" i="5" s="1"/>
  <c r="D164" i="5"/>
  <c r="D165" i="5" s="1"/>
  <c r="J141" i="15"/>
  <c r="C141" i="15"/>
  <c r="D141" i="15"/>
  <c r="E141" i="15"/>
  <c r="F141" i="15"/>
  <c r="G141" i="15"/>
  <c r="H141" i="15"/>
  <c r="I141" i="15"/>
  <c r="M28" i="9"/>
  <c r="M29" i="9" s="1"/>
  <c r="K79" i="15"/>
  <c r="L28" i="9"/>
  <c r="L32" i="9" s="1"/>
  <c r="J79" i="15"/>
  <c r="K28" i="9"/>
  <c r="K29" i="9" s="1"/>
  <c r="I79" i="15"/>
  <c r="I29" i="9"/>
  <c r="I32" i="9"/>
  <c r="J29" i="9"/>
  <c r="J32" i="9"/>
  <c r="H29" i="9"/>
  <c r="H32" i="9"/>
  <c r="G29" i="9"/>
  <c r="G32" i="9"/>
  <c r="D79" i="15"/>
  <c r="H79" i="15"/>
  <c r="G79" i="15"/>
  <c r="D27" i="9"/>
  <c r="F79" i="15"/>
  <c r="E79" i="15"/>
  <c r="F29" i="9"/>
  <c r="F32" i="9"/>
  <c r="CK49" i="7"/>
  <c r="CK35" i="12" s="1"/>
  <c r="CK46" i="7"/>
  <c r="CK49" i="12" s="1"/>
  <c r="D45" i="7"/>
  <c r="D46" i="7" s="1"/>
  <c r="BZ74" i="5" l="1"/>
  <c r="BZ174" i="7" s="1"/>
  <c r="F80" i="9"/>
  <c r="D80" i="9" s="1"/>
  <c r="D93" i="7"/>
  <c r="L29" i="9"/>
  <c r="C140" i="15" a="1"/>
  <c r="I80" i="15"/>
  <c r="I84" i="15" s="1"/>
  <c r="J80" i="15"/>
  <c r="J84" i="15" s="1"/>
  <c r="K80" i="15"/>
  <c r="K81" i="15" s="1"/>
  <c r="D28" i="9"/>
  <c r="E29" i="11" s="1"/>
  <c r="M32" i="9"/>
  <c r="M33" i="9" s="1"/>
  <c r="D80" i="15"/>
  <c r="D81" i="15" s="1"/>
  <c r="C79" i="15"/>
  <c r="K32" i="9"/>
  <c r="K33" i="9" s="1"/>
  <c r="D35" i="12"/>
  <c r="L33" i="9"/>
  <c r="H33" i="9"/>
  <c r="J33" i="9"/>
  <c r="G33" i="9"/>
  <c r="I33" i="9"/>
  <c r="E80" i="15"/>
  <c r="F80" i="15"/>
  <c r="G80" i="15"/>
  <c r="H80" i="15"/>
  <c r="F33" i="9"/>
  <c r="CA70" i="5"/>
  <c r="BZ149" i="7"/>
  <c r="CK102" i="10"/>
  <c r="CK50" i="7"/>
  <c r="CK50" i="12" s="1"/>
  <c r="D49" i="7"/>
  <c r="D50" i="7" s="1"/>
  <c r="D102" i="10" l="1"/>
  <c r="I81" i="15"/>
  <c r="J81" i="15"/>
  <c r="J140" i="15"/>
  <c r="C140" i="15"/>
  <c r="D140" i="15"/>
  <c r="E140" i="15"/>
  <c r="F140" i="15"/>
  <c r="G140" i="15"/>
  <c r="H140" i="15"/>
  <c r="I140" i="15"/>
  <c r="D84" i="15"/>
  <c r="D85" i="15" s="1"/>
  <c r="D29" i="9"/>
  <c r="E31" i="11" s="1"/>
  <c r="K84" i="15"/>
  <c r="K85" i="15" s="1"/>
  <c r="C80" i="15"/>
  <c r="C81" i="15" s="1"/>
  <c r="J85" i="15"/>
  <c r="I85" i="15"/>
  <c r="D32" i="9"/>
  <c r="D33" i="9" s="1"/>
  <c r="G81" i="15"/>
  <c r="G84" i="15"/>
  <c r="G85" i="15" s="1"/>
  <c r="F84" i="15"/>
  <c r="F85" i="15" s="1"/>
  <c r="F81" i="15"/>
  <c r="H81" i="15"/>
  <c r="H84" i="15"/>
  <c r="H85" i="15" s="1"/>
  <c r="E81" i="15"/>
  <c r="E84" i="15"/>
  <c r="E85" i="15" s="1"/>
  <c r="CA72" i="5"/>
  <c r="CA73" i="5"/>
  <c r="C84" i="15" l="1"/>
  <c r="C85" i="15" s="1"/>
  <c r="CA90" i="7"/>
  <c r="CA74" i="5"/>
  <c r="CA149" i="7" l="1"/>
  <c r="CA174" i="7"/>
  <c r="CB70" i="5"/>
  <c r="CB72" i="5" l="1"/>
  <c r="CB73" i="5"/>
  <c r="CB74" i="5" l="1"/>
  <c r="CC70" i="5" s="1"/>
  <c r="CB90" i="7"/>
  <c r="CB149" i="7" l="1"/>
  <c r="CB174" i="7"/>
  <c r="CC72" i="5"/>
  <c r="CC73" i="5"/>
  <c r="CC74" i="5" l="1"/>
  <c r="CD70" i="5" s="1"/>
  <c r="CC90" i="7"/>
  <c r="CC149" i="7" l="1"/>
  <c r="CC174" i="7"/>
  <c r="CD72" i="5"/>
  <c r="CD73" i="5"/>
  <c r="CD90" i="7" l="1"/>
  <c r="CD74" i="5"/>
  <c r="CD174" i="7" l="1"/>
  <c r="CE70" i="5"/>
  <c r="CD149" i="7"/>
  <c r="CE72" i="5" l="1"/>
  <c r="CE73" i="5"/>
  <c r="CE90" i="7" l="1"/>
  <c r="CE74" i="5"/>
  <c r="CE174" i="7" l="1"/>
  <c r="CF70" i="5"/>
  <c r="CE149" i="7"/>
  <c r="CF72" i="5" l="1"/>
  <c r="CF73" i="5"/>
  <c r="CF74" i="5" l="1"/>
  <c r="CG70" i="5" s="1"/>
  <c r="CF90" i="7"/>
  <c r="CF149" i="7" l="1"/>
  <c r="CF174" i="7"/>
  <c r="CG72" i="5"/>
  <c r="CG73" i="5"/>
  <c r="CG90" i="7" l="1"/>
  <c r="CG74" i="5"/>
  <c r="CG149" i="7" s="1"/>
  <c r="CH70" i="5" l="1"/>
  <c r="CH73" i="5" s="1"/>
  <c r="CG174" i="7"/>
  <c r="CH72" i="5" l="1"/>
  <c r="CH90" i="7" s="1"/>
  <c r="CH74" i="5" l="1"/>
  <c r="CI70" i="5" s="1"/>
  <c r="CH149" i="7" l="1"/>
  <c r="CH174" i="7"/>
  <c r="CI73" i="5"/>
  <c r="CI72" i="5"/>
  <c r="CI74" i="5" l="1"/>
  <c r="CJ70" i="5" s="1"/>
  <c r="CI90" i="7"/>
  <c r="CI149" i="7" l="1"/>
  <c r="CI174" i="7"/>
  <c r="CJ72" i="5"/>
  <c r="CJ73" i="5"/>
  <c r="CJ90" i="7" l="1"/>
  <c r="CJ74" i="5"/>
  <c r="CJ149" i="7" l="1"/>
  <c r="L136" i="9" s="1"/>
  <c r="CK70" i="5"/>
  <c r="CJ174" i="7"/>
  <c r="L161" i="9" s="1"/>
  <c r="CK72" i="5" l="1"/>
  <c r="CK73" i="5"/>
  <c r="D73" i="5" s="1"/>
  <c r="CK74" i="5" l="1"/>
  <c r="D72" i="5"/>
  <c r="D74" i="5" s="1"/>
  <c r="CK90" i="7"/>
  <c r="G77" i="9" l="1"/>
  <c r="H77" i="9"/>
  <c r="I77" i="9"/>
  <c r="J77" i="9"/>
  <c r="K77" i="9"/>
  <c r="L77" i="9"/>
  <c r="M77" i="9"/>
  <c r="D90" i="7"/>
  <c r="F77" i="9"/>
  <c r="CK149" i="7"/>
  <c r="M136" i="9" s="1"/>
  <c r="CK174" i="7"/>
  <c r="M161" i="9" s="1"/>
  <c r="D77" i="9" l="1"/>
  <c r="C142" i="15" l="1" a="1"/>
  <c r="F126" i="5" l="1"/>
  <c r="F141" i="5" l="1"/>
  <c r="F127" i="5" s="1"/>
  <c r="F128" i="5" s="1"/>
  <c r="F133" i="5" s="1"/>
  <c r="F140" i="5"/>
  <c r="F142" i="5" l="1"/>
  <c r="G139" i="5" s="1"/>
  <c r="F135" i="5"/>
  <c r="G132" i="5" s="1"/>
  <c r="G134" i="5" s="1"/>
  <c r="G92" i="7" s="1"/>
  <c r="F57" i="7"/>
  <c r="F92" i="5"/>
  <c r="F107" i="5" s="1"/>
  <c r="F93" i="5" s="1"/>
  <c r="F37" i="12" l="1"/>
  <c r="F104" i="10"/>
  <c r="F106" i="5"/>
  <c r="F108" i="5" s="1"/>
  <c r="G105" i="5" s="1"/>
  <c r="F94" i="5"/>
  <c r="F99" i="5" s="1"/>
  <c r="F101" i="5" l="1"/>
  <c r="F176" i="7" s="1"/>
  <c r="F56" i="7"/>
  <c r="F58" i="7" s="1"/>
  <c r="F96" i="7" l="1"/>
  <c r="F98" i="7" s="1"/>
  <c r="F37" i="6" s="1"/>
  <c r="F103" i="10"/>
  <c r="F105" i="10" s="1"/>
  <c r="F36" i="12"/>
  <c r="F38" i="12" s="1"/>
  <c r="G98" i="5"/>
  <c r="F178" i="7"/>
  <c r="F39" i="6" l="1"/>
  <c r="F39" i="10"/>
  <c r="F66" i="10" s="1"/>
  <c r="G100" i="5"/>
  <c r="F64" i="7"/>
  <c r="F59" i="7"/>
  <c r="F52" i="12" s="1"/>
  <c r="F52" i="6" l="1"/>
  <c r="F113" i="7" s="1"/>
  <c r="G91" i="7"/>
  <c r="F65" i="7"/>
  <c r="F107" i="10"/>
  <c r="F46" i="6" l="1"/>
  <c r="F53" i="6"/>
  <c r="G51" i="6" s="1"/>
  <c r="F57" i="6"/>
  <c r="G63" i="7"/>
  <c r="F161" i="7"/>
  <c r="G96" i="7"/>
  <c r="G98" i="7" s="1"/>
  <c r="G37" i="6" s="1"/>
  <c r="F71" i="10"/>
  <c r="F41" i="10"/>
  <c r="G78" i="6" l="1"/>
  <c r="H77" i="6" s="1"/>
  <c r="F58" i="6"/>
  <c r="F160" i="7"/>
  <c r="F162" i="7" s="1"/>
  <c r="F53" i="12" s="1"/>
  <c r="F47" i="6"/>
  <c r="G45" i="6" s="1"/>
  <c r="G39" i="10"/>
  <c r="F42" i="10"/>
  <c r="H75" i="6" l="1"/>
  <c r="H102" i="6" s="1"/>
  <c r="G85" i="6"/>
  <c r="F121" i="7"/>
  <c r="G66" i="10"/>
  <c r="F51" i="10"/>
  <c r="F43" i="10"/>
  <c r="H88" i="6" l="1"/>
  <c r="F69" i="10"/>
  <c r="F166" i="7"/>
  <c r="F168" i="7" s="1"/>
  <c r="F62" i="12" s="1"/>
  <c r="F70" i="10"/>
  <c r="F52" i="10"/>
  <c r="F72" i="10" l="1"/>
  <c r="F73" i="10" s="1"/>
  <c r="F115" i="7"/>
  <c r="F123" i="7" s="1"/>
  <c r="F127" i="7" s="1"/>
  <c r="F130" i="7" s="1"/>
  <c r="G129" i="7" s="1"/>
  <c r="F180" i="7"/>
  <c r="F63" i="12" s="1"/>
  <c r="F81" i="10" l="1"/>
  <c r="F82" i="10" s="1"/>
  <c r="F134" i="7"/>
  <c r="F147" i="7"/>
  <c r="F61" i="12" l="1"/>
  <c r="F69" i="12"/>
  <c r="F152" i="7"/>
  <c r="F67" i="12" s="1"/>
  <c r="F42" i="12" l="1"/>
  <c r="F44" i="12" s="1"/>
  <c r="F55" i="12" s="1"/>
  <c r="F154" i="7"/>
  <c r="F68" i="12"/>
  <c r="F56" i="12" l="1"/>
  <c r="F54" i="12"/>
  <c r="F184" i="7"/>
  <c r="H78" i="6" l="1"/>
  <c r="I77" i="6" s="1"/>
  <c r="I75" i="6" l="1"/>
  <c r="I102" i="6" s="1"/>
  <c r="I88" i="6" l="1"/>
  <c r="G69" i="10"/>
  <c r="I78" i="6" l="1"/>
  <c r="J77" i="6" s="1"/>
  <c r="J75" i="6" l="1"/>
  <c r="J102" i="6" s="1"/>
  <c r="H69" i="10"/>
  <c r="J88" i="6" l="1"/>
  <c r="J78" i="6" l="1"/>
  <c r="K77" i="6" s="1"/>
  <c r="K75" i="6" l="1"/>
  <c r="K102" i="6" s="1"/>
  <c r="K88" i="6" l="1"/>
  <c r="I69" i="10" l="1"/>
  <c r="K78" i="6" l="1"/>
  <c r="L77" i="6" s="1"/>
  <c r="L75" i="6" l="1"/>
  <c r="L102" i="6" s="1"/>
  <c r="L88" i="6" l="1"/>
  <c r="J69" i="10"/>
  <c r="L78" i="6" l="1"/>
  <c r="M77" i="6" s="1"/>
  <c r="M75" i="6" l="1"/>
  <c r="M102" i="6" s="1"/>
  <c r="M88" i="6"/>
  <c r="K69" i="10" l="1"/>
  <c r="M78" i="6" l="1"/>
  <c r="N77" i="6" s="1"/>
  <c r="N75" i="6" l="1"/>
  <c r="N102" i="6" s="1"/>
  <c r="N88" i="6"/>
  <c r="L69" i="10" l="1"/>
  <c r="N78" i="6" l="1"/>
  <c r="O77" i="6" s="1"/>
  <c r="O75" i="6" l="1"/>
  <c r="O102" i="6" s="1"/>
  <c r="O88" i="6"/>
  <c r="M69" i="10" l="1"/>
  <c r="O78" i="6" l="1"/>
  <c r="P77" i="6" s="1"/>
  <c r="P75" i="6" l="1"/>
  <c r="P102" i="6" s="1"/>
  <c r="P88" i="6"/>
  <c r="N69" i="10" l="1"/>
  <c r="P78" i="6" l="1"/>
  <c r="Q77" i="6" s="1"/>
  <c r="Q75" i="6" l="1"/>
  <c r="Q102" i="6" s="1"/>
  <c r="Q88" i="6"/>
  <c r="O69" i="10" l="1"/>
  <c r="Q78" i="6" l="1"/>
  <c r="R77" i="6" s="1"/>
  <c r="R75" i="6" l="1"/>
  <c r="R102" i="6" s="1"/>
  <c r="R88" i="6"/>
  <c r="P69" i="10" l="1"/>
  <c r="R78" i="6" l="1"/>
  <c r="S77" i="6" s="1"/>
  <c r="S75" i="6" l="1"/>
  <c r="S102" i="6" s="1"/>
  <c r="S88" i="6"/>
  <c r="Q69" i="10" l="1"/>
  <c r="S78" i="6" l="1"/>
  <c r="T77" i="6" s="1"/>
  <c r="T75" i="6" l="1"/>
  <c r="T102" i="6" s="1"/>
  <c r="T88" i="6"/>
  <c r="R69" i="10" l="1"/>
  <c r="T78" i="6" l="1"/>
  <c r="U77" i="6" s="1"/>
  <c r="U75" i="6" l="1"/>
  <c r="U102" i="6" s="1"/>
  <c r="U88" i="6"/>
  <c r="S69" i="10" l="1"/>
  <c r="U78" i="6" l="1"/>
  <c r="V77" i="6" s="1"/>
  <c r="V75" i="6" l="1"/>
  <c r="V102" i="6" s="1"/>
  <c r="V88" i="6"/>
  <c r="T69" i="10" l="1"/>
  <c r="V78" i="6" l="1"/>
  <c r="W77" i="6" s="1"/>
  <c r="W75" i="6" l="1"/>
  <c r="W102" i="6" s="1"/>
  <c r="W88" i="6"/>
  <c r="U69" i="10" l="1"/>
  <c r="W78" i="6" l="1"/>
  <c r="X77" i="6" s="1"/>
  <c r="X75" i="6" l="1"/>
  <c r="X102" i="6" s="1"/>
  <c r="X88" i="6"/>
  <c r="V69" i="10" l="1"/>
  <c r="X78" i="6" l="1"/>
  <c r="Y77" i="6" s="1"/>
  <c r="Y75" i="6" l="1"/>
  <c r="Y102" i="6" s="1"/>
  <c r="Y88" i="6"/>
  <c r="W69" i="10" l="1"/>
  <c r="Y78" i="6" l="1"/>
  <c r="Z77" i="6" s="1"/>
  <c r="Z75" i="6" l="1"/>
  <c r="Z102" i="6" s="1"/>
  <c r="Z88" i="6"/>
  <c r="X69" i="10" l="1"/>
  <c r="Z78" i="6" l="1"/>
  <c r="AA77" i="6" s="1"/>
  <c r="AA75" i="6" l="1"/>
  <c r="AA102" i="6" s="1"/>
  <c r="AA88" i="6"/>
  <c r="Y69" i="10" l="1"/>
  <c r="AA78" i="6" l="1"/>
  <c r="AB77" i="6" s="1"/>
  <c r="AB75" i="6" l="1"/>
  <c r="AB102" i="6" s="1"/>
  <c r="AB88" i="6"/>
  <c r="Z69" i="10" l="1"/>
  <c r="AB78" i="6" l="1"/>
  <c r="AC77" i="6" s="1"/>
  <c r="AC75" i="6" l="1"/>
  <c r="AC102" i="6" s="1"/>
  <c r="AC88" i="6"/>
  <c r="AA69" i="10" l="1"/>
  <c r="AC78" i="6" l="1"/>
  <c r="AD77" i="6" s="1"/>
  <c r="AD75" i="6" l="1"/>
  <c r="AD102" i="6" s="1"/>
  <c r="AD88" i="6"/>
  <c r="AB69" i="10" l="1"/>
  <c r="AD78" i="6" l="1"/>
  <c r="AE77" i="6" s="1"/>
  <c r="AE75" i="6" l="1"/>
  <c r="AE102" i="6" s="1"/>
  <c r="AE88" i="6"/>
  <c r="AC69" i="10" l="1"/>
  <c r="AE78" i="6" l="1"/>
  <c r="AF77" i="6" s="1"/>
  <c r="AF75" i="6" l="1"/>
  <c r="AF102" i="6" s="1"/>
  <c r="AF88" i="6"/>
  <c r="AD69" i="10" l="1"/>
  <c r="AF78" i="6" l="1"/>
  <c r="AG77" i="6" s="1"/>
  <c r="AG75" i="6" l="1"/>
  <c r="AG102" i="6" s="1"/>
  <c r="AG88" i="6"/>
  <c r="AE69" i="10" l="1"/>
  <c r="AG78" i="6" l="1"/>
  <c r="AH77" i="6" s="1"/>
  <c r="AH75" i="6" l="1"/>
  <c r="AH102" i="6" s="1"/>
  <c r="AH88" i="6"/>
  <c r="AF69" i="10" l="1"/>
  <c r="AH78" i="6" l="1"/>
  <c r="AI77" i="6" s="1"/>
  <c r="AI75" i="6" l="1"/>
  <c r="AI102" i="6" s="1"/>
  <c r="AI88" i="6"/>
  <c r="AG69" i="10" l="1"/>
  <c r="AI78" i="6" l="1"/>
  <c r="AJ77" i="6" s="1"/>
  <c r="AJ75" i="6" l="1"/>
  <c r="AJ102" i="6" s="1"/>
  <c r="AJ88" i="6"/>
  <c r="AH69" i="10" l="1"/>
  <c r="AJ78" i="6" l="1"/>
  <c r="AK77" i="6" s="1"/>
  <c r="AK75" i="6" l="1"/>
  <c r="AK102" i="6" s="1"/>
  <c r="AK88" i="6"/>
  <c r="AI69" i="10" l="1"/>
  <c r="AK78" i="6" l="1"/>
  <c r="AL77" i="6" s="1"/>
  <c r="AL75" i="6" l="1"/>
  <c r="AL102" i="6" s="1"/>
  <c r="AL88" i="6"/>
  <c r="AJ69" i="10" l="1"/>
  <c r="AL78" i="6" l="1"/>
  <c r="AM77" i="6" s="1"/>
  <c r="AM75" i="6" l="1"/>
  <c r="AM102" i="6" s="1"/>
  <c r="AM88" i="6"/>
  <c r="AK69" i="10" l="1"/>
  <c r="AM78" i="6" l="1"/>
  <c r="AN77" i="6" s="1"/>
  <c r="AN75" i="6" l="1"/>
  <c r="AN102" i="6" s="1"/>
  <c r="AN88" i="6"/>
  <c r="AL69" i="10" l="1"/>
  <c r="AN78" i="6" l="1"/>
  <c r="AO77" i="6" s="1"/>
  <c r="AO75" i="6" l="1"/>
  <c r="AO102" i="6" s="1"/>
  <c r="AO88" i="6"/>
  <c r="AM69" i="10" l="1"/>
  <c r="AO78" i="6" l="1"/>
  <c r="AP77" i="6" s="1"/>
  <c r="AP75" i="6" l="1"/>
  <c r="AP102" i="6" s="1"/>
  <c r="AP88" i="6"/>
  <c r="AN69" i="10" l="1"/>
  <c r="AP78" i="6" l="1"/>
  <c r="AQ77" i="6" s="1"/>
  <c r="AQ75" i="6" l="1"/>
  <c r="AQ102" i="6" s="1"/>
  <c r="AQ88" i="6"/>
  <c r="AO69" i="10" l="1"/>
  <c r="AQ78" i="6" l="1"/>
  <c r="AR77" i="6" s="1"/>
  <c r="AR75" i="6" l="1"/>
  <c r="AR102" i="6" s="1"/>
  <c r="AR88" i="6"/>
  <c r="AP69" i="10" l="1"/>
  <c r="AR78" i="6" l="1"/>
  <c r="AS77" i="6" s="1"/>
  <c r="AS75" i="6" l="1"/>
  <c r="AS102" i="6" s="1"/>
  <c r="AS88" i="6"/>
  <c r="AQ69" i="10" l="1"/>
  <c r="AS78" i="6" l="1"/>
  <c r="AT77" i="6" s="1"/>
  <c r="AT75" i="6" l="1"/>
  <c r="AT102" i="6" s="1"/>
  <c r="AT88" i="6"/>
  <c r="AR69" i="10" l="1"/>
  <c r="AT78" i="6" l="1"/>
  <c r="AU77" i="6" s="1"/>
  <c r="AU75" i="6" l="1"/>
  <c r="AU102" i="6" s="1"/>
  <c r="AU88" i="6"/>
  <c r="AS69" i="10" l="1"/>
  <c r="AU78" i="6" l="1"/>
  <c r="AV77" i="6" s="1"/>
  <c r="AV75" i="6" l="1"/>
  <c r="AV102" i="6" s="1"/>
  <c r="AV88" i="6"/>
  <c r="AT69" i="10" l="1"/>
  <c r="AV78" i="6" l="1"/>
  <c r="AW77" i="6" s="1"/>
  <c r="AW75" i="6" l="1"/>
  <c r="AW102" i="6" s="1"/>
  <c r="AW88" i="6"/>
  <c r="AU69" i="10" l="1"/>
  <c r="AW78" i="6" l="1"/>
  <c r="AX77" i="6" s="1"/>
  <c r="AX75" i="6" l="1"/>
  <c r="AX102" i="6" s="1"/>
  <c r="AX88" i="6"/>
  <c r="AV69" i="10" l="1"/>
  <c r="AX78" i="6" l="1"/>
  <c r="AY77" i="6" s="1"/>
  <c r="AY75" i="6" l="1"/>
  <c r="AY102" i="6" s="1"/>
  <c r="AY88" i="6"/>
  <c r="AW69" i="10" l="1"/>
  <c r="AY78" i="6" l="1"/>
  <c r="AZ77" i="6" s="1"/>
  <c r="AZ75" i="6" l="1"/>
  <c r="AZ102" i="6" s="1"/>
  <c r="AZ88" i="6"/>
  <c r="AX69" i="10" l="1"/>
  <c r="AZ78" i="6" l="1"/>
  <c r="BA77" i="6" s="1"/>
  <c r="BA75" i="6" l="1"/>
  <c r="BA102" i="6" s="1"/>
  <c r="BA88" i="6"/>
  <c r="AY69" i="10" l="1"/>
  <c r="BA78" i="6" l="1"/>
  <c r="BB77" i="6" s="1"/>
  <c r="BB75" i="6" l="1"/>
  <c r="BB102" i="6" s="1"/>
  <c r="BB88" i="6"/>
  <c r="AZ69" i="10" l="1"/>
  <c r="F101" i="9" l="1"/>
  <c r="G101" i="9"/>
  <c r="H101" i="9"/>
  <c r="I101" i="9"/>
  <c r="BB78" i="6" l="1"/>
  <c r="BC77" i="6" s="1"/>
  <c r="F205" i="9"/>
  <c r="G205" i="9"/>
  <c r="H205" i="9"/>
  <c r="I205" i="9"/>
  <c r="BC75" i="6" l="1"/>
  <c r="BC102" i="6" s="1"/>
  <c r="BC88" i="6"/>
  <c r="BA69" i="10" l="1"/>
  <c r="BC78" i="6" l="1"/>
  <c r="BD77" i="6" s="1"/>
  <c r="BD75" i="6" l="1"/>
  <c r="BD102" i="6" s="1"/>
  <c r="BD88" i="6"/>
  <c r="BB69" i="10" l="1"/>
  <c r="BD78" i="6" l="1"/>
  <c r="BE77" i="6" s="1"/>
  <c r="BE75" i="6" l="1"/>
  <c r="BE102" i="6" s="1"/>
  <c r="BE88" i="6"/>
  <c r="BC69" i="10" l="1"/>
  <c r="BE78" i="6" l="1"/>
  <c r="BF77" i="6" s="1"/>
  <c r="BF75" i="6" l="1"/>
  <c r="BF102" i="6" s="1"/>
  <c r="BF88" i="6"/>
  <c r="BD69" i="10" l="1"/>
  <c r="BF78" i="6" l="1"/>
  <c r="BG77" i="6" s="1"/>
  <c r="BG75" i="6" l="1"/>
  <c r="BG102" i="6" s="1"/>
  <c r="BG88" i="6"/>
  <c r="BE69" i="10" l="1"/>
  <c r="BG78" i="6" l="1"/>
  <c r="BH77" i="6" s="1"/>
  <c r="BH75" i="6" l="1"/>
  <c r="BH102" i="6" s="1"/>
  <c r="BH88" i="6"/>
  <c r="BF69" i="10" l="1"/>
  <c r="BH78" i="6" l="1"/>
  <c r="BI77" i="6" s="1"/>
  <c r="BI75" i="6" l="1"/>
  <c r="BI102" i="6" s="1"/>
  <c r="BI88" i="6"/>
  <c r="BG69" i="10" l="1"/>
  <c r="BI78" i="6" l="1"/>
  <c r="BJ77" i="6" s="1"/>
  <c r="BJ75" i="6" l="1"/>
  <c r="BJ102" i="6" s="1"/>
  <c r="BJ88" i="6"/>
  <c r="BH69" i="10" l="1"/>
  <c r="BJ78" i="6" l="1"/>
  <c r="BK77" i="6" s="1"/>
  <c r="BK75" i="6" l="1"/>
  <c r="BK102" i="6" s="1"/>
  <c r="BK88" i="6"/>
  <c r="BI69" i="10" l="1"/>
  <c r="BK78" i="6" l="1"/>
  <c r="BL77" i="6" s="1"/>
  <c r="BL75" i="6" l="1"/>
  <c r="BL102" i="6" s="1"/>
  <c r="BL88" i="6"/>
  <c r="BJ69" i="10" l="1"/>
  <c r="BL78" i="6" l="1"/>
  <c r="BM77" i="6" s="1"/>
  <c r="BM75" i="6" l="1"/>
  <c r="BM102" i="6" s="1"/>
  <c r="BM88" i="6"/>
  <c r="BK69" i="10" l="1"/>
  <c r="BM78" i="6" l="1"/>
  <c r="BN77" i="6" s="1"/>
  <c r="BN75" i="6" l="1"/>
  <c r="BN102" i="6" s="1"/>
  <c r="BN88" i="6"/>
  <c r="BL69" i="10" l="1"/>
  <c r="BN78" i="6" l="1"/>
  <c r="BO77" i="6" s="1"/>
  <c r="BO75" i="6" l="1"/>
  <c r="BO102" i="6" s="1"/>
  <c r="BO88" i="6"/>
  <c r="BM69" i="10" l="1"/>
  <c r="BO78" i="6" l="1"/>
  <c r="BP77" i="6" s="1"/>
  <c r="BP75" i="6" l="1"/>
  <c r="BP102" i="6" s="1"/>
  <c r="BP88" i="6"/>
  <c r="BN69" i="10" l="1"/>
  <c r="BP78" i="6" l="1"/>
  <c r="BQ77" i="6" s="1"/>
  <c r="BQ75" i="6" l="1"/>
  <c r="BQ102" i="6" s="1"/>
  <c r="BQ88" i="6"/>
  <c r="BO69" i="10" l="1"/>
  <c r="BQ78" i="6" l="1"/>
  <c r="BR77" i="6" s="1"/>
  <c r="BR75" i="6" l="1"/>
  <c r="BR102" i="6" s="1"/>
  <c r="BR88" i="6"/>
  <c r="BP69" i="10" l="1"/>
  <c r="BR78" i="6" l="1"/>
  <c r="BS77" i="6" s="1"/>
  <c r="BS75" i="6" l="1"/>
  <c r="BS102" i="6" s="1"/>
  <c r="BS88" i="6"/>
  <c r="BQ69" i="10" l="1"/>
  <c r="BS78" i="6" l="1"/>
  <c r="BT77" i="6" s="1"/>
  <c r="BT75" i="6" l="1"/>
  <c r="BT102" i="6" s="1"/>
  <c r="BT88" i="6"/>
  <c r="BR69" i="10" l="1"/>
  <c r="BT78" i="6" l="1"/>
  <c r="BU77" i="6" s="1"/>
  <c r="BU75" i="6" l="1"/>
  <c r="BU102" i="6" s="1"/>
  <c r="BU88" i="6"/>
  <c r="BS69" i="10" l="1"/>
  <c r="BU78" i="6" l="1"/>
  <c r="BV77" i="6" s="1"/>
  <c r="BV75" i="6" l="1"/>
  <c r="BV102" i="6" s="1"/>
  <c r="BV88" i="6"/>
  <c r="BT69" i="10" l="1"/>
  <c r="BV78" i="6" l="1"/>
  <c r="BW77" i="6" s="1"/>
  <c r="BW75" i="6" l="1"/>
  <c r="BW102" i="6" s="1"/>
  <c r="BW88" i="6"/>
  <c r="BU69" i="10" l="1"/>
  <c r="BW78" i="6" l="1"/>
  <c r="BX77" i="6" s="1"/>
  <c r="BX75" i="6" l="1"/>
  <c r="BX102" i="6" s="1"/>
  <c r="BX88" i="6"/>
  <c r="BV69" i="10" l="1"/>
  <c r="BX78" i="6" l="1"/>
  <c r="BY77" i="6" s="1"/>
  <c r="BY75" i="6" l="1"/>
  <c r="BY102" i="6" s="1"/>
  <c r="BY88" i="6"/>
  <c r="BW69" i="10" l="1"/>
  <c r="BY78" i="6" l="1"/>
  <c r="BZ77" i="6" s="1"/>
  <c r="BZ75" i="6" l="1"/>
  <c r="BZ102" i="6" s="1"/>
  <c r="BZ88" i="6"/>
  <c r="BX69" i="10" l="1"/>
  <c r="BZ78" i="6" l="1"/>
  <c r="CA77" i="6" s="1"/>
  <c r="CA75" i="6" l="1"/>
  <c r="CA102" i="6" s="1"/>
  <c r="CA88" i="6"/>
  <c r="BY69" i="10" l="1"/>
  <c r="CA78" i="6" l="1"/>
  <c r="CB77" i="6" s="1"/>
  <c r="CB75" i="6" l="1"/>
  <c r="CB102" i="6" s="1"/>
  <c r="CB88" i="6"/>
  <c r="BZ69" i="10" l="1"/>
  <c r="CB78" i="6" l="1"/>
  <c r="CC77" i="6" s="1"/>
  <c r="CC75" i="6" l="1"/>
  <c r="CC102" i="6" s="1"/>
  <c r="CC88" i="6"/>
  <c r="CA69" i="10" l="1"/>
  <c r="CC78" i="6" l="1"/>
  <c r="CD77" i="6" s="1"/>
  <c r="CD75" i="6" l="1"/>
  <c r="CD102" i="6" s="1"/>
  <c r="CD88" i="6"/>
  <c r="CB69" i="10" l="1"/>
  <c r="CD78" i="6" l="1"/>
  <c r="CE77" i="6" s="1"/>
  <c r="CE75" i="6" l="1"/>
  <c r="CE102" i="6" s="1"/>
  <c r="CE88" i="6"/>
  <c r="CC69" i="10" l="1"/>
  <c r="CE78" i="6" l="1"/>
  <c r="CF77" i="6" s="1"/>
  <c r="CF75" i="6" l="1"/>
  <c r="CF102" i="6" s="1"/>
  <c r="CF88" i="6"/>
  <c r="CD69" i="10" l="1"/>
  <c r="CF78" i="6" l="1"/>
  <c r="CG77" i="6" s="1"/>
  <c r="CG75" i="6" l="1"/>
  <c r="CG102" i="6" s="1"/>
  <c r="CG88" i="6"/>
  <c r="CE69" i="10" l="1"/>
  <c r="CG78" i="6" l="1"/>
  <c r="CH77" i="6" s="1"/>
  <c r="CH75" i="6" l="1"/>
  <c r="CH102" i="6" s="1"/>
  <c r="CH88" i="6"/>
  <c r="CF69" i="10" l="1"/>
  <c r="CH78" i="6" l="1"/>
  <c r="CI77" i="6" s="1"/>
  <c r="CI75" i="6" l="1"/>
  <c r="CI102" i="6" s="1"/>
  <c r="CI88" i="6"/>
  <c r="CG69" i="10" l="1"/>
  <c r="CI78" i="6" l="1"/>
  <c r="CJ77" i="6" s="1"/>
  <c r="CJ75" i="6" l="1"/>
  <c r="CJ102" i="6" s="1"/>
  <c r="CJ88" i="6"/>
  <c r="CH69" i="10" l="1"/>
  <c r="CJ78" i="6" l="1"/>
  <c r="CK77" i="6" s="1"/>
  <c r="CK75" i="6" l="1"/>
  <c r="CK102" i="6" s="1"/>
  <c r="CK88" i="6" l="1"/>
  <c r="D77" i="6"/>
  <c r="CI69" i="10" l="1"/>
  <c r="D76" i="6" l="1"/>
  <c r="D78" i="6" s="1"/>
  <c r="CK78" i="6"/>
  <c r="CJ69" i="10" l="1"/>
  <c r="D88" i="6" l="1"/>
  <c r="D86" i="6" l="1"/>
  <c r="CJ103" i="6"/>
  <c r="CF103" i="6"/>
  <c r="CB103" i="6"/>
  <c r="BX103" i="6"/>
  <c r="BT103" i="6"/>
  <c r="BP103" i="6"/>
  <c r="BL103" i="6"/>
  <c r="BH103" i="6"/>
  <c r="BD103" i="6"/>
  <c r="AZ103" i="6"/>
  <c r="AV103" i="6"/>
  <c r="AR103" i="6"/>
  <c r="AN103" i="6"/>
  <c r="AJ103" i="6"/>
  <c r="AF103" i="6"/>
  <c r="AB103" i="6"/>
  <c r="X103" i="6"/>
  <c r="T103" i="6"/>
  <c r="P103" i="6"/>
  <c r="L103" i="6"/>
  <c r="H103" i="6"/>
  <c r="CI103" i="6"/>
  <c r="CE103" i="6"/>
  <c r="CA103" i="6"/>
  <c r="BW103" i="6"/>
  <c r="BS103" i="6"/>
  <c r="BO103" i="6"/>
  <c r="BK103" i="6"/>
  <c r="BG103" i="6"/>
  <c r="BC103" i="6"/>
  <c r="AY103" i="6"/>
  <c r="AU103" i="6"/>
  <c r="AQ103" i="6"/>
  <c r="AM103" i="6"/>
  <c r="AI103" i="6"/>
  <c r="AE103" i="6"/>
  <c r="AA103" i="6"/>
  <c r="W103" i="6"/>
  <c r="S103" i="6"/>
  <c r="O103" i="6"/>
  <c r="K103" i="6"/>
  <c r="G103" i="6"/>
  <c r="CK103" i="6"/>
  <c r="CC103" i="6"/>
  <c r="BU103" i="6"/>
  <c r="BM103" i="6"/>
  <c r="BE103" i="6"/>
  <c r="AW103" i="6"/>
  <c r="AO103" i="6"/>
  <c r="AG103" i="6"/>
  <c r="Y103" i="6"/>
  <c r="Q103" i="6"/>
  <c r="I103" i="6"/>
  <c r="CG103" i="6"/>
  <c r="BV103" i="6"/>
  <c r="BJ103" i="6"/>
  <c r="BA103" i="6"/>
  <c r="AP103" i="6"/>
  <c r="AD103" i="6"/>
  <c r="U103" i="6"/>
  <c r="J103" i="6"/>
  <c r="CD103" i="6"/>
  <c r="BR103" i="6"/>
  <c r="BI103" i="6"/>
  <c r="AX103" i="6"/>
  <c r="AL103" i="6"/>
  <c r="AC103" i="6"/>
  <c r="R103" i="6"/>
  <c r="BZ103" i="6"/>
  <c r="BQ103" i="6"/>
  <c r="BF103" i="6"/>
  <c r="AT103" i="6"/>
  <c r="AK103" i="6"/>
  <c r="Z103" i="6"/>
  <c r="N103" i="6"/>
  <c r="BB103" i="6"/>
  <c r="M103" i="6"/>
  <c r="Z71" i="6"/>
  <c r="CH103" i="6"/>
  <c r="AS103" i="6"/>
  <c r="BY103" i="6"/>
  <c r="AH103" i="6"/>
  <c r="BN103" i="6"/>
  <c r="V103" i="6"/>
  <c r="CK69" i="10"/>
  <c r="J101" i="9"/>
  <c r="D114" i="7"/>
  <c r="K101" i="9"/>
  <c r="L101" i="9"/>
  <c r="M101" i="9"/>
  <c r="BR71" i="6" l="1"/>
  <c r="AL71" i="6"/>
  <c r="N71" i="6"/>
  <c r="J71" i="6"/>
  <c r="AD71" i="6"/>
  <c r="AX71" i="6"/>
  <c r="BB71" i="6"/>
  <c r="BF71" i="6"/>
  <c r="D102" i="6"/>
  <c r="F103" i="6"/>
  <c r="AT71" i="6"/>
  <c r="K71" i="6"/>
  <c r="AA71" i="6"/>
  <c r="AQ71" i="6"/>
  <c r="BG71" i="6"/>
  <c r="BW71" i="6"/>
  <c r="BJ71" i="6"/>
  <c r="R71" i="6"/>
  <c r="CD71" i="6"/>
  <c r="O71" i="6"/>
  <c r="AE71" i="6"/>
  <c r="CA71" i="6"/>
  <c r="P71" i="6"/>
  <c r="AF71" i="6"/>
  <c r="CB71" i="6"/>
  <c r="AH71" i="6"/>
  <c r="AJ71" i="6"/>
  <c r="G71" i="6"/>
  <c r="W71" i="6"/>
  <c r="BS71" i="6"/>
  <c r="CI71" i="6"/>
  <c r="BZ71" i="6"/>
  <c r="AP71" i="6"/>
  <c r="S71" i="6"/>
  <c r="AI71" i="6"/>
  <c r="AY71" i="6"/>
  <c r="BO71" i="6"/>
  <c r="CE71" i="6"/>
  <c r="T71" i="6"/>
  <c r="AZ71" i="6"/>
  <c r="BP71" i="6"/>
  <c r="CF71" i="6"/>
  <c r="U71" i="6"/>
  <c r="AK71" i="6"/>
  <c r="BA71" i="6"/>
  <c r="BQ71" i="6"/>
  <c r="CG71" i="6"/>
  <c r="AM71" i="6"/>
  <c r="BC71" i="6"/>
  <c r="H71" i="6"/>
  <c r="X71" i="6"/>
  <c r="AN71" i="6"/>
  <c r="BD71" i="6"/>
  <c r="BT71" i="6"/>
  <c r="CJ71" i="6"/>
  <c r="I71" i="6"/>
  <c r="Y71" i="6"/>
  <c r="AO71" i="6"/>
  <c r="BE71" i="6"/>
  <c r="BU71" i="6"/>
  <c r="CK71" i="6"/>
  <c r="D70" i="6"/>
  <c r="BN71" i="6"/>
  <c r="F71" i="6"/>
  <c r="D69" i="6"/>
  <c r="BV71" i="6"/>
  <c r="L71" i="6"/>
  <c r="AB71" i="6"/>
  <c r="AR71" i="6"/>
  <c r="BH71" i="6"/>
  <c r="BX71" i="6"/>
  <c r="M71" i="6"/>
  <c r="AC71" i="6"/>
  <c r="AS71" i="6"/>
  <c r="BI71" i="6"/>
  <c r="BY71" i="6"/>
  <c r="V71" i="6"/>
  <c r="CH71" i="6"/>
  <c r="AU71" i="6"/>
  <c r="BK71" i="6"/>
  <c r="AV71" i="6"/>
  <c r="BL71" i="6"/>
  <c r="Q71" i="6"/>
  <c r="AG71" i="6"/>
  <c r="AW71" i="6"/>
  <c r="BM71" i="6"/>
  <c r="CC71" i="6"/>
  <c r="D101" i="9"/>
  <c r="G52" i="15" s="1"/>
  <c r="J205" i="9"/>
  <c r="D69" i="10"/>
  <c r="K205" i="9"/>
  <c r="L205" i="9"/>
  <c r="M205" i="9"/>
  <c r="D103" i="6" l="1"/>
  <c r="D104" i="6" s="1"/>
  <c r="F104" i="6"/>
  <c r="G101" i="6" s="1"/>
  <c r="G104" i="6" s="1"/>
  <c r="H101" i="6" s="1"/>
  <c r="H104" i="6" s="1"/>
  <c r="I101" i="6" s="1"/>
  <c r="I104" i="6" s="1"/>
  <c r="J101" i="6" s="1"/>
  <c r="J104" i="6" s="1"/>
  <c r="K101" i="6" s="1"/>
  <c r="K104" i="6" s="1"/>
  <c r="L101" i="6" s="1"/>
  <c r="L104" i="6" s="1"/>
  <c r="M101" i="6" s="1"/>
  <c r="M104" i="6" s="1"/>
  <c r="N101" i="6" s="1"/>
  <c r="N104" i="6" s="1"/>
  <c r="O101" i="6" s="1"/>
  <c r="O104" i="6" s="1"/>
  <c r="P101" i="6" s="1"/>
  <c r="P104" i="6" s="1"/>
  <c r="Q101" i="6" s="1"/>
  <c r="Q104" i="6" s="1"/>
  <c r="R101" i="6" s="1"/>
  <c r="R104" i="6" s="1"/>
  <c r="S101" i="6" s="1"/>
  <c r="S104" i="6" s="1"/>
  <c r="T101" i="6" s="1"/>
  <c r="T104" i="6" s="1"/>
  <c r="U101" i="6" s="1"/>
  <c r="U104" i="6" s="1"/>
  <c r="V101" i="6" s="1"/>
  <c r="V104" i="6" s="1"/>
  <c r="W101" i="6" s="1"/>
  <c r="W104" i="6" s="1"/>
  <c r="X101" i="6" s="1"/>
  <c r="X104" i="6" s="1"/>
  <c r="Y101" i="6" s="1"/>
  <c r="Y104" i="6" s="1"/>
  <c r="Z101" i="6" s="1"/>
  <c r="Z104" i="6" s="1"/>
  <c r="AA101" i="6" s="1"/>
  <c r="AA104" i="6" s="1"/>
  <c r="AB101" i="6" s="1"/>
  <c r="AB104" i="6" s="1"/>
  <c r="AC101" i="6" s="1"/>
  <c r="AC104" i="6" s="1"/>
  <c r="AD101" i="6" s="1"/>
  <c r="AD104" i="6" s="1"/>
  <c r="AE101" i="6" s="1"/>
  <c r="AE104" i="6" s="1"/>
  <c r="AF101" i="6" s="1"/>
  <c r="AF104" i="6" s="1"/>
  <c r="AG101" i="6" s="1"/>
  <c r="AG104" i="6" s="1"/>
  <c r="AH101" i="6" s="1"/>
  <c r="AH104" i="6" s="1"/>
  <c r="AI101" i="6" s="1"/>
  <c r="AI104" i="6" s="1"/>
  <c r="AJ101" i="6" s="1"/>
  <c r="AJ104" i="6" s="1"/>
  <c r="AK101" i="6" s="1"/>
  <c r="AK104" i="6" s="1"/>
  <c r="AL101" i="6" s="1"/>
  <c r="AL104" i="6" s="1"/>
  <c r="AM101" i="6" s="1"/>
  <c r="AM104" i="6" s="1"/>
  <c r="AN101" i="6" s="1"/>
  <c r="AN104" i="6" s="1"/>
  <c r="AO101" i="6" s="1"/>
  <c r="AO104" i="6" s="1"/>
  <c r="AP101" i="6" s="1"/>
  <c r="AP104" i="6" s="1"/>
  <c r="AQ101" i="6" s="1"/>
  <c r="AQ104" i="6" s="1"/>
  <c r="AR101" i="6" s="1"/>
  <c r="AR104" i="6" s="1"/>
  <c r="AS101" i="6" s="1"/>
  <c r="AS104" i="6" s="1"/>
  <c r="AT101" i="6" s="1"/>
  <c r="AT104" i="6" s="1"/>
  <c r="AU101" i="6" s="1"/>
  <c r="AU104" i="6" s="1"/>
  <c r="AV101" i="6" s="1"/>
  <c r="AV104" i="6" s="1"/>
  <c r="AW101" i="6" s="1"/>
  <c r="AW104" i="6" s="1"/>
  <c r="AX101" i="6" s="1"/>
  <c r="AX104" i="6" s="1"/>
  <c r="AY101" i="6" s="1"/>
  <c r="AY104" i="6" s="1"/>
  <c r="AZ101" i="6" s="1"/>
  <c r="AZ104" i="6" s="1"/>
  <c r="BA101" i="6" s="1"/>
  <c r="BA104" i="6" s="1"/>
  <c r="BB101" i="6" s="1"/>
  <c r="BB104" i="6" s="1"/>
  <c r="BC101" i="6" s="1"/>
  <c r="BC104" i="6" s="1"/>
  <c r="BD101" i="6" s="1"/>
  <c r="BD104" i="6" s="1"/>
  <c r="BE101" i="6" s="1"/>
  <c r="BE104" i="6" s="1"/>
  <c r="BF101" i="6" s="1"/>
  <c r="BF104" i="6" s="1"/>
  <c r="BG101" i="6" s="1"/>
  <c r="BG104" i="6" s="1"/>
  <c r="BH101" i="6" s="1"/>
  <c r="BH104" i="6" s="1"/>
  <c r="BI101" i="6" s="1"/>
  <c r="BI104" i="6" s="1"/>
  <c r="BJ101" i="6" s="1"/>
  <c r="BJ104" i="6" s="1"/>
  <c r="BK101" i="6" s="1"/>
  <c r="BK104" i="6" s="1"/>
  <c r="BL101" i="6" s="1"/>
  <c r="BL104" i="6" s="1"/>
  <c r="BM101" i="6" s="1"/>
  <c r="BM104" i="6" s="1"/>
  <c r="BN101" i="6" s="1"/>
  <c r="BN104" i="6" s="1"/>
  <c r="BO101" i="6" s="1"/>
  <c r="BO104" i="6" s="1"/>
  <c r="BP101" i="6" s="1"/>
  <c r="BP104" i="6" s="1"/>
  <c r="BQ101" i="6" s="1"/>
  <c r="BQ104" i="6" s="1"/>
  <c r="BR101" i="6" s="1"/>
  <c r="BR104" i="6" s="1"/>
  <c r="BS101" i="6" s="1"/>
  <c r="BS104" i="6" s="1"/>
  <c r="BT101" i="6" s="1"/>
  <c r="BT104" i="6" s="1"/>
  <c r="BU101" i="6" s="1"/>
  <c r="BU104" i="6" s="1"/>
  <c r="BV101" i="6" s="1"/>
  <c r="BV104" i="6" s="1"/>
  <c r="BW101" i="6" s="1"/>
  <c r="BW104" i="6" s="1"/>
  <c r="BX101" i="6" s="1"/>
  <c r="BX104" i="6" s="1"/>
  <c r="BY101" i="6" s="1"/>
  <c r="BY104" i="6" s="1"/>
  <c r="BZ101" i="6" s="1"/>
  <c r="BZ104" i="6" s="1"/>
  <c r="CA101" i="6" s="1"/>
  <c r="CA104" i="6" s="1"/>
  <c r="CB101" i="6" s="1"/>
  <c r="CB104" i="6" s="1"/>
  <c r="CC101" i="6" s="1"/>
  <c r="CC104" i="6" s="1"/>
  <c r="CD101" i="6" s="1"/>
  <c r="CD104" i="6" s="1"/>
  <c r="CE101" i="6" s="1"/>
  <c r="CE104" i="6" s="1"/>
  <c r="CF101" i="6" s="1"/>
  <c r="CF104" i="6" s="1"/>
  <c r="CG101" i="6" s="1"/>
  <c r="CG104" i="6" s="1"/>
  <c r="CH101" i="6" s="1"/>
  <c r="CH104" i="6" s="1"/>
  <c r="CI101" i="6" s="1"/>
  <c r="CI104" i="6" s="1"/>
  <c r="CJ101" i="6" s="1"/>
  <c r="CJ104" i="6" s="1"/>
  <c r="CK101" i="6" s="1"/>
  <c r="CK104" i="6" s="1"/>
  <c r="D71" i="6"/>
  <c r="E73" i="6" s="1"/>
  <c r="E12" i="13" s="1"/>
  <c r="F12" i="13" s="1"/>
  <c r="D205" i="9"/>
  <c r="F115" i="6" l="1"/>
  <c r="F116" i="6" l="1"/>
  <c r="G113" i="6" s="1"/>
  <c r="F83" i="6" l="1"/>
  <c r="G82" i="6" l="1"/>
  <c r="G89" i="6" s="1"/>
  <c r="G80" i="6"/>
  <c r="G114" i="6" s="1"/>
  <c r="G121" i="6" s="1"/>
  <c r="G90" i="6" l="1"/>
  <c r="H85" i="6" s="1"/>
  <c r="G120" i="7"/>
  <c r="G52" i="7"/>
  <c r="G122" i="6"/>
  <c r="G166" i="7"/>
  <c r="G83" i="6"/>
  <c r="H82" i="6" s="1"/>
  <c r="G123" i="6" l="1"/>
  <c r="G119" i="7"/>
  <c r="G38" i="6"/>
  <c r="G39" i="6" s="1"/>
  <c r="G52" i="6" s="1"/>
  <c r="H80" i="6"/>
  <c r="G53" i="7"/>
  <c r="G60" i="12"/>
  <c r="G70" i="10"/>
  <c r="H83" i="6"/>
  <c r="G115" i="6"/>
  <c r="H114" i="6" l="1"/>
  <c r="H121" i="6" s="1"/>
  <c r="G57" i="6"/>
  <c r="G58" i="6" s="1"/>
  <c r="G46" i="6"/>
  <c r="G47" i="6" s="1"/>
  <c r="H45" i="6" s="1"/>
  <c r="G53" i="6"/>
  <c r="G113" i="7"/>
  <c r="G115" i="7" s="1"/>
  <c r="G68" i="10"/>
  <c r="G121" i="7"/>
  <c r="G54" i="7"/>
  <c r="G51" i="12" s="1"/>
  <c r="G118" i="5"/>
  <c r="G126" i="5" s="1"/>
  <c r="G84" i="5"/>
  <c r="G92" i="5" s="1"/>
  <c r="H120" i="6"/>
  <c r="G167" i="7"/>
  <c r="G168" i="7" s="1"/>
  <c r="I80" i="6"/>
  <c r="I82" i="6"/>
  <c r="I89" i="6" s="1"/>
  <c r="I120" i="7" s="1"/>
  <c r="I70" i="10" s="1"/>
  <c r="H89" i="6"/>
  <c r="G116" i="6"/>
  <c r="H113" i="6" s="1"/>
  <c r="I83" i="6" l="1"/>
  <c r="J82" i="6" s="1"/>
  <c r="G141" i="5"/>
  <c r="G127" i="5" s="1"/>
  <c r="G128" i="5" s="1"/>
  <c r="G133" i="5" s="1"/>
  <c r="G140" i="5"/>
  <c r="H90" i="6"/>
  <c r="H166" i="7" s="1"/>
  <c r="H120" i="7"/>
  <c r="I114" i="6"/>
  <c r="I121" i="6" s="1"/>
  <c r="G123" i="7"/>
  <c r="G127" i="7" s="1"/>
  <c r="G130" i="7" s="1"/>
  <c r="H52" i="7"/>
  <c r="H122" i="6"/>
  <c r="G107" i="5"/>
  <c r="G93" i="5" s="1"/>
  <c r="G94" i="5" s="1"/>
  <c r="G99" i="5" s="1"/>
  <c r="G106" i="5"/>
  <c r="H51" i="6"/>
  <c r="G160" i="7"/>
  <c r="H115" i="6"/>
  <c r="H116" i="6" s="1"/>
  <c r="I113" i="6" s="1"/>
  <c r="J89" i="6"/>
  <c r="J120" i="7" s="1"/>
  <c r="J70" i="10" s="1"/>
  <c r="I85" i="6"/>
  <c r="J80" i="6"/>
  <c r="J114" i="6" s="1"/>
  <c r="J121" i="6" s="1"/>
  <c r="G108" i="5" l="1"/>
  <c r="H105" i="5" s="1"/>
  <c r="I115" i="6"/>
  <c r="I116" i="6"/>
  <c r="J113" i="6" s="1"/>
  <c r="G142" i="5"/>
  <c r="H139" i="5" s="1"/>
  <c r="H38" i="6"/>
  <c r="H119" i="7"/>
  <c r="H123" i="6"/>
  <c r="H60" i="12"/>
  <c r="H53" i="7"/>
  <c r="G134" i="7"/>
  <c r="H129" i="7"/>
  <c r="G147" i="7"/>
  <c r="G57" i="7"/>
  <c r="G135" i="5"/>
  <c r="H132" i="5" s="1"/>
  <c r="H134" i="5" s="1"/>
  <c r="H92" i="7" s="1"/>
  <c r="G101" i="5"/>
  <c r="G56" i="7"/>
  <c r="H70" i="10"/>
  <c r="I90" i="6"/>
  <c r="J115" i="6"/>
  <c r="J83" i="6"/>
  <c r="K82" i="6" s="1"/>
  <c r="G103" i="10" l="1"/>
  <c r="G36" i="12"/>
  <c r="G58" i="7"/>
  <c r="G152" i="7"/>
  <c r="G61" i="12"/>
  <c r="H98" i="5"/>
  <c r="H100" i="5" s="1"/>
  <c r="H91" i="7" s="1"/>
  <c r="H96" i="7" s="1"/>
  <c r="H98" i="7" s="1"/>
  <c r="G176" i="7"/>
  <c r="G178" i="7" s="1"/>
  <c r="I120" i="6"/>
  <c r="H167" i="7"/>
  <c r="H168" i="7" s="1"/>
  <c r="H68" i="10"/>
  <c r="H121" i="7"/>
  <c r="G37" i="12"/>
  <c r="G104" i="10"/>
  <c r="H118" i="5"/>
  <c r="H126" i="5" s="1"/>
  <c r="H141" i="5" s="1"/>
  <c r="H84" i="5"/>
  <c r="H92" i="5" s="1"/>
  <c r="H107" i="5" s="1"/>
  <c r="H54" i="7"/>
  <c r="H51" i="12" s="1"/>
  <c r="K89" i="6"/>
  <c r="K120" i="7" s="1"/>
  <c r="I166" i="7"/>
  <c r="J85" i="6"/>
  <c r="I122" i="6"/>
  <c r="I52" i="7"/>
  <c r="J116" i="6"/>
  <c r="K113" i="6" s="1"/>
  <c r="K80" i="6"/>
  <c r="K114" i="6" s="1"/>
  <c r="K121" i="6" s="1"/>
  <c r="H106" i="5" l="1"/>
  <c r="H108" i="5" s="1"/>
  <c r="I105" i="5" s="1"/>
  <c r="H140" i="5"/>
  <c r="K70" i="10"/>
  <c r="G68" i="12"/>
  <c r="G67" i="12"/>
  <c r="G42" i="12"/>
  <c r="G44" i="12" s="1"/>
  <c r="G56" i="12" s="1"/>
  <c r="G154" i="7"/>
  <c r="H37" i="6"/>
  <c r="H39" i="6" s="1"/>
  <c r="H39" i="10"/>
  <c r="H66" i="10" s="1"/>
  <c r="G64" i="7"/>
  <c r="G65" i="7" s="1"/>
  <c r="G59" i="7"/>
  <c r="G52" i="12" s="1"/>
  <c r="G38" i="12"/>
  <c r="G69" i="12"/>
  <c r="G105" i="10"/>
  <c r="G107" i="10" s="1"/>
  <c r="J90" i="6"/>
  <c r="I60" i="12"/>
  <c r="I53" i="7"/>
  <c r="I123" i="6"/>
  <c r="I38" i="6"/>
  <c r="I119" i="7"/>
  <c r="K115" i="6"/>
  <c r="K116" i="6" s="1"/>
  <c r="L113" i="6" s="1"/>
  <c r="H142" i="5"/>
  <c r="I139" i="5" s="1"/>
  <c r="H127" i="5"/>
  <c r="H93" i="5"/>
  <c r="K83" i="6"/>
  <c r="L82" i="6" s="1"/>
  <c r="G54" i="12" l="1"/>
  <c r="G55" i="12"/>
  <c r="H52" i="6"/>
  <c r="H57" i="6" s="1"/>
  <c r="H58" i="6" s="1"/>
  <c r="G41" i="10"/>
  <c r="G42" i="10" s="1"/>
  <c r="G71" i="10"/>
  <c r="G72" i="10" s="1"/>
  <c r="H63" i="7"/>
  <c r="G161" i="7"/>
  <c r="G162" i="7" s="1"/>
  <c r="J120" i="6"/>
  <c r="I167" i="7"/>
  <c r="I168" i="7" s="1"/>
  <c r="I54" i="7"/>
  <c r="I51" i="12" s="1"/>
  <c r="I84" i="5"/>
  <c r="I92" i="5" s="1"/>
  <c r="I107" i="5" s="1"/>
  <c r="I118" i="5"/>
  <c r="I126" i="5" s="1"/>
  <c r="I141" i="5" s="1"/>
  <c r="J166" i="7"/>
  <c r="K85" i="6"/>
  <c r="I68" i="10"/>
  <c r="I121" i="7"/>
  <c r="L89" i="6"/>
  <c r="L120" i="7" s="1"/>
  <c r="J122" i="6"/>
  <c r="J52" i="7"/>
  <c r="H94" i="5"/>
  <c r="H99" i="5" s="1"/>
  <c r="H128" i="5"/>
  <c r="H133" i="5" s="1"/>
  <c r="L80" i="6"/>
  <c r="L114" i="6" s="1"/>
  <c r="L121" i="6" s="1"/>
  <c r="L70" i="10" l="1"/>
  <c r="G62" i="12"/>
  <c r="G53" i="12"/>
  <c r="G180" i="7"/>
  <c r="H46" i="6"/>
  <c r="H47" i="6" s="1"/>
  <c r="I45" i="6" s="1"/>
  <c r="H113" i="7"/>
  <c r="H115" i="7" s="1"/>
  <c r="H123" i="7" s="1"/>
  <c r="H127" i="7" s="1"/>
  <c r="H130" i="7" s="1"/>
  <c r="H53" i="6"/>
  <c r="G81" i="10"/>
  <c r="G82" i="10" s="1"/>
  <c r="G73" i="10"/>
  <c r="G51" i="10"/>
  <c r="G52" i="10" s="1"/>
  <c r="G43" i="10"/>
  <c r="I106" i="5"/>
  <c r="I108" i="5" s="1"/>
  <c r="J105" i="5" s="1"/>
  <c r="I140" i="5"/>
  <c r="I142" i="5" s="1"/>
  <c r="J139" i="5" s="1"/>
  <c r="J53" i="7"/>
  <c r="J60" i="12"/>
  <c r="J119" i="7"/>
  <c r="J38" i="6"/>
  <c r="K90" i="6"/>
  <c r="J123" i="6"/>
  <c r="H101" i="5"/>
  <c r="H56" i="7"/>
  <c r="H135" i="5"/>
  <c r="I132" i="5" s="1"/>
  <c r="H57" i="7"/>
  <c r="I127" i="5"/>
  <c r="L115" i="6"/>
  <c r="L116" i="6" s="1"/>
  <c r="M113" i="6" s="1"/>
  <c r="I93" i="5"/>
  <c r="L83" i="6"/>
  <c r="M82" i="6" s="1"/>
  <c r="H134" i="7" l="1"/>
  <c r="H147" i="7"/>
  <c r="I129" i="7"/>
  <c r="G184" i="7"/>
  <c r="G63" i="12"/>
  <c r="H160" i="7"/>
  <c r="I51" i="6"/>
  <c r="J167" i="7"/>
  <c r="J168" i="7" s="1"/>
  <c r="K120" i="6"/>
  <c r="J121" i="7"/>
  <c r="J68" i="10"/>
  <c r="M89" i="6"/>
  <c r="M120" i="7" s="1"/>
  <c r="K122" i="6"/>
  <c r="K52" i="7"/>
  <c r="L85" i="6"/>
  <c r="K166" i="7"/>
  <c r="J118" i="5"/>
  <c r="J126" i="5" s="1"/>
  <c r="J140" i="5" s="1"/>
  <c r="J54" i="7"/>
  <c r="J51" i="12" s="1"/>
  <c r="J84" i="5"/>
  <c r="J92" i="5" s="1"/>
  <c r="J106" i="5" s="1"/>
  <c r="I134" i="5"/>
  <c r="H103" i="10"/>
  <c r="H36" i="12"/>
  <c r="H58" i="7"/>
  <c r="I128" i="5"/>
  <c r="I133" i="5" s="1"/>
  <c r="I98" i="5"/>
  <c r="H176" i="7"/>
  <c r="H178" i="7" s="1"/>
  <c r="I94" i="5"/>
  <c r="I99" i="5" s="1"/>
  <c r="H37" i="12"/>
  <c r="H104" i="10"/>
  <c r="M80" i="6"/>
  <c r="M114" i="6" l="1"/>
  <c r="M121" i="6" s="1"/>
  <c r="M70" i="10"/>
  <c r="H61" i="12"/>
  <c r="H152" i="7"/>
  <c r="H154" i="7" s="1"/>
  <c r="J107" i="5"/>
  <c r="J108" i="5" s="1"/>
  <c r="K105" i="5" s="1"/>
  <c r="J141" i="5"/>
  <c r="J127" i="5" s="1"/>
  <c r="K53" i="7"/>
  <c r="K60" i="12"/>
  <c r="K38" i="6"/>
  <c r="K119" i="7"/>
  <c r="K123" i="6"/>
  <c r="L90" i="6"/>
  <c r="I57" i="7"/>
  <c r="I135" i="5"/>
  <c r="J132" i="5" s="1"/>
  <c r="H69" i="12"/>
  <c r="I92" i="7"/>
  <c r="I56" i="7"/>
  <c r="I100" i="5"/>
  <c r="I101" i="5" s="1"/>
  <c r="H38" i="12"/>
  <c r="H64" i="7"/>
  <c r="H59" i="7"/>
  <c r="H52" i="12" s="1"/>
  <c r="H105" i="10"/>
  <c r="M83" i="6"/>
  <c r="N82" i="6" s="1"/>
  <c r="H42" i="12" l="1"/>
  <c r="H44" i="12" s="1"/>
  <c r="H56" i="12" s="1"/>
  <c r="H67" i="12"/>
  <c r="H68" i="12"/>
  <c r="M115" i="6"/>
  <c r="M116" i="6" s="1"/>
  <c r="N113" i="6" s="1"/>
  <c r="J93" i="5"/>
  <c r="J94" i="5" s="1"/>
  <c r="J99" i="5" s="1"/>
  <c r="J142" i="5"/>
  <c r="K139" i="5" s="1"/>
  <c r="K68" i="10"/>
  <c r="K121" i="7"/>
  <c r="M85" i="6"/>
  <c r="L166" i="7"/>
  <c r="N89" i="6"/>
  <c r="N120" i="7" s="1"/>
  <c r="N70" i="10" s="1"/>
  <c r="L52" i="7"/>
  <c r="L122" i="6"/>
  <c r="K167" i="7"/>
  <c r="K168" i="7" s="1"/>
  <c r="L120" i="6"/>
  <c r="K54" i="7"/>
  <c r="K51" i="12" s="1"/>
  <c r="K118" i="5"/>
  <c r="K126" i="5" s="1"/>
  <c r="K140" i="5" s="1"/>
  <c r="K84" i="5"/>
  <c r="K92" i="5" s="1"/>
  <c r="K106" i="5" s="1"/>
  <c r="J98" i="5"/>
  <c r="I176" i="7"/>
  <c r="I178" i="7" s="1"/>
  <c r="H107" i="10"/>
  <c r="H65" i="7"/>
  <c r="I91" i="7"/>
  <c r="J128" i="5"/>
  <c r="J133" i="5" s="1"/>
  <c r="H55" i="12"/>
  <c r="H54" i="12"/>
  <c r="J134" i="5"/>
  <c r="I104" i="10"/>
  <c r="I37" i="12"/>
  <c r="I58" i="7"/>
  <c r="I36" i="12"/>
  <c r="I103" i="10"/>
  <c r="N80" i="6"/>
  <c r="N114" i="6" l="1"/>
  <c r="N121" i="6" s="1"/>
  <c r="K141" i="5"/>
  <c r="K142" i="5" s="1"/>
  <c r="L139" i="5" s="1"/>
  <c r="J135" i="5"/>
  <c r="K132" i="5" s="1"/>
  <c r="K134" i="5" s="1"/>
  <c r="K92" i="7" s="1"/>
  <c r="L123" i="6"/>
  <c r="K107" i="5"/>
  <c r="K108" i="5" s="1"/>
  <c r="L105" i="5" s="1"/>
  <c r="L119" i="7"/>
  <c r="L38" i="6"/>
  <c r="L60" i="12"/>
  <c r="L53" i="7"/>
  <c r="M90" i="6"/>
  <c r="H41" i="10"/>
  <c r="H71" i="10"/>
  <c r="I105" i="10"/>
  <c r="J56" i="7"/>
  <c r="H161" i="7"/>
  <c r="H162" i="7" s="1"/>
  <c r="I63" i="7"/>
  <c r="J57" i="7"/>
  <c r="J100" i="5"/>
  <c r="I38" i="12"/>
  <c r="I64" i="7"/>
  <c r="I59" i="7"/>
  <c r="I52" i="12" s="1"/>
  <c r="J92" i="7"/>
  <c r="I96" i="7"/>
  <c r="I98" i="7" s="1"/>
  <c r="N83" i="6"/>
  <c r="O82" i="6" s="1"/>
  <c r="N115" i="6" l="1"/>
  <c r="N116" i="6" s="1"/>
  <c r="O113" i="6" s="1"/>
  <c r="K127" i="5"/>
  <c r="K128" i="5" s="1"/>
  <c r="K133" i="5" s="1"/>
  <c r="K93" i="5"/>
  <c r="K94" i="5" s="1"/>
  <c r="K99" i="5" s="1"/>
  <c r="M120" i="6"/>
  <c r="L167" i="7"/>
  <c r="L168" i="7" s="1"/>
  <c r="M52" i="7"/>
  <c r="M122" i="6"/>
  <c r="O89" i="6"/>
  <c r="O120" i="7" s="1"/>
  <c r="N85" i="6"/>
  <c r="M166" i="7"/>
  <c r="L68" i="10"/>
  <c r="L121" i="7"/>
  <c r="L118" i="5"/>
  <c r="L126" i="5" s="1"/>
  <c r="L141" i="5" s="1"/>
  <c r="L54" i="7"/>
  <c r="L51" i="12" s="1"/>
  <c r="L84" i="5"/>
  <c r="L92" i="5" s="1"/>
  <c r="L107" i="5" s="1"/>
  <c r="J91" i="7"/>
  <c r="J37" i="12"/>
  <c r="J104" i="10"/>
  <c r="J58" i="7"/>
  <c r="J103" i="10"/>
  <c r="J36" i="12"/>
  <c r="H72" i="10"/>
  <c r="I65" i="7"/>
  <c r="H42" i="10"/>
  <c r="I37" i="6"/>
  <c r="I39" i="10"/>
  <c r="H53" i="12"/>
  <c r="H180" i="7"/>
  <c r="H62" i="12"/>
  <c r="I107" i="10"/>
  <c r="J101" i="5"/>
  <c r="O80" i="6"/>
  <c r="O114" i="6" l="1"/>
  <c r="O121" i="6" s="1"/>
  <c r="O70" i="10"/>
  <c r="L106" i="5"/>
  <c r="L108" i="5" s="1"/>
  <c r="M105" i="5" s="1"/>
  <c r="N90" i="6"/>
  <c r="M53" i="7"/>
  <c r="M60" i="12"/>
  <c r="L140" i="5"/>
  <c r="L142" i="5" s="1"/>
  <c r="M139" i="5" s="1"/>
  <c r="M38" i="6"/>
  <c r="M119" i="7"/>
  <c r="M123" i="6"/>
  <c r="I71" i="10"/>
  <c r="I41" i="10"/>
  <c r="I42" i="10" s="1"/>
  <c r="I51" i="10" s="1"/>
  <c r="L127" i="5"/>
  <c r="J176" i="7"/>
  <c r="J178" i="7" s="1"/>
  <c r="K98" i="5"/>
  <c r="K57" i="7"/>
  <c r="K135" i="5"/>
  <c r="L132" i="5" s="1"/>
  <c r="J38" i="12"/>
  <c r="J96" i="7"/>
  <c r="J98" i="7" s="1"/>
  <c r="K56" i="7"/>
  <c r="I66" i="10"/>
  <c r="H51" i="10"/>
  <c r="H43" i="10"/>
  <c r="J105" i="10"/>
  <c r="L93" i="5"/>
  <c r="H63" i="12"/>
  <c r="H184" i="7"/>
  <c r="I39" i="6"/>
  <c r="J63" i="7"/>
  <c r="I161" i="7"/>
  <c r="H81" i="10"/>
  <c r="H73" i="10"/>
  <c r="J64" i="7"/>
  <c r="J59" i="7"/>
  <c r="J52" i="12" s="1"/>
  <c r="O83" i="6"/>
  <c r="P82" i="6" s="1"/>
  <c r="O115" i="6" l="1"/>
  <c r="O116" i="6" s="1"/>
  <c r="P113" i="6" s="1"/>
  <c r="N120" i="6"/>
  <c r="M167" i="7"/>
  <c r="M168" i="7" s="1"/>
  <c r="M121" i="7"/>
  <c r="M68" i="10"/>
  <c r="M118" i="5"/>
  <c r="M126" i="5" s="1"/>
  <c r="M141" i="5" s="1"/>
  <c r="M127" i="5" s="1"/>
  <c r="M128" i="5" s="1"/>
  <c r="M133" i="5" s="1"/>
  <c r="M57" i="7" s="1"/>
  <c r="M84" i="5"/>
  <c r="M92" i="5" s="1"/>
  <c r="M107" i="5" s="1"/>
  <c r="M93" i="5" s="1"/>
  <c r="M94" i="5" s="1"/>
  <c r="M99" i="5" s="1"/>
  <c r="M56" i="7" s="1"/>
  <c r="M54" i="7"/>
  <c r="M51" i="12" s="1"/>
  <c r="O85" i="6"/>
  <c r="N166" i="7"/>
  <c r="F153" i="9" s="1"/>
  <c r="P89" i="6"/>
  <c r="P120" i="7" s="1"/>
  <c r="N122" i="6"/>
  <c r="N52" i="7"/>
  <c r="J65" i="7"/>
  <c r="K63" i="7" s="1"/>
  <c r="L94" i="5"/>
  <c r="L99" i="5" s="1"/>
  <c r="H82" i="10"/>
  <c r="I43" i="10"/>
  <c r="J37" i="6"/>
  <c r="J39" i="10"/>
  <c r="L128" i="5"/>
  <c r="L133" i="5" s="1"/>
  <c r="I52" i="6"/>
  <c r="I57" i="6" s="1"/>
  <c r="J107" i="10"/>
  <c r="H52" i="10"/>
  <c r="I72" i="10"/>
  <c r="L134" i="5"/>
  <c r="K100" i="5"/>
  <c r="K101" i="5" s="1"/>
  <c r="K58" i="7"/>
  <c r="K103" i="10"/>
  <c r="K36" i="12"/>
  <c r="K37" i="12"/>
  <c r="K104" i="10"/>
  <c r="P80" i="6"/>
  <c r="P70" i="10" l="1"/>
  <c r="P114" i="6"/>
  <c r="P121" i="6" s="1"/>
  <c r="M106" i="5"/>
  <c r="M108" i="5" s="1"/>
  <c r="N105" i="5" s="1"/>
  <c r="M140" i="5"/>
  <c r="M142" i="5" s="1"/>
  <c r="N139" i="5" s="1"/>
  <c r="J161" i="7"/>
  <c r="N60" i="12"/>
  <c r="N53" i="7"/>
  <c r="N38" i="6"/>
  <c r="N119" i="7"/>
  <c r="O90" i="6"/>
  <c r="L135" i="5"/>
  <c r="M132" i="5" s="1"/>
  <c r="M134" i="5" s="1"/>
  <c r="M92" i="7" s="1"/>
  <c r="N123" i="6"/>
  <c r="I52" i="10"/>
  <c r="M103" i="10"/>
  <c r="M36" i="12"/>
  <c r="M58" i="7"/>
  <c r="I81" i="10"/>
  <c r="I82" i="10" s="1"/>
  <c r="I73" i="10"/>
  <c r="J66" i="10"/>
  <c r="K38" i="12"/>
  <c r="K105" i="10"/>
  <c r="K176" i="7"/>
  <c r="K178" i="7" s="1"/>
  <c r="L98" i="5"/>
  <c r="L92" i="7"/>
  <c r="J41" i="10"/>
  <c r="J42" i="10" s="1"/>
  <c r="J71" i="10"/>
  <c r="I58" i="6"/>
  <c r="J39" i="6"/>
  <c r="M104" i="10"/>
  <c r="M37" i="12"/>
  <c r="K64" i="7"/>
  <c r="K65" i="7" s="1"/>
  <c r="K59" i="7"/>
  <c r="K52" i="12" s="1"/>
  <c r="K91" i="7"/>
  <c r="I46" i="6"/>
  <c r="I113" i="7"/>
  <c r="I53" i="6"/>
  <c r="L57" i="7"/>
  <c r="L56" i="7"/>
  <c r="P83" i="6"/>
  <c r="Q82" i="6" s="1"/>
  <c r="P115" i="6" l="1"/>
  <c r="P116" i="6" s="1"/>
  <c r="Q113" i="6" s="1"/>
  <c r="Q89" i="6"/>
  <c r="Q120" i="7" s="1"/>
  <c r="O120" i="6"/>
  <c r="N167" i="7"/>
  <c r="N168" i="7" s="1"/>
  <c r="N121" i="7"/>
  <c r="N68" i="10"/>
  <c r="O122" i="6"/>
  <c r="O52" i="7"/>
  <c r="N118" i="5"/>
  <c r="N126" i="5" s="1"/>
  <c r="N141" i="5" s="1"/>
  <c r="N127" i="5" s="1"/>
  <c r="N128" i="5" s="1"/>
  <c r="N133" i="5" s="1"/>
  <c r="N57" i="7" s="1"/>
  <c r="N54" i="7"/>
  <c r="N51" i="12" s="1"/>
  <c r="N84" i="5"/>
  <c r="N92" i="5" s="1"/>
  <c r="N107" i="5" s="1"/>
  <c r="N93" i="5" s="1"/>
  <c r="N94" i="5" s="1"/>
  <c r="N99" i="5" s="1"/>
  <c r="N56" i="7" s="1"/>
  <c r="F39" i="9" s="1"/>
  <c r="O166" i="7"/>
  <c r="P85" i="6"/>
  <c r="J51" i="10"/>
  <c r="J52" i="10" s="1"/>
  <c r="J43" i="10"/>
  <c r="L37" i="12"/>
  <c r="L104" i="10"/>
  <c r="I115" i="7"/>
  <c r="I123" i="7" s="1"/>
  <c r="I127" i="7" s="1"/>
  <c r="M105" i="10"/>
  <c r="J72" i="10"/>
  <c r="J73" i="10" s="1"/>
  <c r="I47" i="6"/>
  <c r="J45" i="6" s="1"/>
  <c r="K107" i="10"/>
  <c r="L100" i="5"/>
  <c r="L101" i="5" s="1"/>
  <c r="M64" i="7"/>
  <c r="M59" i="7"/>
  <c r="M52" i="12" s="1"/>
  <c r="K161" i="7"/>
  <c r="L63" i="7"/>
  <c r="L58" i="7"/>
  <c r="L103" i="10"/>
  <c r="L36" i="12"/>
  <c r="J51" i="6"/>
  <c r="I160" i="7"/>
  <c r="I162" i="7" s="1"/>
  <c r="K96" i="7"/>
  <c r="K98" i="7" s="1"/>
  <c r="M135" i="5"/>
  <c r="N132" i="5" s="1"/>
  <c r="M38" i="12"/>
  <c r="Q80" i="6"/>
  <c r="Q70" i="10" l="1"/>
  <c r="Q114" i="6"/>
  <c r="Q121" i="6" s="1"/>
  <c r="N140" i="5"/>
  <c r="J52" i="6"/>
  <c r="J53" i="6" s="1"/>
  <c r="N106" i="5"/>
  <c r="N108" i="5" s="1"/>
  <c r="O105" i="5" s="1"/>
  <c r="P90" i="6"/>
  <c r="O53" i="7"/>
  <c r="O60" i="12"/>
  <c r="O38" i="6"/>
  <c r="O119" i="7"/>
  <c r="O123" i="6"/>
  <c r="D91" i="15"/>
  <c r="L64" i="7"/>
  <c r="L65" i="7" s="1"/>
  <c r="L59" i="7"/>
  <c r="L52" i="12" s="1"/>
  <c r="K37" i="6"/>
  <c r="K39" i="10"/>
  <c r="N103" i="10"/>
  <c r="N36" i="12"/>
  <c r="N58" i="7"/>
  <c r="J81" i="10"/>
  <c r="I53" i="12"/>
  <c r="I62" i="12"/>
  <c r="I180" i="7"/>
  <c r="I63" i="12" s="1"/>
  <c r="L38" i="12"/>
  <c r="L176" i="7"/>
  <c r="L178" i="7" s="1"/>
  <c r="M98" i="5"/>
  <c r="K41" i="10"/>
  <c r="K71" i="10"/>
  <c r="N37" i="12"/>
  <c r="N104" i="10"/>
  <c r="I130" i="7"/>
  <c r="N134" i="5"/>
  <c r="N135" i="5" s="1"/>
  <c r="O132" i="5" s="1"/>
  <c r="L105" i="10"/>
  <c r="L107" i="10" s="1"/>
  <c r="L91" i="7"/>
  <c r="N142" i="5"/>
  <c r="O139" i="5" s="1"/>
  <c r="Q83" i="6"/>
  <c r="R82" i="6" s="1"/>
  <c r="J46" i="6" l="1"/>
  <c r="J47" i="6" s="1"/>
  <c r="K45" i="6" s="1"/>
  <c r="J57" i="6"/>
  <c r="J113" i="7"/>
  <c r="Q115" i="6"/>
  <c r="Q116" i="6" s="1"/>
  <c r="R113" i="6" s="1"/>
  <c r="K51" i="6"/>
  <c r="J160" i="7"/>
  <c r="J162" i="7" s="1"/>
  <c r="J53" i="12" s="1"/>
  <c r="R89" i="6"/>
  <c r="R120" i="7" s="1"/>
  <c r="P120" i="6"/>
  <c r="O167" i="7"/>
  <c r="O168" i="7" s="1"/>
  <c r="O118" i="5"/>
  <c r="O126" i="5" s="1"/>
  <c r="O140" i="5" s="1"/>
  <c r="O54" i="7"/>
  <c r="O51" i="12" s="1"/>
  <c r="O84" i="5"/>
  <c r="O92" i="5" s="1"/>
  <c r="O107" i="5" s="1"/>
  <c r="O93" i="5" s="1"/>
  <c r="O94" i="5" s="1"/>
  <c r="O99" i="5" s="1"/>
  <c r="O56" i="7" s="1"/>
  <c r="O68" i="10"/>
  <c r="O121" i="7"/>
  <c r="P52" i="7"/>
  <c r="P122" i="6"/>
  <c r="Q85" i="6"/>
  <c r="P166" i="7"/>
  <c r="O134" i="5"/>
  <c r="O92" i="7" s="1"/>
  <c r="L71" i="10"/>
  <c r="L41" i="10"/>
  <c r="M100" i="5"/>
  <c r="M101" i="5" s="1"/>
  <c r="N64" i="7"/>
  <c r="N59" i="7"/>
  <c r="N52" i="12" s="1"/>
  <c r="L161" i="7"/>
  <c r="M63" i="7"/>
  <c r="M65" i="7" s="1"/>
  <c r="J115" i="7"/>
  <c r="J123" i="7" s="1"/>
  <c r="J127" i="7" s="1"/>
  <c r="L96" i="7"/>
  <c r="L98" i="7" s="1"/>
  <c r="J129" i="7"/>
  <c r="I134" i="7"/>
  <c r="I147" i="7"/>
  <c r="N38" i="12"/>
  <c r="K66" i="10"/>
  <c r="K42" i="10"/>
  <c r="M107" i="10"/>
  <c r="N105" i="10"/>
  <c r="N107" i="10" s="1"/>
  <c r="K39" i="6"/>
  <c r="J58" i="6"/>
  <c r="N92" i="7"/>
  <c r="J82" i="10"/>
  <c r="R80" i="6"/>
  <c r="J180" i="7" l="1"/>
  <c r="J63" i="12" s="1"/>
  <c r="J62" i="12"/>
  <c r="R114" i="6"/>
  <c r="R121" i="6" s="1"/>
  <c r="R70" i="10"/>
  <c r="O106" i="5"/>
  <c r="O108" i="5" s="1"/>
  <c r="P105" i="5" s="1"/>
  <c r="O141" i="5"/>
  <c r="O127" i="5" s="1"/>
  <c r="O128" i="5" s="1"/>
  <c r="O133" i="5" s="1"/>
  <c r="O57" i="7" s="1"/>
  <c r="O37" i="12" s="1"/>
  <c r="Q90" i="6"/>
  <c r="P38" i="6"/>
  <c r="P119" i="7"/>
  <c r="P123" i="6"/>
  <c r="P60" i="12"/>
  <c r="P53" i="7"/>
  <c r="M41" i="10"/>
  <c r="M71" i="10"/>
  <c r="K72" i="10"/>
  <c r="I152" i="7"/>
  <c r="I69" i="12"/>
  <c r="I61" i="12"/>
  <c r="F154" i="9"/>
  <c r="F155" i="9" s="1"/>
  <c r="D107" i="15" s="1"/>
  <c r="J130" i="7"/>
  <c r="M176" i="7"/>
  <c r="M178" i="7" s="1"/>
  <c r="N98" i="5"/>
  <c r="F79" i="9"/>
  <c r="K52" i="6"/>
  <c r="K57" i="6" s="1"/>
  <c r="O36" i="12"/>
  <c r="O103" i="10"/>
  <c r="L37" i="6"/>
  <c r="L39" i="10"/>
  <c r="N63" i="7"/>
  <c r="N65" i="7" s="1"/>
  <c r="M161" i="7"/>
  <c r="M91" i="7"/>
  <c r="N41" i="10"/>
  <c r="N71" i="10"/>
  <c r="K51" i="10"/>
  <c r="K43" i="10"/>
  <c r="R83" i="6"/>
  <c r="S82" i="6" s="1"/>
  <c r="O135" i="5" l="1"/>
  <c r="P132" i="5" s="1"/>
  <c r="P134" i="5" s="1"/>
  <c r="P92" i="7" s="1"/>
  <c r="O58" i="7"/>
  <c r="O64" i="7" s="1"/>
  <c r="R115" i="6"/>
  <c r="R116" i="6" s="1"/>
  <c r="S113" i="6" s="1"/>
  <c r="O104" i="10"/>
  <c r="O105" i="10" s="1"/>
  <c r="O107" i="10" s="1"/>
  <c r="O41" i="10" s="1"/>
  <c r="O38" i="12"/>
  <c r="O142" i="5"/>
  <c r="P139" i="5" s="1"/>
  <c r="S89" i="6"/>
  <c r="S120" i="7" s="1"/>
  <c r="P68" i="10"/>
  <c r="P121" i="7"/>
  <c r="P118" i="5"/>
  <c r="P126" i="5" s="1"/>
  <c r="P140" i="5" s="1"/>
  <c r="P84" i="5"/>
  <c r="P92" i="5" s="1"/>
  <c r="P107" i="5" s="1"/>
  <c r="P93" i="5" s="1"/>
  <c r="P94" i="5" s="1"/>
  <c r="P99" i="5" s="1"/>
  <c r="P56" i="7" s="1"/>
  <c r="P54" i="7"/>
  <c r="P51" i="12" s="1"/>
  <c r="Q122" i="6"/>
  <c r="Q52" i="7"/>
  <c r="Q120" i="6"/>
  <c r="P167" i="7"/>
  <c r="P168" i="7" s="1"/>
  <c r="Q166" i="7"/>
  <c r="R85" i="6"/>
  <c r="O63" i="7"/>
  <c r="N161" i="7"/>
  <c r="F148" i="9" s="1"/>
  <c r="L39" i="6"/>
  <c r="M96" i="7"/>
  <c r="M98" i="7" s="1"/>
  <c r="K46" i="6"/>
  <c r="K113" i="7"/>
  <c r="K53" i="6"/>
  <c r="J147" i="7"/>
  <c r="K129" i="7"/>
  <c r="J134" i="7"/>
  <c r="K81" i="10"/>
  <c r="K73" i="10"/>
  <c r="L66" i="10"/>
  <c r="N100" i="5"/>
  <c r="N91" i="7" s="1"/>
  <c r="N96" i="7" s="1"/>
  <c r="N98" i="7" s="1"/>
  <c r="I154" i="7"/>
  <c r="I68" i="12"/>
  <c r="I42" i="12"/>
  <c r="I44" i="12" s="1"/>
  <c r="I67" i="12"/>
  <c r="F207" i="9"/>
  <c r="F181" i="9"/>
  <c r="K52" i="10"/>
  <c r="L42" i="10"/>
  <c r="L43" i="10" s="1"/>
  <c r="K58" i="6"/>
  <c r="S80" i="6"/>
  <c r="O59" i="7" l="1"/>
  <c r="O52" i="12" s="1"/>
  <c r="P141" i="5"/>
  <c r="P127" i="5" s="1"/>
  <c r="P128" i="5" s="1"/>
  <c r="P133" i="5" s="1"/>
  <c r="P57" i="7" s="1"/>
  <c r="P104" i="10" s="1"/>
  <c r="Q123" i="6"/>
  <c r="O65" i="7"/>
  <c r="O161" i="7" s="1"/>
  <c r="S114" i="6"/>
  <c r="S121" i="6" s="1"/>
  <c r="S70" i="10"/>
  <c r="P106" i="5"/>
  <c r="P108" i="5" s="1"/>
  <c r="Q105" i="5" s="1"/>
  <c r="O71" i="10"/>
  <c r="N101" i="5"/>
  <c r="O98" i="5" s="1"/>
  <c r="Q119" i="7"/>
  <c r="Q38" i="6"/>
  <c r="R120" i="6"/>
  <c r="Q167" i="7"/>
  <c r="Q168" i="7" s="1"/>
  <c r="R90" i="6"/>
  <c r="Q60" i="12"/>
  <c r="Q53" i="7"/>
  <c r="I184" i="7"/>
  <c r="I54" i="12"/>
  <c r="L72" i="10"/>
  <c r="L73" i="10" s="1"/>
  <c r="K82" i="10"/>
  <c r="L51" i="6"/>
  <c r="K160" i="7"/>
  <c r="K162" i="7" s="1"/>
  <c r="L51" i="10"/>
  <c r="I55" i="12"/>
  <c r="I56" i="12"/>
  <c r="K115" i="7"/>
  <c r="K123" i="7" s="1"/>
  <c r="K127" i="7" s="1"/>
  <c r="M37" i="6"/>
  <c r="M39" i="10"/>
  <c r="P103" i="10"/>
  <c r="P36" i="12"/>
  <c r="N37" i="6"/>
  <c r="N39" i="6" s="1"/>
  <c r="N39" i="10"/>
  <c r="J152" i="7"/>
  <c r="J69" i="12"/>
  <c r="J61" i="12"/>
  <c r="K47" i="6"/>
  <c r="L45" i="6" s="1"/>
  <c r="S83" i="6"/>
  <c r="T82" i="6" s="1"/>
  <c r="P58" i="7" l="1"/>
  <c r="P64" i="7" s="1"/>
  <c r="P37" i="12"/>
  <c r="P38" i="12" s="1"/>
  <c r="P135" i="5"/>
  <c r="Q132" i="5" s="1"/>
  <c r="Q134" i="5" s="1"/>
  <c r="Q92" i="7" s="1"/>
  <c r="P142" i="5"/>
  <c r="Q139" i="5" s="1"/>
  <c r="P63" i="7"/>
  <c r="N176" i="7"/>
  <c r="F163" i="9" s="1"/>
  <c r="F165" i="9" s="1"/>
  <c r="S115" i="6"/>
  <c r="S116" i="6" s="1"/>
  <c r="T113" i="6" s="1"/>
  <c r="T89" i="6"/>
  <c r="T120" i="7" s="1"/>
  <c r="T70" i="10" s="1"/>
  <c r="R52" i="7"/>
  <c r="R122" i="6"/>
  <c r="Q118" i="5"/>
  <c r="Q126" i="5" s="1"/>
  <c r="Q141" i="5" s="1"/>
  <c r="Q127" i="5" s="1"/>
  <c r="Q128" i="5" s="1"/>
  <c r="Q133" i="5" s="1"/>
  <c r="Q84" i="5"/>
  <c r="Q92" i="5" s="1"/>
  <c r="Q107" i="5" s="1"/>
  <c r="Q93" i="5" s="1"/>
  <c r="Q94" i="5" s="1"/>
  <c r="Q99" i="5" s="1"/>
  <c r="Q56" i="7" s="1"/>
  <c r="Q54" i="7"/>
  <c r="Q51" i="12" s="1"/>
  <c r="Q68" i="10"/>
  <c r="Q121" i="7"/>
  <c r="S85" i="6"/>
  <c r="R166" i="7"/>
  <c r="P105" i="10"/>
  <c r="P107" i="10" s="1"/>
  <c r="P41" i="10" s="1"/>
  <c r="M39" i="6"/>
  <c r="O100" i="5"/>
  <c r="O91" i="7" s="1"/>
  <c r="J154" i="7"/>
  <c r="J42" i="12"/>
  <c r="J44" i="12" s="1"/>
  <c r="J67" i="12"/>
  <c r="J68" i="12"/>
  <c r="N66" i="10"/>
  <c r="N72" i="10" s="1"/>
  <c r="N42" i="10"/>
  <c r="N51" i="10" s="1"/>
  <c r="K53" i="12"/>
  <c r="K180" i="7"/>
  <c r="K63" i="12" s="1"/>
  <c r="K62" i="12"/>
  <c r="L81" i="10"/>
  <c r="M66" i="10"/>
  <c r="F179" i="9"/>
  <c r="M42" i="10"/>
  <c r="K130" i="7"/>
  <c r="L52" i="6"/>
  <c r="L53" i="6" s="1"/>
  <c r="L52" i="10"/>
  <c r="T80" i="6"/>
  <c r="P59" i="7" l="1"/>
  <c r="P52" i="12" s="1"/>
  <c r="N178" i="7"/>
  <c r="P65" i="7"/>
  <c r="P161" i="7" s="1"/>
  <c r="T114" i="6"/>
  <c r="T121" i="6" s="1"/>
  <c r="Q106" i="5"/>
  <c r="Q108" i="5" s="1"/>
  <c r="R105" i="5" s="1"/>
  <c r="P71" i="10"/>
  <c r="Q140" i="5"/>
  <c r="Q142" i="5" s="1"/>
  <c r="R139" i="5" s="1"/>
  <c r="R123" i="6"/>
  <c r="R38" i="6"/>
  <c r="R119" i="7"/>
  <c r="R53" i="7"/>
  <c r="R60" i="12"/>
  <c r="S90" i="6"/>
  <c r="M51" i="6"/>
  <c r="L160" i="7"/>
  <c r="L162" i="7" s="1"/>
  <c r="M51" i="10"/>
  <c r="M43" i="10"/>
  <c r="L82" i="10"/>
  <c r="O96" i="7"/>
  <c r="O98" i="7" s="1"/>
  <c r="L46" i="6"/>
  <c r="L47" i="6" s="1"/>
  <c r="M45" i="6" s="1"/>
  <c r="L113" i="7"/>
  <c r="L57" i="6"/>
  <c r="L58" i="6" s="1"/>
  <c r="D108" i="15"/>
  <c r="F182" i="9"/>
  <c r="L129" i="7"/>
  <c r="K147" i="7"/>
  <c r="K134" i="7"/>
  <c r="M72" i="10"/>
  <c r="F202" i="9"/>
  <c r="J56" i="12"/>
  <c r="J55" i="12"/>
  <c r="Q57" i="7"/>
  <c r="Q58" i="7" s="1"/>
  <c r="Q135" i="5"/>
  <c r="R132" i="5" s="1"/>
  <c r="Q103" i="10"/>
  <c r="Q36" i="12"/>
  <c r="N81" i="10"/>
  <c r="J54" i="12"/>
  <c r="J184" i="7"/>
  <c r="O101" i="5"/>
  <c r="T83" i="6"/>
  <c r="U82" i="6" s="1"/>
  <c r="Q63" i="7" l="1"/>
  <c r="T115" i="6"/>
  <c r="T116" i="6" s="1"/>
  <c r="U113" i="6" s="1"/>
  <c r="M52" i="6"/>
  <c r="M57" i="6" s="1"/>
  <c r="M58" i="6" s="1"/>
  <c r="S122" i="6"/>
  <c r="S52" i="7"/>
  <c r="R68" i="10"/>
  <c r="R121" i="7"/>
  <c r="T85" i="6"/>
  <c r="S166" i="7"/>
  <c r="S120" i="6"/>
  <c r="S123" i="6" s="1"/>
  <c r="S167" i="7" s="1"/>
  <c r="R167" i="7"/>
  <c r="R168" i="7" s="1"/>
  <c r="U89" i="6"/>
  <c r="U120" i="7" s="1"/>
  <c r="U70" i="10" s="1"/>
  <c r="R84" i="5"/>
  <c r="R92" i="5" s="1"/>
  <c r="R107" i="5" s="1"/>
  <c r="R93" i="5" s="1"/>
  <c r="R94" i="5" s="1"/>
  <c r="R99" i="5" s="1"/>
  <c r="R56" i="7" s="1"/>
  <c r="R118" i="5"/>
  <c r="R126" i="5" s="1"/>
  <c r="R140" i="5" s="1"/>
  <c r="R54" i="7"/>
  <c r="R51" i="12" s="1"/>
  <c r="Q64" i="7"/>
  <c r="Q65" i="7" s="1"/>
  <c r="Q59" i="7"/>
  <c r="Q52" i="12" s="1"/>
  <c r="T120" i="6"/>
  <c r="M81" i="10"/>
  <c r="M82" i="10" s="1"/>
  <c r="N82" i="10" s="1"/>
  <c r="M73" i="10"/>
  <c r="M52" i="10"/>
  <c r="N52" i="10" s="1"/>
  <c r="F187" i="9"/>
  <c r="O176" i="7"/>
  <c r="O178" i="7" s="1"/>
  <c r="P98" i="5"/>
  <c r="F183" i="9"/>
  <c r="R134" i="5"/>
  <c r="R92" i="7" s="1"/>
  <c r="K152" i="7"/>
  <c r="K69" i="12"/>
  <c r="K61" i="12"/>
  <c r="O37" i="6"/>
  <c r="O39" i="6" s="1"/>
  <c r="O39" i="10"/>
  <c r="L62" i="12"/>
  <c r="L180" i="7"/>
  <c r="L63" i="12" s="1"/>
  <c r="L53" i="12"/>
  <c r="Q37" i="12"/>
  <c r="Q38" i="12" s="1"/>
  <c r="Q104" i="10"/>
  <c r="Q105" i="10" s="1"/>
  <c r="Q107" i="10" s="1"/>
  <c r="L115" i="7"/>
  <c r="L123" i="7" s="1"/>
  <c r="L127" i="7" s="1"/>
  <c r="N43" i="10"/>
  <c r="U80" i="6"/>
  <c r="M46" i="6" l="1"/>
  <c r="M47" i="6" s="1"/>
  <c r="N52" i="6" s="1"/>
  <c r="M53" i="6"/>
  <c r="N51" i="6" s="1"/>
  <c r="R106" i="5"/>
  <c r="R108" i="5" s="1"/>
  <c r="S105" i="5" s="1"/>
  <c r="M113" i="7"/>
  <c r="M115" i="7" s="1"/>
  <c r="M123" i="7" s="1"/>
  <c r="M127" i="7" s="1"/>
  <c r="U114" i="6"/>
  <c r="U121" i="6" s="1"/>
  <c r="S168" i="7"/>
  <c r="R141" i="5"/>
  <c r="R127" i="5" s="1"/>
  <c r="R128" i="5" s="1"/>
  <c r="R133" i="5" s="1"/>
  <c r="R57" i="7" s="1"/>
  <c r="R37" i="12" s="1"/>
  <c r="S60" i="12"/>
  <c r="S53" i="7"/>
  <c r="T90" i="6"/>
  <c r="S38" i="6"/>
  <c r="S119" i="7"/>
  <c r="Q71" i="10"/>
  <c r="Q41" i="10"/>
  <c r="L130" i="7"/>
  <c r="N73" i="10"/>
  <c r="O66" i="10"/>
  <c r="O42" i="10"/>
  <c r="O51" i="10" s="1"/>
  <c r="O52" i="10" s="1"/>
  <c r="K42" i="12"/>
  <c r="K44" i="12" s="1"/>
  <c r="K68" i="12"/>
  <c r="K67" i="12"/>
  <c r="K154" i="7"/>
  <c r="R103" i="10"/>
  <c r="R36" i="12"/>
  <c r="N45" i="6"/>
  <c r="P100" i="5"/>
  <c r="P91" i="7" s="1"/>
  <c r="Q161" i="7"/>
  <c r="R63" i="7"/>
  <c r="U83" i="6"/>
  <c r="V82" i="6" s="1"/>
  <c r="M160" i="7" l="1"/>
  <c r="M162" i="7" s="1"/>
  <c r="M180" i="7" s="1"/>
  <c r="M63" i="12" s="1"/>
  <c r="U115" i="6"/>
  <c r="U116" i="6" s="1"/>
  <c r="V113" i="6" s="1"/>
  <c r="R142" i="5"/>
  <c r="S139" i="5" s="1"/>
  <c r="R58" i="7"/>
  <c r="R64" i="7" s="1"/>
  <c r="R65" i="7" s="1"/>
  <c r="O43" i="10"/>
  <c r="R104" i="10"/>
  <c r="R105" i="10" s="1"/>
  <c r="R107" i="10" s="1"/>
  <c r="R135" i="5"/>
  <c r="S132" i="5" s="1"/>
  <c r="S134" i="5" s="1"/>
  <c r="S92" i="7" s="1"/>
  <c r="T122" i="6"/>
  <c r="T52" i="7"/>
  <c r="S68" i="10"/>
  <c r="S121" i="7"/>
  <c r="S54" i="7"/>
  <c r="S51" i="12" s="1"/>
  <c r="S118" i="5"/>
  <c r="S126" i="5" s="1"/>
  <c r="S141" i="5" s="1"/>
  <c r="S127" i="5" s="1"/>
  <c r="S128" i="5" s="1"/>
  <c r="S133" i="5" s="1"/>
  <c r="S84" i="5"/>
  <c r="S92" i="5" s="1"/>
  <c r="S106" i="5" s="1"/>
  <c r="V89" i="6"/>
  <c r="V120" i="7" s="1"/>
  <c r="V70" i="10" s="1"/>
  <c r="T166" i="7"/>
  <c r="U85" i="6"/>
  <c r="P101" i="5"/>
  <c r="P176" i="7" s="1"/>
  <c r="P178" i="7" s="1"/>
  <c r="N57" i="6"/>
  <c r="N58" i="6" s="1"/>
  <c r="N46" i="6"/>
  <c r="N47" i="6" s="1"/>
  <c r="N113" i="7"/>
  <c r="N115" i="7" s="1"/>
  <c r="N123" i="7" s="1"/>
  <c r="N127" i="7" s="1"/>
  <c r="K184" i="7"/>
  <c r="K54" i="12"/>
  <c r="L134" i="7"/>
  <c r="M129" i="7"/>
  <c r="M130" i="7" s="1"/>
  <c r="L147" i="7"/>
  <c r="P96" i="7"/>
  <c r="P98" i="7" s="1"/>
  <c r="R59" i="7"/>
  <c r="R52" i="12" s="1"/>
  <c r="R38" i="12"/>
  <c r="O72" i="10"/>
  <c r="O81" i="10" s="1"/>
  <c r="N53" i="6"/>
  <c r="K56" i="12"/>
  <c r="K55" i="12"/>
  <c r="V80" i="6"/>
  <c r="M53" i="12" l="1"/>
  <c r="M62" i="12"/>
  <c r="S107" i="5"/>
  <c r="S93" i="5" s="1"/>
  <c r="S94" i="5" s="1"/>
  <c r="S99" i="5" s="1"/>
  <c r="S56" i="7" s="1"/>
  <c r="S36" i="12" s="1"/>
  <c r="V114" i="6"/>
  <c r="V121" i="6" s="1"/>
  <c r="R71" i="10"/>
  <c r="R41" i="10"/>
  <c r="S140" i="5"/>
  <c r="S142" i="5" s="1"/>
  <c r="T139" i="5" s="1"/>
  <c r="U90" i="6"/>
  <c r="T60" i="12"/>
  <c r="T53" i="7"/>
  <c r="T123" i="6"/>
  <c r="T38" i="6"/>
  <c r="T119" i="7"/>
  <c r="Q98" i="5"/>
  <c r="Q100" i="5" s="1"/>
  <c r="Q91" i="7" s="1"/>
  <c r="L152" i="7"/>
  <c r="L69" i="12"/>
  <c r="L61" i="12"/>
  <c r="O73" i="10"/>
  <c r="S57" i="7"/>
  <c r="S135" i="5"/>
  <c r="T132" i="5" s="1"/>
  <c r="N129" i="7"/>
  <c r="N130" i="7" s="1"/>
  <c r="M134" i="7"/>
  <c r="M147" i="7"/>
  <c r="O51" i="6"/>
  <c r="N160" i="7"/>
  <c r="N162" i="7" s="1"/>
  <c r="R161" i="7"/>
  <c r="S63" i="7"/>
  <c r="O82" i="10"/>
  <c r="P37" i="6"/>
  <c r="P39" i="6" s="1"/>
  <c r="P39" i="10"/>
  <c r="O45" i="6"/>
  <c r="O52" i="6"/>
  <c r="V83" i="6"/>
  <c r="W82" i="6" s="1"/>
  <c r="S108" i="5" l="1"/>
  <c r="T105" i="5" s="1"/>
  <c r="S103" i="10"/>
  <c r="S58" i="7"/>
  <c r="S64" i="7" s="1"/>
  <c r="S65" i="7" s="1"/>
  <c r="V115" i="6"/>
  <c r="V116" i="6" s="1"/>
  <c r="W113" i="6" s="1"/>
  <c r="T118" i="5"/>
  <c r="T126" i="5" s="1"/>
  <c r="T140" i="5" s="1"/>
  <c r="T54" i="7"/>
  <c r="T51" i="12" s="1"/>
  <c r="T84" i="5"/>
  <c r="T92" i="5" s="1"/>
  <c r="T107" i="5" s="1"/>
  <c r="T93" i="5" s="1"/>
  <c r="T94" i="5" s="1"/>
  <c r="T99" i="5" s="1"/>
  <c r="T56" i="7" s="1"/>
  <c r="T68" i="10"/>
  <c r="T121" i="7"/>
  <c r="W89" i="6"/>
  <c r="W120" i="7" s="1"/>
  <c r="W70" i="10" s="1"/>
  <c r="U122" i="6"/>
  <c r="U52" i="7"/>
  <c r="U120" i="6"/>
  <c r="T167" i="7"/>
  <c r="T168" i="7" s="1"/>
  <c r="U166" i="7"/>
  <c r="V85" i="6"/>
  <c r="Q96" i="7"/>
  <c r="Q98" i="7" s="1"/>
  <c r="O53" i="6"/>
  <c r="S104" i="10"/>
  <c r="S37" i="12"/>
  <c r="S38" i="12" s="1"/>
  <c r="O46" i="6"/>
  <c r="O47" i="6" s="1"/>
  <c r="P45" i="6" s="1"/>
  <c r="O113" i="7"/>
  <c r="O57" i="6"/>
  <c r="O58" i="6" s="1"/>
  <c r="P66" i="10"/>
  <c r="P42" i="10"/>
  <c r="N134" i="7"/>
  <c r="N147" i="7"/>
  <c r="O129" i="7"/>
  <c r="L154" i="7"/>
  <c r="L42" i="12"/>
  <c r="L44" i="12" s="1"/>
  <c r="L68" i="12"/>
  <c r="L67" i="12"/>
  <c r="Q101" i="5"/>
  <c r="N180" i="7"/>
  <c r="N63" i="12" s="1"/>
  <c r="N62" i="12"/>
  <c r="N53" i="12"/>
  <c r="M61" i="12"/>
  <c r="M69" i="12"/>
  <c r="M152" i="7"/>
  <c r="T134" i="5"/>
  <c r="T92" i="7" s="1"/>
  <c r="W80" i="6"/>
  <c r="S105" i="10" l="1"/>
  <c r="S107" i="10" s="1"/>
  <c r="S71" i="10" s="1"/>
  <c r="S59" i="7"/>
  <c r="S52" i="12" s="1"/>
  <c r="T141" i="5"/>
  <c r="T127" i="5" s="1"/>
  <c r="T128" i="5" s="1"/>
  <c r="T133" i="5" s="1"/>
  <c r="T57" i="7" s="1"/>
  <c r="T104" i="10" s="1"/>
  <c r="W114" i="6"/>
  <c r="W121" i="6" s="1"/>
  <c r="T106" i="5"/>
  <c r="T108" i="5" s="1"/>
  <c r="U105" i="5" s="1"/>
  <c r="U123" i="6"/>
  <c r="P52" i="6"/>
  <c r="P57" i="6" s="1"/>
  <c r="P58" i="6" s="1"/>
  <c r="U38" i="6"/>
  <c r="U119" i="7"/>
  <c r="V90" i="6"/>
  <c r="U53" i="7"/>
  <c r="U60" i="12"/>
  <c r="M154" i="7"/>
  <c r="M54" i="12" s="1"/>
  <c r="M68" i="12"/>
  <c r="M67" i="12"/>
  <c r="M42" i="12"/>
  <c r="M44" i="12" s="1"/>
  <c r="M55" i="12" s="1"/>
  <c r="O115" i="7"/>
  <c r="O123" i="7" s="1"/>
  <c r="O127" i="7" s="1"/>
  <c r="O130" i="7" s="1"/>
  <c r="T63" i="7"/>
  <c r="S161" i="7"/>
  <c r="L56" i="12"/>
  <c r="L55" i="12"/>
  <c r="N152" i="7"/>
  <c r="N69" i="12"/>
  <c r="F134" i="9"/>
  <c r="F139" i="9" s="1"/>
  <c r="N61" i="12"/>
  <c r="P51" i="10"/>
  <c r="P43" i="10"/>
  <c r="Q37" i="6"/>
  <c r="Q39" i="6" s="1"/>
  <c r="Q39" i="10"/>
  <c r="L54" i="12"/>
  <c r="L184" i="7"/>
  <c r="P72" i="10"/>
  <c r="R98" i="5"/>
  <c r="Q176" i="7"/>
  <c r="Q178" i="7" s="1"/>
  <c r="T103" i="10"/>
  <c r="T36" i="12"/>
  <c r="S41" i="10"/>
  <c r="P51" i="6"/>
  <c r="O160" i="7"/>
  <c r="O162" i="7" s="1"/>
  <c r="W83" i="6"/>
  <c r="X82" i="6" s="1"/>
  <c r="P53" i="6" l="1"/>
  <c r="P46" i="6"/>
  <c r="P47" i="6" s="1"/>
  <c r="Q45" i="6" s="1"/>
  <c r="T135" i="5"/>
  <c r="U132" i="5" s="1"/>
  <c r="U134" i="5" s="1"/>
  <c r="U92" i="7" s="1"/>
  <c r="T142" i="5"/>
  <c r="U139" i="5" s="1"/>
  <c r="T58" i="7"/>
  <c r="T59" i="7" s="1"/>
  <c r="T52" i="12" s="1"/>
  <c r="T37" i="12"/>
  <c r="W115" i="6"/>
  <c r="W116" i="6" s="1"/>
  <c r="X113" i="6" s="1"/>
  <c r="P113" i="7"/>
  <c r="P115" i="7" s="1"/>
  <c r="P123" i="7" s="1"/>
  <c r="P127" i="7" s="1"/>
  <c r="V120" i="6"/>
  <c r="U167" i="7"/>
  <c r="U168" i="7" s="1"/>
  <c r="X89" i="6"/>
  <c r="X120" i="7" s="1"/>
  <c r="X70" i="10" s="1"/>
  <c r="V122" i="6"/>
  <c r="V52" i="7"/>
  <c r="W85" i="6"/>
  <c r="V166" i="7"/>
  <c r="U68" i="10"/>
  <c r="U121" i="7"/>
  <c r="U84" i="5"/>
  <c r="U92" i="5" s="1"/>
  <c r="U106" i="5" s="1"/>
  <c r="U118" i="5"/>
  <c r="U126" i="5" s="1"/>
  <c r="U140" i="5" s="1"/>
  <c r="U54" i="7"/>
  <c r="U51" i="12" s="1"/>
  <c r="Q66" i="10"/>
  <c r="Q42" i="10"/>
  <c r="Q51" i="10" s="1"/>
  <c r="O134" i="7"/>
  <c r="P129" i="7"/>
  <c r="O147" i="7"/>
  <c r="M184" i="7"/>
  <c r="F141" i="9"/>
  <c r="D102" i="15"/>
  <c r="D103" i="15" s="1"/>
  <c r="M56" i="12"/>
  <c r="T38" i="12"/>
  <c r="Q51" i="6"/>
  <c r="P160" i="7"/>
  <c r="O53" i="12"/>
  <c r="O180" i="7"/>
  <c r="O63" i="12" s="1"/>
  <c r="O62" i="12"/>
  <c r="T105" i="10"/>
  <c r="T107" i="10" s="1"/>
  <c r="R100" i="5"/>
  <c r="R91" i="7" s="1"/>
  <c r="P81" i="10"/>
  <c r="P73" i="10"/>
  <c r="P52" i="10"/>
  <c r="N154" i="7"/>
  <c r="N54" i="12" s="1"/>
  <c r="N42" i="12"/>
  <c r="N44" i="12" s="1"/>
  <c r="N55" i="12" s="1"/>
  <c r="N67" i="12"/>
  <c r="N68" i="12"/>
  <c r="X80" i="6"/>
  <c r="T64" i="7" l="1"/>
  <c r="T65" i="7" s="1"/>
  <c r="T161" i="7" s="1"/>
  <c r="Q52" i="6"/>
  <c r="Q57" i="6" s="1"/>
  <c r="Q58" i="6" s="1"/>
  <c r="Q43" i="10"/>
  <c r="X114" i="6"/>
  <c r="X121" i="6" s="1"/>
  <c r="U141" i="5"/>
  <c r="U127" i="5" s="1"/>
  <c r="U128" i="5" s="1"/>
  <c r="U133" i="5" s="1"/>
  <c r="U57" i="7" s="1"/>
  <c r="U104" i="10" s="1"/>
  <c r="P130" i="7"/>
  <c r="P134" i="7" s="1"/>
  <c r="U107" i="5"/>
  <c r="U93" i="5" s="1"/>
  <c r="U94" i="5" s="1"/>
  <c r="U99" i="5" s="1"/>
  <c r="U56" i="7" s="1"/>
  <c r="U103" i="10" s="1"/>
  <c r="V60" i="12"/>
  <c r="V53" i="7"/>
  <c r="V119" i="7"/>
  <c r="V123" i="6"/>
  <c r="V38" i="6"/>
  <c r="W90" i="6"/>
  <c r="R101" i="5"/>
  <c r="R176" i="7" s="1"/>
  <c r="R178" i="7" s="1"/>
  <c r="Q52" i="10"/>
  <c r="Q72" i="10"/>
  <c r="Q81" i="10" s="1"/>
  <c r="R96" i="7"/>
  <c r="R98" i="7" s="1"/>
  <c r="F147" i="9"/>
  <c r="F149" i="9" s="1"/>
  <c r="P162" i="7"/>
  <c r="T41" i="10"/>
  <c r="T71" i="10"/>
  <c r="O61" i="12"/>
  <c r="O69" i="12"/>
  <c r="O152" i="7"/>
  <c r="N184" i="7"/>
  <c r="P82" i="10"/>
  <c r="N56" i="12"/>
  <c r="X83" i="6"/>
  <c r="Y82" i="6" s="1"/>
  <c r="U63" i="7" l="1"/>
  <c r="Q46" i="6"/>
  <c r="Q47" i="6" s="1"/>
  <c r="R45" i="6" s="1"/>
  <c r="Q113" i="7"/>
  <c r="Q115" i="7" s="1"/>
  <c r="Q123" i="7" s="1"/>
  <c r="Q127" i="7" s="1"/>
  <c r="Q53" i="6"/>
  <c r="R51" i="6" s="1"/>
  <c r="U108" i="5"/>
  <c r="V105" i="5" s="1"/>
  <c r="U142" i="5"/>
  <c r="V139" i="5" s="1"/>
  <c r="U37" i="12"/>
  <c r="U135" i="5"/>
  <c r="V132" i="5" s="1"/>
  <c r="V134" i="5" s="1"/>
  <c r="V92" i="7" s="1"/>
  <c r="X115" i="6"/>
  <c r="X116" i="6" s="1"/>
  <c r="Y113" i="6" s="1"/>
  <c r="P147" i="7"/>
  <c r="P69" i="12" s="1"/>
  <c r="Q129" i="7"/>
  <c r="Q82" i="10"/>
  <c r="Q73" i="10"/>
  <c r="U58" i="7"/>
  <c r="U64" i="7" s="1"/>
  <c r="U36" i="12"/>
  <c r="S98" i="5"/>
  <c r="S100" i="5" s="1"/>
  <c r="S91" i="7" s="1"/>
  <c r="W120" i="6"/>
  <c r="V167" i="7"/>
  <c r="V168" i="7" s="1"/>
  <c r="W122" i="6"/>
  <c r="W52" i="7"/>
  <c r="V121" i="7"/>
  <c r="V68" i="10"/>
  <c r="W166" i="7"/>
  <c r="X85" i="6"/>
  <c r="V118" i="5"/>
  <c r="V126" i="5" s="1"/>
  <c r="V140" i="5" s="1"/>
  <c r="V54" i="7"/>
  <c r="V51" i="12" s="1"/>
  <c r="V84" i="5"/>
  <c r="V92" i="5" s="1"/>
  <c r="V106" i="5" s="1"/>
  <c r="Y89" i="6"/>
  <c r="Y120" i="7" s="1"/>
  <c r="Y70" i="10" s="1"/>
  <c r="R37" i="6"/>
  <c r="R39" i="6" s="1"/>
  <c r="R52" i="6" s="1"/>
  <c r="R39" i="10"/>
  <c r="U38" i="12"/>
  <c r="O42" i="12"/>
  <c r="O44" i="12" s="1"/>
  <c r="O67" i="12"/>
  <c r="O154" i="7"/>
  <c r="O68" i="12"/>
  <c r="P62" i="12"/>
  <c r="P180" i="7"/>
  <c r="P63" i="12" s="1"/>
  <c r="P53" i="12"/>
  <c r="D106" i="15"/>
  <c r="D109" i="15" s="1"/>
  <c r="F167" i="9"/>
  <c r="F171" i="9" s="1"/>
  <c r="U105" i="10"/>
  <c r="U107" i="10" s="1"/>
  <c r="Y80" i="6"/>
  <c r="U65" i="7" l="1"/>
  <c r="V63" i="7" s="1"/>
  <c r="R53" i="6"/>
  <c r="R160" i="7" s="1"/>
  <c r="R162" i="7" s="1"/>
  <c r="Q160" i="7"/>
  <c r="Q162" i="7" s="1"/>
  <c r="Q53" i="12" s="1"/>
  <c r="U59" i="7"/>
  <c r="U52" i="12" s="1"/>
  <c r="P152" i="7"/>
  <c r="P67" i="12" s="1"/>
  <c r="Q130" i="7"/>
  <c r="Q147" i="7" s="1"/>
  <c r="P61" i="12"/>
  <c r="Y114" i="6"/>
  <c r="Y121" i="6" s="1"/>
  <c r="V107" i="5"/>
  <c r="V93" i="5" s="1"/>
  <c r="V94" i="5" s="1"/>
  <c r="V99" i="5" s="1"/>
  <c r="V56" i="7" s="1"/>
  <c r="V103" i="10" s="1"/>
  <c r="W123" i="6"/>
  <c r="V141" i="5"/>
  <c r="V127" i="5" s="1"/>
  <c r="V128" i="5" s="1"/>
  <c r="V133" i="5" s="1"/>
  <c r="V57" i="7" s="1"/>
  <c r="V104" i="10" s="1"/>
  <c r="X90" i="6"/>
  <c r="W60" i="12"/>
  <c r="W53" i="7"/>
  <c r="W38" i="6"/>
  <c r="W119" i="7"/>
  <c r="S96" i="7"/>
  <c r="S98" i="7" s="1"/>
  <c r="O184" i="7"/>
  <c r="O54" i="12"/>
  <c r="R66" i="10"/>
  <c r="R42" i="10"/>
  <c r="R129" i="7"/>
  <c r="R57" i="6"/>
  <c r="R58" i="6" s="1"/>
  <c r="R46" i="6"/>
  <c r="R47" i="6" s="1"/>
  <c r="S45" i="6" s="1"/>
  <c r="R113" i="7"/>
  <c r="S51" i="6"/>
  <c r="O55" i="12"/>
  <c r="O56" i="12"/>
  <c r="U41" i="10"/>
  <c r="U71" i="10"/>
  <c r="S101" i="5"/>
  <c r="Y83" i="6"/>
  <c r="Z82" i="6" s="1"/>
  <c r="U161" i="7" l="1"/>
  <c r="Q62" i="12"/>
  <c r="Q180" i="7"/>
  <c r="Q63" i="12" s="1"/>
  <c r="Q134" i="7"/>
  <c r="P68" i="12"/>
  <c r="P154" i="7"/>
  <c r="P54" i="12" s="1"/>
  <c r="P42" i="12"/>
  <c r="P44" i="12" s="1"/>
  <c r="P56" i="12" s="1"/>
  <c r="V36" i="12"/>
  <c r="Y115" i="6"/>
  <c r="Y116" i="6" s="1"/>
  <c r="Z113" i="6" s="1"/>
  <c r="V135" i="5"/>
  <c r="W132" i="5" s="1"/>
  <c r="W134" i="5" s="1"/>
  <c r="W92" i="7" s="1"/>
  <c r="V108" i="5"/>
  <c r="W105" i="5" s="1"/>
  <c r="V58" i="7"/>
  <c r="V64" i="7" s="1"/>
  <c r="V65" i="7" s="1"/>
  <c r="V142" i="5"/>
  <c r="W139" i="5" s="1"/>
  <c r="V37" i="12"/>
  <c r="V105" i="10"/>
  <c r="V107" i="10" s="1"/>
  <c r="V41" i="10" s="1"/>
  <c r="X120" i="6"/>
  <c r="W167" i="7"/>
  <c r="W168" i="7" s="1"/>
  <c r="W118" i="5"/>
  <c r="W126" i="5" s="1"/>
  <c r="W141" i="5" s="1"/>
  <c r="W127" i="5" s="1"/>
  <c r="W128" i="5" s="1"/>
  <c r="W133" i="5" s="1"/>
  <c r="W57" i="7" s="1"/>
  <c r="W84" i="5"/>
  <c r="W92" i="5" s="1"/>
  <c r="W107" i="5" s="1"/>
  <c r="W93" i="5" s="1"/>
  <c r="W94" i="5" s="1"/>
  <c r="W99" i="5" s="1"/>
  <c r="W56" i="7" s="1"/>
  <c r="W54" i="7"/>
  <c r="W51" i="12" s="1"/>
  <c r="W68" i="10"/>
  <c r="W121" i="7"/>
  <c r="X166" i="7"/>
  <c r="Y85" i="6"/>
  <c r="Z89" i="6"/>
  <c r="Z120" i="7" s="1"/>
  <c r="Z70" i="10" s="1"/>
  <c r="X52" i="7"/>
  <c r="X122" i="6"/>
  <c r="Q61" i="12"/>
  <c r="Q152" i="7"/>
  <c r="Q69" i="12"/>
  <c r="R72" i="10"/>
  <c r="S37" i="6"/>
  <c r="S39" i="6" s="1"/>
  <c r="S39" i="10"/>
  <c r="T98" i="5"/>
  <c r="S176" i="7"/>
  <c r="S178" i="7" s="1"/>
  <c r="R53" i="12"/>
  <c r="R180" i="7"/>
  <c r="R63" i="12" s="1"/>
  <c r="R62" i="12"/>
  <c r="R115" i="7"/>
  <c r="R123" i="7" s="1"/>
  <c r="R127" i="7" s="1"/>
  <c r="R130" i="7" s="1"/>
  <c r="R51" i="10"/>
  <c r="R43" i="10"/>
  <c r="Z80" i="6"/>
  <c r="P55" i="12" l="1"/>
  <c r="V38" i="12"/>
  <c r="P184" i="7"/>
  <c r="Z114" i="6"/>
  <c r="Z121" i="6" s="1"/>
  <c r="W106" i="5"/>
  <c r="W108" i="5" s="1"/>
  <c r="X105" i="5" s="1"/>
  <c r="V71" i="10"/>
  <c r="W140" i="5"/>
  <c r="W142" i="5" s="1"/>
  <c r="X139" i="5" s="1"/>
  <c r="V59" i="7"/>
  <c r="V52" i="12" s="1"/>
  <c r="X123" i="6"/>
  <c r="X38" i="6"/>
  <c r="X119" i="7"/>
  <c r="Y90" i="6"/>
  <c r="X53" i="7"/>
  <c r="X60" i="12"/>
  <c r="W135" i="5"/>
  <c r="X132" i="5" s="1"/>
  <c r="X134" i="5" s="1"/>
  <c r="X92" i="7" s="1"/>
  <c r="T100" i="5"/>
  <c r="T91" i="7" s="1"/>
  <c r="T96" i="7" s="1"/>
  <c r="T98" i="7" s="1"/>
  <c r="W37" i="12"/>
  <c r="W104" i="10"/>
  <c r="R52" i="10"/>
  <c r="S129" i="7"/>
  <c r="R134" i="7"/>
  <c r="R147" i="7"/>
  <c r="Q154" i="7"/>
  <c r="Q42" i="12"/>
  <c r="Q44" i="12" s="1"/>
  <c r="Q68" i="12"/>
  <c r="Q67" i="12"/>
  <c r="S66" i="10"/>
  <c r="S42" i="10"/>
  <c r="S51" i="10" s="1"/>
  <c r="W63" i="7"/>
  <c r="V161" i="7"/>
  <c r="S52" i="6"/>
  <c r="S57" i="6" s="1"/>
  <c r="S58" i="6" s="1"/>
  <c r="R81" i="10"/>
  <c r="R73" i="10"/>
  <c r="W103" i="10"/>
  <c r="W36" i="12"/>
  <c r="W58" i="7"/>
  <c r="Z83" i="6"/>
  <c r="AA82" i="6" s="1"/>
  <c r="W38" i="12" l="1"/>
  <c r="Z115" i="6"/>
  <c r="Z116" i="6" s="1"/>
  <c r="AA113" i="6" s="1"/>
  <c r="W105" i="10"/>
  <c r="W107" i="10" s="1"/>
  <c r="W41" i="10" s="1"/>
  <c r="Y52" i="7"/>
  <c r="Y122" i="6"/>
  <c r="X68" i="10"/>
  <c r="X121" i="7"/>
  <c r="X54" i="7"/>
  <c r="X51" i="12" s="1"/>
  <c r="X84" i="5"/>
  <c r="X92" i="5" s="1"/>
  <c r="X106" i="5" s="1"/>
  <c r="X118" i="5"/>
  <c r="X126" i="5" s="1"/>
  <c r="X140" i="5" s="1"/>
  <c r="AA89" i="6"/>
  <c r="AA120" i="7" s="1"/>
  <c r="Y166" i="7"/>
  <c r="Z85" i="6"/>
  <c r="Y120" i="6"/>
  <c r="Y123" i="6" s="1"/>
  <c r="X167" i="7"/>
  <c r="X168" i="7" s="1"/>
  <c r="T101" i="5"/>
  <c r="U98" i="5" s="1"/>
  <c r="S43" i="10"/>
  <c r="W64" i="7"/>
  <c r="W65" i="7" s="1"/>
  <c r="W59" i="7"/>
  <c r="W52" i="12" s="1"/>
  <c r="R82" i="10"/>
  <c r="S46" i="6"/>
  <c r="S47" i="6" s="1"/>
  <c r="T45" i="6" s="1"/>
  <c r="S113" i="7"/>
  <c r="S53" i="6"/>
  <c r="S72" i="10"/>
  <c r="S81" i="10" s="1"/>
  <c r="Q55" i="12"/>
  <c r="Q56" i="12"/>
  <c r="R61" i="12"/>
  <c r="R152" i="7"/>
  <c r="R69" i="12"/>
  <c r="S52" i="10"/>
  <c r="Q184" i="7"/>
  <c r="Q54" i="12"/>
  <c r="T37" i="6"/>
  <c r="T39" i="6" s="1"/>
  <c r="T39" i="10"/>
  <c r="AA80" i="6"/>
  <c r="X107" i="5" l="1"/>
  <c r="X93" i="5" s="1"/>
  <c r="X94" i="5" s="1"/>
  <c r="X99" i="5" s="1"/>
  <c r="X56" i="7" s="1"/>
  <c r="X36" i="12" s="1"/>
  <c r="T176" i="7"/>
  <c r="T178" i="7" s="1"/>
  <c r="AA70" i="10"/>
  <c r="AA114" i="6"/>
  <c r="AA121" i="6" s="1"/>
  <c r="W71" i="10"/>
  <c r="X141" i="5"/>
  <c r="X127" i="5" s="1"/>
  <c r="X128" i="5" s="1"/>
  <c r="X133" i="5" s="1"/>
  <c r="X135" i="5" s="1"/>
  <c r="Y132" i="5" s="1"/>
  <c r="Y167" i="7"/>
  <c r="Y168" i="7" s="1"/>
  <c r="Z120" i="6"/>
  <c r="Z90" i="6"/>
  <c r="Y38" i="6"/>
  <c r="Y119" i="7"/>
  <c r="Y60" i="12"/>
  <c r="Y53" i="7"/>
  <c r="S115" i="7"/>
  <c r="S123" i="7" s="1"/>
  <c r="S127" i="7" s="1"/>
  <c r="S130" i="7" s="1"/>
  <c r="R154" i="7"/>
  <c r="R42" i="12"/>
  <c r="R44" i="12" s="1"/>
  <c r="R68" i="12"/>
  <c r="R67" i="12"/>
  <c r="T66" i="10"/>
  <c r="T72" i="10" s="1"/>
  <c r="T81" i="10" s="1"/>
  <c r="T42" i="10"/>
  <c r="T52" i="6"/>
  <c r="T57" i="6" s="1"/>
  <c r="T58" i="6" s="1"/>
  <c r="U100" i="5"/>
  <c r="U91" i="7" s="1"/>
  <c r="U96" i="7" s="1"/>
  <c r="U98" i="7" s="1"/>
  <c r="S82" i="10"/>
  <c r="W161" i="7"/>
  <c r="X63" i="7"/>
  <c r="T51" i="6"/>
  <c r="S160" i="7"/>
  <c r="S162" i="7" s="1"/>
  <c r="S73" i="10"/>
  <c r="AA83" i="6"/>
  <c r="AB82" i="6" s="1"/>
  <c r="X108" i="5" l="1"/>
  <c r="Y105" i="5" s="1"/>
  <c r="X103" i="10"/>
  <c r="X57" i="7"/>
  <c r="X58" i="7" s="1"/>
  <c r="X59" i="7" s="1"/>
  <c r="X52" i="12" s="1"/>
  <c r="AA115" i="6"/>
  <c r="AA116" i="6" s="1"/>
  <c r="AB113" i="6" s="1"/>
  <c r="T73" i="10"/>
  <c r="X142" i="5"/>
  <c r="Y139" i="5" s="1"/>
  <c r="Y118" i="5"/>
  <c r="Y126" i="5" s="1"/>
  <c r="Y140" i="5" s="1"/>
  <c r="Y54" i="7"/>
  <c r="Y51" i="12" s="1"/>
  <c r="Y84" i="5"/>
  <c r="Y92" i="5" s="1"/>
  <c r="Y106" i="5" s="1"/>
  <c r="Z52" i="7"/>
  <c r="Z122" i="6"/>
  <c r="Z123" i="6" s="1"/>
  <c r="Z166" i="7"/>
  <c r="G153" i="9" s="1"/>
  <c r="AA85" i="6"/>
  <c r="Y68" i="10"/>
  <c r="Y121" i="7"/>
  <c r="AB89" i="6"/>
  <c r="AB120" i="7" s="1"/>
  <c r="T82" i="10"/>
  <c r="T53" i="6"/>
  <c r="T46" i="6"/>
  <c r="T47" i="6" s="1"/>
  <c r="U45" i="6" s="1"/>
  <c r="T113" i="7"/>
  <c r="T115" i="7" s="1"/>
  <c r="T123" i="7" s="1"/>
  <c r="T127" i="7" s="1"/>
  <c r="R55" i="12"/>
  <c r="R56" i="12"/>
  <c r="Y134" i="5"/>
  <c r="Y92" i="7" s="1"/>
  <c r="U101" i="5"/>
  <c r="T51" i="10"/>
  <c r="T52" i="10" s="1"/>
  <c r="T43" i="10"/>
  <c r="R184" i="7"/>
  <c r="R54" i="12"/>
  <c r="S147" i="7"/>
  <c r="S134" i="7"/>
  <c r="T129" i="7"/>
  <c r="S53" i="12"/>
  <c r="S180" i="7"/>
  <c r="S63" i="12" s="1"/>
  <c r="S62" i="12"/>
  <c r="U37" i="6"/>
  <c r="U39" i="6" s="1"/>
  <c r="U39" i="10"/>
  <c r="AB80" i="6"/>
  <c r="X37" i="12" l="1"/>
  <c r="X38" i="12" s="1"/>
  <c r="X104" i="10"/>
  <c r="X105" i="10" s="1"/>
  <c r="X107" i="10" s="1"/>
  <c r="X71" i="10" s="1"/>
  <c r="X64" i="7"/>
  <c r="X65" i="7" s="1"/>
  <c r="Y63" i="7" s="1"/>
  <c r="AB114" i="6"/>
  <c r="AB121" i="6" s="1"/>
  <c r="AB70" i="10"/>
  <c r="Y141" i="5"/>
  <c r="Y127" i="5" s="1"/>
  <c r="Y128" i="5" s="1"/>
  <c r="Y133" i="5" s="1"/>
  <c r="Y57" i="7" s="1"/>
  <c r="Y37" i="12" s="1"/>
  <c r="Y107" i="5"/>
  <c r="Y93" i="5" s="1"/>
  <c r="Y94" i="5" s="1"/>
  <c r="Y99" i="5" s="1"/>
  <c r="Y56" i="7" s="1"/>
  <c r="Y36" i="12" s="1"/>
  <c r="Z53" i="7"/>
  <c r="Z60" i="12"/>
  <c r="AA90" i="6"/>
  <c r="AA120" i="6"/>
  <c r="Z167" i="7"/>
  <c r="Z168" i="7" s="1"/>
  <c r="Z38" i="6"/>
  <c r="Z119" i="7"/>
  <c r="U52" i="6"/>
  <c r="U57" i="6" s="1"/>
  <c r="U58" i="6" s="1"/>
  <c r="S61" i="12"/>
  <c r="S152" i="7"/>
  <c r="S69" i="12"/>
  <c r="U66" i="10"/>
  <c r="U72" i="10" s="1"/>
  <c r="U42" i="10"/>
  <c r="U51" i="10" s="1"/>
  <c r="U52" i="10" s="1"/>
  <c r="V98" i="5"/>
  <c r="U176" i="7"/>
  <c r="U178" i="7" s="1"/>
  <c r="T130" i="7"/>
  <c r="U51" i="6"/>
  <c r="T160" i="7"/>
  <c r="T162" i="7" s="1"/>
  <c r="AB83" i="6"/>
  <c r="AC82" i="6" s="1"/>
  <c r="X161" i="7" l="1"/>
  <c r="X41" i="10"/>
  <c r="Y103" i="10"/>
  <c r="Y58" i="7"/>
  <c r="Y64" i="7" s="1"/>
  <c r="Y65" i="7" s="1"/>
  <c r="Y104" i="10"/>
  <c r="U43" i="10"/>
  <c r="AB115" i="6"/>
  <c r="AB116" i="6" s="1"/>
  <c r="AC113" i="6" s="1"/>
  <c r="U53" i="6"/>
  <c r="V51" i="6" s="1"/>
  <c r="Y38" i="12"/>
  <c r="Y108" i="5"/>
  <c r="Z105" i="5" s="1"/>
  <c r="Y135" i="5"/>
  <c r="Z132" i="5" s="1"/>
  <c r="Z134" i="5" s="1"/>
  <c r="Z92" i="7" s="1"/>
  <c r="Y142" i="5"/>
  <c r="Z139" i="5" s="1"/>
  <c r="AC89" i="6"/>
  <c r="AC120" i="7" s="1"/>
  <c r="Z118" i="5"/>
  <c r="Z126" i="5" s="1"/>
  <c r="Z141" i="5" s="1"/>
  <c r="Z127" i="5" s="1"/>
  <c r="Z128" i="5" s="1"/>
  <c r="Z133" i="5" s="1"/>
  <c r="Z54" i="7"/>
  <c r="Z51" i="12" s="1"/>
  <c r="Z84" i="5"/>
  <c r="Z92" i="5" s="1"/>
  <c r="Z106" i="5" s="1"/>
  <c r="AB85" i="6"/>
  <c r="AA166" i="7"/>
  <c r="Z68" i="10"/>
  <c r="Z121" i="7"/>
  <c r="AA122" i="6"/>
  <c r="AA52" i="7"/>
  <c r="V100" i="5"/>
  <c r="V91" i="7" s="1"/>
  <c r="V96" i="7" s="1"/>
  <c r="V98" i="7" s="1"/>
  <c r="S154" i="7"/>
  <c r="S42" i="12"/>
  <c r="S44" i="12" s="1"/>
  <c r="S67" i="12"/>
  <c r="S68" i="12"/>
  <c r="T180" i="7"/>
  <c r="T63" i="12" s="1"/>
  <c r="T62" i="12"/>
  <c r="T53" i="12"/>
  <c r="T134" i="7"/>
  <c r="U129" i="7"/>
  <c r="T147" i="7"/>
  <c r="U81" i="10"/>
  <c r="U82" i="10" s="1"/>
  <c r="U73" i="10"/>
  <c r="Y59" i="7"/>
  <c r="Y52" i="12" s="1"/>
  <c r="U46" i="6"/>
  <c r="U47" i="6" s="1"/>
  <c r="V45" i="6" s="1"/>
  <c r="U113" i="7"/>
  <c r="U115" i="7" s="1"/>
  <c r="U123" i="7" s="1"/>
  <c r="U127" i="7" s="1"/>
  <c r="AC80" i="6"/>
  <c r="Y105" i="10" l="1"/>
  <c r="Y107" i="10" s="1"/>
  <c r="Y71" i="10" s="1"/>
  <c r="U160" i="7"/>
  <c r="U162" i="7" s="1"/>
  <c r="U53" i="12" s="1"/>
  <c r="AC114" i="6"/>
  <c r="AC121" i="6" s="1"/>
  <c r="AC70" i="10"/>
  <c r="Z107" i="5"/>
  <c r="Z93" i="5" s="1"/>
  <c r="Z94" i="5" s="1"/>
  <c r="Z99" i="5" s="1"/>
  <c r="Z56" i="7" s="1"/>
  <c r="Z103" i="10" s="1"/>
  <c r="AA119" i="7"/>
  <c r="AA38" i="6"/>
  <c r="AB90" i="6"/>
  <c r="AA123" i="6"/>
  <c r="Z140" i="5"/>
  <c r="Z142" i="5" s="1"/>
  <c r="AA139" i="5" s="1"/>
  <c r="AA53" i="7"/>
  <c r="AA60" i="12"/>
  <c r="U130" i="7"/>
  <c r="U147" i="7" s="1"/>
  <c r="T61" i="12"/>
  <c r="T152" i="7"/>
  <c r="T69" i="12"/>
  <c r="V37" i="6"/>
  <c r="V39" i="6" s="1"/>
  <c r="V52" i="6" s="1"/>
  <c r="V53" i="6" s="1"/>
  <c r="V39" i="10"/>
  <c r="S55" i="12"/>
  <c r="S56" i="12"/>
  <c r="Z63" i="7"/>
  <c r="Y161" i="7"/>
  <c r="S184" i="7"/>
  <c r="S54" i="12"/>
  <c r="Z57" i="7"/>
  <c r="Z135" i="5"/>
  <c r="AA132" i="5" s="1"/>
  <c r="V101" i="5"/>
  <c r="AC83" i="6"/>
  <c r="AD82" i="6" s="1"/>
  <c r="U180" i="7" l="1"/>
  <c r="U63" i="12" s="1"/>
  <c r="Y41" i="10"/>
  <c r="U62" i="12"/>
  <c r="AC115" i="6"/>
  <c r="AC116" i="6" s="1"/>
  <c r="AD113" i="6" s="1"/>
  <c r="V129" i="7"/>
  <c r="Z36" i="12"/>
  <c r="Z108" i="5"/>
  <c r="AA105" i="5" s="1"/>
  <c r="U134" i="7"/>
  <c r="AA84" i="5"/>
  <c r="AA92" i="5" s="1"/>
  <c r="AA107" i="5" s="1"/>
  <c r="AA93" i="5" s="1"/>
  <c r="AA94" i="5" s="1"/>
  <c r="AA99" i="5" s="1"/>
  <c r="AA56" i="7" s="1"/>
  <c r="AA54" i="7"/>
  <c r="AA51" i="12" s="1"/>
  <c r="AA118" i="5"/>
  <c r="AA126" i="5" s="1"/>
  <c r="AA141" i="5" s="1"/>
  <c r="AA127" i="5" s="1"/>
  <c r="AA128" i="5" s="1"/>
  <c r="AA133" i="5" s="1"/>
  <c r="AA57" i="7" s="1"/>
  <c r="AB52" i="7"/>
  <c r="AB122" i="6"/>
  <c r="AB166" i="7"/>
  <c r="AC85" i="6"/>
  <c r="AD89" i="6"/>
  <c r="AD120" i="7" s="1"/>
  <c r="AB120" i="6"/>
  <c r="AA167" i="7"/>
  <c r="AA168" i="7" s="1"/>
  <c r="AA68" i="10"/>
  <c r="AA121" i="7"/>
  <c r="W51" i="6"/>
  <c r="V160" i="7"/>
  <c r="V162" i="7" s="1"/>
  <c r="W98" i="5"/>
  <c r="V176" i="7"/>
  <c r="V178" i="7" s="1"/>
  <c r="Z37" i="12"/>
  <c r="Z104" i="10"/>
  <c r="Z105" i="10" s="1"/>
  <c r="Z107" i="10" s="1"/>
  <c r="U152" i="7"/>
  <c r="U69" i="12"/>
  <c r="U61" i="12"/>
  <c r="V66" i="10"/>
  <c r="V72" i="10" s="1"/>
  <c r="V42" i="10"/>
  <c r="AA134" i="5"/>
  <c r="AA92" i="7" s="1"/>
  <c r="Z58" i="7"/>
  <c r="V57" i="6"/>
  <c r="V58" i="6" s="1"/>
  <c r="V46" i="6"/>
  <c r="V47" i="6" s="1"/>
  <c r="W45" i="6" s="1"/>
  <c r="V113" i="7"/>
  <c r="V115" i="7" s="1"/>
  <c r="V123" i="7" s="1"/>
  <c r="V127" i="7" s="1"/>
  <c r="T42" i="12"/>
  <c r="T44" i="12" s="1"/>
  <c r="T68" i="12"/>
  <c r="T154" i="7"/>
  <c r="T67" i="12"/>
  <c r="AD80" i="6"/>
  <c r="V130" i="7" l="1"/>
  <c r="V147" i="7" s="1"/>
  <c r="Z38" i="12"/>
  <c r="AA106" i="5"/>
  <c r="AA108" i="5" s="1"/>
  <c r="AB105" i="5" s="1"/>
  <c r="AD114" i="6"/>
  <c r="AD121" i="6" s="1"/>
  <c r="AD70" i="10"/>
  <c r="AA140" i="5"/>
  <c r="AA142" i="5" s="1"/>
  <c r="AB139" i="5" s="1"/>
  <c r="AB53" i="7"/>
  <c r="AB60" i="12"/>
  <c r="AC90" i="6"/>
  <c r="AB123" i="6"/>
  <c r="AB38" i="6"/>
  <c r="AB119" i="7"/>
  <c r="Z41" i="10"/>
  <c r="Z71" i="10"/>
  <c r="T184" i="7"/>
  <c r="T54" i="12"/>
  <c r="AA135" i="5"/>
  <c r="AB132" i="5" s="1"/>
  <c r="V62" i="12"/>
  <c r="V180" i="7"/>
  <c r="V63" i="12" s="1"/>
  <c r="W100" i="5"/>
  <c r="W91" i="7" s="1"/>
  <c r="W96" i="7" s="1"/>
  <c r="W98" i="7" s="1"/>
  <c r="T55" i="12"/>
  <c r="T56" i="12"/>
  <c r="V51" i="10"/>
  <c r="V52" i="10" s="1"/>
  <c r="V43" i="10"/>
  <c r="U67" i="12"/>
  <c r="U42" i="12"/>
  <c r="U44" i="12" s="1"/>
  <c r="U56" i="12" s="1"/>
  <c r="U154" i="7"/>
  <c r="U68" i="12"/>
  <c r="AA103" i="10"/>
  <c r="AA36" i="12"/>
  <c r="AA58" i="7"/>
  <c r="V53" i="12"/>
  <c r="Z64" i="7"/>
  <c r="Z65" i="7" s="1"/>
  <c r="Z59" i="7"/>
  <c r="Z52" i="12" s="1"/>
  <c r="V81" i="10"/>
  <c r="V82" i="10" s="1"/>
  <c r="V73" i="10"/>
  <c r="AA104" i="10"/>
  <c r="AA37" i="12"/>
  <c r="AD83" i="6"/>
  <c r="AE82" i="6" s="1"/>
  <c r="V134" i="7" l="1"/>
  <c r="W129" i="7"/>
  <c r="AD115" i="6"/>
  <c r="AD116" i="6" s="1"/>
  <c r="AE113" i="6" s="1"/>
  <c r="AC122" i="6"/>
  <c r="AC52" i="7"/>
  <c r="AE89" i="6"/>
  <c r="AE120" i="7" s="1"/>
  <c r="AB68" i="10"/>
  <c r="AB121" i="7"/>
  <c r="AC166" i="7"/>
  <c r="AD85" i="6"/>
  <c r="AB167" i="7"/>
  <c r="AC120" i="6"/>
  <c r="AC123" i="6" s="1"/>
  <c r="AB118" i="5"/>
  <c r="AB126" i="5" s="1"/>
  <c r="AB141" i="5" s="1"/>
  <c r="AB127" i="5" s="1"/>
  <c r="AB128" i="5" s="1"/>
  <c r="AB133" i="5" s="1"/>
  <c r="AB57" i="7" s="1"/>
  <c r="AB54" i="7"/>
  <c r="AB51" i="12" s="1"/>
  <c r="AB84" i="5"/>
  <c r="AB92" i="5" s="1"/>
  <c r="AB107" i="5" s="1"/>
  <c r="AB93" i="5" s="1"/>
  <c r="AB94" i="5" s="1"/>
  <c r="AB99" i="5" s="1"/>
  <c r="AB56" i="7" s="1"/>
  <c r="W101" i="5"/>
  <c r="X98" i="5" s="1"/>
  <c r="AA105" i="10"/>
  <c r="AA107" i="10" s="1"/>
  <c r="AA63" i="7"/>
  <c r="Z161" i="7"/>
  <c r="G148" i="9" s="1"/>
  <c r="AA59" i="7"/>
  <c r="AA52" i="12" s="1"/>
  <c r="AA64" i="7"/>
  <c r="AB134" i="5"/>
  <c r="AB92" i="7" s="1"/>
  <c r="U184" i="7"/>
  <c r="W37" i="6"/>
  <c r="W39" i="6" s="1"/>
  <c r="W39" i="10"/>
  <c r="AA38" i="12"/>
  <c r="AD120" i="6"/>
  <c r="AC167" i="7"/>
  <c r="U55" i="12"/>
  <c r="U54" i="12"/>
  <c r="V152" i="7"/>
  <c r="V69" i="12"/>
  <c r="V61" i="12"/>
  <c r="AE80" i="6"/>
  <c r="AC168" i="7" l="1"/>
  <c r="AE114" i="6"/>
  <c r="AE121" i="6" s="1"/>
  <c r="AE70" i="10"/>
  <c r="W176" i="7"/>
  <c r="W178" i="7" s="1"/>
  <c r="AB140" i="5"/>
  <c r="AB142" i="5" s="1"/>
  <c r="AC139" i="5" s="1"/>
  <c r="AB106" i="5"/>
  <c r="AB108" i="5" s="1"/>
  <c r="AC105" i="5" s="1"/>
  <c r="AD90" i="6"/>
  <c r="AC60" i="12"/>
  <c r="AC53" i="7"/>
  <c r="G154" i="9"/>
  <c r="G155" i="9" s="1"/>
  <c r="E107" i="15" s="1"/>
  <c r="AB168" i="7"/>
  <c r="AC38" i="6"/>
  <c r="AC119" i="7"/>
  <c r="AA65" i="7"/>
  <c r="AA161" i="7" s="1"/>
  <c r="W66" i="10"/>
  <c r="W72" i="10" s="1"/>
  <c r="W42" i="10"/>
  <c r="W52" i="6"/>
  <c r="AB104" i="10"/>
  <c r="AB37" i="12"/>
  <c r="AB36" i="12"/>
  <c r="AB103" i="10"/>
  <c r="AB58" i="7"/>
  <c r="V67" i="12"/>
  <c r="V42" i="12"/>
  <c r="V44" i="12" s="1"/>
  <c r="V68" i="12"/>
  <c r="V154" i="7"/>
  <c r="AB135" i="5"/>
  <c r="AC132" i="5" s="1"/>
  <c r="X100" i="5"/>
  <c r="X91" i="7" s="1"/>
  <c r="X96" i="7" s="1"/>
  <c r="X98" i="7" s="1"/>
  <c r="AA71" i="10"/>
  <c r="AA41" i="10"/>
  <c r="AE83" i="6"/>
  <c r="AF82" i="6" s="1"/>
  <c r="AE115" i="6" l="1"/>
  <c r="AE116" i="6" s="1"/>
  <c r="AF113" i="6" s="1"/>
  <c r="AB63" i="7"/>
  <c r="AC68" i="10"/>
  <c r="AC121" i="7"/>
  <c r="AC54" i="7"/>
  <c r="AC51" i="12" s="1"/>
  <c r="AC84" i="5"/>
  <c r="AC92" i="5" s="1"/>
  <c r="AC106" i="5" s="1"/>
  <c r="AC118" i="5"/>
  <c r="AC126" i="5" s="1"/>
  <c r="AC141" i="5" s="1"/>
  <c r="AC127" i="5" s="1"/>
  <c r="AC128" i="5" s="1"/>
  <c r="AC133" i="5" s="1"/>
  <c r="AC57" i="7" s="1"/>
  <c r="AD122" i="6"/>
  <c r="AD52" i="7"/>
  <c r="AF89" i="6"/>
  <c r="AF120" i="7" s="1"/>
  <c r="AF70" i="10" s="1"/>
  <c r="AE85" i="6"/>
  <c r="AD166" i="7"/>
  <c r="AB105" i="10"/>
  <c r="AB107" i="10" s="1"/>
  <c r="AB41" i="10" s="1"/>
  <c r="X37" i="6"/>
  <c r="X39" i="6" s="1"/>
  <c r="X39" i="10"/>
  <c r="V55" i="12"/>
  <c r="V56" i="12"/>
  <c r="W46" i="6"/>
  <c r="W47" i="6" s="1"/>
  <c r="X45" i="6" s="1"/>
  <c r="W113" i="7"/>
  <c r="W115" i="7" s="1"/>
  <c r="W123" i="7" s="1"/>
  <c r="W127" i="7" s="1"/>
  <c r="W130" i="7" s="1"/>
  <c r="W53" i="6"/>
  <c r="AC134" i="5"/>
  <c r="AC92" i="7" s="1"/>
  <c r="AB59" i="7"/>
  <c r="AB52" i="12" s="1"/>
  <c r="AB64" i="7"/>
  <c r="W51" i="10"/>
  <c r="W52" i="10" s="1"/>
  <c r="W43" i="10"/>
  <c r="W81" i="10"/>
  <c r="W82" i="10" s="1"/>
  <c r="W73" i="10"/>
  <c r="V184" i="7"/>
  <c r="V54" i="12"/>
  <c r="X101" i="5"/>
  <c r="AB38" i="12"/>
  <c r="W57" i="6"/>
  <c r="W58" i="6" s="1"/>
  <c r="AF80" i="6"/>
  <c r="AB65" i="7" l="1"/>
  <c r="AB161" i="7" s="1"/>
  <c r="AC140" i="5"/>
  <c r="AC142" i="5" s="1"/>
  <c r="AD139" i="5" s="1"/>
  <c r="AF114" i="6"/>
  <c r="AF121" i="6" s="1"/>
  <c r="AC107" i="5"/>
  <c r="AC93" i="5" s="1"/>
  <c r="AC94" i="5" s="1"/>
  <c r="AC99" i="5" s="1"/>
  <c r="AC56" i="7" s="1"/>
  <c r="AC103" i="10" s="1"/>
  <c r="AB71" i="10"/>
  <c r="AD53" i="7"/>
  <c r="AD60" i="12"/>
  <c r="AE90" i="6"/>
  <c r="AD123" i="6"/>
  <c r="AD38" i="6"/>
  <c r="AD119" i="7"/>
  <c r="AC135" i="5"/>
  <c r="AD132" i="5" s="1"/>
  <c r="AD134" i="5" s="1"/>
  <c r="AD92" i="7" s="1"/>
  <c r="X51" i="6"/>
  <c r="W160" i="7"/>
  <c r="W162" i="7" s="1"/>
  <c r="X66" i="10"/>
  <c r="X72" i="10" s="1"/>
  <c r="X81" i="10" s="1"/>
  <c r="X82" i="10" s="1"/>
  <c r="X42" i="10"/>
  <c r="X51" i="10" s="1"/>
  <c r="X52" i="10" s="1"/>
  <c r="Y98" i="5"/>
  <c r="X176" i="7"/>
  <c r="X178" i="7" s="1"/>
  <c r="AC37" i="12"/>
  <c r="AC104" i="10"/>
  <c r="X129" i="7"/>
  <c r="W147" i="7"/>
  <c r="W134" i="7"/>
  <c r="X52" i="6"/>
  <c r="X57" i="6" s="1"/>
  <c r="X58" i="6" s="1"/>
  <c r="AF83" i="6"/>
  <c r="AG82" i="6" s="1"/>
  <c r="AC63" i="7" l="1"/>
  <c r="AF115" i="6"/>
  <c r="AF116" i="6" s="1"/>
  <c r="AG113" i="6" s="1"/>
  <c r="AC58" i="7"/>
  <c r="AC64" i="7" s="1"/>
  <c r="AC36" i="12"/>
  <c r="AC38" i="12" s="1"/>
  <c r="AC108" i="5"/>
  <c r="AD105" i="5" s="1"/>
  <c r="AF85" i="6"/>
  <c r="AE166" i="7"/>
  <c r="AE122" i="6"/>
  <c r="AE52" i="7"/>
  <c r="AG89" i="6"/>
  <c r="AG120" i="7" s="1"/>
  <c r="AG70" i="10" s="1"/>
  <c r="AD121" i="7"/>
  <c r="AD68" i="10"/>
  <c r="AE120" i="6"/>
  <c r="AD167" i="7"/>
  <c r="AD168" i="7" s="1"/>
  <c r="AD84" i="5"/>
  <c r="AD92" i="5" s="1"/>
  <c r="AD106" i="5" s="1"/>
  <c r="AD54" i="7"/>
  <c r="AD51" i="12" s="1"/>
  <c r="AD118" i="5"/>
  <c r="AD126" i="5" s="1"/>
  <c r="AD140" i="5" s="1"/>
  <c r="X43" i="10"/>
  <c r="X73" i="10"/>
  <c r="W61" i="12"/>
  <c r="W69" i="12"/>
  <c r="W152" i="7"/>
  <c r="AC59" i="7"/>
  <c r="AC52" i="12" s="1"/>
  <c r="Y100" i="5"/>
  <c r="Y91" i="7" s="1"/>
  <c r="Y96" i="7" s="1"/>
  <c r="Y98" i="7" s="1"/>
  <c r="W53" i="12"/>
  <c r="W180" i="7"/>
  <c r="W63" i="12" s="1"/>
  <c r="W62" i="12"/>
  <c r="X46" i="6"/>
  <c r="X47" i="6" s="1"/>
  <c r="Y45" i="6" s="1"/>
  <c r="X113" i="7"/>
  <c r="X115" i="7" s="1"/>
  <c r="X123" i="7" s="1"/>
  <c r="X127" i="7" s="1"/>
  <c r="X130" i="7" s="1"/>
  <c r="X53" i="6"/>
  <c r="AC105" i="10"/>
  <c r="AC107" i="10" s="1"/>
  <c r="AG80" i="6"/>
  <c r="AC65" i="7" l="1"/>
  <c r="AC161" i="7" s="1"/>
  <c r="AG114" i="6"/>
  <c r="AG121" i="6" s="1"/>
  <c r="AD107" i="5"/>
  <c r="AD93" i="5" s="1"/>
  <c r="AD94" i="5" s="1"/>
  <c r="AD99" i="5" s="1"/>
  <c r="AD56" i="7" s="1"/>
  <c r="AD36" i="12" s="1"/>
  <c r="AD141" i="5"/>
  <c r="AD127" i="5" s="1"/>
  <c r="AD128" i="5" s="1"/>
  <c r="AD133" i="5" s="1"/>
  <c r="AD57" i="7" s="1"/>
  <c r="AE38" i="6"/>
  <c r="AE119" i="7"/>
  <c r="AE60" i="12"/>
  <c r="AE53" i="7"/>
  <c r="AE123" i="6"/>
  <c r="AF90" i="6"/>
  <c r="Y101" i="5"/>
  <c r="Y176" i="7" s="1"/>
  <c r="Y178" i="7" s="1"/>
  <c r="Y51" i="6"/>
  <c r="X160" i="7"/>
  <c r="X162" i="7" s="1"/>
  <c r="Y37" i="6"/>
  <c r="Y39" i="6" s="1"/>
  <c r="Y39" i="10"/>
  <c r="W67" i="12"/>
  <c r="W68" i="12"/>
  <c r="W154" i="7"/>
  <c r="W42" i="12"/>
  <c r="W44" i="12" s="1"/>
  <c r="AC41" i="10"/>
  <c r="AC71" i="10"/>
  <c r="X147" i="7"/>
  <c r="Y129" i="7"/>
  <c r="X134" i="7"/>
  <c r="AG83" i="6"/>
  <c r="AH82" i="6" s="1"/>
  <c r="AD63" i="7" l="1"/>
  <c r="AG115" i="6"/>
  <c r="AG116" i="6" s="1"/>
  <c r="AH113" i="6" s="1"/>
  <c r="AD142" i="5"/>
  <c r="AE139" i="5" s="1"/>
  <c r="AD103" i="10"/>
  <c r="AD108" i="5"/>
  <c r="AE105" i="5" s="1"/>
  <c r="AD58" i="7"/>
  <c r="AD64" i="7" s="1"/>
  <c r="AD135" i="5"/>
  <c r="AE132" i="5" s="1"/>
  <c r="AE134" i="5" s="1"/>
  <c r="AE92" i="7" s="1"/>
  <c r="AH89" i="6"/>
  <c r="AH120" i="7" s="1"/>
  <c r="AH70" i="10" s="1"/>
  <c r="Z98" i="5"/>
  <c r="Z100" i="5" s="1"/>
  <c r="Z91" i="7" s="1"/>
  <c r="Z96" i="7" s="1"/>
  <c r="Z98" i="7" s="1"/>
  <c r="AF122" i="6"/>
  <c r="AF52" i="7"/>
  <c r="AE118" i="5"/>
  <c r="AE126" i="5" s="1"/>
  <c r="AE141" i="5" s="1"/>
  <c r="AE127" i="5" s="1"/>
  <c r="AE128" i="5" s="1"/>
  <c r="AE133" i="5" s="1"/>
  <c r="AE57" i="7" s="1"/>
  <c r="AE84" i="5"/>
  <c r="AE92" i="5" s="1"/>
  <c r="AE107" i="5" s="1"/>
  <c r="AE93" i="5" s="1"/>
  <c r="AE94" i="5" s="1"/>
  <c r="AE99" i="5" s="1"/>
  <c r="AE56" i="7" s="1"/>
  <c r="AE54" i="7"/>
  <c r="AE51" i="12" s="1"/>
  <c r="AF166" i="7"/>
  <c r="AG85" i="6"/>
  <c r="AE121" i="7"/>
  <c r="AE68" i="10"/>
  <c r="AF120" i="6"/>
  <c r="AE167" i="7"/>
  <c r="AE168" i="7" s="1"/>
  <c r="Y52" i="6"/>
  <c r="Y57" i="6" s="1"/>
  <c r="Y58" i="6" s="1"/>
  <c r="AD59" i="7"/>
  <c r="AD52" i="12" s="1"/>
  <c r="X61" i="12"/>
  <c r="X152" i="7"/>
  <c r="X69" i="12"/>
  <c r="W56" i="12"/>
  <c r="W55" i="12"/>
  <c r="X62" i="12"/>
  <c r="X180" i="7"/>
  <c r="X63" i="12" s="1"/>
  <c r="X53" i="12"/>
  <c r="AD37" i="12"/>
  <c r="AD38" i="12" s="1"/>
  <c r="AD104" i="10"/>
  <c r="AD105" i="10" s="1"/>
  <c r="AD107" i="10" s="1"/>
  <c r="W54" i="12"/>
  <c r="W184" i="7"/>
  <c r="Y66" i="10"/>
  <c r="Y72" i="10" s="1"/>
  <c r="Y42" i="10"/>
  <c r="AH80" i="6"/>
  <c r="AD65" i="7" l="1"/>
  <c r="AD161" i="7" s="1"/>
  <c r="AH114" i="6"/>
  <c r="AH121" i="6" s="1"/>
  <c r="AE106" i="5"/>
  <c r="AE108" i="5" s="1"/>
  <c r="AF105" i="5" s="1"/>
  <c r="Y53" i="6"/>
  <c r="Z51" i="6" s="1"/>
  <c r="AE140" i="5"/>
  <c r="AE142" i="5" s="1"/>
  <c r="AF139" i="5" s="1"/>
  <c r="AF119" i="7"/>
  <c r="AF38" i="6"/>
  <c r="AG90" i="6"/>
  <c r="AF123" i="6"/>
  <c r="AF60" i="12"/>
  <c r="AF53" i="7"/>
  <c r="AD41" i="10"/>
  <c r="AD71" i="10"/>
  <c r="Y51" i="10"/>
  <c r="Y52" i="10" s="1"/>
  <c r="Y43" i="10"/>
  <c r="X42" i="12"/>
  <c r="X44" i="12" s="1"/>
  <c r="X154" i="7"/>
  <c r="X67" i="12"/>
  <c r="X68" i="12"/>
  <c r="AE37" i="12"/>
  <c r="AE104" i="10"/>
  <c r="Y81" i="10"/>
  <c r="Y82" i="10" s="1"/>
  <c r="Y73" i="10"/>
  <c r="AE103" i="10"/>
  <c r="AE36" i="12"/>
  <c r="AE58" i="7"/>
  <c r="Z101" i="5"/>
  <c r="AE135" i="5"/>
  <c r="AF132" i="5" s="1"/>
  <c r="Y46" i="6"/>
  <c r="Y47" i="6" s="1"/>
  <c r="Z45" i="6" s="1"/>
  <c r="Y113" i="7"/>
  <c r="Y115" i="7" s="1"/>
  <c r="Y123" i="7" s="1"/>
  <c r="Y127" i="7" s="1"/>
  <c r="Y130" i="7" s="1"/>
  <c r="Z37" i="6"/>
  <c r="Z39" i="6" s="1"/>
  <c r="Z52" i="6" s="1"/>
  <c r="Z39" i="10"/>
  <c r="AH83" i="6"/>
  <c r="AI82" i="6" s="1"/>
  <c r="AE63" i="7" l="1"/>
  <c r="Y160" i="7"/>
  <c r="Y162" i="7" s="1"/>
  <c r="Y62" i="12" s="1"/>
  <c r="AH115" i="6"/>
  <c r="AH116" i="6" s="1"/>
  <c r="AI113" i="6" s="1"/>
  <c r="AE38" i="12"/>
  <c r="AE105" i="10"/>
  <c r="AE107" i="10" s="1"/>
  <c r="AF84" i="5"/>
  <c r="AF92" i="5" s="1"/>
  <c r="AF106" i="5" s="1"/>
  <c r="AF54" i="7"/>
  <c r="AF51" i="12" s="1"/>
  <c r="AF118" i="5"/>
  <c r="AF126" i="5" s="1"/>
  <c r="AF141" i="5" s="1"/>
  <c r="AF127" i="5" s="1"/>
  <c r="AF128" i="5" s="1"/>
  <c r="AF133" i="5" s="1"/>
  <c r="AF57" i="7" s="1"/>
  <c r="AG122" i="6"/>
  <c r="AG52" i="7"/>
  <c r="AH85" i="6"/>
  <c r="AG166" i="7"/>
  <c r="AI89" i="6"/>
  <c r="AI120" i="7" s="1"/>
  <c r="AI70" i="10" s="1"/>
  <c r="AF167" i="7"/>
  <c r="AF168" i="7" s="1"/>
  <c r="AG120" i="6"/>
  <c r="AF121" i="7"/>
  <c r="AF68" i="10"/>
  <c r="Z176" i="7"/>
  <c r="AA98" i="5"/>
  <c r="X55" i="12"/>
  <c r="X56" i="12"/>
  <c r="Z66" i="10"/>
  <c r="Z72" i="10" s="1"/>
  <c r="Z81" i="10" s="1"/>
  <c r="Z82" i="10" s="1"/>
  <c r="Z42" i="10"/>
  <c r="Z51" i="10" s="1"/>
  <c r="Z52" i="10" s="1"/>
  <c r="AF134" i="5"/>
  <c r="AF92" i="7" s="1"/>
  <c r="Z57" i="6"/>
  <c r="Z58" i="6" s="1"/>
  <c r="Z46" i="6"/>
  <c r="Z47" i="6" s="1"/>
  <c r="AA45" i="6" s="1"/>
  <c r="Z113" i="7"/>
  <c r="Z115" i="7" s="1"/>
  <c r="Z123" i="7" s="1"/>
  <c r="Z127" i="7" s="1"/>
  <c r="AE59" i="7"/>
  <c r="AE52" i="12" s="1"/>
  <c r="AE64" i="7"/>
  <c r="AE65" i="7" s="1"/>
  <c r="Z53" i="6"/>
  <c r="Y134" i="7"/>
  <c r="Y147" i="7"/>
  <c r="Z129" i="7"/>
  <c r="X184" i="7"/>
  <c r="X54" i="12"/>
  <c r="AI80" i="6"/>
  <c r="Y53" i="12" l="1"/>
  <c r="Y180" i="7"/>
  <c r="Y63" i="12" s="1"/>
  <c r="Z73" i="10"/>
  <c r="AF107" i="5"/>
  <c r="AF93" i="5" s="1"/>
  <c r="AF94" i="5" s="1"/>
  <c r="AF99" i="5" s="1"/>
  <c r="AF56" i="7" s="1"/>
  <c r="AF36" i="12" s="1"/>
  <c r="AI114" i="6"/>
  <c r="AI121" i="6" s="1"/>
  <c r="AG123" i="6"/>
  <c r="AG167" i="7" s="1"/>
  <c r="AG168" i="7" s="1"/>
  <c r="Z43" i="10"/>
  <c r="AF140" i="5"/>
  <c r="AF142" i="5" s="1"/>
  <c r="AG139" i="5" s="1"/>
  <c r="AG119" i="7"/>
  <c r="AG38" i="6"/>
  <c r="AH90" i="6"/>
  <c r="AG53" i="7"/>
  <c r="AG60" i="12"/>
  <c r="AF135" i="5"/>
  <c r="AG132" i="5" s="1"/>
  <c r="AG134" i="5" s="1"/>
  <c r="AG92" i="7" s="1"/>
  <c r="Y152" i="7"/>
  <c r="Y69" i="12"/>
  <c r="Y61" i="12"/>
  <c r="AA51" i="6"/>
  <c r="Z160" i="7"/>
  <c r="Z162" i="7" s="1"/>
  <c r="AE71" i="10"/>
  <c r="AE41" i="10"/>
  <c r="AF63" i="7"/>
  <c r="AE161" i="7"/>
  <c r="Z130" i="7"/>
  <c r="AF104" i="10"/>
  <c r="AF37" i="12"/>
  <c r="AA100" i="5"/>
  <c r="AA91" i="7" s="1"/>
  <c r="Z178" i="7"/>
  <c r="G163" i="9"/>
  <c r="G165" i="9" s="1"/>
  <c r="AI83" i="6"/>
  <c r="AJ82" i="6" s="1"/>
  <c r="AH120" i="6" l="1"/>
  <c r="AF108" i="5"/>
  <c r="AG105" i="5" s="1"/>
  <c r="AF103" i="10"/>
  <c r="AF105" i="10" s="1"/>
  <c r="AF107" i="10" s="1"/>
  <c r="AF58" i="7"/>
  <c r="AF64" i="7" s="1"/>
  <c r="AF65" i="7" s="1"/>
  <c r="AI115" i="6"/>
  <c r="AI116" i="6" s="1"/>
  <c r="AJ113" i="6" s="1"/>
  <c r="AG54" i="7"/>
  <c r="AG51" i="12" s="1"/>
  <c r="AG118" i="5"/>
  <c r="AG126" i="5" s="1"/>
  <c r="AG140" i="5" s="1"/>
  <c r="AG84" i="5"/>
  <c r="AG92" i="5" s="1"/>
  <c r="AG106" i="5" s="1"/>
  <c r="AI85" i="6"/>
  <c r="AH166" i="7"/>
  <c r="AJ89" i="6"/>
  <c r="AJ120" i="7" s="1"/>
  <c r="AJ70" i="10" s="1"/>
  <c r="AA101" i="5"/>
  <c r="AB98" i="5" s="1"/>
  <c r="AH122" i="6"/>
  <c r="AH52" i="7"/>
  <c r="AG68" i="10"/>
  <c r="AG121" i="7"/>
  <c r="AA129" i="7"/>
  <c r="Z147" i="7"/>
  <c r="Z134" i="7"/>
  <c r="Z53" i="12"/>
  <c r="Y68" i="12"/>
  <c r="Y154" i="7"/>
  <c r="Y42" i="12"/>
  <c r="Y44" i="12" s="1"/>
  <c r="Y67" i="12"/>
  <c r="AF38" i="12"/>
  <c r="E108" i="15"/>
  <c r="Z180" i="7"/>
  <c r="Z63" i="12" s="1"/>
  <c r="Z62" i="12"/>
  <c r="AA96" i="7"/>
  <c r="AA98" i="7" s="1"/>
  <c r="AJ80" i="6"/>
  <c r="AF59" i="7" l="1"/>
  <c r="AF52" i="12" s="1"/>
  <c r="AG141" i="5"/>
  <c r="AG127" i="5" s="1"/>
  <c r="AG128" i="5" s="1"/>
  <c r="AG133" i="5" s="1"/>
  <c r="AG135" i="5" s="1"/>
  <c r="AH132" i="5" s="1"/>
  <c r="AJ114" i="6"/>
  <c r="AJ121" i="6" s="1"/>
  <c r="AG107" i="5"/>
  <c r="AG93" i="5" s="1"/>
  <c r="AG94" i="5" s="1"/>
  <c r="AG99" i="5" s="1"/>
  <c r="AG56" i="7" s="1"/>
  <c r="AG103" i="10" s="1"/>
  <c r="AA176" i="7"/>
  <c r="AA178" i="7" s="1"/>
  <c r="AI90" i="6"/>
  <c r="AH60" i="12"/>
  <c r="AH53" i="7"/>
  <c r="AH123" i="6"/>
  <c r="AH38" i="6"/>
  <c r="AH119" i="7"/>
  <c r="AF71" i="10"/>
  <c r="AF41" i="10"/>
  <c r="Z69" i="12"/>
  <c r="Z152" i="7"/>
  <c r="G134" i="9"/>
  <c r="G139" i="9" s="1"/>
  <c r="Z61" i="12"/>
  <c r="AB100" i="5"/>
  <c r="AB91" i="7" s="1"/>
  <c r="Y55" i="12"/>
  <c r="Y56" i="12"/>
  <c r="Y184" i="7"/>
  <c r="Y54" i="12"/>
  <c r="AG63" i="7"/>
  <c r="AF161" i="7"/>
  <c r="AA37" i="6"/>
  <c r="AA39" i="6" s="1"/>
  <c r="AA39" i="10"/>
  <c r="AJ83" i="6"/>
  <c r="AK82" i="6" s="1"/>
  <c r="AG57" i="7" l="1"/>
  <c r="AG58" i="7" s="1"/>
  <c r="AG59" i="7" s="1"/>
  <c r="AG52" i="12" s="1"/>
  <c r="AG142" i="5"/>
  <c r="AH139" i="5" s="1"/>
  <c r="AJ115" i="6"/>
  <c r="AJ116" i="6" s="1"/>
  <c r="AK113" i="6" s="1"/>
  <c r="AG108" i="5"/>
  <c r="AH105" i="5" s="1"/>
  <c r="AG36" i="12"/>
  <c r="AH84" i="5"/>
  <c r="AH92" i="5" s="1"/>
  <c r="AH106" i="5" s="1"/>
  <c r="AH118" i="5"/>
  <c r="AH126" i="5" s="1"/>
  <c r="AH141" i="5" s="1"/>
  <c r="AH127" i="5" s="1"/>
  <c r="AH128" i="5" s="1"/>
  <c r="AH133" i="5" s="1"/>
  <c r="AH57" i="7" s="1"/>
  <c r="AH54" i="7"/>
  <c r="AH51" i="12" s="1"/>
  <c r="AH68" i="10"/>
  <c r="AH121" i="7"/>
  <c r="AK89" i="6"/>
  <c r="AK120" i="7" s="1"/>
  <c r="AK70" i="10" s="1"/>
  <c r="AJ85" i="6"/>
  <c r="AI166" i="7"/>
  <c r="AI120" i="6"/>
  <c r="AH167" i="7"/>
  <c r="AH168" i="7" s="1"/>
  <c r="AI122" i="6"/>
  <c r="AI52" i="7"/>
  <c r="AA66" i="10"/>
  <c r="AA42" i="10"/>
  <c r="AA52" i="6"/>
  <c r="AA57" i="6" s="1"/>
  <c r="AA58" i="6" s="1"/>
  <c r="AB101" i="5"/>
  <c r="AB96" i="7"/>
  <c r="AB98" i="7" s="1"/>
  <c r="G141" i="9"/>
  <c r="E102" i="15"/>
  <c r="E103" i="15" s="1"/>
  <c r="AH134" i="5"/>
  <c r="AH92" i="7" s="1"/>
  <c r="Z68" i="12"/>
  <c r="Z67" i="12"/>
  <c r="Z154" i="7"/>
  <c r="Z42" i="12"/>
  <c r="Z44" i="12" s="1"/>
  <c r="AK80" i="6"/>
  <c r="AG37" i="12" l="1"/>
  <c r="AG104" i="10"/>
  <c r="AG105" i="10" s="1"/>
  <c r="AG107" i="10" s="1"/>
  <c r="AG41" i="10" s="1"/>
  <c r="AI123" i="6"/>
  <c r="AJ120" i="6" s="1"/>
  <c r="AG64" i="7"/>
  <c r="AG65" i="7" s="1"/>
  <c r="AH63" i="7" s="1"/>
  <c r="AG38" i="12"/>
  <c r="AH107" i="5"/>
  <c r="AH93" i="5" s="1"/>
  <c r="AH94" i="5" s="1"/>
  <c r="AH99" i="5" s="1"/>
  <c r="AH56" i="7" s="1"/>
  <c r="AH103" i="10" s="1"/>
  <c r="AK114" i="6"/>
  <c r="AK121" i="6" s="1"/>
  <c r="AH140" i="5"/>
  <c r="AH142" i="5" s="1"/>
  <c r="AI139" i="5" s="1"/>
  <c r="AI167" i="7"/>
  <c r="AI168" i="7" s="1"/>
  <c r="AI38" i="6"/>
  <c r="AI119" i="7"/>
  <c r="AJ90" i="6"/>
  <c r="AI53" i="7"/>
  <c r="AI60" i="12"/>
  <c r="AH104" i="10"/>
  <c r="AH37" i="12"/>
  <c r="AH135" i="5"/>
  <c r="AI132" i="5" s="1"/>
  <c r="AB37" i="6"/>
  <c r="AB39" i="6" s="1"/>
  <c r="AB39" i="10"/>
  <c r="AA72" i="10"/>
  <c r="Z55" i="12"/>
  <c r="Z56" i="12"/>
  <c r="Z184" i="7"/>
  <c r="Z54" i="12"/>
  <c r="AA46" i="6"/>
  <c r="AA47" i="6" s="1"/>
  <c r="AB45" i="6" s="1"/>
  <c r="AA113" i="7"/>
  <c r="AA53" i="6"/>
  <c r="AB176" i="7"/>
  <c r="AB178" i="7" s="1"/>
  <c r="AC98" i="5"/>
  <c r="AA51" i="10"/>
  <c r="AA43" i="10"/>
  <c r="AK83" i="6"/>
  <c r="AL82" i="6" s="1"/>
  <c r="AG71" i="10" l="1"/>
  <c r="AH108" i="5"/>
  <c r="AI105" i="5" s="1"/>
  <c r="AH58" i="7"/>
  <c r="AH59" i="7" s="1"/>
  <c r="AH52" i="12" s="1"/>
  <c r="AH36" i="12"/>
  <c r="AH38" i="12" s="1"/>
  <c r="AG161" i="7"/>
  <c r="AH105" i="10"/>
  <c r="AH107" i="10" s="1"/>
  <c r="AH71" i="10" s="1"/>
  <c r="AK115" i="6"/>
  <c r="AK116" i="6" s="1"/>
  <c r="AL113" i="6" s="1"/>
  <c r="AK85" i="6"/>
  <c r="AJ166" i="7"/>
  <c r="AI68" i="10"/>
  <c r="AI121" i="7"/>
  <c r="AI54" i="7"/>
  <c r="AI51" i="12" s="1"/>
  <c r="AI118" i="5"/>
  <c r="AI126" i="5" s="1"/>
  <c r="AI140" i="5" s="1"/>
  <c r="AI84" i="5"/>
  <c r="AI92" i="5" s="1"/>
  <c r="AI107" i="5" s="1"/>
  <c r="AI93" i="5" s="1"/>
  <c r="AI94" i="5" s="1"/>
  <c r="AI99" i="5" s="1"/>
  <c r="AI56" i="7" s="1"/>
  <c r="AL89" i="6"/>
  <c r="AL120" i="7" s="1"/>
  <c r="AL70" i="10" s="1"/>
  <c r="AJ52" i="7"/>
  <c r="AJ122" i="6"/>
  <c r="AI134" i="5"/>
  <c r="AI92" i="7" s="1"/>
  <c r="AA81" i="10"/>
  <c r="AA73" i="10"/>
  <c r="AC100" i="5"/>
  <c r="AC91" i="7" s="1"/>
  <c r="AB51" i="6"/>
  <c r="AA160" i="7"/>
  <c r="AA162" i="7" s="1"/>
  <c r="AB66" i="10"/>
  <c r="AB42" i="10"/>
  <c r="AB51" i="10" s="1"/>
  <c r="AA52" i="10"/>
  <c r="AA115" i="7"/>
  <c r="AA123" i="7" s="1"/>
  <c r="AA127" i="7" s="1"/>
  <c r="AA130" i="7" s="1"/>
  <c r="AB52" i="6"/>
  <c r="AB57" i="6" s="1"/>
  <c r="AB58" i="6" s="1"/>
  <c r="AL80" i="6"/>
  <c r="AH64" i="7" l="1"/>
  <c r="AH65" i="7" s="1"/>
  <c r="AH161" i="7" s="1"/>
  <c r="AH41" i="10"/>
  <c r="AL114" i="6"/>
  <c r="AL121" i="6" s="1"/>
  <c r="AI141" i="5"/>
  <c r="AI127" i="5" s="1"/>
  <c r="AI128" i="5" s="1"/>
  <c r="AI133" i="5" s="1"/>
  <c r="AI57" i="7" s="1"/>
  <c r="AI37" i="12" s="1"/>
  <c r="AC101" i="5"/>
  <c r="AD98" i="5" s="1"/>
  <c r="AI106" i="5"/>
  <c r="AI108" i="5" s="1"/>
  <c r="AJ105" i="5" s="1"/>
  <c r="AJ119" i="7"/>
  <c r="AJ123" i="6"/>
  <c r="AJ38" i="6"/>
  <c r="AJ60" i="12"/>
  <c r="AJ53" i="7"/>
  <c r="AK90" i="6"/>
  <c r="AB43" i="10"/>
  <c r="AB52" i="10"/>
  <c r="AA53" i="12"/>
  <c r="AA62" i="12"/>
  <c r="AA180" i="7"/>
  <c r="AA63" i="12" s="1"/>
  <c r="AB129" i="7"/>
  <c r="AA147" i="7"/>
  <c r="AA134" i="7"/>
  <c r="AB72" i="10"/>
  <c r="AB81" i="10" s="1"/>
  <c r="AB53" i="6"/>
  <c r="AA82" i="10"/>
  <c r="AI36" i="12"/>
  <c r="AI103" i="10"/>
  <c r="AC96" i="7"/>
  <c r="AC98" i="7" s="1"/>
  <c r="AB46" i="6"/>
  <c r="AB47" i="6" s="1"/>
  <c r="AC45" i="6" s="1"/>
  <c r="AB113" i="7"/>
  <c r="AL83" i="6"/>
  <c r="AM82" i="6" s="1"/>
  <c r="AI63" i="7" l="1"/>
  <c r="AI142" i="5"/>
  <c r="AJ139" i="5" s="1"/>
  <c r="AI58" i="7"/>
  <c r="AI59" i="7" s="1"/>
  <c r="AI52" i="12" s="1"/>
  <c r="AI135" i="5"/>
  <c r="AJ132" i="5" s="1"/>
  <c r="AC176" i="7"/>
  <c r="AC178" i="7" s="1"/>
  <c r="AL115" i="6"/>
  <c r="AL116" i="6" s="1"/>
  <c r="AM113" i="6" s="1"/>
  <c r="AI104" i="10"/>
  <c r="AI105" i="10" s="1"/>
  <c r="AI107" i="10" s="1"/>
  <c r="AB82" i="10"/>
  <c r="AK122" i="6"/>
  <c r="AK52" i="7"/>
  <c r="AK166" i="7"/>
  <c r="AL85" i="6"/>
  <c r="AK120" i="6"/>
  <c r="AJ167" i="7"/>
  <c r="AJ168" i="7" s="1"/>
  <c r="AM89" i="6"/>
  <c r="AM120" i="7" s="1"/>
  <c r="AJ84" i="5"/>
  <c r="AJ92" i="5" s="1"/>
  <c r="AJ106" i="5" s="1"/>
  <c r="AJ118" i="5"/>
  <c r="AJ126" i="5" s="1"/>
  <c r="AJ140" i="5" s="1"/>
  <c r="AJ54" i="7"/>
  <c r="AJ51" i="12" s="1"/>
  <c r="AJ68" i="10"/>
  <c r="AJ121" i="7"/>
  <c r="AB73" i="10"/>
  <c r="AI38" i="12"/>
  <c r="AI64" i="7"/>
  <c r="AA61" i="12"/>
  <c r="AA152" i="7"/>
  <c r="AA69" i="12"/>
  <c r="AD100" i="5"/>
  <c r="AD91" i="7" s="1"/>
  <c r="AJ134" i="5"/>
  <c r="AJ92" i="7" s="1"/>
  <c r="AB115" i="7"/>
  <c r="AB123" i="7" s="1"/>
  <c r="AB127" i="7" s="1"/>
  <c r="AB130" i="7" s="1"/>
  <c r="AC37" i="6"/>
  <c r="AC39" i="6" s="1"/>
  <c r="AC39" i="10"/>
  <c r="AC51" i="6"/>
  <c r="AB160" i="7"/>
  <c r="AM80" i="6"/>
  <c r="AI65" i="7" l="1"/>
  <c r="AI161" i="7" s="1"/>
  <c r="AK123" i="6"/>
  <c r="AM70" i="10"/>
  <c r="AM114" i="6"/>
  <c r="AM121" i="6" s="1"/>
  <c r="AJ141" i="5"/>
  <c r="AJ127" i="5" s="1"/>
  <c r="AJ128" i="5" s="1"/>
  <c r="AJ133" i="5" s="1"/>
  <c r="AJ57" i="7" s="1"/>
  <c r="AJ37" i="12" s="1"/>
  <c r="AJ107" i="5"/>
  <c r="AJ93" i="5" s="1"/>
  <c r="AJ94" i="5" s="1"/>
  <c r="AJ99" i="5" s="1"/>
  <c r="AJ56" i="7" s="1"/>
  <c r="AJ36" i="12" s="1"/>
  <c r="AL90" i="6"/>
  <c r="AK53" i="7"/>
  <c r="AK60" i="12"/>
  <c r="AK38" i="6"/>
  <c r="AK119" i="7"/>
  <c r="AD101" i="5"/>
  <c r="AE98" i="5" s="1"/>
  <c r="AI71" i="10"/>
  <c r="AI41" i="10"/>
  <c r="AB147" i="7"/>
  <c r="AB134" i="7"/>
  <c r="AC129" i="7"/>
  <c r="G147" i="9"/>
  <c r="G149" i="9" s="1"/>
  <c r="AB162" i="7"/>
  <c r="AC66" i="10"/>
  <c r="AC42" i="10"/>
  <c r="AC52" i="6"/>
  <c r="AC57" i="6" s="1"/>
  <c r="AC58" i="6" s="1"/>
  <c r="AA42" i="12"/>
  <c r="AA44" i="12" s="1"/>
  <c r="AA68" i="12"/>
  <c r="AA154" i="7"/>
  <c r="AA67" i="12"/>
  <c r="AJ63" i="7"/>
  <c r="AD96" i="7"/>
  <c r="AD98" i="7" s="1"/>
  <c r="AM83" i="6"/>
  <c r="AN82" i="6" s="1"/>
  <c r="AK167" i="7" l="1"/>
  <c r="AK168" i="7" s="1"/>
  <c r="AL120" i="6"/>
  <c r="AM115" i="6"/>
  <c r="AM116" i="6"/>
  <c r="AN113" i="6" s="1"/>
  <c r="AJ104" i="10"/>
  <c r="AJ142" i="5"/>
  <c r="AK139" i="5" s="1"/>
  <c r="AJ58" i="7"/>
  <c r="AJ64" i="7" s="1"/>
  <c r="AJ65" i="7" s="1"/>
  <c r="AJ103" i="10"/>
  <c r="AJ135" i="5"/>
  <c r="AK132" i="5" s="1"/>
  <c r="AK134" i="5" s="1"/>
  <c r="AK92" i="7" s="1"/>
  <c r="AJ38" i="12"/>
  <c r="AJ108" i="5"/>
  <c r="AK105" i="5" s="1"/>
  <c r="AD176" i="7"/>
  <c r="AD178" i="7" s="1"/>
  <c r="AK118" i="5"/>
  <c r="AK126" i="5" s="1"/>
  <c r="AK141" i="5" s="1"/>
  <c r="AK127" i="5" s="1"/>
  <c r="AK128" i="5" s="1"/>
  <c r="AK133" i="5" s="1"/>
  <c r="AK57" i="7" s="1"/>
  <c r="AK84" i="5"/>
  <c r="AK92" i="5" s="1"/>
  <c r="AK107" i="5" s="1"/>
  <c r="AK93" i="5" s="1"/>
  <c r="AK94" i="5" s="1"/>
  <c r="AK99" i="5" s="1"/>
  <c r="AK56" i="7" s="1"/>
  <c r="AK54" i="7"/>
  <c r="AK51" i="12" s="1"/>
  <c r="AK121" i="7"/>
  <c r="AK68" i="10"/>
  <c r="AL52" i="7"/>
  <c r="AL122" i="6"/>
  <c r="AN89" i="6"/>
  <c r="AN120" i="7" s="1"/>
  <c r="AM85" i="6"/>
  <c r="AL166" i="7"/>
  <c r="H153" i="9" s="1"/>
  <c r="AD37" i="6"/>
  <c r="AD39" i="6" s="1"/>
  <c r="AD52" i="6" s="1"/>
  <c r="AD39" i="10"/>
  <c r="AA55" i="12"/>
  <c r="AA56" i="12"/>
  <c r="AC51" i="10"/>
  <c r="AC43" i="10"/>
  <c r="AB152" i="7"/>
  <c r="AB69" i="12"/>
  <c r="AB61" i="12"/>
  <c r="AC46" i="6"/>
  <c r="AC47" i="6" s="1"/>
  <c r="AD45" i="6" s="1"/>
  <c r="AC113" i="7"/>
  <c r="AC72" i="10"/>
  <c r="AA184" i="7"/>
  <c r="AA54" i="12"/>
  <c r="AE100" i="5"/>
  <c r="AE91" i="7" s="1"/>
  <c r="AC53" i="6"/>
  <c r="AB53" i="12"/>
  <c r="AB62" i="12"/>
  <c r="AB180" i="7"/>
  <c r="AB63" i="12" s="1"/>
  <c r="E106" i="15"/>
  <c r="E109" i="15" s="1"/>
  <c r="G167" i="9"/>
  <c r="G171" i="9" s="1"/>
  <c r="AN80" i="6"/>
  <c r="AJ59" i="7" l="1"/>
  <c r="AJ52" i="12" s="1"/>
  <c r="AK106" i="5"/>
  <c r="AK108" i="5" s="1"/>
  <c r="AL105" i="5" s="1"/>
  <c r="AN70" i="10"/>
  <c r="AN114" i="6"/>
  <c r="AN121" i="6" s="1"/>
  <c r="AJ105" i="10"/>
  <c r="AJ107" i="10" s="1"/>
  <c r="AJ71" i="10" s="1"/>
  <c r="AK140" i="5"/>
  <c r="AK142" i="5" s="1"/>
  <c r="AL139" i="5" s="1"/>
  <c r="AL119" i="7"/>
  <c r="AL123" i="6"/>
  <c r="AL38" i="6"/>
  <c r="AM90" i="6"/>
  <c r="AL53" i="7"/>
  <c r="AL60" i="12"/>
  <c r="AK135" i="5"/>
  <c r="AL132" i="5" s="1"/>
  <c r="AL134" i="5" s="1"/>
  <c r="AL92" i="7" s="1"/>
  <c r="AC115" i="7"/>
  <c r="AC123" i="7" s="1"/>
  <c r="AC127" i="7" s="1"/>
  <c r="AC130" i="7" s="1"/>
  <c r="AB67" i="12"/>
  <c r="AB154" i="7"/>
  <c r="AB42" i="12"/>
  <c r="AB44" i="12" s="1"/>
  <c r="AB68" i="12"/>
  <c r="AC52" i="10"/>
  <c r="AD51" i="6"/>
  <c r="AD53" i="6" s="1"/>
  <c r="AC160" i="7"/>
  <c r="AC162" i="7" s="1"/>
  <c r="AE101" i="5"/>
  <c r="AC81" i="10"/>
  <c r="AC73" i="10"/>
  <c r="AK104" i="10"/>
  <c r="AK37" i="12"/>
  <c r="AK63" i="7"/>
  <c r="AJ161" i="7"/>
  <c r="AD66" i="10"/>
  <c r="AD42" i="10"/>
  <c r="AD51" i="10" s="1"/>
  <c r="AE96" i="7"/>
  <c r="AE98" i="7" s="1"/>
  <c r="AD57" i="6"/>
  <c r="AD58" i="6" s="1"/>
  <c r="AD46" i="6"/>
  <c r="AD47" i="6" s="1"/>
  <c r="AE45" i="6" s="1"/>
  <c r="AD113" i="7"/>
  <c r="AD115" i="7" s="1"/>
  <c r="AD123" i="7" s="1"/>
  <c r="AD127" i="7" s="1"/>
  <c r="AK103" i="10"/>
  <c r="AK36" i="12"/>
  <c r="AK58" i="7"/>
  <c r="AN83" i="6"/>
  <c r="AO82" i="6" s="1"/>
  <c r="AN115" i="6" l="1"/>
  <c r="AN116" i="6" s="1"/>
  <c r="AO113" i="6" s="1"/>
  <c r="AJ41" i="10"/>
  <c r="AK105" i="10"/>
  <c r="AK107" i="10" s="1"/>
  <c r="AK38" i="12"/>
  <c r="AD43" i="10"/>
  <c r="AO89" i="6"/>
  <c r="AO120" i="7" s="1"/>
  <c r="AM52" i="7"/>
  <c r="AM122" i="6"/>
  <c r="AL118" i="5"/>
  <c r="AL126" i="5" s="1"/>
  <c r="AL141" i="5" s="1"/>
  <c r="AL127" i="5" s="1"/>
  <c r="AL128" i="5" s="1"/>
  <c r="AL133" i="5" s="1"/>
  <c r="AL54" i="7"/>
  <c r="AL51" i="12" s="1"/>
  <c r="AL84" i="5"/>
  <c r="AL92" i="5" s="1"/>
  <c r="AL106" i="5" s="1"/>
  <c r="AM120" i="6"/>
  <c r="AL167" i="7"/>
  <c r="AL168" i="7" s="1"/>
  <c r="AM166" i="7"/>
  <c r="AN85" i="6"/>
  <c r="AL68" i="10"/>
  <c r="AL121" i="7"/>
  <c r="AE51" i="6"/>
  <c r="AD160" i="7"/>
  <c r="AD162" i="7" s="1"/>
  <c r="AD53" i="12" s="1"/>
  <c r="AB56" i="12"/>
  <c r="AB55" i="12"/>
  <c r="AE37" i="6"/>
  <c r="AE39" i="6" s="1"/>
  <c r="AE39" i="10"/>
  <c r="AD72" i="10"/>
  <c r="AD81" i="10" s="1"/>
  <c r="AC82" i="10"/>
  <c r="AD52" i="10"/>
  <c r="AB184" i="7"/>
  <c r="AB54" i="12"/>
  <c r="AK59" i="7"/>
  <c r="AK52" i="12" s="1"/>
  <c r="AK64" i="7"/>
  <c r="AK65" i="7" s="1"/>
  <c r="AE176" i="7"/>
  <c r="AE178" i="7" s="1"/>
  <c r="AF98" i="5"/>
  <c r="AC147" i="7"/>
  <c r="AC134" i="7"/>
  <c r="AD129" i="7"/>
  <c r="AD130" i="7" s="1"/>
  <c r="AC180" i="7"/>
  <c r="AC63" i="12" s="1"/>
  <c r="AC62" i="12"/>
  <c r="AC53" i="12"/>
  <c r="AO80" i="6"/>
  <c r="AM123" i="6" l="1"/>
  <c r="AO70" i="10"/>
  <c r="AO114" i="6"/>
  <c r="AO121" i="6" s="1"/>
  <c r="AL107" i="5"/>
  <c r="AL93" i="5" s="1"/>
  <c r="AL94" i="5" s="1"/>
  <c r="AL99" i="5" s="1"/>
  <c r="AL56" i="7" s="1"/>
  <c r="AL103" i="10" s="1"/>
  <c r="AL140" i="5"/>
  <c r="AL142" i="5" s="1"/>
  <c r="AM139" i="5" s="1"/>
  <c r="AD82" i="10"/>
  <c r="AN120" i="6"/>
  <c r="AM167" i="7"/>
  <c r="AM168" i="7" s="1"/>
  <c r="AM38" i="6"/>
  <c r="AM119" i="7"/>
  <c r="AN90" i="6"/>
  <c r="AM60" i="12"/>
  <c r="AM53" i="7"/>
  <c r="AD134" i="7"/>
  <c r="AE129" i="7"/>
  <c r="AD147" i="7"/>
  <c r="AC61" i="12"/>
  <c r="AC152" i="7"/>
  <c r="AC69" i="12"/>
  <c r="AF100" i="5"/>
  <c r="AF91" i="7" s="1"/>
  <c r="AF96" i="7" s="1"/>
  <c r="AF98" i="7" s="1"/>
  <c r="AK161" i="7"/>
  <c r="AL63" i="7"/>
  <c r="AE66" i="10"/>
  <c r="AE42" i="10"/>
  <c r="AK71" i="10"/>
  <c r="AK41" i="10"/>
  <c r="AD73" i="10"/>
  <c r="AE52" i="6"/>
  <c r="AE53" i="6" s="1"/>
  <c r="AL57" i="7"/>
  <c r="AL135" i="5"/>
  <c r="AM132" i="5" s="1"/>
  <c r="AD180" i="7"/>
  <c r="AD63" i="12" s="1"/>
  <c r="AD62" i="12"/>
  <c r="AO83" i="6"/>
  <c r="AP82" i="6" s="1"/>
  <c r="AL36" i="12" l="1"/>
  <c r="AO115" i="6"/>
  <c r="AO116" i="6" s="1"/>
  <c r="AP113" i="6" s="1"/>
  <c r="AL58" i="7"/>
  <c r="AL64" i="7" s="1"/>
  <c r="AL65" i="7" s="1"/>
  <c r="AL108" i="5"/>
  <c r="AM105" i="5" s="1"/>
  <c r="AM84" i="5"/>
  <c r="AM92" i="5" s="1"/>
  <c r="AM106" i="5" s="1"/>
  <c r="AM118" i="5"/>
  <c r="AM126" i="5" s="1"/>
  <c r="AM140" i="5" s="1"/>
  <c r="AM54" i="7"/>
  <c r="AM51" i="12" s="1"/>
  <c r="AM68" i="10"/>
  <c r="AM121" i="7"/>
  <c r="AP89" i="6"/>
  <c r="AP120" i="7" s="1"/>
  <c r="AO85" i="6"/>
  <c r="AN166" i="7"/>
  <c r="AN122" i="6"/>
  <c r="AN52" i="7"/>
  <c r="AE57" i="6"/>
  <c r="AE58" i="6" s="1"/>
  <c r="AF101" i="5"/>
  <c r="AG98" i="5" s="1"/>
  <c r="AL104" i="10"/>
  <c r="AL105" i="10" s="1"/>
  <c r="AL37" i="12"/>
  <c r="AF51" i="6"/>
  <c r="AE160" i="7"/>
  <c r="AE162" i="7" s="1"/>
  <c r="AD152" i="7"/>
  <c r="AD69" i="12"/>
  <c r="AD61" i="12"/>
  <c r="AE46" i="6"/>
  <c r="AE47" i="6" s="1"/>
  <c r="AF45" i="6" s="1"/>
  <c r="AE113" i="7"/>
  <c r="AE51" i="10"/>
  <c r="AE43" i="10"/>
  <c r="AF37" i="6"/>
  <c r="AF39" i="6" s="1"/>
  <c r="AF39" i="10"/>
  <c r="AM134" i="5"/>
  <c r="AM92" i="7" s="1"/>
  <c r="AE72" i="10"/>
  <c r="AE81" i="10" s="1"/>
  <c r="AC42" i="12"/>
  <c r="AC44" i="12" s="1"/>
  <c r="AC154" i="7"/>
  <c r="AC68" i="12"/>
  <c r="AC67" i="12"/>
  <c r="AP80" i="6"/>
  <c r="AP114" i="6" s="1"/>
  <c r="AP121" i="6" s="1"/>
  <c r="AL59" i="7" l="1"/>
  <c r="AL52" i="12" s="1"/>
  <c r="AL38" i="12"/>
  <c r="AP70" i="10"/>
  <c r="AM141" i="5"/>
  <c r="AM127" i="5" s="1"/>
  <c r="AM128" i="5" s="1"/>
  <c r="AM133" i="5" s="1"/>
  <c r="AM57" i="7" s="1"/>
  <c r="AM104" i="10" s="1"/>
  <c r="AM107" i="5"/>
  <c r="AM93" i="5" s="1"/>
  <c r="AM94" i="5" s="1"/>
  <c r="AM99" i="5" s="1"/>
  <c r="AM56" i="7" s="1"/>
  <c r="AM103" i="10" s="1"/>
  <c r="AF176" i="7"/>
  <c r="AF178" i="7" s="1"/>
  <c r="AO90" i="6"/>
  <c r="AN53" i="7"/>
  <c r="AN60" i="12"/>
  <c r="AN119" i="7"/>
  <c r="AN123" i="6"/>
  <c r="AN38" i="6"/>
  <c r="AE82" i="10"/>
  <c r="AL161" i="7"/>
  <c r="H148" i="9" s="1"/>
  <c r="AM63" i="7"/>
  <c r="AL107" i="10"/>
  <c r="AE52" i="10"/>
  <c r="AD67" i="12"/>
  <c r="AD68" i="12"/>
  <c r="AD42" i="12"/>
  <c r="AD44" i="12" s="1"/>
  <c r="AD56" i="12" s="1"/>
  <c r="AD154" i="7"/>
  <c r="AD54" i="12" s="1"/>
  <c r="AG100" i="5"/>
  <c r="AG91" i="7" s="1"/>
  <c r="AG96" i="7" s="1"/>
  <c r="AG98" i="7" s="1"/>
  <c r="AC184" i="7"/>
  <c r="AC54" i="12"/>
  <c r="AF66" i="10"/>
  <c r="AF72" i="10" s="1"/>
  <c r="AF81" i="10" s="1"/>
  <c r="AF42" i="10"/>
  <c r="AE62" i="12"/>
  <c r="AE53" i="12"/>
  <c r="AE180" i="7"/>
  <c r="AE63" i="12" s="1"/>
  <c r="H154" i="9"/>
  <c r="H155" i="9" s="1"/>
  <c r="F107" i="15" s="1"/>
  <c r="AP115" i="6"/>
  <c r="AP116" i="6" s="1"/>
  <c r="AQ113" i="6" s="1"/>
  <c r="AC55" i="12"/>
  <c r="AC56" i="12"/>
  <c r="AF52" i="6"/>
  <c r="AF53" i="6" s="1"/>
  <c r="AE115" i="7"/>
  <c r="AE123" i="7" s="1"/>
  <c r="AE127" i="7" s="1"/>
  <c r="AE130" i="7" s="1"/>
  <c r="AE73" i="10"/>
  <c r="AP83" i="6"/>
  <c r="AQ82" i="6" s="1"/>
  <c r="AM108" i="5" l="1"/>
  <c r="AN105" i="5" s="1"/>
  <c r="AM142" i="5"/>
  <c r="AN139" i="5" s="1"/>
  <c r="AM135" i="5"/>
  <c r="AN132" i="5" s="1"/>
  <c r="AN134" i="5" s="1"/>
  <c r="AN92" i="7" s="1"/>
  <c r="AM37" i="12"/>
  <c r="AF82" i="10"/>
  <c r="AM36" i="12"/>
  <c r="AD55" i="12"/>
  <c r="AF73" i="10"/>
  <c r="AM58" i="7"/>
  <c r="AM59" i="7" s="1"/>
  <c r="AM52" i="12" s="1"/>
  <c r="AM105" i="10"/>
  <c r="AM107" i="10" s="1"/>
  <c r="AM41" i="10" s="1"/>
  <c r="AN84" i="5"/>
  <c r="AN92" i="5" s="1"/>
  <c r="AN106" i="5" s="1"/>
  <c r="AN118" i="5"/>
  <c r="AN126" i="5" s="1"/>
  <c r="AN141" i="5" s="1"/>
  <c r="AN127" i="5" s="1"/>
  <c r="AN128" i="5" s="1"/>
  <c r="AN133" i="5" s="1"/>
  <c r="AN57" i="7" s="1"/>
  <c r="AN54" i="7"/>
  <c r="AN51" i="12" s="1"/>
  <c r="AO120" i="6"/>
  <c r="AN167" i="7"/>
  <c r="AN168" i="7" s="1"/>
  <c r="AP85" i="6"/>
  <c r="AO166" i="7"/>
  <c r="AQ89" i="6"/>
  <c r="AQ120" i="7" s="1"/>
  <c r="AN68" i="10"/>
  <c r="AN121" i="7"/>
  <c r="AO122" i="6"/>
  <c r="AO52" i="7"/>
  <c r="AG37" i="6"/>
  <c r="AG39" i="6" s="1"/>
  <c r="AG39" i="10"/>
  <c r="AD184" i="7"/>
  <c r="AF43" i="10"/>
  <c r="AF51" i="10"/>
  <c r="AF52" i="10" s="1"/>
  <c r="AF129" i="7"/>
  <c r="AE147" i="7"/>
  <c r="AE134" i="7"/>
  <c r="AL41" i="10"/>
  <c r="AL71" i="10"/>
  <c r="AG51" i="6"/>
  <c r="AF160" i="7"/>
  <c r="AF162" i="7" s="1"/>
  <c r="AF46" i="6"/>
  <c r="AF47" i="6" s="1"/>
  <c r="AG45" i="6" s="1"/>
  <c r="AF113" i="7"/>
  <c r="AF115" i="7" s="1"/>
  <c r="AF123" i="7" s="1"/>
  <c r="AF127" i="7" s="1"/>
  <c r="AF57" i="6"/>
  <c r="AF58" i="6" s="1"/>
  <c r="AG101" i="5"/>
  <c r="AQ80" i="6"/>
  <c r="AM38" i="12" l="1"/>
  <c r="AM64" i="7"/>
  <c r="AM65" i="7" s="1"/>
  <c r="AM161" i="7" s="1"/>
  <c r="AQ70" i="10"/>
  <c r="AQ114" i="6"/>
  <c r="AQ121" i="6" s="1"/>
  <c r="AN107" i="5"/>
  <c r="AN93" i="5" s="1"/>
  <c r="AN94" i="5" s="1"/>
  <c r="AN99" i="5" s="1"/>
  <c r="AN56" i="7" s="1"/>
  <c r="AN103" i="10" s="1"/>
  <c r="AN140" i="5"/>
  <c r="AN142" i="5" s="1"/>
  <c r="AO139" i="5" s="1"/>
  <c r="AM71" i="10"/>
  <c r="AF130" i="7"/>
  <c r="AF147" i="7" s="1"/>
  <c r="AO38" i="6"/>
  <c r="AO119" i="7"/>
  <c r="AO123" i="6"/>
  <c r="AP90" i="6"/>
  <c r="AO53" i="7"/>
  <c r="AO60" i="12"/>
  <c r="AE152" i="7"/>
  <c r="AE69" i="12"/>
  <c r="AE61" i="12"/>
  <c r="AF53" i="12"/>
  <c r="AF180" i="7"/>
  <c r="AF63" i="12" s="1"/>
  <c r="AF62" i="12"/>
  <c r="AG66" i="10"/>
  <c r="AG72" i="10" s="1"/>
  <c r="AG42" i="10"/>
  <c r="AG51" i="10" s="1"/>
  <c r="AG52" i="10" s="1"/>
  <c r="AG176" i="7"/>
  <c r="AG178" i="7" s="1"/>
  <c r="AH98" i="5"/>
  <c r="AN104" i="10"/>
  <c r="AN37" i="12"/>
  <c r="AN135" i="5"/>
  <c r="AO132" i="5" s="1"/>
  <c r="AG52" i="6"/>
  <c r="AG57" i="6" s="1"/>
  <c r="AG58" i="6" s="1"/>
  <c r="AQ83" i="6"/>
  <c r="AR82" i="6" s="1"/>
  <c r="AN63" i="7" l="1"/>
  <c r="AN108" i="5"/>
  <c r="AO105" i="5" s="1"/>
  <c r="AQ115" i="6"/>
  <c r="AQ116" i="6" s="1"/>
  <c r="AR113" i="6" s="1"/>
  <c r="AN58" i="7"/>
  <c r="AN59" i="7" s="1"/>
  <c r="AN52" i="12" s="1"/>
  <c r="AN36" i="12"/>
  <c r="AN38" i="12" s="1"/>
  <c r="AG129" i="7"/>
  <c r="AF134" i="7"/>
  <c r="AQ85" i="6"/>
  <c r="AP166" i="7"/>
  <c r="AR89" i="6"/>
  <c r="AR120" i="7" s="1"/>
  <c r="AR70" i="10" s="1"/>
  <c r="AO167" i="7"/>
  <c r="AO168" i="7" s="1"/>
  <c r="AP120" i="6"/>
  <c r="AO84" i="5"/>
  <c r="AO92" i="5" s="1"/>
  <c r="AO118" i="5"/>
  <c r="AO126" i="5" s="1"/>
  <c r="AO141" i="5" s="1"/>
  <c r="AO127" i="5" s="1"/>
  <c r="AO128" i="5" s="1"/>
  <c r="AO133" i="5" s="1"/>
  <c r="AO57" i="7" s="1"/>
  <c r="AO54" i="7"/>
  <c r="AO51" i="12" s="1"/>
  <c r="AO68" i="10"/>
  <c r="AO121" i="7"/>
  <c r="AP122" i="6"/>
  <c r="AP52" i="7"/>
  <c r="AN105" i="10"/>
  <c r="AN107" i="10" s="1"/>
  <c r="AN41" i="10" s="1"/>
  <c r="AG46" i="6"/>
  <c r="AG47" i="6" s="1"/>
  <c r="AH45" i="6" s="1"/>
  <c r="AG113" i="7"/>
  <c r="AG115" i="7" s="1"/>
  <c r="AG123" i="7" s="1"/>
  <c r="AG127" i="7" s="1"/>
  <c r="AG130" i="7" s="1"/>
  <c r="AH100" i="5"/>
  <c r="AH91" i="7" s="1"/>
  <c r="AH96" i="7" s="1"/>
  <c r="AH98" i="7" s="1"/>
  <c r="AO134" i="5"/>
  <c r="AO92" i="7" s="1"/>
  <c r="AG43" i="10"/>
  <c r="AG53" i="6"/>
  <c r="AF69" i="12"/>
  <c r="AF152" i="7"/>
  <c r="AF61" i="12"/>
  <c r="AG81" i="10"/>
  <c r="AG73" i="10"/>
  <c r="AE154" i="7"/>
  <c r="AE42" i="12"/>
  <c r="AE44" i="12" s="1"/>
  <c r="AE67" i="12"/>
  <c r="AE68" i="12"/>
  <c r="AR80" i="6"/>
  <c r="AO107" i="5" l="1"/>
  <c r="AO93" i="5" s="1"/>
  <c r="AO94" i="5" s="1"/>
  <c r="AO99" i="5" s="1"/>
  <c r="AO56" i="7" s="1"/>
  <c r="AO36" i="12" s="1"/>
  <c r="AN64" i="7"/>
  <c r="AN65" i="7" s="1"/>
  <c r="AO63" i="7" s="1"/>
  <c r="AR114" i="6"/>
  <c r="AR121" i="6" s="1"/>
  <c r="AO106" i="5"/>
  <c r="AO140" i="5"/>
  <c r="AO142" i="5" s="1"/>
  <c r="AP139" i="5" s="1"/>
  <c r="AP38" i="6"/>
  <c r="AP119" i="7"/>
  <c r="AP123" i="6"/>
  <c r="AN71" i="10"/>
  <c r="AP60" i="12"/>
  <c r="AP53" i="7"/>
  <c r="AQ90" i="6"/>
  <c r="AO135" i="5"/>
  <c r="AP132" i="5" s="1"/>
  <c r="AP134" i="5" s="1"/>
  <c r="AP92" i="7" s="1"/>
  <c r="AE184" i="7"/>
  <c r="AE54" i="12"/>
  <c r="AE55" i="12"/>
  <c r="AE56" i="12"/>
  <c r="AN161" i="7"/>
  <c r="AO37" i="12"/>
  <c r="AO104" i="10"/>
  <c r="AH37" i="6"/>
  <c r="AH39" i="6" s="1"/>
  <c r="AH52" i="6" s="1"/>
  <c r="AH39" i="10"/>
  <c r="AH129" i="7"/>
  <c r="AG147" i="7"/>
  <c r="AG134" i="7"/>
  <c r="AG82" i="10"/>
  <c r="AF154" i="7"/>
  <c r="AF42" i="12"/>
  <c r="AF44" i="12" s="1"/>
  <c r="AF56" i="12" s="1"/>
  <c r="AF68" i="12"/>
  <c r="AF67" i="12"/>
  <c r="AH51" i="6"/>
  <c r="AG160" i="7"/>
  <c r="AG162" i="7" s="1"/>
  <c r="AH101" i="5"/>
  <c r="AR83" i="6"/>
  <c r="AS82" i="6" s="1"/>
  <c r="AO108" i="5" l="1"/>
  <c r="AP105" i="5" s="1"/>
  <c r="AO103" i="10"/>
  <c r="AO58" i="7"/>
  <c r="AO59" i="7" s="1"/>
  <c r="AO52" i="12" s="1"/>
  <c r="AR115" i="6"/>
  <c r="AR116" i="6" s="1"/>
  <c r="AS113" i="6" s="1"/>
  <c r="AO38" i="12"/>
  <c r="AO105" i="10"/>
  <c r="AO107" i="10" s="1"/>
  <c r="AO71" i="10" s="1"/>
  <c r="AH53" i="6"/>
  <c r="AI51" i="6" s="1"/>
  <c r="AR85" i="6"/>
  <c r="AQ166" i="7"/>
  <c r="AP54" i="7"/>
  <c r="AP51" i="12" s="1"/>
  <c r="AP118" i="5"/>
  <c r="AP126" i="5" s="1"/>
  <c r="AP141" i="5" s="1"/>
  <c r="AP84" i="5"/>
  <c r="AP92" i="5" s="1"/>
  <c r="AP107" i="5" s="1"/>
  <c r="AP93" i="5" s="1"/>
  <c r="AP94" i="5" s="1"/>
  <c r="AP99" i="5" s="1"/>
  <c r="AP56" i="7" s="1"/>
  <c r="AQ120" i="6"/>
  <c r="AP167" i="7"/>
  <c r="AP168" i="7" s="1"/>
  <c r="AP68" i="10"/>
  <c r="AP121" i="7"/>
  <c r="AS89" i="6"/>
  <c r="AS120" i="7" s="1"/>
  <c r="AS70" i="10" s="1"/>
  <c r="AQ52" i="7"/>
  <c r="AQ122" i="6"/>
  <c r="AG61" i="12"/>
  <c r="AG69" i="12"/>
  <c r="AG152" i="7"/>
  <c r="AI98" i="5"/>
  <c r="AH176" i="7"/>
  <c r="AH178" i="7" s="1"/>
  <c r="AG53" i="12"/>
  <c r="AG180" i="7"/>
  <c r="AG63" i="12" s="1"/>
  <c r="AG62" i="12"/>
  <c r="AF184" i="7"/>
  <c r="AH66" i="10"/>
  <c r="AH72" i="10" s="1"/>
  <c r="AH42" i="10"/>
  <c r="AF55" i="12"/>
  <c r="AF54" i="12"/>
  <c r="AH57" i="6"/>
  <c r="AH58" i="6" s="1"/>
  <c r="AH46" i="6"/>
  <c r="AH47" i="6" s="1"/>
  <c r="AI45" i="6" s="1"/>
  <c r="AH113" i="7"/>
  <c r="AH115" i="7" s="1"/>
  <c r="AH123" i="7" s="1"/>
  <c r="AH127" i="7" s="1"/>
  <c r="AH130" i="7" s="1"/>
  <c r="AS80" i="6"/>
  <c r="AO64" i="7" l="1"/>
  <c r="AO65" i="7" s="1"/>
  <c r="AP63" i="7" s="1"/>
  <c r="AH160" i="7"/>
  <c r="AH162" i="7" s="1"/>
  <c r="AH180" i="7" s="1"/>
  <c r="AH63" i="12" s="1"/>
  <c r="AS114" i="6"/>
  <c r="AS121" i="6" s="1"/>
  <c r="AO41" i="10"/>
  <c r="AP106" i="5"/>
  <c r="AP108" i="5" s="1"/>
  <c r="AQ105" i="5" s="1"/>
  <c r="AP140" i="5"/>
  <c r="AP142" i="5" s="1"/>
  <c r="AQ139" i="5" s="1"/>
  <c r="AP127" i="5"/>
  <c r="AP128" i="5" s="1"/>
  <c r="AP133" i="5" s="1"/>
  <c r="AP57" i="7" s="1"/>
  <c r="AP58" i="7" s="1"/>
  <c r="AQ53" i="7"/>
  <c r="AQ60" i="12"/>
  <c r="AQ123" i="6"/>
  <c r="AQ38" i="6"/>
  <c r="AQ119" i="7"/>
  <c r="AR90" i="6"/>
  <c r="AH81" i="10"/>
  <c r="AH82" i="10" s="1"/>
  <c r="AH73" i="10"/>
  <c r="AG42" i="12"/>
  <c r="AG44" i="12" s="1"/>
  <c r="AG68" i="12"/>
  <c r="AG67" i="12"/>
  <c r="AG154" i="7"/>
  <c r="AP103" i="10"/>
  <c r="AP36" i="12"/>
  <c r="AH147" i="7"/>
  <c r="AI129" i="7"/>
  <c r="AH134" i="7"/>
  <c r="AI100" i="5"/>
  <c r="AI91" i="7" s="1"/>
  <c r="AI96" i="7" s="1"/>
  <c r="AI98" i="7" s="1"/>
  <c r="AH51" i="10"/>
  <c r="AH52" i="10" s="1"/>
  <c r="AH43" i="10"/>
  <c r="AS83" i="6"/>
  <c r="AT82" i="6" s="1"/>
  <c r="AO161" i="7" l="1"/>
  <c r="AH62" i="12"/>
  <c r="AH53" i="12"/>
  <c r="AS115" i="6"/>
  <c r="AS116" i="6" s="1"/>
  <c r="AT113" i="6" s="1"/>
  <c r="AP135" i="5"/>
  <c r="AQ132" i="5" s="1"/>
  <c r="AQ134" i="5" s="1"/>
  <c r="AQ92" i="7" s="1"/>
  <c r="AR122" i="6"/>
  <c r="AR52" i="7"/>
  <c r="AT89" i="6"/>
  <c r="AT120" i="7" s="1"/>
  <c r="AT70" i="10" s="1"/>
  <c r="AQ68" i="10"/>
  <c r="AQ121" i="7"/>
  <c r="AQ54" i="7"/>
  <c r="AQ51" i="12" s="1"/>
  <c r="AQ84" i="5"/>
  <c r="AQ92" i="5" s="1"/>
  <c r="AQ106" i="5" s="1"/>
  <c r="AQ118" i="5"/>
  <c r="AQ126" i="5" s="1"/>
  <c r="AQ141" i="5" s="1"/>
  <c r="AQ127" i="5" s="1"/>
  <c r="AQ128" i="5" s="1"/>
  <c r="AQ133" i="5" s="1"/>
  <c r="AQ57" i="7" s="1"/>
  <c r="AR166" i="7"/>
  <c r="AS85" i="6"/>
  <c r="AQ167" i="7"/>
  <c r="AQ168" i="7" s="1"/>
  <c r="AR120" i="6"/>
  <c r="AR123" i="6" s="1"/>
  <c r="AP64" i="7"/>
  <c r="AP65" i="7" s="1"/>
  <c r="AP59" i="7"/>
  <c r="AP52" i="12" s="1"/>
  <c r="AG56" i="12"/>
  <c r="AG55" i="12"/>
  <c r="AG184" i="7"/>
  <c r="AG54" i="12"/>
  <c r="AI37" i="6"/>
  <c r="AI39" i="6" s="1"/>
  <c r="AI39" i="10"/>
  <c r="AP37" i="12"/>
  <c r="AP38" i="12" s="1"/>
  <c r="AP104" i="10"/>
  <c r="AP105" i="10" s="1"/>
  <c r="AP107" i="10" s="1"/>
  <c r="AI101" i="5"/>
  <c r="AH69" i="12"/>
  <c r="AH152" i="7"/>
  <c r="AH61" i="12"/>
  <c r="AT80" i="6"/>
  <c r="AT114" i="6" l="1"/>
  <c r="AT121" i="6" s="1"/>
  <c r="AQ140" i="5"/>
  <c r="AQ142" i="5" s="1"/>
  <c r="AR139" i="5" s="1"/>
  <c r="AQ107" i="5"/>
  <c r="AQ93" i="5" s="1"/>
  <c r="AQ94" i="5" s="1"/>
  <c r="AQ99" i="5" s="1"/>
  <c r="AQ56" i="7" s="1"/>
  <c r="AQ103" i="10" s="1"/>
  <c r="AS90" i="6"/>
  <c r="AR60" i="12"/>
  <c r="AR53" i="7"/>
  <c r="AS120" i="6"/>
  <c r="AR167" i="7"/>
  <c r="AR168" i="7" s="1"/>
  <c r="AR38" i="6"/>
  <c r="AR119" i="7"/>
  <c r="AP41" i="10"/>
  <c r="AP71" i="10"/>
  <c r="AJ98" i="5"/>
  <c r="AI176" i="7"/>
  <c r="AI178" i="7" s="1"/>
  <c r="AI66" i="10"/>
  <c r="AI72" i="10" s="1"/>
  <c r="AI42" i="10"/>
  <c r="AH154" i="7"/>
  <c r="AH67" i="12"/>
  <c r="AH42" i="12"/>
  <c r="AH44" i="12" s="1"/>
  <c r="AH68" i="12"/>
  <c r="AI52" i="6"/>
  <c r="AI57" i="6" s="1"/>
  <c r="AI58" i="6" s="1"/>
  <c r="AQ104" i="10"/>
  <c r="AQ37" i="12"/>
  <c r="AQ135" i="5"/>
  <c r="AR132" i="5" s="1"/>
  <c r="AP161" i="7"/>
  <c r="AQ63" i="7"/>
  <c r="AT83" i="6"/>
  <c r="AU82" i="6" s="1"/>
  <c r="AT115" i="6" l="1"/>
  <c r="AT116" i="6" s="1"/>
  <c r="AU113" i="6" s="1"/>
  <c r="AQ36" i="12"/>
  <c r="AQ38" i="12" s="1"/>
  <c r="AQ58" i="7"/>
  <c r="AQ64" i="7" s="1"/>
  <c r="AQ65" i="7" s="1"/>
  <c r="AQ108" i="5"/>
  <c r="AR105" i="5" s="1"/>
  <c r="AU89" i="6"/>
  <c r="AU120" i="7" s="1"/>
  <c r="AU70" i="10" s="1"/>
  <c r="AT85" i="6"/>
  <c r="AS166" i="7"/>
  <c r="AR121" i="7"/>
  <c r="AR68" i="10"/>
  <c r="AR118" i="5"/>
  <c r="AR126" i="5" s="1"/>
  <c r="AR140" i="5" s="1"/>
  <c r="AR54" i="7"/>
  <c r="AR51" i="12" s="1"/>
  <c r="AR84" i="5"/>
  <c r="AR92" i="5" s="1"/>
  <c r="AR107" i="5" s="1"/>
  <c r="AR93" i="5" s="1"/>
  <c r="AR94" i="5" s="1"/>
  <c r="AR99" i="5" s="1"/>
  <c r="AR56" i="7" s="1"/>
  <c r="AS122" i="6"/>
  <c r="AS52" i="7"/>
  <c r="AH56" i="12"/>
  <c r="AH55" i="12"/>
  <c r="AI46" i="6"/>
  <c r="AI47" i="6" s="1"/>
  <c r="AJ45" i="6" s="1"/>
  <c r="AI113" i="7"/>
  <c r="AI115" i="7" s="1"/>
  <c r="AI123" i="7" s="1"/>
  <c r="AI127" i="7" s="1"/>
  <c r="AI130" i="7" s="1"/>
  <c r="AI53" i="6"/>
  <c r="AQ105" i="10"/>
  <c r="AQ107" i="10" s="1"/>
  <c r="AJ100" i="5"/>
  <c r="AJ91" i="7" s="1"/>
  <c r="AJ96" i="7" s="1"/>
  <c r="AJ98" i="7" s="1"/>
  <c r="AH184" i="7"/>
  <c r="AH54" i="12"/>
  <c r="AI43" i="10"/>
  <c r="AI51" i="10"/>
  <c r="AI52" i="10" s="1"/>
  <c r="AR134" i="5"/>
  <c r="AR92" i="7" s="1"/>
  <c r="AQ59" i="7"/>
  <c r="AQ52" i="12" s="1"/>
  <c r="AI81" i="10"/>
  <c r="AI82" i="10" s="1"/>
  <c r="AI73" i="10"/>
  <c r="AU80" i="6"/>
  <c r="AU114" i="6" l="1"/>
  <c r="AU121" i="6" s="1"/>
  <c r="AR141" i="5"/>
  <c r="AR127" i="5" s="1"/>
  <c r="AR128" i="5" s="1"/>
  <c r="AR133" i="5" s="1"/>
  <c r="AR57" i="7" s="1"/>
  <c r="AR58" i="7" s="1"/>
  <c r="AR106" i="5"/>
  <c r="AR108" i="5" s="1"/>
  <c r="AS105" i="5" s="1"/>
  <c r="AJ101" i="5"/>
  <c r="AK98" i="5" s="1"/>
  <c r="AS53" i="7"/>
  <c r="AS60" i="12"/>
  <c r="AT90" i="6"/>
  <c r="AS123" i="6"/>
  <c r="AS38" i="6"/>
  <c r="AS119" i="7"/>
  <c r="AI134" i="7"/>
  <c r="AI147" i="7"/>
  <c r="AJ129" i="7"/>
  <c r="AJ37" i="6"/>
  <c r="AJ39" i="6" s="1"/>
  <c r="AJ39" i="10"/>
  <c r="AR103" i="10"/>
  <c r="AR36" i="12"/>
  <c r="AQ71" i="10"/>
  <c r="AQ41" i="10"/>
  <c r="AR63" i="7"/>
  <c r="AQ161" i="7"/>
  <c r="AJ51" i="6"/>
  <c r="AI160" i="7"/>
  <c r="AI162" i="7" s="1"/>
  <c r="AU83" i="6"/>
  <c r="AV82" i="6" s="1"/>
  <c r="AU115" i="6" l="1"/>
  <c r="AU116" i="6" s="1"/>
  <c r="AV113" i="6" s="1"/>
  <c r="AR135" i="5"/>
  <c r="AS132" i="5" s="1"/>
  <c r="AS134" i="5" s="1"/>
  <c r="AS92" i="7" s="1"/>
  <c r="AR142" i="5"/>
  <c r="AS139" i="5" s="1"/>
  <c r="AR37" i="12"/>
  <c r="AR38" i="12" s="1"/>
  <c r="AR104" i="10"/>
  <c r="AR105" i="10" s="1"/>
  <c r="AR107" i="10" s="1"/>
  <c r="AJ176" i="7"/>
  <c r="AJ178" i="7" s="1"/>
  <c r="AT120" i="6"/>
  <c r="AS167" i="7"/>
  <c r="AS168" i="7" s="1"/>
  <c r="AS84" i="5"/>
  <c r="AS92" i="5" s="1"/>
  <c r="AS107" i="5" s="1"/>
  <c r="AS93" i="5" s="1"/>
  <c r="AS94" i="5" s="1"/>
  <c r="AS99" i="5" s="1"/>
  <c r="AS56" i="7" s="1"/>
  <c r="AS118" i="5"/>
  <c r="AS126" i="5" s="1"/>
  <c r="AS140" i="5" s="1"/>
  <c r="AS54" i="7"/>
  <c r="AS51" i="12" s="1"/>
  <c r="AV89" i="6"/>
  <c r="AV120" i="7" s="1"/>
  <c r="AV70" i="10" s="1"/>
  <c r="AT52" i="7"/>
  <c r="AT122" i="6"/>
  <c r="AS68" i="10"/>
  <c r="AS121" i="7"/>
  <c r="AU85" i="6"/>
  <c r="AT166" i="7"/>
  <c r="AJ52" i="6"/>
  <c r="AJ57" i="6" s="1"/>
  <c r="AJ58" i="6" s="1"/>
  <c r="AK100" i="5"/>
  <c r="AK91" i="7" s="1"/>
  <c r="AK96" i="7" s="1"/>
  <c r="AK98" i="7" s="1"/>
  <c r="AI53" i="12"/>
  <c r="AI62" i="12"/>
  <c r="AI180" i="7"/>
  <c r="AI63" i="12" s="1"/>
  <c r="AR59" i="7"/>
  <c r="AR52" i="12" s="1"/>
  <c r="AR64" i="7"/>
  <c r="AR65" i="7" s="1"/>
  <c r="AJ66" i="10"/>
  <c r="AJ72" i="10" s="1"/>
  <c r="AJ42" i="10"/>
  <c r="AI61" i="12"/>
  <c r="AI69" i="12"/>
  <c r="AI152" i="7"/>
  <c r="AV80" i="6"/>
  <c r="AV114" i="6" s="1"/>
  <c r="AV121" i="6" s="1"/>
  <c r="AR41" i="10" l="1"/>
  <c r="AR71" i="10"/>
  <c r="AS141" i="5"/>
  <c r="AS127" i="5" s="1"/>
  <c r="AS128" i="5" s="1"/>
  <c r="AS133" i="5" s="1"/>
  <c r="AS57" i="7" s="1"/>
  <c r="AS104" i="10" s="1"/>
  <c r="AS106" i="5"/>
  <c r="AS108" i="5" s="1"/>
  <c r="AT105" i="5" s="1"/>
  <c r="AU90" i="6"/>
  <c r="AT60" i="12"/>
  <c r="AT53" i="7"/>
  <c r="AT38" i="6"/>
  <c r="AT119" i="7"/>
  <c r="AT123" i="6"/>
  <c r="AR161" i="7"/>
  <c r="AS63" i="7"/>
  <c r="AK101" i="5"/>
  <c r="AK37" i="6"/>
  <c r="AK39" i="6" s="1"/>
  <c r="AK39" i="10"/>
  <c r="AS36" i="12"/>
  <c r="AS103" i="10"/>
  <c r="AV115" i="6"/>
  <c r="AV116" i="6" s="1"/>
  <c r="AW113" i="6" s="1"/>
  <c r="AJ51" i="10"/>
  <c r="AJ52" i="10" s="1"/>
  <c r="AJ43" i="10"/>
  <c r="AI68" i="12"/>
  <c r="AI42" i="12"/>
  <c r="AI44" i="12" s="1"/>
  <c r="AI67" i="12"/>
  <c r="AI154" i="7"/>
  <c r="AJ81" i="10"/>
  <c r="AJ82" i="10" s="1"/>
  <c r="AJ73" i="10"/>
  <c r="AJ46" i="6"/>
  <c r="AJ47" i="6" s="1"/>
  <c r="AK45" i="6" s="1"/>
  <c r="AJ113" i="7"/>
  <c r="AJ115" i="7" s="1"/>
  <c r="AJ123" i="7" s="1"/>
  <c r="AJ127" i="7" s="1"/>
  <c r="AJ130" i="7" s="1"/>
  <c r="AJ53" i="6"/>
  <c r="AV83" i="6"/>
  <c r="AW82" i="6" s="1"/>
  <c r="AS37" i="12" l="1"/>
  <c r="AS38" i="12" s="1"/>
  <c r="AS135" i="5"/>
  <c r="AT132" i="5" s="1"/>
  <c r="AT134" i="5" s="1"/>
  <c r="AT92" i="7" s="1"/>
  <c r="AS58" i="7"/>
  <c r="AS59" i="7" s="1"/>
  <c r="AS52" i="12" s="1"/>
  <c r="AS142" i="5"/>
  <c r="AT139" i="5" s="1"/>
  <c r="AU120" i="6"/>
  <c r="AT167" i="7"/>
  <c r="AT168" i="7" s="1"/>
  <c r="AT54" i="7"/>
  <c r="AT51" i="12" s="1"/>
  <c r="AT84" i="5"/>
  <c r="AT92" i="5" s="1"/>
  <c r="AT107" i="5" s="1"/>
  <c r="AT93" i="5" s="1"/>
  <c r="AT94" i="5" s="1"/>
  <c r="AT99" i="5" s="1"/>
  <c r="AT56" i="7" s="1"/>
  <c r="AT118" i="5"/>
  <c r="AT126" i="5" s="1"/>
  <c r="AT140" i="5" s="1"/>
  <c r="AW89" i="6"/>
  <c r="AW120" i="7" s="1"/>
  <c r="AW70" i="10" s="1"/>
  <c r="AT68" i="10"/>
  <c r="AT121" i="7"/>
  <c r="AU122" i="6"/>
  <c r="AU52" i="7"/>
  <c r="AV85" i="6"/>
  <c r="AU166" i="7"/>
  <c r="AS105" i="10"/>
  <c r="AS107" i="10" s="1"/>
  <c r="AS41" i="10" s="1"/>
  <c r="AK51" i="6"/>
  <c r="AJ160" i="7"/>
  <c r="AJ162" i="7" s="1"/>
  <c r="AL98" i="5"/>
  <c r="AK176" i="7"/>
  <c r="AK178" i="7" s="1"/>
  <c r="AI184" i="7"/>
  <c r="AI54" i="12"/>
  <c r="AK66" i="10"/>
  <c r="AK72" i="10" s="1"/>
  <c r="AK81" i="10" s="1"/>
  <c r="AK82" i="10" s="1"/>
  <c r="AK42" i="10"/>
  <c r="AK51" i="10" s="1"/>
  <c r="AK52" i="10" s="1"/>
  <c r="AK52" i="6"/>
  <c r="AK57" i="6" s="1"/>
  <c r="AK58" i="6" s="1"/>
  <c r="AJ134" i="7"/>
  <c r="AK129" i="7"/>
  <c r="AJ147" i="7"/>
  <c r="AI56" i="12"/>
  <c r="AI55" i="12"/>
  <c r="AW80" i="6"/>
  <c r="AS64" i="7" l="1"/>
  <c r="AS65" i="7" s="1"/>
  <c r="AS161" i="7" s="1"/>
  <c r="AW114" i="6"/>
  <c r="AW121" i="6" s="1"/>
  <c r="AT141" i="5"/>
  <c r="AT127" i="5" s="1"/>
  <c r="AT128" i="5" s="1"/>
  <c r="AT133" i="5" s="1"/>
  <c r="AT57" i="7" s="1"/>
  <c r="AT37" i="12" s="1"/>
  <c r="AT106" i="5"/>
  <c r="AT108" i="5" s="1"/>
  <c r="AU105" i="5" s="1"/>
  <c r="AS71" i="10"/>
  <c r="AK73" i="10"/>
  <c r="AV90" i="6"/>
  <c r="AU60" i="12"/>
  <c r="AU53" i="7"/>
  <c r="AU123" i="6"/>
  <c r="AU119" i="7"/>
  <c r="AU38" i="6"/>
  <c r="AT63" i="7"/>
  <c r="AK43" i="10"/>
  <c r="AJ53" i="12"/>
  <c r="AJ180" i="7"/>
  <c r="AJ63" i="12" s="1"/>
  <c r="AJ62" i="12"/>
  <c r="AJ61" i="12"/>
  <c r="AJ152" i="7"/>
  <c r="AJ69" i="12"/>
  <c r="AK46" i="6"/>
  <c r="AK47" i="6" s="1"/>
  <c r="AL45" i="6" s="1"/>
  <c r="AK113" i="7"/>
  <c r="AK115" i="7" s="1"/>
  <c r="AK123" i="7" s="1"/>
  <c r="AK127" i="7" s="1"/>
  <c r="AK130" i="7" s="1"/>
  <c r="AL100" i="5"/>
  <c r="AL91" i="7" s="1"/>
  <c r="AL96" i="7" s="1"/>
  <c r="AL98" i="7" s="1"/>
  <c r="AK53" i="6"/>
  <c r="AT36" i="12"/>
  <c r="AT103" i="10"/>
  <c r="AW83" i="6"/>
  <c r="AX82" i="6" s="1"/>
  <c r="AT58" i="7" l="1"/>
  <c r="AT64" i="7" s="1"/>
  <c r="AT65" i="7" s="1"/>
  <c r="AW115" i="6"/>
  <c r="AW116" i="6" s="1"/>
  <c r="AX113" i="6" s="1"/>
  <c r="AT142" i="5"/>
  <c r="AU139" i="5" s="1"/>
  <c r="AT104" i="10"/>
  <c r="AT105" i="10" s="1"/>
  <c r="AT107" i="10" s="1"/>
  <c r="AT135" i="5"/>
  <c r="AU132" i="5" s="1"/>
  <c r="AU134" i="5" s="1"/>
  <c r="AU92" i="7" s="1"/>
  <c r="AT38" i="12"/>
  <c r="AU84" i="5"/>
  <c r="AU92" i="5" s="1"/>
  <c r="AU106" i="5" s="1"/>
  <c r="AU118" i="5"/>
  <c r="AU126" i="5" s="1"/>
  <c r="AU140" i="5" s="1"/>
  <c r="AU54" i="7"/>
  <c r="AU51" i="12" s="1"/>
  <c r="AX89" i="6"/>
  <c r="AX120" i="7" s="1"/>
  <c r="AX70" i="10" s="1"/>
  <c r="AU68" i="10"/>
  <c r="AU121" i="7"/>
  <c r="AV122" i="6"/>
  <c r="AV52" i="7"/>
  <c r="AV120" i="6"/>
  <c r="AU167" i="7"/>
  <c r="AU168" i="7" s="1"/>
  <c r="AW85" i="6"/>
  <c r="AV166" i="7"/>
  <c r="AL101" i="5"/>
  <c r="AM98" i="5" s="1"/>
  <c r="AL51" i="6"/>
  <c r="AK160" i="7"/>
  <c r="AK162" i="7" s="1"/>
  <c r="AL37" i="6"/>
  <c r="AL39" i="6" s="1"/>
  <c r="AL52" i="6" s="1"/>
  <c r="AL39" i="10"/>
  <c r="AJ42" i="12"/>
  <c r="AJ44" i="12" s="1"/>
  <c r="AJ67" i="12"/>
  <c r="AJ68" i="12"/>
  <c r="AJ154" i="7"/>
  <c r="AK147" i="7"/>
  <c r="AK134" i="7"/>
  <c r="AL129" i="7"/>
  <c r="AX80" i="6"/>
  <c r="AT59" i="7" l="1"/>
  <c r="AT52" i="12" s="1"/>
  <c r="AX114" i="6"/>
  <c r="AX121" i="6" s="1"/>
  <c r="AU107" i="5"/>
  <c r="AU93" i="5" s="1"/>
  <c r="AU94" i="5" s="1"/>
  <c r="AU99" i="5" s="1"/>
  <c r="AU56" i="7" s="1"/>
  <c r="AU103" i="10" s="1"/>
  <c r="AT41" i="10"/>
  <c r="AT71" i="10"/>
  <c r="AU141" i="5"/>
  <c r="AU127" i="5" s="1"/>
  <c r="AU128" i="5" s="1"/>
  <c r="AU133" i="5" s="1"/>
  <c r="AU57" i="7" s="1"/>
  <c r="AU37" i="12" s="1"/>
  <c r="AL176" i="7"/>
  <c r="AL178" i="7" s="1"/>
  <c r="AV123" i="6"/>
  <c r="AW90" i="6"/>
  <c r="AV38" i="6"/>
  <c r="AV119" i="7"/>
  <c r="AV53" i="7"/>
  <c r="AV60" i="12"/>
  <c r="AK152" i="7"/>
  <c r="AK69" i="12"/>
  <c r="AK61" i="12"/>
  <c r="AL57" i="6"/>
  <c r="AL58" i="6" s="1"/>
  <c r="AL46" i="6"/>
  <c r="AL47" i="6" s="1"/>
  <c r="AM45" i="6" s="1"/>
  <c r="AL113" i="7"/>
  <c r="AL115" i="7" s="1"/>
  <c r="AL123" i="7" s="1"/>
  <c r="AL127" i="7" s="1"/>
  <c r="AL130" i="7" s="1"/>
  <c r="AM100" i="5"/>
  <c r="AM91" i="7" s="1"/>
  <c r="AJ56" i="12"/>
  <c r="AJ55" i="12"/>
  <c r="AK53" i="12"/>
  <c r="AK62" i="12"/>
  <c r="AK180" i="7"/>
  <c r="AK63" i="12" s="1"/>
  <c r="AJ184" i="7"/>
  <c r="AJ54" i="12"/>
  <c r="AL53" i="6"/>
  <c r="AL66" i="10"/>
  <c r="AL72" i="10" s="1"/>
  <c r="AL42" i="10"/>
  <c r="AU63" i="7"/>
  <c r="AT161" i="7"/>
  <c r="AX83" i="6"/>
  <c r="AY82" i="6" s="1"/>
  <c r="AU36" i="12" l="1"/>
  <c r="AU38" i="12" s="1"/>
  <c r="AX115" i="6"/>
  <c r="AX116" i="6" s="1"/>
  <c r="AY113" i="6" s="1"/>
  <c r="AU108" i="5"/>
  <c r="AV105" i="5" s="1"/>
  <c r="AU104" i="10"/>
  <c r="AU105" i="10" s="1"/>
  <c r="AU107" i="10" s="1"/>
  <c r="AU135" i="5"/>
  <c r="AV132" i="5" s="1"/>
  <c r="AV134" i="5" s="1"/>
  <c r="AV92" i="7" s="1"/>
  <c r="AU58" i="7"/>
  <c r="AU59" i="7" s="1"/>
  <c r="AU52" i="12" s="1"/>
  <c r="AU142" i="5"/>
  <c r="AV139" i="5" s="1"/>
  <c r="AW120" i="6"/>
  <c r="AV167" i="7"/>
  <c r="AV168" i="7" s="1"/>
  <c r="AV68" i="10"/>
  <c r="AV121" i="7"/>
  <c r="AV84" i="5"/>
  <c r="AV92" i="5" s="1"/>
  <c r="AV107" i="5" s="1"/>
  <c r="AV93" i="5" s="1"/>
  <c r="AV94" i="5" s="1"/>
  <c r="AV99" i="5" s="1"/>
  <c r="AV56" i="7" s="1"/>
  <c r="AV118" i="5"/>
  <c r="AV126" i="5" s="1"/>
  <c r="AV140" i="5" s="1"/>
  <c r="AV54" i="7"/>
  <c r="AV51" i="12" s="1"/>
  <c r="AW122" i="6"/>
  <c r="AW52" i="7"/>
  <c r="AY89" i="6"/>
  <c r="AY120" i="7" s="1"/>
  <c r="AX85" i="6"/>
  <c r="AW166" i="7"/>
  <c r="AM101" i="5"/>
  <c r="AN98" i="5" s="1"/>
  <c r="AM51" i="6"/>
  <c r="AL160" i="7"/>
  <c r="AL162" i="7" s="1"/>
  <c r="AL134" i="7"/>
  <c r="AM129" i="7"/>
  <c r="AL147" i="7"/>
  <c r="AL51" i="10"/>
  <c r="AL52" i="10" s="1"/>
  <c r="AL43" i="10"/>
  <c r="AL81" i="10"/>
  <c r="AL82" i="10" s="1"/>
  <c r="AL73" i="10"/>
  <c r="AM96" i="7"/>
  <c r="AM98" i="7" s="1"/>
  <c r="AK42" i="12"/>
  <c r="AK44" i="12" s="1"/>
  <c r="AK67" i="12"/>
  <c r="AK154" i="7"/>
  <c r="AK68" i="12"/>
  <c r="AY80" i="6"/>
  <c r="AU64" i="7" l="1"/>
  <c r="AU65" i="7" s="1"/>
  <c r="AV63" i="7" s="1"/>
  <c r="AY114" i="6"/>
  <c r="AY121" i="6" s="1"/>
  <c r="AY70" i="10"/>
  <c r="AM176" i="7"/>
  <c r="AM178" i="7" s="1"/>
  <c r="AV141" i="5"/>
  <c r="AV127" i="5" s="1"/>
  <c r="AV128" i="5" s="1"/>
  <c r="AV133" i="5" s="1"/>
  <c r="AV57" i="7" s="1"/>
  <c r="AV58" i="7" s="1"/>
  <c r="AV106" i="5"/>
  <c r="AV108" i="5" s="1"/>
  <c r="AW105" i="5" s="1"/>
  <c r="AW60" i="12"/>
  <c r="AW53" i="7"/>
  <c r="AX90" i="6"/>
  <c r="AW123" i="6"/>
  <c r="AW38" i="6"/>
  <c r="AW119" i="7"/>
  <c r="AM37" i="6"/>
  <c r="AM39" i="6" s="1"/>
  <c r="AM39" i="10"/>
  <c r="AK55" i="12"/>
  <c r="AK56" i="12"/>
  <c r="AN100" i="5"/>
  <c r="AN91" i="7" s="1"/>
  <c r="AV103" i="10"/>
  <c r="AV36" i="12"/>
  <c r="AL62" i="12"/>
  <c r="AL53" i="12"/>
  <c r="AL180" i="7"/>
  <c r="AL63" i="12" s="1"/>
  <c r="AK184" i="7"/>
  <c r="AK54" i="12"/>
  <c r="AL152" i="7"/>
  <c r="AL69" i="12"/>
  <c r="H134" i="9"/>
  <c r="H139" i="9" s="1"/>
  <c r="AL61" i="12"/>
  <c r="AU161" i="7"/>
  <c r="AU41" i="10"/>
  <c r="AU71" i="10"/>
  <c r="AY83" i="6"/>
  <c r="AZ82" i="6" s="1"/>
  <c r="AV135" i="5" l="1"/>
  <c r="AW132" i="5" s="1"/>
  <c r="AW134" i="5" s="1"/>
  <c r="AW92" i="7" s="1"/>
  <c r="AV142" i="5"/>
  <c r="AW139" i="5" s="1"/>
  <c r="AV37" i="12"/>
  <c r="AV104" i="10"/>
  <c r="AV105" i="10" s="1"/>
  <c r="AY115" i="6"/>
  <c r="AY116" i="6" s="1"/>
  <c r="AZ113" i="6" s="1"/>
  <c r="AN101" i="5"/>
  <c r="AO98" i="5" s="1"/>
  <c r="AW121" i="7"/>
  <c r="AW68" i="10"/>
  <c r="AY85" i="6"/>
  <c r="AX166" i="7"/>
  <c r="I153" i="9" s="1"/>
  <c r="AW84" i="5"/>
  <c r="AW92" i="5" s="1"/>
  <c r="AW107" i="5" s="1"/>
  <c r="AW93" i="5" s="1"/>
  <c r="AW94" i="5" s="1"/>
  <c r="AW99" i="5" s="1"/>
  <c r="AW56" i="7" s="1"/>
  <c r="AW54" i="7"/>
  <c r="AW51" i="12" s="1"/>
  <c r="AW118" i="5"/>
  <c r="AW126" i="5" s="1"/>
  <c r="AW140" i="5" s="1"/>
  <c r="AZ89" i="6"/>
  <c r="AZ120" i="7" s="1"/>
  <c r="AX120" i="6"/>
  <c r="AW167" i="7"/>
  <c r="AW168" i="7" s="1"/>
  <c r="AX122" i="6"/>
  <c r="AX52" i="7"/>
  <c r="AV38" i="12"/>
  <c r="AM52" i="6"/>
  <c r="AM57" i="6" s="1"/>
  <c r="AM58" i="6" s="1"/>
  <c r="H141" i="9"/>
  <c r="F102" i="15"/>
  <c r="F103" i="15" s="1"/>
  <c r="AN96" i="7"/>
  <c r="AN98" i="7" s="1"/>
  <c r="AL68" i="12"/>
  <c r="AL67" i="12"/>
  <c r="AL42" i="12"/>
  <c r="AL44" i="12" s="1"/>
  <c r="AL154" i="7"/>
  <c r="AV64" i="7"/>
  <c r="AV65" i="7" s="1"/>
  <c r="AV59" i="7"/>
  <c r="AV52" i="12" s="1"/>
  <c r="AM66" i="10"/>
  <c r="AM72" i="10" s="1"/>
  <c r="AM42" i="10"/>
  <c r="AZ80" i="6"/>
  <c r="AN176" i="7" l="1"/>
  <c r="AN178" i="7" s="1"/>
  <c r="AZ114" i="6"/>
  <c r="AZ121" i="6" s="1"/>
  <c r="AZ70" i="10"/>
  <c r="AW106" i="5"/>
  <c r="AW108" i="5" s="1"/>
  <c r="AX105" i="5" s="1"/>
  <c r="AW141" i="5"/>
  <c r="AW127" i="5" s="1"/>
  <c r="AW128" i="5" s="1"/>
  <c r="AW133" i="5" s="1"/>
  <c r="AW57" i="7" s="1"/>
  <c r="AW37" i="12" s="1"/>
  <c r="AX119" i="7"/>
  <c r="AX38" i="6"/>
  <c r="AY90" i="6"/>
  <c r="AX123" i="6"/>
  <c r="AX60" i="12"/>
  <c r="AX53" i="7"/>
  <c r="AL55" i="12"/>
  <c r="AL56" i="12"/>
  <c r="AM51" i="10"/>
  <c r="AM52" i="10" s="1"/>
  <c r="AM43" i="10"/>
  <c r="AO100" i="5"/>
  <c r="AO91" i="7" s="1"/>
  <c r="H163" i="9"/>
  <c r="H165" i="9" s="1"/>
  <c r="AM81" i="10"/>
  <c r="AM82" i="10" s="1"/>
  <c r="AM73" i="10"/>
  <c r="AV161" i="7"/>
  <c r="AW63" i="7"/>
  <c r="AL184" i="7"/>
  <c r="AL54" i="12"/>
  <c r="AN37" i="6"/>
  <c r="AN39" i="6" s="1"/>
  <c r="AN39" i="10"/>
  <c r="AV107" i="10"/>
  <c r="AM46" i="6"/>
  <c r="AM47" i="6" s="1"/>
  <c r="AN45" i="6" s="1"/>
  <c r="AM113" i="7"/>
  <c r="AM115" i="7" s="1"/>
  <c r="AM123" i="7" s="1"/>
  <c r="AM127" i="7" s="1"/>
  <c r="AM130" i="7" s="1"/>
  <c r="AM53" i="6"/>
  <c r="AW36" i="12"/>
  <c r="AW103" i="10"/>
  <c r="AZ83" i="6"/>
  <c r="BA82" i="6" s="1"/>
  <c r="AW135" i="5" l="1"/>
  <c r="AX132" i="5" s="1"/>
  <c r="AX134" i="5" s="1"/>
  <c r="AX92" i="7" s="1"/>
  <c r="AW58" i="7"/>
  <c r="AW59" i="7" s="1"/>
  <c r="AW52" i="12" s="1"/>
  <c r="I206" i="9"/>
  <c r="AZ115" i="6"/>
  <c r="AZ116" i="6" s="1"/>
  <c r="BA113" i="6" s="1"/>
  <c r="AW104" i="10"/>
  <c r="AW105" i="10" s="1"/>
  <c r="AW107" i="10" s="1"/>
  <c r="AW38" i="12"/>
  <c r="AW142" i="5"/>
  <c r="AX139" i="5" s="1"/>
  <c r="BA89" i="6"/>
  <c r="BA120" i="7" s="1"/>
  <c r="AX54" i="7"/>
  <c r="AX51" i="12" s="1"/>
  <c r="AX118" i="5"/>
  <c r="AX126" i="5" s="1"/>
  <c r="AX84" i="5"/>
  <c r="AX92" i="5" s="1"/>
  <c r="AX107" i="5" s="1"/>
  <c r="AX93" i="5" s="1"/>
  <c r="AX94" i="5" s="1"/>
  <c r="AX99" i="5" s="1"/>
  <c r="AX56" i="7" s="1"/>
  <c r="AZ85" i="6"/>
  <c r="AY166" i="7"/>
  <c r="AX167" i="7"/>
  <c r="AX168" i="7" s="1"/>
  <c r="AY120" i="6"/>
  <c r="AY122" i="6"/>
  <c r="AY52" i="7"/>
  <c r="AX68" i="10"/>
  <c r="AX121" i="7"/>
  <c r="AM134" i="7"/>
  <c r="AM147" i="7"/>
  <c r="AN129" i="7"/>
  <c r="AN66" i="10"/>
  <c r="AN72" i="10" s="1"/>
  <c r="AN81" i="10" s="1"/>
  <c r="AN82" i="10" s="1"/>
  <c r="AN42" i="10"/>
  <c r="AN51" i="10" s="1"/>
  <c r="AN52" i="10" s="1"/>
  <c r="AN51" i="6"/>
  <c r="AM160" i="7"/>
  <c r="AM162" i="7" s="1"/>
  <c r="AV41" i="10"/>
  <c r="AV71" i="10"/>
  <c r="AN52" i="6"/>
  <c r="AN57" i="6" s="1"/>
  <c r="AN58" i="6" s="1"/>
  <c r="AO101" i="5"/>
  <c r="F108" i="15"/>
  <c r="AO96" i="7"/>
  <c r="AO98" i="7" s="1"/>
  <c r="BA80" i="6"/>
  <c r="AW64" i="7" l="1"/>
  <c r="AW65" i="7" s="1"/>
  <c r="AX63" i="7" s="1"/>
  <c r="BA114" i="6"/>
  <c r="BA121" i="6" s="1"/>
  <c r="BA70" i="10"/>
  <c r="AX141" i="5"/>
  <c r="AX127" i="5" s="1"/>
  <c r="AX128" i="5" s="1"/>
  <c r="AX133" i="5" s="1"/>
  <c r="AX57" i="7" s="1"/>
  <c r="AX37" i="12" s="1"/>
  <c r="AN43" i="10"/>
  <c r="AX140" i="5"/>
  <c r="AX106" i="5"/>
  <c r="AX108" i="5" s="1"/>
  <c r="AY105" i="5" s="1"/>
  <c r="AY53" i="7"/>
  <c r="AY60" i="12"/>
  <c r="AY38" i="6"/>
  <c r="AY119" i="7"/>
  <c r="AZ90" i="6"/>
  <c r="AY123" i="6"/>
  <c r="AN73" i="10"/>
  <c r="AO176" i="7"/>
  <c r="AO178" i="7" s="1"/>
  <c r="AP98" i="5"/>
  <c r="AO37" i="6"/>
  <c r="AO39" i="6" s="1"/>
  <c r="AO39" i="10"/>
  <c r="AX103" i="10"/>
  <c r="AX36" i="12"/>
  <c r="AM152" i="7"/>
  <c r="AM69" i="12"/>
  <c r="AM61" i="12"/>
  <c r="AN46" i="6"/>
  <c r="AN47" i="6" s="1"/>
  <c r="AO45" i="6" s="1"/>
  <c r="AN113" i="7"/>
  <c r="AN115" i="7" s="1"/>
  <c r="AN123" i="7" s="1"/>
  <c r="AN127" i="7" s="1"/>
  <c r="AN130" i="7" s="1"/>
  <c r="AN53" i="6"/>
  <c r="AM180" i="7"/>
  <c r="AM63" i="12" s="1"/>
  <c r="AM53" i="12"/>
  <c r="AM62" i="12"/>
  <c r="AW41" i="10"/>
  <c r="AW71" i="10"/>
  <c r="BA83" i="6"/>
  <c r="BB82" i="6" s="1"/>
  <c r="AW161" i="7" l="1"/>
  <c r="AX58" i="7"/>
  <c r="AX59" i="7" s="1"/>
  <c r="AX52" i="12" s="1"/>
  <c r="AX104" i="10"/>
  <c r="AX142" i="5"/>
  <c r="AY139" i="5" s="1"/>
  <c r="BA115" i="6"/>
  <c r="BA116" i="6" s="1"/>
  <c r="BB113" i="6" s="1"/>
  <c r="AX135" i="5"/>
  <c r="AY132" i="5" s="1"/>
  <c r="AY134" i="5" s="1"/>
  <c r="AY92" i="7" s="1"/>
  <c r="AY121" i="7"/>
  <c r="AY68" i="10"/>
  <c r="AZ120" i="6"/>
  <c r="AY167" i="7"/>
  <c r="AY168" i="7" s="1"/>
  <c r="BB89" i="6"/>
  <c r="BB120" i="7" s="1"/>
  <c r="BA85" i="6"/>
  <c r="AZ166" i="7"/>
  <c r="AZ122" i="6"/>
  <c r="AZ52" i="7"/>
  <c r="AY54" i="7"/>
  <c r="AY51" i="12" s="1"/>
  <c r="AY118" i="5"/>
  <c r="AY126" i="5" s="1"/>
  <c r="AY141" i="5" s="1"/>
  <c r="AY127" i="5" s="1"/>
  <c r="AY128" i="5" s="1"/>
  <c r="AY133" i="5" s="1"/>
  <c r="AY84" i="5"/>
  <c r="AY92" i="5" s="1"/>
  <c r="AY107" i="5" s="1"/>
  <c r="AY93" i="5" s="1"/>
  <c r="AY94" i="5" s="1"/>
  <c r="AY99" i="5" s="1"/>
  <c r="AY56" i="7" s="1"/>
  <c r="AX105" i="10"/>
  <c r="AX107" i="10" s="1"/>
  <c r="AX38" i="12"/>
  <c r="AP100" i="5"/>
  <c r="AP91" i="7" s="1"/>
  <c r="AO66" i="10"/>
  <c r="AO72" i="10" s="1"/>
  <c r="AO42" i="10"/>
  <c r="AN147" i="7"/>
  <c r="AN134" i="7"/>
  <c r="AO129" i="7"/>
  <c r="AO52" i="6"/>
  <c r="AO51" i="6"/>
  <c r="AN160" i="7"/>
  <c r="AM42" i="12"/>
  <c r="AM44" i="12" s="1"/>
  <c r="AM67" i="12"/>
  <c r="AM154" i="7"/>
  <c r="AM68" i="12"/>
  <c r="BB80" i="6"/>
  <c r="AX64" i="7" l="1"/>
  <c r="AX65" i="7" s="1"/>
  <c r="AX161" i="7" s="1"/>
  <c r="I148" i="9" s="1"/>
  <c r="BB114" i="6"/>
  <c r="BB121" i="6" s="1"/>
  <c r="BB70" i="10"/>
  <c r="AZ123" i="6"/>
  <c r="BA120" i="6" s="1"/>
  <c r="AY140" i="5"/>
  <c r="AY142" i="5" s="1"/>
  <c r="AZ139" i="5" s="1"/>
  <c r="AY106" i="5"/>
  <c r="AY108" i="5" s="1"/>
  <c r="AZ105" i="5" s="1"/>
  <c r="BA90" i="6"/>
  <c r="AZ167" i="7"/>
  <c r="I154" i="9" s="1"/>
  <c r="I155" i="9" s="1"/>
  <c r="G107" i="15" s="1"/>
  <c r="AZ60" i="12"/>
  <c r="AZ53" i="7"/>
  <c r="AZ38" i="6"/>
  <c r="AZ119" i="7"/>
  <c r="AP101" i="5"/>
  <c r="AQ98" i="5" s="1"/>
  <c r="AM55" i="12"/>
  <c r="AM56" i="12"/>
  <c r="AX71" i="10"/>
  <c r="AX41" i="10"/>
  <c r="AY36" i="12"/>
  <c r="AY103" i="10"/>
  <c r="AO46" i="6"/>
  <c r="AO47" i="6" s="1"/>
  <c r="AP45" i="6" s="1"/>
  <c r="AO113" i="7"/>
  <c r="AO115" i="7" s="1"/>
  <c r="AO123" i="7" s="1"/>
  <c r="AO127" i="7" s="1"/>
  <c r="AO130" i="7" s="1"/>
  <c r="H147" i="9"/>
  <c r="H149" i="9" s="1"/>
  <c r="AN162" i="7"/>
  <c r="AO51" i="10"/>
  <c r="AO52" i="10" s="1"/>
  <c r="AO43" i="10"/>
  <c r="AM184" i="7"/>
  <c r="AM54" i="12"/>
  <c r="AO53" i="6"/>
  <c r="AY57" i="7"/>
  <c r="AY135" i="5"/>
  <c r="AZ132" i="5" s="1"/>
  <c r="AO57" i="6"/>
  <c r="AO58" i="6" s="1"/>
  <c r="AN152" i="7"/>
  <c r="AN69" i="12"/>
  <c r="AN61" i="12"/>
  <c r="AO81" i="10"/>
  <c r="AO82" i="10" s="1"/>
  <c r="AO73" i="10"/>
  <c r="AP96" i="7"/>
  <c r="AP98" i="7" s="1"/>
  <c r="BB83" i="6"/>
  <c r="BC82" i="6" s="1"/>
  <c r="AY63" i="7" l="1"/>
  <c r="BB115" i="6"/>
  <c r="BB116" i="6" s="1"/>
  <c r="BC113" i="6" s="1"/>
  <c r="AP176" i="7"/>
  <c r="AP178" i="7" s="1"/>
  <c r="AZ118" i="5"/>
  <c r="AZ126" i="5" s="1"/>
  <c r="AZ140" i="5" s="1"/>
  <c r="AZ54" i="7"/>
  <c r="AZ51" i="12" s="1"/>
  <c r="AZ84" i="5"/>
  <c r="AZ92" i="5" s="1"/>
  <c r="AZ106" i="5" s="1"/>
  <c r="BA122" i="6"/>
  <c r="BA123" i="6" s="1"/>
  <c r="BA52" i="7"/>
  <c r="BC89" i="6"/>
  <c r="BC120" i="7" s="1"/>
  <c r="BA166" i="7"/>
  <c r="BB85" i="6"/>
  <c r="AZ68" i="10"/>
  <c r="AZ121" i="7"/>
  <c r="AZ168" i="7"/>
  <c r="AN180" i="7"/>
  <c r="AN63" i="12" s="1"/>
  <c r="AN62" i="12"/>
  <c r="AN53" i="12"/>
  <c r="F106" i="15"/>
  <c r="F109" i="15" s="1"/>
  <c r="H167" i="9"/>
  <c r="H171" i="9" s="1"/>
  <c r="AZ134" i="5"/>
  <c r="AZ92" i="7" s="1"/>
  <c r="AO147" i="7"/>
  <c r="AP129" i="7"/>
  <c r="AO134" i="7"/>
  <c r="AQ100" i="5"/>
  <c r="AQ91" i="7" s="1"/>
  <c r="AP37" i="6"/>
  <c r="AP39" i="6" s="1"/>
  <c r="AP52" i="6" s="1"/>
  <c r="AP39" i="10"/>
  <c r="AY37" i="12"/>
  <c r="AY38" i="12" s="1"/>
  <c r="AY104" i="10"/>
  <c r="AY105" i="10" s="1"/>
  <c r="AY58" i="7"/>
  <c r="AN42" i="12"/>
  <c r="AN44" i="12" s="1"/>
  <c r="AN68" i="12"/>
  <c r="AN154" i="7"/>
  <c r="AN67" i="12"/>
  <c r="AP51" i="6"/>
  <c r="AO160" i="7"/>
  <c r="AO162" i="7" s="1"/>
  <c r="BC80" i="6"/>
  <c r="BC114" i="6" s="1"/>
  <c r="BC121" i="6" s="1"/>
  <c r="BC70" i="10" l="1"/>
  <c r="AZ141" i="5"/>
  <c r="AZ127" i="5" s="1"/>
  <c r="AZ128" i="5" s="1"/>
  <c r="AZ133" i="5" s="1"/>
  <c r="AZ57" i="7" s="1"/>
  <c r="AZ37" i="12" s="1"/>
  <c r="AZ107" i="5"/>
  <c r="AZ93" i="5" s="1"/>
  <c r="AZ94" i="5" s="1"/>
  <c r="AZ99" i="5" s="1"/>
  <c r="AZ56" i="7" s="1"/>
  <c r="BB120" i="6"/>
  <c r="BA167" i="7"/>
  <c r="BA168" i="7" s="1"/>
  <c r="BA38" i="6"/>
  <c r="BA119" i="7"/>
  <c r="AP53" i="6"/>
  <c r="AQ51" i="6" s="1"/>
  <c r="BB90" i="6"/>
  <c r="BA53" i="7"/>
  <c r="BA60" i="12"/>
  <c r="AQ101" i="5"/>
  <c r="AR98" i="5" s="1"/>
  <c r="BC115" i="6"/>
  <c r="BC116" i="6" s="1"/>
  <c r="BD113" i="6" s="1"/>
  <c r="AN184" i="7"/>
  <c r="AN54" i="12"/>
  <c r="AY107" i="10"/>
  <c r="AO180" i="7"/>
  <c r="AO63" i="12" s="1"/>
  <c r="AO62" i="12"/>
  <c r="AP57" i="6"/>
  <c r="AP58" i="6" s="1"/>
  <c r="AP46" i="6"/>
  <c r="AP47" i="6" s="1"/>
  <c r="AQ45" i="6" s="1"/>
  <c r="AP113" i="7"/>
  <c r="AP115" i="7" s="1"/>
  <c r="AP123" i="7" s="1"/>
  <c r="AP127" i="7" s="1"/>
  <c r="AP130" i="7" s="1"/>
  <c r="AP66" i="10"/>
  <c r="AP72" i="10" s="1"/>
  <c r="AP42" i="10"/>
  <c r="AN56" i="12"/>
  <c r="AN55" i="12"/>
  <c r="AO61" i="12"/>
  <c r="AO152" i="7"/>
  <c r="AO69" i="12"/>
  <c r="AY64" i="7"/>
  <c r="AY65" i="7" s="1"/>
  <c r="AY59" i="7"/>
  <c r="AY52" i="12" s="1"/>
  <c r="AQ96" i="7"/>
  <c r="AQ98" i="7" s="1"/>
  <c r="AO53" i="12"/>
  <c r="BC83" i="6"/>
  <c r="BD82" i="6" s="1"/>
  <c r="AZ108" i="5" l="1"/>
  <c r="BA105" i="5" s="1"/>
  <c r="AZ104" i="10"/>
  <c r="AZ142" i="5"/>
  <c r="BA139" i="5" s="1"/>
  <c r="AQ176" i="7"/>
  <c r="AQ178" i="7" s="1"/>
  <c r="AP160" i="7"/>
  <c r="AP162" i="7" s="1"/>
  <c r="AP53" i="12" s="1"/>
  <c r="AZ135" i="5"/>
  <c r="BA132" i="5" s="1"/>
  <c r="BA134" i="5" s="1"/>
  <c r="BA92" i="7" s="1"/>
  <c r="AZ58" i="7"/>
  <c r="AZ59" i="7" s="1"/>
  <c r="AZ52" i="12" s="1"/>
  <c r="AZ36" i="12"/>
  <c r="AZ38" i="12" s="1"/>
  <c r="AZ103" i="10"/>
  <c r="BA54" i="7"/>
  <c r="BA51" i="12" s="1"/>
  <c r="BA84" i="5"/>
  <c r="BA92" i="5" s="1"/>
  <c r="BA118" i="5"/>
  <c r="BA126" i="5" s="1"/>
  <c r="BA140" i="5" s="1"/>
  <c r="BA68" i="10"/>
  <c r="BA121" i="7"/>
  <c r="BB122" i="6"/>
  <c r="BB123" i="6" s="1"/>
  <c r="BB52" i="7"/>
  <c r="BC85" i="6"/>
  <c r="BB166" i="7"/>
  <c r="BD89" i="6"/>
  <c r="BD120" i="7" s="1"/>
  <c r="BD70" i="10" s="1"/>
  <c r="AO154" i="7"/>
  <c r="AO68" i="12"/>
  <c r="AO42" i="12"/>
  <c r="AO44" i="12" s="1"/>
  <c r="AO67" i="12"/>
  <c r="AP81" i="10"/>
  <c r="AP82" i="10" s="1"/>
  <c r="AP73" i="10"/>
  <c r="AY71" i="10"/>
  <c r="AY41" i="10"/>
  <c r="AQ37" i="6"/>
  <c r="AQ39" i="6" s="1"/>
  <c r="AQ39" i="10"/>
  <c r="AZ63" i="7"/>
  <c r="AY161" i="7"/>
  <c r="AR100" i="5"/>
  <c r="AR91" i="7" s="1"/>
  <c r="AR96" i="7" s="1"/>
  <c r="AR98" i="7" s="1"/>
  <c r="AP51" i="10"/>
  <c r="AP52" i="10" s="1"/>
  <c r="AP43" i="10"/>
  <c r="AQ129" i="7"/>
  <c r="AP134" i="7"/>
  <c r="AP147" i="7"/>
  <c r="BD80" i="6"/>
  <c r="BA107" i="5" l="1"/>
  <c r="BA93" i="5" s="1"/>
  <c r="BA94" i="5" s="1"/>
  <c r="BA99" i="5" s="1"/>
  <c r="BA56" i="7" s="1"/>
  <c r="BA103" i="10" s="1"/>
  <c r="AZ105" i="10"/>
  <c r="AZ107" i="10" s="1"/>
  <c r="BD114" i="6"/>
  <c r="BD121" i="6" s="1"/>
  <c r="AP180" i="7"/>
  <c r="AP63" i="12" s="1"/>
  <c r="AZ64" i="7"/>
  <c r="AZ65" i="7" s="1"/>
  <c r="AP62" i="12"/>
  <c r="BA106" i="5"/>
  <c r="BA141" i="5"/>
  <c r="BA127" i="5" s="1"/>
  <c r="BA128" i="5" s="1"/>
  <c r="BA133" i="5" s="1"/>
  <c r="BA57" i="7" s="1"/>
  <c r="AR101" i="5"/>
  <c r="AR176" i="7" s="1"/>
  <c r="AR178" i="7" s="1"/>
  <c r="BC120" i="6"/>
  <c r="BB167" i="7"/>
  <c r="BB168" i="7" s="1"/>
  <c r="BC90" i="6"/>
  <c r="BB60" i="12"/>
  <c r="BB53" i="7"/>
  <c r="BB119" i="7"/>
  <c r="BB38" i="6"/>
  <c r="BA36" i="12"/>
  <c r="AO56" i="12"/>
  <c r="AO55" i="12"/>
  <c r="AP152" i="7"/>
  <c r="AP69" i="12"/>
  <c r="AP61" i="12"/>
  <c r="AR37" i="6"/>
  <c r="AR39" i="6" s="1"/>
  <c r="AR39" i="10"/>
  <c r="AQ66" i="10"/>
  <c r="AQ72" i="10" s="1"/>
  <c r="AQ81" i="10" s="1"/>
  <c r="AQ82" i="10" s="1"/>
  <c r="AQ42" i="10"/>
  <c r="AQ51" i="10" s="1"/>
  <c r="AQ52" i="10" s="1"/>
  <c r="AO184" i="7"/>
  <c r="AO54" i="12"/>
  <c r="AQ52" i="6"/>
  <c r="AQ57" i="6" s="1"/>
  <c r="AQ58" i="6" s="1"/>
  <c r="BD83" i="6"/>
  <c r="BE82" i="6" s="1"/>
  <c r="BA58" i="7" l="1"/>
  <c r="BA59" i="7" s="1"/>
  <c r="BA52" i="12" s="1"/>
  <c r="BA108" i="5"/>
  <c r="BB105" i="5" s="1"/>
  <c r="BD115" i="6"/>
  <c r="BD116" i="6" s="1"/>
  <c r="BE113" i="6" s="1"/>
  <c r="AS98" i="5"/>
  <c r="AS100" i="5" s="1"/>
  <c r="AS91" i="7" s="1"/>
  <c r="AS96" i="7" s="1"/>
  <c r="AS98" i="7" s="1"/>
  <c r="BA135" i="5"/>
  <c r="BB132" i="5" s="1"/>
  <c r="BB134" i="5" s="1"/>
  <c r="BB92" i="7" s="1"/>
  <c r="BA37" i="12"/>
  <c r="BA38" i="12" s="1"/>
  <c r="BA63" i="7"/>
  <c r="AZ161" i="7"/>
  <c r="BA142" i="5"/>
  <c r="BB139" i="5" s="1"/>
  <c r="BA104" i="10"/>
  <c r="BA105" i="10" s="1"/>
  <c r="BC122" i="6"/>
  <c r="BC123" i="6" s="1"/>
  <c r="BC52" i="7"/>
  <c r="BB121" i="7"/>
  <c r="BB68" i="10"/>
  <c r="BC166" i="7"/>
  <c r="BD85" i="6"/>
  <c r="BB118" i="5"/>
  <c r="BB126" i="5" s="1"/>
  <c r="BB141" i="5" s="1"/>
  <c r="BB127" i="5" s="1"/>
  <c r="BB128" i="5" s="1"/>
  <c r="BB133" i="5" s="1"/>
  <c r="BB84" i="5"/>
  <c r="BB92" i="5" s="1"/>
  <c r="BB106" i="5" s="1"/>
  <c r="BB54" i="7"/>
  <c r="BB51" i="12" s="1"/>
  <c r="BE89" i="6"/>
  <c r="BE120" i="7" s="1"/>
  <c r="BE70" i="10" s="1"/>
  <c r="AR66" i="10"/>
  <c r="AR72" i="10" s="1"/>
  <c r="AR42" i="10"/>
  <c r="AR51" i="10" s="1"/>
  <c r="AR52" i="10" s="1"/>
  <c r="AP154" i="7"/>
  <c r="AP67" i="12"/>
  <c r="AP68" i="12"/>
  <c r="AP42" i="12"/>
  <c r="AP44" i="12" s="1"/>
  <c r="AZ41" i="10"/>
  <c r="AZ71" i="10"/>
  <c r="AQ43" i="10"/>
  <c r="AR52" i="6"/>
  <c r="AR57" i="6" s="1"/>
  <c r="AR58" i="6" s="1"/>
  <c r="AQ73" i="10"/>
  <c r="AQ46" i="6"/>
  <c r="AQ47" i="6" s="1"/>
  <c r="AR45" i="6" s="1"/>
  <c r="AQ113" i="7"/>
  <c r="AQ115" i="7" s="1"/>
  <c r="AQ123" i="7" s="1"/>
  <c r="AQ127" i="7" s="1"/>
  <c r="AQ130" i="7" s="1"/>
  <c r="AQ53" i="6"/>
  <c r="BE80" i="6"/>
  <c r="BA64" i="7" l="1"/>
  <c r="BA65" i="7" s="1"/>
  <c r="BE114" i="6"/>
  <c r="BE121" i="6" s="1"/>
  <c r="BB140" i="5"/>
  <c r="BB142" i="5" s="1"/>
  <c r="BC139" i="5" s="1"/>
  <c r="BB107" i="5"/>
  <c r="BB93" i="5" s="1"/>
  <c r="BB94" i="5" s="1"/>
  <c r="BB99" i="5" s="1"/>
  <c r="BB56" i="7" s="1"/>
  <c r="BB36" i="12" s="1"/>
  <c r="BD120" i="6"/>
  <c r="BC167" i="7"/>
  <c r="BC168" i="7" s="1"/>
  <c r="AR43" i="10"/>
  <c r="BD90" i="6"/>
  <c r="BC60" i="12"/>
  <c r="BC53" i="7"/>
  <c r="BC38" i="6"/>
  <c r="BC119" i="7"/>
  <c r="AS101" i="5"/>
  <c r="AS176" i="7" s="1"/>
  <c r="AS178" i="7" s="1"/>
  <c r="BB57" i="7"/>
  <c r="BB135" i="5"/>
  <c r="BC132" i="5" s="1"/>
  <c r="I181" i="9"/>
  <c r="AP184" i="7"/>
  <c r="AP54" i="12"/>
  <c r="AR51" i="6"/>
  <c r="AR53" i="6" s="1"/>
  <c r="AQ160" i="7"/>
  <c r="AQ162" i="7" s="1"/>
  <c r="AP55" i="12"/>
  <c r="AP56" i="12"/>
  <c r="AQ147" i="7"/>
  <c r="AR129" i="7"/>
  <c r="AQ134" i="7"/>
  <c r="AR46" i="6"/>
  <c r="AR47" i="6" s="1"/>
  <c r="AS45" i="6" s="1"/>
  <c r="AR113" i="7"/>
  <c r="AR115" i="7" s="1"/>
  <c r="AR123" i="7" s="1"/>
  <c r="AR127" i="7" s="1"/>
  <c r="AR73" i="10"/>
  <c r="AR81" i="10"/>
  <c r="AR82" i="10" s="1"/>
  <c r="AS37" i="6"/>
  <c r="AS39" i="6" s="1"/>
  <c r="AS39" i="10"/>
  <c r="BA107" i="10"/>
  <c r="I207" i="9"/>
  <c r="BE83" i="6"/>
  <c r="BF82" i="6" s="1"/>
  <c r="BA161" i="7" l="1"/>
  <c r="BB63" i="7"/>
  <c r="BE115" i="6"/>
  <c r="BE116" i="6" s="1"/>
  <c r="BF113" i="6" s="1"/>
  <c r="AT98" i="5"/>
  <c r="AT100" i="5" s="1"/>
  <c r="AT91" i="7" s="1"/>
  <c r="AT96" i="7" s="1"/>
  <c r="AT98" i="7" s="1"/>
  <c r="BB103" i="10"/>
  <c r="BB58" i="7"/>
  <c r="BB64" i="7" s="1"/>
  <c r="BB65" i="7" s="1"/>
  <c r="BB108" i="5"/>
  <c r="BC105" i="5" s="1"/>
  <c r="AR130" i="7"/>
  <c r="AS129" i="7" s="1"/>
  <c r="BE85" i="6"/>
  <c r="BD166" i="7"/>
  <c r="BC84" i="5"/>
  <c r="BC92" i="5" s="1"/>
  <c r="BC107" i="5" s="1"/>
  <c r="BC93" i="5" s="1"/>
  <c r="BC94" i="5" s="1"/>
  <c r="BC99" i="5" s="1"/>
  <c r="BC56" i="7" s="1"/>
  <c r="BC54" i="7"/>
  <c r="BC51" i="12" s="1"/>
  <c r="BC118" i="5"/>
  <c r="BC126" i="5" s="1"/>
  <c r="BC140" i="5" s="1"/>
  <c r="BF89" i="6"/>
  <c r="BF120" i="7" s="1"/>
  <c r="BF70" i="10" s="1"/>
  <c r="BC68" i="10"/>
  <c r="BC121" i="7"/>
  <c r="BD52" i="7"/>
  <c r="BD122" i="6"/>
  <c r="BD123" i="6" s="1"/>
  <c r="AS51" i="6"/>
  <c r="AR160" i="7"/>
  <c r="AR162" i="7" s="1"/>
  <c r="AR53" i="12" s="1"/>
  <c r="AS66" i="10"/>
  <c r="AS72" i="10" s="1"/>
  <c r="AS81" i="10" s="1"/>
  <c r="AS82" i="10" s="1"/>
  <c r="AS42" i="10"/>
  <c r="BA71" i="10"/>
  <c r="BA41" i="10"/>
  <c r="AS52" i="6"/>
  <c r="AS57" i="6" s="1"/>
  <c r="AS58" i="6" s="1"/>
  <c r="AQ69" i="12"/>
  <c r="AQ152" i="7"/>
  <c r="AQ61" i="12"/>
  <c r="AQ62" i="12"/>
  <c r="AQ180" i="7"/>
  <c r="AQ63" i="12" s="1"/>
  <c r="AQ53" i="12"/>
  <c r="BC134" i="5"/>
  <c r="BC92" i="7" s="1"/>
  <c r="BB37" i="12"/>
  <c r="BB38" i="12" s="1"/>
  <c r="BB104" i="10"/>
  <c r="BF80" i="6"/>
  <c r="BB59" i="7" l="1"/>
  <c r="BB52" i="12" s="1"/>
  <c r="BB105" i="10"/>
  <c r="BB107" i="10" s="1"/>
  <c r="BB41" i="10" s="1"/>
  <c r="BC141" i="5"/>
  <c r="BC127" i="5" s="1"/>
  <c r="BC128" i="5" s="1"/>
  <c r="BC133" i="5" s="1"/>
  <c r="BC135" i="5" s="1"/>
  <c r="BD132" i="5" s="1"/>
  <c r="BF114" i="6"/>
  <c r="BF121" i="6" s="1"/>
  <c r="AS73" i="10"/>
  <c r="AR147" i="7"/>
  <c r="AR152" i="7" s="1"/>
  <c r="BC106" i="5"/>
  <c r="BC108" i="5" s="1"/>
  <c r="BD105" i="5" s="1"/>
  <c r="AR134" i="7"/>
  <c r="BE120" i="6"/>
  <c r="BD167" i="7"/>
  <c r="BD168" i="7" s="1"/>
  <c r="BD38" i="6"/>
  <c r="BD119" i="7"/>
  <c r="AT101" i="5"/>
  <c r="AT176" i="7" s="1"/>
  <c r="AT178" i="7" s="1"/>
  <c r="BD53" i="7"/>
  <c r="BD60" i="12"/>
  <c r="BE90" i="6"/>
  <c r="AQ154" i="7"/>
  <c r="AQ42" i="12"/>
  <c r="AQ44" i="12" s="1"/>
  <c r="AQ67" i="12"/>
  <c r="AQ68" i="12"/>
  <c r="AR62" i="12"/>
  <c r="AR180" i="7"/>
  <c r="AR63" i="12" s="1"/>
  <c r="BC36" i="12"/>
  <c r="BC103" i="10"/>
  <c r="BC63" i="7"/>
  <c r="BB161" i="7"/>
  <c r="AS46" i="6"/>
  <c r="AS47" i="6" s="1"/>
  <c r="AT45" i="6" s="1"/>
  <c r="AS113" i="7"/>
  <c r="AS115" i="7" s="1"/>
  <c r="AS123" i="7" s="1"/>
  <c r="AS127" i="7" s="1"/>
  <c r="AS130" i="7" s="1"/>
  <c r="AT37" i="6"/>
  <c r="AT39" i="6" s="1"/>
  <c r="AT52" i="6" s="1"/>
  <c r="AT39" i="10"/>
  <c r="AS53" i="6"/>
  <c r="AS51" i="10"/>
  <c r="AS52" i="10" s="1"/>
  <c r="AS43" i="10"/>
  <c r="BF83" i="6"/>
  <c r="BG82" i="6" s="1"/>
  <c r="AR61" i="12" l="1"/>
  <c r="BB71" i="10"/>
  <c r="BC57" i="7"/>
  <c r="BC58" i="7" s="1"/>
  <c r="BC64" i="7" s="1"/>
  <c r="BC65" i="7" s="1"/>
  <c r="BC142" i="5"/>
  <c r="BD139" i="5" s="1"/>
  <c r="AR69" i="12"/>
  <c r="BF115" i="6"/>
  <c r="BF116" i="6" s="1"/>
  <c r="BG113" i="6" s="1"/>
  <c r="AU98" i="5"/>
  <c r="AU100" i="5" s="1"/>
  <c r="AU91" i="7" s="1"/>
  <c r="AU96" i="7" s="1"/>
  <c r="AU98" i="7" s="1"/>
  <c r="BE122" i="6"/>
  <c r="BE52" i="7"/>
  <c r="BD118" i="5"/>
  <c r="BD126" i="5" s="1"/>
  <c r="BD140" i="5" s="1"/>
  <c r="BD84" i="5"/>
  <c r="BD92" i="5" s="1"/>
  <c r="BD107" i="5" s="1"/>
  <c r="BD93" i="5" s="1"/>
  <c r="BD94" i="5" s="1"/>
  <c r="BD99" i="5" s="1"/>
  <c r="BD56" i="7" s="1"/>
  <c r="BD54" i="7"/>
  <c r="BD51" i="12" s="1"/>
  <c r="BG89" i="6"/>
  <c r="BG120" i="7" s="1"/>
  <c r="BG70" i="10" s="1"/>
  <c r="BF85" i="6"/>
  <c r="BE166" i="7"/>
  <c r="BD68" i="10"/>
  <c r="BD121" i="7"/>
  <c r="BE123" i="6"/>
  <c r="AT57" i="6"/>
  <c r="AT58" i="6" s="1"/>
  <c r="AT46" i="6"/>
  <c r="AT47" i="6" s="1"/>
  <c r="AU45" i="6" s="1"/>
  <c r="AT113" i="7"/>
  <c r="AT115" i="7" s="1"/>
  <c r="AT123" i="7" s="1"/>
  <c r="AT127" i="7" s="1"/>
  <c r="AT51" i="6"/>
  <c r="AT53" i="6" s="1"/>
  <c r="AS160" i="7"/>
  <c r="AS162" i="7" s="1"/>
  <c r="AQ55" i="12"/>
  <c r="AQ56" i="12"/>
  <c r="AQ184" i="7"/>
  <c r="AQ54" i="12"/>
  <c r="BD134" i="5"/>
  <c r="BD92" i="7" s="1"/>
  <c r="AT66" i="10"/>
  <c r="AT72" i="10" s="1"/>
  <c r="AT42" i="10"/>
  <c r="AT51" i="10" s="1"/>
  <c r="AT52" i="10" s="1"/>
  <c r="AS147" i="7"/>
  <c r="AT129" i="7"/>
  <c r="AS134" i="7"/>
  <c r="AR68" i="12"/>
  <c r="AR154" i="7"/>
  <c r="AR42" i="12"/>
  <c r="AR44" i="12" s="1"/>
  <c r="AR55" i="12" s="1"/>
  <c r="AR67" i="12"/>
  <c r="BG80" i="6"/>
  <c r="BG114" i="6" s="1"/>
  <c r="BG121" i="6" s="1"/>
  <c r="BC104" i="10" l="1"/>
  <c r="BC105" i="10" s="1"/>
  <c r="BC107" i="10" s="1"/>
  <c r="BC59" i="7"/>
  <c r="BC52" i="12" s="1"/>
  <c r="BC37" i="12"/>
  <c r="BC38" i="12" s="1"/>
  <c r="BD141" i="5"/>
  <c r="BD127" i="5" s="1"/>
  <c r="BD128" i="5" s="1"/>
  <c r="BD133" i="5" s="1"/>
  <c r="BD135" i="5" s="1"/>
  <c r="BE132" i="5" s="1"/>
  <c r="BD106" i="5"/>
  <c r="BD108" i="5" s="1"/>
  <c r="BE105" i="5" s="1"/>
  <c r="BF120" i="6"/>
  <c r="BE167" i="7"/>
  <c r="BE168" i="7" s="1"/>
  <c r="BF90" i="6"/>
  <c r="BE60" i="12"/>
  <c r="BE53" i="7"/>
  <c r="BE119" i="7"/>
  <c r="BE38" i="6"/>
  <c r="BD36" i="12"/>
  <c r="BD103" i="10"/>
  <c r="AU51" i="6"/>
  <c r="AT160" i="7"/>
  <c r="AT162" i="7" s="1"/>
  <c r="AT53" i="12" s="1"/>
  <c r="AT130" i="7"/>
  <c r="AU101" i="5"/>
  <c r="BG115" i="6"/>
  <c r="BG116" i="6" s="1"/>
  <c r="BH113" i="6" s="1"/>
  <c r="AS69" i="12"/>
  <c r="AS152" i="7"/>
  <c r="AS61" i="12"/>
  <c r="AT81" i="10"/>
  <c r="AT82" i="10" s="1"/>
  <c r="AT73" i="10"/>
  <c r="AU37" i="6"/>
  <c r="AU39" i="6" s="1"/>
  <c r="AU39" i="10"/>
  <c r="AR184" i="7"/>
  <c r="AT43" i="10"/>
  <c r="AR54" i="12"/>
  <c r="BC161" i="7"/>
  <c r="BD63" i="7"/>
  <c r="AR56" i="12"/>
  <c r="AS62" i="12"/>
  <c r="AS180" i="7"/>
  <c r="AS63" i="12" s="1"/>
  <c r="AS53" i="12"/>
  <c r="BG83" i="6"/>
  <c r="BH82" i="6" s="1"/>
  <c r="BD142" i="5" l="1"/>
  <c r="BE139" i="5" s="1"/>
  <c r="BD57" i="7"/>
  <c r="BD58" i="7" s="1"/>
  <c r="BD59" i="7" s="1"/>
  <c r="BD52" i="12" s="1"/>
  <c r="BF122" i="6"/>
  <c r="BF52" i="7"/>
  <c r="BE68" i="10"/>
  <c r="BE121" i="7"/>
  <c r="BG85" i="6"/>
  <c r="BF166" i="7"/>
  <c r="BH89" i="6"/>
  <c r="BH120" i="7" s="1"/>
  <c r="BH70" i="10" s="1"/>
  <c r="BE118" i="5"/>
  <c r="BE126" i="5" s="1"/>
  <c r="BE141" i="5" s="1"/>
  <c r="BE127" i="5" s="1"/>
  <c r="BE128" i="5" s="1"/>
  <c r="BE133" i="5" s="1"/>
  <c r="BE57" i="7" s="1"/>
  <c r="BE84" i="5"/>
  <c r="BE92" i="5" s="1"/>
  <c r="BE107" i="5" s="1"/>
  <c r="BE93" i="5" s="1"/>
  <c r="BE94" i="5" s="1"/>
  <c r="BE99" i="5" s="1"/>
  <c r="BE56" i="7" s="1"/>
  <c r="BE54" i="7"/>
  <c r="BE51" i="12" s="1"/>
  <c r="AU66" i="10"/>
  <c r="AU72" i="10" s="1"/>
  <c r="AU81" i="10" s="1"/>
  <c r="AU82" i="10" s="1"/>
  <c r="AU42" i="10"/>
  <c r="AU51" i="10" s="1"/>
  <c r="AU52" i="10" s="1"/>
  <c r="AU176" i="7"/>
  <c r="AU178" i="7" s="1"/>
  <c r="AV98" i="5"/>
  <c r="BC71" i="10"/>
  <c r="BC41" i="10"/>
  <c r="AU52" i="6"/>
  <c r="AU57" i="6" s="1"/>
  <c r="AU58" i="6" s="1"/>
  <c r="AS68" i="12"/>
  <c r="AS67" i="12"/>
  <c r="AS154" i="7"/>
  <c r="AS42" i="12"/>
  <c r="AS44" i="12" s="1"/>
  <c r="AU129" i="7"/>
  <c r="AT147" i="7"/>
  <c r="AT134" i="7"/>
  <c r="BE134" i="5"/>
  <c r="BE92" i="7" s="1"/>
  <c r="AT62" i="12"/>
  <c r="AT180" i="7"/>
  <c r="AT63" i="12" s="1"/>
  <c r="BD104" i="10"/>
  <c r="BD105" i="10" s="1"/>
  <c r="BH80" i="6"/>
  <c r="BD37" i="12" l="1"/>
  <c r="BD38" i="12" s="1"/>
  <c r="BH114" i="6"/>
  <c r="BH121" i="6" s="1"/>
  <c r="BD64" i="7"/>
  <c r="BD65" i="7" s="1"/>
  <c r="BE63" i="7" s="1"/>
  <c r="BE106" i="5"/>
  <c r="AU43" i="10"/>
  <c r="AU53" i="6"/>
  <c r="AV51" i="6" s="1"/>
  <c r="BE140" i="5"/>
  <c r="BE142" i="5" s="1"/>
  <c r="BF139" i="5" s="1"/>
  <c r="AU73" i="10"/>
  <c r="BF60" i="12"/>
  <c r="BF53" i="7"/>
  <c r="BG90" i="6"/>
  <c r="BF123" i="6"/>
  <c r="BF38" i="6"/>
  <c r="BF119" i="7"/>
  <c r="BE36" i="12"/>
  <c r="BE103" i="10"/>
  <c r="BE58" i="7"/>
  <c r="AT61" i="12"/>
  <c r="AT69" i="12"/>
  <c r="AT152" i="7"/>
  <c r="BE104" i="10"/>
  <c r="BE37" i="12"/>
  <c r="BD107" i="10"/>
  <c r="BE108" i="5"/>
  <c r="BF105" i="5" s="1"/>
  <c r="BE135" i="5"/>
  <c r="BF132" i="5" s="1"/>
  <c r="AS55" i="12"/>
  <c r="AS56" i="12"/>
  <c r="AV100" i="5"/>
  <c r="AV91" i="7" s="1"/>
  <c r="AV96" i="7" s="1"/>
  <c r="AV98" i="7" s="1"/>
  <c r="AS184" i="7"/>
  <c r="AS54" i="12"/>
  <c r="AU46" i="6"/>
  <c r="AU47" i="6" s="1"/>
  <c r="AV45" i="6" s="1"/>
  <c r="AU113" i="7"/>
  <c r="AU115" i="7" s="1"/>
  <c r="AU123" i="7" s="1"/>
  <c r="AU127" i="7" s="1"/>
  <c r="AU130" i="7" s="1"/>
  <c r="BH83" i="6"/>
  <c r="BI82" i="6" s="1"/>
  <c r="BD161" i="7" l="1"/>
  <c r="BH115" i="6"/>
  <c r="BH116" i="6" s="1"/>
  <c r="BI113" i="6" s="1"/>
  <c r="AU160" i="7"/>
  <c r="AU162" i="7" s="1"/>
  <c r="AU180" i="7" s="1"/>
  <c r="AU63" i="12" s="1"/>
  <c r="BE38" i="12"/>
  <c r="BH85" i="6"/>
  <c r="BG166" i="7"/>
  <c r="BF121" i="7"/>
  <c r="BF68" i="10"/>
  <c r="BG122" i="6"/>
  <c r="BG52" i="7"/>
  <c r="BF84" i="5"/>
  <c r="BF92" i="5" s="1"/>
  <c r="BF106" i="5" s="1"/>
  <c r="BF54" i="7"/>
  <c r="BF51" i="12" s="1"/>
  <c r="BF118" i="5"/>
  <c r="BF126" i="5" s="1"/>
  <c r="BF140" i="5" s="1"/>
  <c r="BI89" i="6"/>
  <c r="BI120" i="7" s="1"/>
  <c r="BI70" i="10" s="1"/>
  <c r="BG120" i="6"/>
  <c r="BF167" i="7"/>
  <c r="BF168" i="7" s="1"/>
  <c r="AV101" i="5"/>
  <c r="AV176" i="7" s="1"/>
  <c r="AV178" i="7" s="1"/>
  <c r="AU147" i="7"/>
  <c r="AU134" i="7"/>
  <c r="AV129" i="7"/>
  <c r="AV37" i="6"/>
  <c r="AV39" i="6" s="1"/>
  <c r="AV39" i="10"/>
  <c r="AT68" i="12"/>
  <c r="AT42" i="12"/>
  <c r="AT44" i="12" s="1"/>
  <c r="AT154" i="7"/>
  <c r="AT67" i="12"/>
  <c r="BE64" i="7"/>
  <c r="BE65" i="7" s="1"/>
  <c r="BE59" i="7"/>
  <c r="BE52" i="12" s="1"/>
  <c r="BF134" i="5"/>
  <c r="BF92" i="7" s="1"/>
  <c r="BD41" i="10"/>
  <c r="BD71" i="10"/>
  <c r="BE105" i="10"/>
  <c r="BI80" i="6"/>
  <c r="BG123" i="6" l="1"/>
  <c r="BH120" i="6" s="1"/>
  <c r="BI114" i="6"/>
  <c r="BI121" i="6" s="1"/>
  <c r="AU53" i="12"/>
  <c r="AU62" i="12"/>
  <c r="BG167" i="7"/>
  <c r="BG168" i="7" s="1"/>
  <c r="BF107" i="5"/>
  <c r="BF93" i="5" s="1"/>
  <c r="BF94" i="5" s="1"/>
  <c r="BF99" i="5" s="1"/>
  <c r="BF56" i="7" s="1"/>
  <c r="BF103" i="10" s="1"/>
  <c r="BF141" i="5"/>
  <c r="BF127" i="5" s="1"/>
  <c r="BF128" i="5" s="1"/>
  <c r="BF133" i="5" s="1"/>
  <c r="BF57" i="7" s="1"/>
  <c r="BF37" i="12" s="1"/>
  <c r="AW98" i="5"/>
  <c r="AW100" i="5" s="1"/>
  <c r="AW91" i="7" s="1"/>
  <c r="AW96" i="7" s="1"/>
  <c r="AW98" i="7" s="1"/>
  <c r="BG60" i="12"/>
  <c r="BG53" i="7"/>
  <c r="BG119" i="7"/>
  <c r="BG38" i="6"/>
  <c r="BH90" i="6"/>
  <c r="AT184" i="7"/>
  <c r="AT54" i="12"/>
  <c r="AT55" i="12"/>
  <c r="AT56" i="12"/>
  <c r="BE107" i="10"/>
  <c r="BE161" i="7"/>
  <c r="BF63" i="7"/>
  <c r="AV66" i="10"/>
  <c r="AV72" i="10" s="1"/>
  <c r="AV42" i="10"/>
  <c r="AV52" i="6"/>
  <c r="AV57" i="6" s="1"/>
  <c r="AV58" i="6" s="1"/>
  <c r="AU61" i="12"/>
  <c r="AU152" i="7"/>
  <c r="AU69" i="12"/>
  <c r="BI83" i="6"/>
  <c r="BJ82" i="6" s="1"/>
  <c r="BI115" i="6" l="1"/>
  <c r="BI116" i="6" s="1"/>
  <c r="BJ113" i="6" s="1"/>
  <c r="BF104" i="10"/>
  <c r="BF105" i="10" s="1"/>
  <c r="BF135" i="5"/>
  <c r="BG132" i="5" s="1"/>
  <c r="BG134" i="5" s="1"/>
  <c r="BG92" i="7" s="1"/>
  <c r="BF58" i="7"/>
  <c r="BF64" i="7" s="1"/>
  <c r="BF65" i="7" s="1"/>
  <c r="BF36" i="12"/>
  <c r="BF38" i="12" s="1"/>
  <c r="BF142" i="5"/>
  <c r="BG139" i="5" s="1"/>
  <c r="BF108" i="5"/>
  <c r="BG105" i="5" s="1"/>
  <c r="BH122" i="6"/>
  <c r="BH52" i="7"/>
  <c r="BG54" i="7"/>
  <c r="BG51" i="12" s="1"/>
  <c r="BG84" i="5"/>
  <c r="BG92" i="5" s="1"/>
  <c r="BG118" i="5"/>
  <c r="BG126" i="5" s="1"/>
  <c r="BG140" i="5" s="1"/>
  <c r="BI85" i="6"/>
  <c r="BH166" i="7"/>
  <c r="BJ89" i="6"/>
  <c r="BJ120" i="7" s="1"/>
  <c r="BJ70" i="10" s="1"/>
  <c r="BG68" i="10"/>
  <c r="BG121" i="7"/>
  <c r="AW101" i="5"/>
  <c r="AX98" i="5" s="1"/>
  <c r="AV46" i="6"/>
  <c r="AV47" i="6" s="1"/>
  <c r="AW45" i="6" s="1"/>
  <c r="AV113" i="7"/>
  <c r="AV115" i="7" s="1"/>
  <c r="AV123" i="7" s="1"/>
  <c r="AV127" i="7" s="1"/>
  <c r="AV130" i="7" s="1"/>
  <c r="AV53" i="6"/>
  <c r="AW37" i="6"/>
  <c r="AW39" i="6" s="1"/>
  <c r="AW39" i="10"/>
  <c r="AV51" i="10"/>
  <c r="AV52" i="10" s="1"/>
  <c r="AV43" i="10"/>
  <c r="AU42" i="12"/>
  <c r="AU44" i="12" s="1"/>
  <c r="AU67" i="12"/>
  <c r="AU68" i="12"/>
  <c r="AU154" i="7"/>
  <c r="AV81" i="10"/>
  <c r="AV82" i="10" s="1"/>
  <c r="AV73" i="10"/>
  <c r="BE41" i="10"/>
  <c r="BE71" i="10"/>
  <c r="BJ80" i="6"/>
  <c r="BG107" i="5" l="1"/>
  <c r="BG93" i="5" s="1"/>
  <c r="BG94" i="5" s="1"/>
  <c r="BG99" i="5" s="1"/>
  <c r="BG56" i="7" s="1"/>
  <c r="BG103" i="10" s="1"/>
  <c r="BJ114" i="6"/>
  <c r="BJ121" i="6" s="1"/>
  <c r="BG106" i="5"/>
  <c r="BF59" i="7"/>
  <c r="BF52" i="12" s="1"/>
  <c r="BG141" i="5"/>
  <c r="BG127" i="5" s="1"/>
  <c r="BG128" i="5" s="1"/>
  <c r="BG133" i="5" s="1"/>
  <c r="BG57" i="7" s="1"/>
  <c r="AW176" i="7"/>
  <c r="AW178" i="7" s="1"/>
  <c r="BI90" i="6"/>
  <c r="BH60" i="12"/>
  <c r="BH53" i="7"/>
  <c r="BH123" i="6"/>
  <c r="BH38" i="6"/>
  <c r="BH119" i="7"/>
  <c r="AU55" i="12"/>
  <c r="AU56" i="12"/>
  <c r="AV134" i="7"/>
  <c r="AV147" i="7"/>
  <c r="AW129" i="7"/>
  <c r="AU184" i="7"/>
  <c r="AU54" i="12"/>
  <c r="AW66" i="10"/>
  <c r="AW72" i="10" s="1"/>
  <c r="AW81" i="10" s="1"/>
  <c r="AW82" i="10" s="1"/>
  <c r="AW42" i="10"/>
  <c r="AW51" i="10" s="1"/>
  <c r="AW52" i="10" s="1"/>
  <c r="BF161" i="7"/>
  <c r="BG63" i="7"/>
  <c r="AW52" i="6"/>
  <c r="AW57" i="6" s="1"/>
  <c r="AW58" i="6" s="1"/>
  <c r="AX100" i="5"/>
  <c r="AX91" i="7" s="1"/>
  <c r="AX96" i="7" s="1"/>
  <c r="AX98" i="7" s="1"/>
  <c r="BF107" i="10"/>
  <c r="AW51" i="6"/>
  <c r="AV160" i="7"/>
  <c r="AV162" i="7" s="1"/>
  <c r="BJ83" i="6"/>
  <c r="BK82" i="6" s="1"/>
  <c r="BG108" i="5" l="1"/>
  <c r="BH105" i="5" s="1"/>
  <c r="BG36" i="12"/>
  <c r="BG58" i="7"/>
  <c r="BG59" i="7" s="1"/>
  <c r="BG52" i="12" s="1"/>
  <c r="BJ115" i="6"/>
  <c r="BJ116" i="6" s="1"/>
  <c r="BK113" i="6" s="1"/>
  <c r="BG142" i="5"/>
  <c r="BH139" i="5" s="1"/>
  <c r="AW53" i="6"/>
  <c r="AX51" i="6" s="1"/>
  <c r="BG135" i="5"/>
  <c r="BH132" i="5" s="1"/>
  <c r="BH134" i="5" s="1"/>
  <c r="BH92" i="7" s="1"/>
  <c r="BK89" i="6"/>
  <c r="BK120" i="7" s="1"/>
  <c r="BH68" i="10"/>
  <c r="BH121" i="7"/>
  <c r="BJ85" i="6"/>
  <c r="BI166" i="7"/>
  <c r="BI120" i="6"/>
  <c r="BH167" i="7"/>
  <c r="BH168" i="7" s="1"/>
  <c r="BI122" i="6"/>
  <c r="BI52" i="7"/>
  <c r="BH84" i="5"/>
  <c r="BH92" i="5" s="1"/>
  <c r="BH106" i="5" s="1"/>
  <c r="BH118" i="5"/>
  <c r="BH126" i="5" s="1"/>
  <c r="BH141" i="5" s="1"/>
  <c r="BH127" i="5" s="1"/>
  <c r="BH128" i="5" s="1"/>
  <c r="BH133" i="5" s="1"/>
  <c r="BH57" i="7" s="1"/>
  <c r="BH54" i="7"/>
  <c r="BH51" i="12" s="1"/>
  <c r="AX101" i="5"/>
  <c r="AX176" i="7" s="1"/>
  <c r="AX178" i="7" s="1"/>
  <c r="AV53" i="12"/>
  <c r="AV62" i="12"/>
  <c r="AV180" i="7"/>
  <c r="AV63" i="12" s="1"/>
  <c r="BF41" i="10"/>
  <c r="BF71" i="10"/>
  <c r="AW46" i="6"/>
  <c r="AW47" i="6" s="1"/>
  <c r="AX45" i="6" s="1"/>
  <c r="AW113" i="7"/>
  <c r="AW115" i="7" s="1"/>
  <c r="AW123" i="7" s="1"/>
  <c r="AW127" i="7" s="1"/>
  <c r="AW130" i="7" s="1"/>
  <c r="AW43" i="10"/>
  <c r="AW73" i="10"/>
  <c r="AV152" i="7"/>
  <c r="AV69" i="12"/>
  <c r="AV61" i="12"/>
  <c r="AX37" i="6"/>
  <c r="AX39" i="6" s="1"/>
  <c r="AX52" i="6" s="1"/>
  <c r="AX39" i="10"/>
  <c r="BG104" i="10"/>
  <c r="BG105" i="10" s="1"/>
  <c r="BG37" i="12"/>
  <c r="BK80" i="6"/>
  <c r="BG64" i="7" l="1"/>
  <c r="BG65" i="7" s="1"/>
  <c r="BG161" i="7" s="1"/>
  <c r="BG38" i="12"/>
  <c r="BK114" i="6"/>
  <c r="BK121" i="6" s="1"/>
  <c r="BK70" i="10"/>
  <c r="AY98" i="5"/>
  <c r="AY100" i="5" s="1"/>
  <c r="AY91" i="7" s="1"/>
  <c r="AW160" i="7"/>
  <c r="AW162" i="7" s="1"/>
  <c r="AW53" i="12" s="1"/>
  <c r="BH140" i="5"/>
  <c r="BH142" i="5" s="1"/>
  <c r="BI139" i="5" s="1"/>
  <c r="BI123" i="6"/>
  <c r="BH107" i="5"/>
  <c r="BH93" i="5" s="1"/>
  <c r="BH94" i="5" s="1"/>
  <c r="BH99" i="5" s="1"/>
  <c r="BH56" i="7" s="1"/>
  <c r="BH103" i="10" s="1"/>
  <c r="BI60" i="12"/>
  <c r="BI53" i="7"/>
  <c r="BI38" i="6"/>
  <c r="BI119" i="7"/>
  <c r="BJ90" i="6"/>
  <c r="BH135" i="5"/>
  <c r="BI132" i="5" s="1"/>
  <c r="BI134" i="5" s="1"/>
  <c r="BI92" i="7" s="1"/>
  <c r="BG107" i="10"/>
  <c r="AX57" i="6"/>
  <c r="AX58" i="6" s="1"/>
  <c r="AX46" i="6"/>
  <c r="AX47" i="6" s="1"/>
  <c r="AY45" i="6" s="1"/>
  <c r="AX113" i="7"/>
  <c r="AX115" i="7" s="1"/>
  <c r="AX123" i="7" s="1"/>
  <c r="AX127" i="7" s="1"/>
  <c r="BH37" i="12"/>
  <c r="BH104" i="10"/>
  <c r="AX53" i="6"/>
  <c r="AX66" i="10"/>
  <c r="AX72" i="10" s="1"/>
  <c r="AX81" i="10" s="1"/>
  <c r="AX82" i="10" s="1"/>
  <c r="AX42" i="10"/>
  <c r="AX51" i="10" s="1"/>
  <c r="AX52" i="10" s="1"/>
  <c r="AV42" i="12"/>
  <c r="AV44" i="12" s="1"/>
  <c r="AV67" i="12"/>
  <c r="AV154" i="7"/>
  <c r="AV68" i="12"/>
  <c r="AX129" i="7"/>
  <c r="AW147" i="7"/>
  <c r="AW134" i="7"/>
  <c r="BK83" i="6"/>
  <c r="BL82" i="6" s="1"/>
  <c r="BH63" i="7" l="1"/>
  <c r="AW62" i="12"/>
  <c r="AW180" i="7"/>
  <c r="AW63" i="12" s="1"/>
  <c r="BK115" i="6"/>
  <c r="BK116" i="6" s="1"/>
  <c r="BL113" i="6" s="1"/>
  <c r="BH36" i="12"/>
  <c r="BH38" i="12" s="1"/>
  <c r="BH58" i="7"/>
  <c r="BH59" i="7" s="1"/>
  <c r="BH52" i="12" s="1"/>
  <c r="BJ120" i="6"/>
  <c r="BI167" i="7"/>
  <c r="BI168" i="7" s="1"/>
  <c r="BH105" i="10"/>
  <c r="BH107" i="10" s="1"/>
  <c r="BL89" i="6"/>
  <c r="BL120" i="7" s="1"/>
  <c r="BJ122" i="6"/>
  <c r="BJ123" i="6" s="1"/>
  <c r="BJ52" i="7"/>
  <c r="BI68" i="10"/>
  <c r="BI121" i="7"/>
  <c r="BK85" i="6"/>
  <c r="BJ166" i="7"/>
  <c r="BI118" i="5"/>
  <c r="BI126" i="5" s="1"/>
  <c r="BI140" i="5" s="1"/>
  <c r="BI54" i="7"/>
  <c r="BI51" i="12" s="1"/>
  <c r="BI84" i="5"/>
  <c r="BI92" i="5" s="1"/>
  <c r="BI106" i="5" s="1"/>
  <c r="BH108" i="5"/>
  <c r="BI105" i="5" s="1"/>
  <c r="AV184" i="7"/>
  <c r="AV54" i="12"/>
  <c r="AY96" i="7"/>
  <c r="AY98" i="7" s="1"/>
  <c r="AX43" i="10"/>
  <c r="AW69" i="12"/>
  <c r="AW152" i="7"/>
  <c r="AW61" i="12"/>
  <c r="AV55" i="12"/>
  <c r="AV56" i="12"/>
  <c r="AY51" i="6"/>
  <c r="AX160" i="7"/>
  <c r="AX162" i="7" s="1"/>
  <c r="BG71" i="10"/>
  <c r="BG41" i="10"/>
  <c r="AX73" i="10"/>
  <c r="AY101" i="5"/>
  <c r="AX130" i="7"/>
  <c r="BL80" i="6"/>
  <c r="BH64" i="7" l="1"/>
  <c r="BH65" i="7" s="1"/>
  <c r="BH161" i="7" s="1"/>
  <c r="BL114" i="6"/>
  <c r="BL121" i="6" s="1"/>
  <c r="BL70" i="10"/>
  <c r="BI141" i="5"/>
  <c r="BI127" i="5" s="1"/>
  <c r="BI128" i="5" s="1"/>
  <c r="BI133" i="5" s="1"/>
  <c r="BI57" i="7" s="1"/>
  <c r="BI107" i="5"/>
  <c r="BI93" i="5" s="1"/>
  <c r="BI94" i="5" s="1"/>
  <c r="BI99" i="5" s="1"/>
  <c r="BI56" i="7" s="1"/>
  <c r="BI103" i="10" s="1"/>
  <c r="BK90" i="6"/>
  <c r="BJ60" i="12"/>
  <c r="BJ53" i="7"/>
  <c r="BJ167" i="7"/>
  <c r="BJ168" i="7" s="1"/>
  <c r="BK120" i="6"/>
  <c r="BJ38" i="6"/>
  <c r="BJ119" i="7"/>
  <c r="J153" i="9"/>
  <c r="AY176" i="7"/>
  <c r="AY178" i="7" s="1"/>
  <c r="AZ98" i="5"/>
  <c r="BH41" i="10"/>
  <c r="BH71" i="10"/>
  <c r="AX62" i="12"/>
  <c r="AX53" i="12"/>
  <c r="AX180" i="7"/>
  <c r="AX63" i="12" s="1"/>
  <c r="AY37" i="6"/>
  <c r="AY39" i="6" s="1"/>
  <c r="AY39" i="10"/>
  <c r="AW67" i="12"/>
  <c r="AW154" i="7"/>
  <c r="AW68" i="12"/>
  <c r="AW42" i="12"/>
  <c r="AW44" i="12" s="1"/>
  <c r="AX134" i="7"/>
  <c r="AX147" i="7"/>
  <c r="AY129" i="7"/>
  <c r="BL83" i="6"/>
  <c r="BM82" i="6" s="1"/>
  <c r="BI63" i="7" l="1"/>
  <c r="BI142" i="5"/>
  <c r="BJ139" i="5" s="1"/>
  <c r="BI36" i="12"/>
  <c r="BL115" i="6"/>
  <c r="BL116" i="6" s="1"/>
  <c r="BM113" i="6" s="1"/>
  <c r="BI108" i="5"/>
  <c r="BJ105" i="5" s="1"/>
  <c r="BI58" i="7"/>
  <c r="BI59" i="7" s="1"/>
  <c r="BI52" i="12" s="1"/>
  <c r="BI135" i="5"/>
  <c r="BJ132" i="5" s="1"/>
  <c r="BJ134" i="5" s="1"/>
  <c r="BJ92" i="7" s="1"/>
  <c r="BJ68" i="10"/>
  <c r="BJ121" i="7"/>
  <c r="BJ54" i="7"/>
  <c r="BJ51" i="12" s="1"/>
  <c r="BJ118" i="5"/>
  <c r="BJ126" i="5" s="1"/>
  <c r="BJ84" i="5"/>
  <c r="BJ92" i="5" s="1"/>
  <c r="BM89" i="6"/>
  <c r="BM120" i="7" s="1"/>
  <c r="BK122" i="6"/>
  <c r="BK123" i="6" s="1"/>
  <c r="BK52" i="7"/>
  <c r="BK166" i="7"/>
  <c r="BL85" i="6"/>
  <c r="AW55" i="12"/>
  <c r="AW56" i="12"/>
  <c r="AY52" i="6"/>
  <c r="AY57" i="6" s="1"/>
  <c r="AY58" i="6" s="1"/>
  <c r="AX152" i="7"/>
  <c r="AX69" i="12"/>
  <c r="AX61" i="12"/>
  <c r="AW184" i="7"/>
  <c r="AW54" i="12"/>
  <c r="BI37" i="12"/>
  <c r="BI104" i="10"/>
  <c r="BI105" i="10" s="1"/>
  <c r="AZ100" i="5"/>
  <c r="AZ91" i="7" s="1"/>
  <c r="AY66" i="10"/>
  <c r="AY42" i="10"/>
  <c r="BM80" i="6"/>
  <c r="BJ141" i="5" l="1"/>
  <c r="BJ127" i="5" s="1"/>
  <c r="BJ128" i="5" s="1"/>
  <c r="BJ133" i="5" s="1"/>
  <c r="BJ57" i="7" s="1"/>
  <c r="BJ37" i="12" s="1"/>
  <c r="BI38" i="12"/>
  <c r="BJ107" i="5"/>
  <c r="BJ93" i="5" s="1"/>
  <c r="BJ94" i="5" s="1"/>
  <c r="BJ99" i="5" s="1"/>
  <c r="BJ56" i="7" s="1"/>
  <c r="BJ103" i="10" s="1"/>
  <c r="BI64" i="7"/>
  <c r="BI65" i="7" s="1"/>
  <c r="BJ63" i="7" s="1"/>
  <c r="BM114" i="6"/>
  <c r="BM121" i="6" s="1"/>
  <c r="BM70" i="10"/>
  <c r="BJ140" i="5"/>
  <c r="BJ106" i="5"/>
  <c r="BL90" i="6"/>
  <c r="BL120" i="6"/>
  <c r="BK167" i="7"/>
  <c r="BK168" i="7" s="1"/>
  <c r="BK60" i="12"/>
  <c r="BK53" i="7"/>
  <c r="BK38" i="6"/>
  <c r="BK119" i="7"/>
  <c r="AY46" i="6"/>
  <c r="AY47" i="6" s="1"/>
  <c r="AZ45" i="6" s="1"/>
  <c r="AY113" i="7"/>
  <c r="AY53" i="6"/>
  <c r="AZ96" i="7"/>
  <c r="AZ98" i="7" s="1"/>
  <c r="AY51" i="10"/>
  <c r="AY43" i="10"/>
  <c r="AY72" i="10"/>
  <c r="AZ101" i="5"/>
  <c r="AX68" i="12"/>
  <c r="AX42" i="12"/>
  <c r="AX44" i="12" s="1"/>
  <c r="AX154" i="7"/>
  <c r="AX67" i="12"/>
  <c r="BI107" i="10"/>
  <c r="BM83" i="6"/>
  <c r="BN82" i="6" s="1"/>
  <c r="BJ135" i="5" l="1"/>
  <c r="BK132" i="5" s="1"/>
  <c r="BK134" i="5" s="1"/>
  <c r="BK92" i="7" s="1"/>
  <c r="BJ142" i="5"/>
  <c r="BK139" i="5" s="1"/>
  <c r="BJ104" i="10"/>
  <c r="BJ105" i="10" s="1"/>
  <c r="BJ107" i="10" s="1"/>
  <c r="BJ71" i="10" s="1"/>
  <c r="BJ108" i="5"/>
  <c r="BK105" i="5" s="1"/>
  <c r="BJ36" i="12"/>
  <c r="BJ38" i="12" s="1"/>
  <c r="BJ58" i="7"/>
  <c r="BJ64" i="7" s="1"/>
  <c r="BJ65" i="7" s="1"/>
  <c r="BI161" i="7"/>
  <c r="BM115" i="6"/>
  <c r="BM116" i="6" s="1"/>
  <c r="BN113" i="6" s="1"/>
  <c r="BK54" i="7"/>
  <c r="BK51" i="12" s="1"/>
  <c r="BK84" i="5"/>
  <c r="BK92" i="5" s="1"/>
  <c r="BK107" i="5" s="1"/>
  <c r="BK93" i="5" s="1"/>
  <c r="BK94" i="5" s="1"/>
  <c r="BK99" i="5" s="1"/>
  <c r="BK56" i="7" s="1"/>
  <c r="BK118" i="5"/>
  <c r="BK126" i="5" s="1"/>
  <c r="BK141" i="5" s="1"/>
  <c r="BK127" i="5" s="1"/>
  <c r="BK128" i="5" s="1"/>
  <c r="BK133" i="5" s="1"/>
  <c r="BK68" i="10"/>
  <c r="BK121" i="7"/>
  <c r="BL166" i="7"/>
  <c r="BM85" i="6"/>
  <c r="BN89" i="6"/>
  <c r="BN120" i="7" s="1"/>
  <c r="BL52" i="7"/>
  <c r="BL122" i="6"/>
  <c r="AZ176" i="7"/>
  <c r="BA98" i="5"/>
  <c r="AZ51" i="6"/>
  <c r="AY160" i="7"/>
  <c r="AY162" i="7" s="1"/>
  <c r="AZ37" i="6"/>
  <c r="AZ39" i="6" s="1"/>
  <c r="AZ39" i="10"/>
  <c r="AY115" i="7"/>
  <c r="AY123" i="7" s="1"/>
  <c r="AY127" i="7" s="1"/>
  <c r="AY130" i="7" s="1"/>
  <c r="BI41" i="10"/>
  <c r="BI71" i="10"/>
  <c r="AX184" i="7"/>
  <c r="AX54" i="12"/>
  <c r="AY81" i="10"/>
  <c r="AY73" i="10"/>
  <c r="AX55" i="12"/>
  <c r="AX56" i="12"/>
  <c r="AY52" i="10"/>
  <c r="BN80" i="6"/>
  <c r="BJ59" i="7" l="1"/>
  <c r="BJ52" i="12" s="1"/>
  <c r="BK106" i="5"/>
  <c r="BK108" i="5" s="1"/>
  <c r="BL105" i="5" s="1"/>
  <c r="BN70" i="10"/>
  <c r="BN114" i="6"/>
  <c r="BN121" i="6" s="1"/>
  <c r="BK140" i="5"/>
  <c r="BK142" i="5" s="1"/>
  <c r="BL139" i="5" s="1"/>
  <c r="BJ41" i="10"/>
  <c r="BL38" i="6"/>
  <c r="BL119" i="7"/>
  <c r="BM90" i="6"/>
  <c r="BL123" i="6"/>
  <c r="BL60" i="12"/>
  <c r="BL53" i="7"/>
  <c r="AY82" i="10"/>
  <c r="AY134" i="7"/>
  <c r="AZ129" i="7"/>
  <c r="AY147" i="7"/>
  <c r="BK36" i="12"/>
  <c r="BK103" i="10"/>
  <c r="BK57" i="7"/>
  <c r="BK58" i="7" s="1"/>
  <c r="BK135" i="5"/>
  <c r="BL132" i="5" s="1"/>
  <c r="AY53" i="12"/>
  <c r="AY180" i="7"/>
  <c r="AY63" i="12" s="1"/>
  <c r="AY62" i="12"/>
  <c r="BA100" i="5"/>
  <c r="BA91" i="7" s="1"/>
  <c r="I179" i="9"/>
  <c r="I182" i="9" s="1"/>
  <c r="AZ66" i="10"/>
  <c r="AZ42" i="10"/>
  <c r="I163" i="9"/>
  <c r="I165" i="9" s="1"/>
  <c r="AZ178" i="7"/>
  <c r="AZ52" i="6"/>
  <c r="AZ53" i="6" s="1"/>
  <c r="BJ161" i="7"/>
  <c r="J148" i="9" s="1"/>
  <c r="BK63" i="7"/>
  <c r="BN83" i="6"/>
  <c r="BO82" i="6" s="1"/>
  <c r="BN115" i="6" l="1"/>
  <c r="BN116" i="6"/>
  <c r="BO113" i="6" s="1"/>
  <c r="BA101" i="5"/>
  <c r="BB98" i="5" s="1"/>
  <c r="BN85" i="6"/>
  <c r="BM166" i="7"/>
  <c r="BL54" i="7"/>
  <c r="BL51" i="12" s="1"/>
  <c r="BL118" i="5"/>
  <c r="BL126" i="5" s="1"/>
  <c r="BL140" i="5" s="1"/>
  <c r="BL84" i="5"/>
  <c r="BL92" i="5" s="1"/>
  <c r="BL106" i="5" s="1"/>
  <c r="BM122" i="6"/>
  <c r="BM52" i="7"/>
  <c r="BL68" i="10"/>
  <c r="BL121" i="7"/>
  <c r="BO89" i="6"/>
  <c r="BO120" i="7" s="1"/>
  <c r="BM120" i="6"/>
  <c r="BL167" i="7"/>
  <c r="AZ57" i="6"/>
  <c r="AZ58" i="6" s="1"/>
  <c r="BA51" i="6"/>
  <c r="AZ160" i="7"/>
  <c r="AZ46" i="6"/>
  <c r="AZ47" i="6" s="1"/>
  <c r="BA45" i="6" s="1"/>
  <c r="AZ113" i="7"/>
  <c r="G108" i="15"/>
  <c r="I202" i="9"/>
  <c r="AZ72" i="10"/>
  <c r="BA96" i="7"/>
  <c r="BA98" i="7" s="1"/>
  <c r="BK37" i="12"/>
  <c r="BK38" i="12" s="1"/>
  <c r="BK104" i="10"/>
  <c r="BK105" i="10" s="1"/>
  <c r="BK59" i="7"/>
  <c r="BK52" i="12" s="1"/>
  <c r="BK64" i="7"/>
  <c r="BK65" i="7" s="1"/>
  <c r="AY152" i="7"/>
  <c r="AY69" i="12"/>
  <c r="AY61" i="12"/>
  <c r="AZ51" i="10"/>
  <c r="AZ43" i="10"/>
  <c r="BL134" i="5"/>
  <c r="BL92" i="7" s="1"/>
  <c r="BO80" i="6"/>
  <c r="BA176" i="7" l="1"/>
  <c r="BA178" i="7" s="1"/>
  <c r="BL107" i="5"/>
  <c r="BL93" i="5" s="1"/>
  <c r="BL94" i="5" s="1"/>
  <c r="BL99" i="5" s="1"/>
  <c r="BL56" i="7" s="1"/>
  <c r="BL36" i="12" s="1"/>
  <c r="BO114" i="6"/>
  <c r="BO121" i="6" s="1"/>
  <c r="BO70" i="10"/>
  <c r="BM123" i="6"/>
  <c r="BN120" i="6" s="1"/>
  <c r="BL141" i="5"/>
  <c r="BL127" i="5" s="1"/>
  <c r="BL128" i="5" s="1"/>
  <c r="BL133" i="5" s="1"/>
  <c r="BL57" i="7" s="1"/>
  <c r="BM60" i="12"/>
  <c r="BM53" i="7"/>
  <c r="BM38" i="6"/>
  <c r="BM119" i="7"/>
  <c r="J154" i="9"/>
  <c r="J155" i="9" s="1"/>
  <c r="H107" i="15" s="1"/>
  <c r="BL168" i="7"/>
  <c r="BN90" i="6"/>
  <c r="AY154" i="7"/>
  <c r="AY68" i="12"/>
  <c r="AY42" i="12"/>
  <c r="AY44" i="12" s="1"/>
  <c r="AY67" i="12"/>
  <c r="BB100" i="5"/>
  <c r="BB91" i="7" s="1"/>
  <c r="I147" i="9"/>
  <c r="I149" i="9" s="1"/>
  <c r="AZ162" i="7"/>
  <c r="AZ81" i="10"/>
  <c r="AZ73" i="10"/>
  <c r="I100" i="9"/>
  <c r="I102" i="9" s="1"/>
  <c r="AZ115" i="7"/>
  <c r="AZ123" i="7" s="1"/>
  <c r="AZ127" i="7" s="1"/>
  <c r="AZ130" i="7" s="1"/>
  <c r="BK107" i="10"/>
  <c r="I187" i="9"/>
  <c r="AZ52" i="10"/>
  <c r="BK161" i="7"/>
  <c r="BL63" i="7"/>
  <c r="BA37" i="6"/>
  <c r="BA39" i="6" s="1"/>
  <c r="BA39" i="10"/>
  <c r="BO83" i="6"/>
  <c r="BP82" i="6" s="1"/>
  <c r="BM167" i="7" l="1"/>
  <c r="BM168" i="7" s="1"/>
  <c r="BL58" i="7"/>
  <c r="BL64" i="7" s="1"/>
  <c r="BL65" i="7" s="1"/>
  <c r="BL37" i="12"/>
  <c r="BL38" i="12" s="1"/>
  <c r="BL104" i="10"/>
  <c r="BL103" i="10"/>
  <c r="BL108" i="5"/>
  <c r="BM105" i="5" s="1"/>
  <c r="BO115" i="6"/>
  <c r="BO116" i="6" s="1"/>
  <c r="BP113" i="6" s="1"/>
  <c r="BL142" i="5"/>
  <c r="BM139" i="5" s="1"/>
  <c r="BL135" i="5"/>
  <c r="BM132" i="5" s="1"/>
  <c r="BM134" i="5" s="1"/>
  <c r="BM92" i="7" s="1"/>
  <c r="BP89" i="6"/>
  <c r="BP120" i="7" s="1"/>
  <c r="BP70" i="10" s="1"/>
  <c r="BN52" i="7"/>
  <c r="BN122" i="6"/>
  <c r="BM68" i="10"/>
  <c r="BM121" i="7"/>
  <c r="BO85" i="6"/>
  <c r="BN166" i="7"/>
  <c r="BM54" i="7"/>
  <c r="BM51" i="12" s="1"/>
  <c r="BM84" i="5"/>
  <c r="BM92" i="5" s="1"/>
  <c r="BM118" i="5"/>
  <c r="BM126" i="5" s="1"/>
  <c r="BM140" i="5" s="1"/>
  <c r="BB101" i="5"/>
  <c r="BB176" i="7" s="1"/>
  <c r="BB178" i="7" s="1"/>
  <c r="G126" i="15"/>
  <c r="AY56" i="12"/>
  <c r="AY55" i="12"/>
  <c r="BA52" i="6"/>
  <c r="BA57" i="6" s="1"/>
  <c r="BA58" i="6" s="1"/>
  <c r="AZ62" i="12"/>
  <c r="AZ53" i="12"/>
  <c r="AZ180" i="7"/>
  <c r="AZ63" i="12" s="1"/>
  <c r="BB96" i="7"/>
  <c r="BB98" i="7" s="1"/>
  <c r="BA66" i="10"/>
  <c r="BA42" i="10"/>
  <c r="I213" i="9"/>
  <c r="AZ82" i="10"/>
  <c r="G106" i="15"/>
  <c r="G109" i="15" s="1"/>
  <c r="I167" i="9"/>
  <c r="AY184" i="7"/>
  <c r="AY54" i="12"/>
  <c r="BK71" i="10"/>
  <c r="BK41" i="10"/>
  <c r="AZ147" i="7"/>
  <c r="BA129" i="7"/>
  <c r="AZ134" i="7"/>
  <c r="BL59" i="7"/>
  <c r="BL52" i="12" s="1"/>
  <c r="BP80" i="6"/>
  <c r="BP114" i="6" s="1"/>
  <c r="BP121" i="6" s="1"/>
  <c r="BM141" i="5" l="1"/>
  <c r="BM127" i="5" s="1"/>
  <c r="BM128" i="5" s="1"/>
  <c r="BM133" i="5" s="1"/>
  <c r="BM57" i="7" s="1"/>
  <c r="BM37" i="12" s="1"/>
  <c r="BM107" i="5"/>
  <c r="BM93" i="5" s="1"/>
  <c r="BM94" i="5" s="1"/>
  <c r="BM99" i="5" s="1"/>
  <c r="BM56" i="7" s="1"/>
  <c r="BM36" i="12" s="1"/>
  <c r="BL105" i="10"/>
  <c r="BL107" i="10" s="1"/>
  <c r="BM106" i="5"/>
  <c r="BC98" i="5"/>
  <c r="BC100" i="5" s="1"/>
  <c r="BC91" i="7" s="1"/>
  <c r="BN38" i="6"/>
  <c r="BN119" i="7"/>
  <c r="BN123" i="6"/>
  <c r="BO90" i="6"/>
  <c r="BN60" i="12"/>
  <c r="BN53" i="7"/>
  <c r="BA51" i="10"/>
  <c r="BA43" i="10"/>
  <c r="BB37" i="6"/>
  <c r="BB39" i="6" s="1"/>
  <c r="BB52" i="6" s="1"/>
  <c r="BB39" i="10"/>
  <c r="BA72" i="10"/>
  <c r="BA46" i="6"/>
  <c r="BA47" i="6" s="1"/>
  <c r="BB45" i="6" s="1"/>
  <c r="BA113" i="7"/>
  <c r="BA53" i="6"/>
  <c r="I134" i="9"/>
  <c r="I139" i="9" s="1"/>
  <c r="AZ152" i="7"/>
  <c r="AZ69" i="12"/>
  <c r="AZ61" i="12"/>
  <c r="BM63" i="7"/>
  <c r="BL161" i="7"/>
  <c r="BP115" i="6"/>
  <c r="BP116" i="6" s="1"/>
  <c r="BQ113" i="6" s="1"/>
  <c r="BP83" i="6"/>
  <c r="BQ82" i="6" s="1"/>
  <c r="BM104" i="10" l="1"/>
  <c r="BM135" i="5"/>
  <c r="BN132" i="5" s="1"/>
  <c r="BN134" i="5" s="1"/>
  <c r="BN92" i="7" s="1"/>
  <c r="BM108" i="5"/>
  <c r="BN105" i="5" s="1"/>
  <c r="BM142" i="5"/>
  <c r="BN139" i="5" s="1"/>
  <c r="BM58" i="7"/>
  <c r="BM64" i="7" s="1"/>
  <c r="BM65" i="7" s="1"/>
  <c r="BM103" i="10"/>
  <c r="BP85" i="6"/>
  <c r="BO166" i="7"/>
  <c r="BQ89" i="6"/>
  <c r="BQ120" i="7" s="1"/>
  <c r="BQ70" i="10" s="1"/>
  <c r="BN54" i="7"/>
  <c r="BN51" i="12" s="1"/>
  <c r="BN84" i="5"/>
  <c r="BN92" i="5" s="1"/>
  <c r="BN107" i="5" s="1"/>
  <c r="BN93" i="5" s="1"/>
  <c r="BN94" i="5" s="1"/>
  <c r="BN99" i="5" s="1"/>
  <c r="BN56" i="7" s="1"/>
  <c r="BN118" i="5"/>
  <c r="BN126" i="5" s="1"/>
  <c r="BN141" i="5" s="1"/>
  <c r="BN127" i="5" s="1"/>
  <c r="BN128" i="5" s="1"/>
  <c r="BN133" i="5" s="1"/>
  <c r="BO120" i="6"/>
  <c r="BN167" i="7"/>
  <c r="BN168" i="7" s="1"/>
  <c r="BN68" i="10"/>
  <c r="BN121" i="7"/>
  <c r="BO52" i="7"/>
  <c r="BO122" i="6"/>
  <c r="BC101" i="5"/>
  <c r="BD98" i="5" s="1"/>
  <c r="BA81" i="10"/>
  <c r="BA73" i="10"/>
  <c r="BB66" i="10"/>
  <c r="BB42" i="10"/>
  <c r="BB51" i="10" s="1"/>
  <c r="BL41" i="10"/>
  <c r="BL71" i="10"/>
  <c r="BB51" i="6"/>
  <c r="BB53" i="6" s="1"/>
  <c r="BA160" i="7"/>
  <c r="BA162" i="7" s="1"/>
  <c r="BB57" i="6"/>
  <c r="BB58" i="6" s="1"/>
  <c r="BB46" i="6"/>
  <c r="BB47" i="6" s="1"/>
  <c r="BC45" i="6" s="1"/>
  <c r="BB113" i="7"/>
  <c r="BB115" i="7" s="1"/>
  <c r="BB123" i="7" s="1"/>
  <c r="BB127" i="7" s="1"/>
  <c r="BM38" i="12"/>
  <c r="AZ42" i="12"/>
  <c r="AZ44" i="12" s="1"/>
  <c r="AZ68" i="12"/>
  <c r="AZ67" i="12"/>
  <c r="AZ154" i="7"/>
  <c r="BA115" i="7"/>
  <c r="BA123" i="7" s="1"/>
  <c r="BA127" i="7" s="1"/>
  <c r="BA130" i="7" s="1"/>
  <c r="BC96" i="7"/>
  <c r="BC98" i="7" s="1"/>
  <c r="I141" i="9"/>
  <c r="I171" i="9" s="1"/>
  <c r="G102" i="15"/>
  <c r="G103" i="15" s="1"/>
  <c r="BA52" i="10"/>
  <c r="BQ80" i="6"/>
  <c r="BM105" i="10" l="1"/>
  <c r="BM107" i="10" s="1"/>
  <c r="BM59" i="7"/>
  <c r="BM52" i="12" s="1"/>
  <c r="BB43" i="10"/>
  <c r="BN140" i="5"/>
  <c r="BN142" i="5" s="1"/>
  <c r="BO139" i="5" s="1"/>
  <c r="BQ114" i="6"/>
  <c r="BQ121" i="6" s="1"/>
  <c r="BB52" i="10"/>
  <c r="BN106" i="5"/>
  <c r="BN108" i="5" s="1"/>
  <c r="BO105" i="5" s="1"/>
  <c r="BC176" i="7"/>
  <c r="BC178" i="7" s="1"/>
  <c r="BO123" i="6"/>
  <c r="BP120" i="6" s="1"/>
  <c r="BO53" i="7"/>
  <c r="BO60" i="12"/>
  <c r="BO38" i="6"/>
  <c r="BO119" i="7"/>
  <c r="BP90" i="6"/>
  <c r="BC37" i="6"/>
  <c r="BC39" i="6" s="1"/>
  <c r="BC39" i="10"/>
  <c r="BN63" i="7"/>
  <c r="BM161" i="7"/>
  <c r="BB129" i="7"/>
  <c r="BB130" i="7" s="1"/>
  <c r="BA147" i="7"/>
  <c r="BA134" i="7"/>
  <c r="AZ56" i="12"/>
  <c r="AZ55" i="12"/>
  <c r="BC51" i="6"/>
  <c r="BB160" i="7"/>
  <c r="BB162" i="7" s="1"/>
  <c r="BB53" i="12" s="1"/>
  <c r="BN36" i="12"/>
  <c r="BN103" i="10"/>
  <c r="BD100" i="5"/>
  <c r="BD91" i="7" s="1"/>
  <c r="BD96" i="7" s="1"/>
  <c r="BD98" i="7" s="1"/>
  <c r="AZ184" i="7"/>
  <c r="AZ54" i="12"/>
  <c r="BA82" i="10"/>
  <c r="BA180" i="7"/>
  <c r="BA63" i="12" s="1"/>
  <c r="BA62" i="12"/>
  <c r="BA53" i="12"/>
  <c r="BN57" i="7"/>
  <c r="BN135" i="5"/>
  <c r="BO132" i="5" s="1"/>
  <c r="BB72" i="10"/>
  <c r="BB81" i="10" s="1"/>
  <c r="BQ83" i="6"/>
  <c r="BR82" i="6" s="1"/>
  <c r="BO167" i="7" l="1"/>
  <c r="BO168" i="7" s="1"/>
  <c r="BQ115" i="6"/>
  <c r="BQ116" i="6" s="1"/>
  <c r="BR113" i="6" s="1"/>
  <c r="BP122" i="6"/>
  <c r="BP52" i="7"/>
  <c r="BQ85" i="6"/>
  <c r="BP166" i="7"/>
  <c r="BP123" i="6"/>
  <c r="BR89" i="6"/>
  <c r="BR120" i="7" s="1"/>
  <c r="BR70" i="10" s="1"/>
  <c r="BO68" i="10"/>
  <c r="BO121" i="7"/>
  <c r="BO84" i="5"/>
  <c r="BO92" i="5" s="1"/>
  <c r="BO106" i="5" s="1"/>
  <c r="BO54" i="7"/>
  <c r="BO51" i="12" s="1"/>
  <c r="BO118" i="5"/>
  <c r="BO126" i="5" s="1"/>
  <c r="BO140" i="5" s="1"/>
  <c r="BO134" i="5"/>
  <c r="BO92" i="7" s="1"/>
  <c r="BN37" i="12"/>
  <c r="BN38" i="12" s="1"/>
  <c r="BN104" i="10"/>
  <c r="BN105" i="10" s="1"/>
  <c r="BM41" i="10"/>
  <c r="BM71" i="10"/>
  <c r="BB82" i="10"/>
  <c r="BD101" i="5"/>
  <c r="BN58" i="7"/>
  <c r="BD37" i="6"/>
  <c r="BD39" i="6" s="1"/>
  <c r="BD39" i="10"/>
  <c r="BB62" i="12"/>
  <c r="BB180" i="7"/>
  <c r="BB63" i="12" s="1"/>
  <c r="BA152" i="7"/>
  <c r="BA69" i="12"/>
  <c r="BA61" i="12"/>
  <c r="BC66" i="10"/>
  <c r="BC42" i="10"/>
  <c r="BB73" i="10"/>
  <c r="BC129" i="7"/>
  <c r="BB147" i="7"/>
  <c r="BB134" i="7"/>
  <c r="BC52" i="6"/>
  <c r="BC57" i="6" s="1"/>
  <c r="BC58" i="6" s="1"/>
  <c r="BR80" i="6"/>
  <c r="BR114" i="6" l="1"/>
  <c r="BR121" i="6" s="1"/>
  <c r="BO107" i="5"/>
  <c r="BO93" i="5" s="1"/>
  <c r="BO94" i="5" s="1"/>
  <c r="BO99" i="5" s="1"/>
  <c r="BO56" i="7" s="1"/>
  <c r="BO103" i="10" s="1"/>
  <c r="BO141" i="5"/>
  <c r="BO127" i="5" s="1"/>
  <c r="BO128" i="5" s="1"/>
  <c r="BO133" i="5" s="1"/>
  <c r="BO57" i="7" s="1"/>
  <c r="BO104" i="10" s="1"/>
  <c r="BQ90" i="6"/>
  <c r="BP60" i="12"/>
  <c r="BP53" i="7"/>
  <c r="BQ120" i="6"/>
  <c r="BP167" i="7"/>
  <c r="BP168" i="7" s="1"/>
  <c r="BP38" i="6"/>
  <c r="BP119" i="7"/>
  <c r="BC72" i="10"/>
  <c r="BC81" i="10" s="1"/>
  <c r="BC82" i="10" s="1"/>
  <c r="BD52" i="6"/>
  <c r="BD57" i="6" s="1"/>
  <c r="BD58" i="6" s="1"/>
  <c r="BE98" i="5"/>
  <c r="BD176" i="7"/>
  <c r="BD178" i="7" s="1"/>
  <c r="BA68" i="12"/>
  <c r="BA42" i="12"/>
  <c r="BA44" i="12" s="1"/>
  <c r="BA154" i="7"/>
  <c r="BA67" i="12"/>
  <c r="BN107" i="10"/>
  <c r="BB152" i="7"/>
  <c r="BB69" i="12"/>
  <c r="BB61" i="12"/>
  <c r="BC46" i="6"/>
  <c r="BC47" i="6" s="1"/>
  <c r="BD45" i="6" s="1"/>
  <c r="BC113" i="7"/>
  <c r="BC53" i="6"/>
  <c r="BC51" i="10"/>
  <c r="BC43" i="10"/>
  <c r="BD66" i="10"/>
  <c r="BD72" i="10" s="1"/>
  <c r="BD81" i="10" s="1"/>
  <c r="BD42" i="10"/>
  <c r="BD51" i="10" s="1"/>
  <c r="BN59" i="7"/>
  <c r="BN52" i="12" s="1"/>
  <c r="BN64" i="7"/>
  <c r="BN65" i="7" s="1"/>
  <c r="BR83" i="6"/>
  <c r="BS82" i="6" s="1"/>
  <c r="BO36" i="12" l="1"/>
  <c r="BO142" i="5"/>
  <c r="BP139" i="5" s="1"/>
  <c r="BR115" i="6"/>
  <c r="BR116" i="6" s="1"/>
  <c r="BS113" i="6" s="1"/>
  <c r="BC73" i="10"/>
  <c r="BD73" i="10" s="1"/>
  <c r="BO135" i="5"/>
  <c r="BP132" i="5" s="1"/>
  <c r="BP134" i="5" s="1"/>
  <c r="BP92" i="7" s="1"/>
  <c r="BO37" i="12"/>
  <c r="BO108" i="5"/>
  <c r="BP105" i="5" s="1"/>
  <c r="BO58" i="7"/>
  <c r="BO59" i="7" s="1"/>
  <c r="BO52" i="12" s="1"/>
  <c r="BP68" i="10"/>
  <c r="BP121" i="7"/>
  <c r="BP54" i="7"/>
  <c r="BP51" i="12" s="1"/>
  <c r="BP84" i="5"/>
  <c r="BP92" i="5" s="1"/>
  <c r="BP106" i="5" s="1"/>
  <c r="BP118" i="5"/>
  <c r="BP126" i="5" s="1"/>
  <c r="BP140" i="5" s="1"/>
  <c r="BS89" i="6"/>
  <c r="BS120" i="7" s="1"/>
  <c r="BS70" i="10" s="1"/>
  <c r="BQ122" i="6"/>
  <c r="BQ52" i="7"/>
  <c r="BR85" i="6"/>
  <c r="BQ166" i="7"/>
  <c r="BD82" i="10"/>
  <c r="BO63" i="7"/>
  <c r="BN161" i="7"/>
  <c r="BA184" i="7"/>
  <c r="BA54" i="12"/>
  <c r="BD51" i="6"/>
  <c r="BD53" i="6" s="1"/>
  <c r="BC160" i="7"/>
  <c r="BC162" i="7" s="1"/>
  <c r="BD43" i="10"/>
  <c r="BC115" i="7"/>
  <c r="BC123" i="7" s="1"/>
  <c r="BC127" i="7" s="1"/>
  <c r="BC130" i="7" s="1"/>
  <c r="BA55" i="12"/>
  <c r="BA56" i="12"/>
  <c r="BE100" i="5"/>
  <c r="BE91" i="7" s="1"/>
  <c r="BE96" i="7" s="1"/>
  <c r="BE98" i="7" s="1"/>
  <c r="BC52" i="10"/>
  <c r="BD52" i="10" s="1"/>
  <c r="BN41" i="10"/>
  <c r="BN71" i="10"/>
  <c r="BB154" i="7"/>
  <c r="BB54" i="12" s="1"/>
  <c r="BB42" i="12"/>
  <c r="BB44" i="12" s="1"/>
  <c r="BB56" i="12" s="1"/>
  <c r="BB67" i="12"/>
  <c r="BB68" i="12"/>
  <c r="BO105" i="10"/>
  <c r="BD46" i="6"/>
  <c r="BD47" i="6" s="1"/>
  <c r="BE45" i="6" s="1"/>
  <c r="BD113" i="7"/>
  <c r="BD115" i="7" s="1"/>
  <c r="BD123" i="7" s="1"/>
  <c r="BD127" i="7" s="1"/>
  <c r="BS80" i="6"/>
  <c r="BO38" i="12" l="1"/>
  <c r="BS114" i="6"/>
  <c r="BS121" i="6" s="1"/>
  <c r="BO64" i="7"/>
  <c r="BO65" i="7" s="1"/>
  <c r="BP107" i="5"/>
  <c r="BP93" i="5" s="1"/>
  <c r="BP94" i="5" s="1"/>
  <c r="BP99" i="5" s="1"/>
  <c r="BP56" i="7" s="1"/>
  <c r="BP103" i="10" s="1"/>
  <c r="BE101" i="5"/>
  <c r="BF98" i="5" s="1"/>
  <c r="BP141" i="5"/>
  <c r="BP127" i="5" s="1"/>
  <c r="BP128" i="5" s="1"/>
  <c r="BP133" i="5" s="1"/>
  <c r="BP57" i="7" s="1"/>
  <c r="BP104" i="10" s="1"/>
  <c r="BQ38" i="6"/>
  <c r="BQ119" i="7"/>
  <c r="BQ123" i="6"/>
  <c r="BR90" i="6"/>
  <c r="BQ53" i="7"/>
  <c r="BQ60" i="12"/>
  <c r="BO107" i="10"/>
  <c r="BC62" i="12"/>
  <c r="BC180" i="7"/>
  <c r="BC63" i="12" s="1"/>
  <c r="BC53" i="12"/>
  <c r="BE37" i="6"/>
  <c r="BE39" i="6" s="1"/>
  <c r="BE39" i="10"/>
  <c r="BB55" i="12"/>
  <c r="BE51" i="6"/>
  <c r="BD160" i="7"/>
  <c r="BD162" i="7" s="1"/>
  <c r="BD53" i="12" s="1"/>
  <c r="BB184" i="7"/>
  <c r="BC134" i="7"/>
  <c r="BC147" i="7"/>
  <c r="BD129" i="7"/>
  <c r="BD130" i="7" s="1"/>
  <c r="BS83" i="6"/>
  <c r="BT82" i="6" s="1"/>
  <c r="BS115" i="6" l="1"/>
  <c r="BS116" i="6" s="1"/>
  <c r="BT113" i="6" s="1"/>
  <c r="BP36" i="12"/>
  <c r="BP108" i="5"/>
  <c r="BQ105" i="5" s="1"/>
  <c r="BP63" i="7"/>
  <c r="BO161" i="7"/>
  <c r="BP37" i="12"/>
  <c r="BP58" i="7"/>
  <c r="BP59" i="7" s="1"/>
  <c r="BP52" i="12" s="1"/>
  <c r="BP135" i="5"/>
  <c r="BQ132" i="5" s="1"/>
  <c r="BQ134" i="5" s="1"/>
  <c r="BQ92" i="7" s="1"/>
  <c r="BE176" i="7"/>
  <c r="BE178" i="7" s="1"/>
  <c r="BP142" i="5"/>
  <c r="BQ139" i="5" s="1"/>
  <c r="BT89" i="6"/>
  <c r="BT120" i="7" s="1"/>
  <c r="BT70" i="10" s="1"/>
  <c r="BR120" i="6"/>
  <c r="BQ167" i="7"/>
  <c r="BQ168" i="7" s="1"/>
  <c r="BQ118" i="5"/>
  <c r="BQ126" i="5" s="1"/>
  <c r="BQ141" i="5" s="1"/>
  <c r="BQ127" i="5" s="1"/>
  <c r="BQ128" i="5" s="1"/>
  <c r="BQ133" i="5" s="1"/>
  <c r="BQ57" i="7" s="1"/>
  <c r="BQ84" i="5"/>
  <c r="BQ92" i="5" s="1"/>
  <c r="BQ106" i="5" s="1"/>
  <c r="BQ54" i="7"/>
  <c r="BQ51" i="12" s="1"/>
  <c r="BR166" i="7"/>
  <c r="BS85" i="6"/>
  <c r="BQ121" i="7"/>
  <c r="BQ68" i="10"/>
  <c r="BR122" i="6"/>
  <c r="BR52" i="7"/>
  <c r="BD134" i="7"/>
  <c r="BE129" i="7"/>
  <c r="BD147" i="7"/>
  <c r="BP105" i="10"/>
  <c r="BE66" i="10"/>
  <c r="BE72" i="10" s="1"/>
  <c r="BE42" i="10"/>
  <c r="BF100" i="5"/>
  <c r="BF91" i="7" s="1"/>
  <c r="BF96" i="7" s="1"/>
  <c r="BF98" i="7" s="1"/>
  <c r="BC69" i="12"/>
  <c r="BC152" i="7"/>
  <c r="BC61" i="12"/>
  <c r="BE52" i="6"/>
  <c r="BE57" i="6" s="1"/>
  <c r="BE58" i="6" s="1"/>
  <c r="BD180" i="7"/>
  <c r="BD63" i="12" s="1"/>
  <c r="BD62" i="12"/>
  <c r="BO41" i="10"/>
  <c r="BO71" i="10"/>
  <c r="BT80" i="6"/>
  <c r="BT114" i="6" s="1"/>
  <c r="BT121" i="6" s="1"/>
  <c r="BP38" i="12" l="1"/>
  <c r="BP64" i="7"/>
  <c r="BP65" i="7" s="1"/>
  <c r="BQ107" i="5"/>
  <c r="BQ93" i="5" s="1"/>
  <c r="BQ94" i="5" s="1"/>
  <c r="BQ99" i="5" s="1"/>
  <c r="BQ56" i="7" s="1"/>
  <c r="BQ36" i="12" s="1"/>
  <c r="BQ140" i="5"/>
  <c r="BQ142" i="5" s="1"/>
  <c r="BR139" i="5" s="1"/>
  <c r="BR38" i="6"/>
  <c r="BR119" i="7"/>
  <c r="BR123" i="6"/>
  <c r="BR53" i="7"/>
  <c r="BR60" i="12"/>
  <c r="BS90" i="6"/>
  <c r="BE53" i="6"/>
  <c r="BE160" i="7" s="1"/>
  <c r="BE162" i="7" s="1"/>
  <c r="BE46" i="6"/>
  <c r="BE47" i="6" s="1"/>
  <c r="BF45" i="6" s="1"/>
  <c r="BE113" i="7"/>
  <c r="BE81" i="10"/>
  <c r="BE82" i="10" s="1"/>
  <c r="BE73" i="10"/>
  <c r="BT115" i="6"/>
  <c r="BT116" i="6" s="1"/>
  <c r="BU113" i="6" s="1"/>
  <c r="BF101" i="5"/>
  <c r="BQ135" i="5"/>
  <c r="BR132" i="5" s="1"/>
  <c r="BP107" i="10"/>
  <c r="BD61" i="12"/>
  <c r="BD69" i="12"/>
  <c r="BD152" i="7"/>
  <c r="BF37" i="6"/>
  <c r="BF39" i="6" s="1"/>
  <c r="BF52" i="6" s="1"/>
  <c r="BF39" i="10"/>
  <c r="BQ104" i="10"/>
  <c r="BQ37" i="12"/>
  <c r="BC42" i="12"/>
  <c r="BC44" i="12" s="1"/>
  <c r="BC154" i="7"/>
  <c r="BC67" i="12"/>
  <c r="BC68" i="12"/>
  <c r="BE51" i="10"/>
  <c r="BE43" i="10"/>
  <c r="BT83" i="6"/>
  <c r="BU82" i="6" s="1"/>
  <c r="BQ108" i="5" l="1"/>
  <c r="BR105" i="5" s="1"/>
  <c r="BF51" i="6"/>
  <c r="BF53" i="6" s="1"/>
  <c r="BQ58" i="7"/>
  <c r="BQ59" i="7" s="1"/>
  <c r="BQ52" i="12" s="1"/>
  <c r="BQ103" i="10"/>
  <c r="BQ105" i="10" s="1"/>
  <c r="BQ107" i="10" s="1"/>
  <c r="BP161" i="7"/>
  <c r="BQ63" i="7"/>
  <c r="BR54" i="7"/>
  <c r="BR51" i="12" s="1"/>
  <c r="BR84" i="5"/>
  <c r="BR92" i="5" s="1"/>
  <c r="BR106" i="5" s="1"/>
  <c r="BR118" i="5"/>
  <c r="BR126" i="5" s="1"/>
  <c r="BR140" i="5" s="1"/>
  <c r="BU89" i="6"/>
  <c r="BU120" i="7" s="1"/>
  <c r="BU70" i="10" s="1"/>
  <c r="BS52" i="7"/>
  <c r="BS122" i="6"/>
  <c r="BS120" i="6"/>
  <c r="BR167" i="7"/>
  <c r="BR168" i="7" s="1"/>
  <c r="BT85" i="6"/>
  <c r="BS166" i="7"/>
  <c r="BR68" i="10"/>
  <c r="BR121" i="7"/>
  <c r="BD67" i="12"/>
  <c r="BD68" i="12"/>
  <c r="BD42" i="12"/>
  <c r="BD44" i="12" s="1"/>
  <c r="BD56" i="12" s="1"/>
  <c r="BD154" i="7"/>
  <c r="BD54" i="12" s="1"/>
  <c r="BE52" i="10"/>
  <c r="BC184" i="7"/>
  <c r="BC54" i="12"/>
  <c r="BF66" i="10"/>
  <c r="BF72" i="10" s="1"/>
  <c r="BF81" i="10" s="1"/>
  <c r="BF82" i="10" s="1"/>
  <c r="BF42" i="10"/>
  <c r="BF51" i="10" s="1"/>
  <c r="BP71" i="10"/>
  <c r="BP41" i="10"/>
  <c r="BC55" i="12"/>
  <c r="BC56" i="12"/>
  <c r="BF57" i="6"/>
  <c r="BF58" i="6" s="1"/>
  <c r="BF46" i="6"/>
  <c r="BF47" i="6" s="1"/>
  <c r="BG45" i="6" s="1"/>
  <c r="BF113" i="7"/>
  <c r="BF115" i="7" s="1"/>
  <c r="BF123" i="7" s="1"/>
  <c r="BF127" i="7" s="1"/>
  <c r="BR134" i="5"/>
  <c r="BR92" i="7" s="1"/>
  <c r="BE62" i="12"/>
  <c r="BE53" i="12"/>
  <c r="BE180" i="7"/>
  <c r="BE63" i="12" s="1"/>
  <c r="BQ38" i="12"/>
  <c r="BG98" i="5"/>
  <c r="BF176" i="7"/>
  <c r="BF178" i="7" s="1"/>
  <c r="BE115" i="7"/>
  <c r="BE123" i="7" s="1"/>
  <c r="BE127" i="7" s="1"/>
  <c r="BE130" i="7" s="1"/>
  <c r="BU80" i="6"/>
  <c r="BQ64" i="7" l="1"/>
  <c r="BQ65" i="7" s="1"/>
  <c r="BR63" i="7" s="1"/>
  <c r="BD55" i="12"/>
  <c r="BR107" i="5"/>
  <c r="BR93" i="5" s="1"/>
  <c r="BR94" i="5" s="1"/>
  <c r="BR99" i="5" s="1"/>
  <c r="BR56" i="7" s="1"/>
  <c r="BR103" i="10" s="1"/>
  <c r="BU114" i="6"/>
  <c r="BU121" i="6" s="1"/>
  <c r="BR141" i="5"/>
  <c r="BR127" i="5" s="1"/>
  <c r="BR128" i="5" s="1"/>
  <c r="BR133" i="5" s="1"/>
  <c r="BR57" i="7" s="1"/>
  <c r="BF73" i="10"/>
  <c r="BF52" i="10"/>
  <c r="BS123" i="6"/>
  <c r="BS119" i="7"/>
  <c r="BS38" i="6"/>
  <c r="BT90" i="6"/>
  <c r="BS53" i="7"/>
  <c r="BS60" i="12"/>
  <c r="BF129" i="7"/>
  <c r="BF130" i="7" s="1"/>
  <c r="BE134" i="7"/>
  <c r="BE147" i="7"/>
  <c r="BQ41" i="10"/>
  <c r="BQ71" i="10"/>
  <c r="BD184" i="7"/>
  <c r="BG51" i="6"/>
  <c r="BF160" i="7"/>
  <c r="BF162" i="7" s="1"/>
  <c r="BF180" i="7" s="1"/>
  <c r="BF63" i="12" s="1"/>
  <c r="BF43" i="10"/>
  <c r="BG100" i="5"/>
  <c r="BG91" i="7" s="1"/>
  <c r="BG96" i="7" s="1"/>
  <c r="BG98" i="7" s="1"/>
  <c r="BU83" i="6"/>
  <c r="BV82" i="6" s="1"/>
  <c r="BQ161" i="7" l="1"/>
  <c r="BR58" i="7"/>
  <c r="BR64" i="7" s="1"/>
  <c r="BR65" i="7" s="1"/>
  <c r="BR36" i="12"/>
  <c r="BR104" i="10"/>
  <c r="BR105" i="10" s="1"/>
  <c r="BR108" i="5"/>
  <c r="BS105" i="5" s="1"/>
  <c r="BU115" i="6"/>
  <c r="BU116" i="6" s="1"/>
  <c r="BV113" i="6" s="1"/>
  <c r="BR37" i="12"/>
  <c r="BR38" i="12" s="1"/>
  <c r="BR142" i="5"/>
  <c r="BS139" i="5" s="1"/>
  <c r="BR135" i="5"/>
  <c r="BS132" i="5" s="1"/>
  <c r="BS134" i="5" s="1"/>
  <c r="BS92" i="7" s="1"/>
  <c r="BF62" i="12"/>
  <c r="BV89" i="6"/>
  <c r="BV120" i="7" s="1"/>
  <c r="BV70" i="10" s="1"/>
  <c r="BS118" i="5"/>
  <c r="BS126" i="5" s="1"/>
  <c r="BS141" i="5" s="1"/>
  <c r="BS54" i="7"/>
  <c r="BS51" i="12" s="1"/>
  <c r="BS84" i="5"/>
  <c r="BS92" i="5" s="1"/>
  <c r="BS106" i="5" s="1"/>
  <c r="BS68" i="10"/>
  <c r="BS121" i="7"/>
  <c r="BU85" i="6"/>
  <c r="BT166" i="7"/>
  <c r="BS167" i="7"/>
  <c r="BS168" i="7" s="1"/>
  <c r="BT120" i="6"/>
  <c r="BT122" i="6"/>
  <c r="BT52" i="7"/>
  <c r="BF134" i="7"/>
  <c r="BG129" i="7"/>
  <c r="BF147" i="7"/>
  <c r="BG101" i="5"/>
  <c r="BE61" i="12"/>
  <c r="BE152" i="7"/>
  <c r="BE69" i="12"/>
  <c r="BG37" i="6"/>
  <c r="BG39" i="6" s="1"/>
  <c r="BG39" i="10"/>
  <c r="BF53" i="12"/>
  <c r="BV80" i="6"/>
  <c r="BR59" i="7" l="1"/>
  <c r="BR52" i="12" s="1"/>
  <c r="BV114" i="6"/>
  <c r="BV121" i="6" s="1"/>
  <c r="BT123" i="6"/>
  <c r="BU120" i="6" s="1"/>
  <c r="BS107" i="5"/>
  <c r="BS93" i="5" s="1"/>
  <c r="BS94" i="5" s="1"/>
  <c r="BS99" i="5" s="1"/>
  <c r="BS56" i="7" s="1"/>
  <c r="BS103" i="10" s="1"/>
  <c r="BS140" i="5"/>
  <c r="BS142" i="5" s="1"/>
  <c r="BT139" i="5" s="1"/>
  <c r="BS127" i="5"/>
  <c r="BS128" i="5" s="1"/>
  <c r="BS133" i="5" s="1"/>
  <c r="BS57" i="7" s="1"/>
  <c r="BS37" i="12" s="1"/>
  <c r="BT38" i="6"/>
  <c r="BT119" i="7"/>
  <c r="BU90" i="6"/>
  <c r="BT53" i="7"/>
  <c r="BT60" i="12"/>
  <c r="BR107" i="10"/>
  <c r="BE154" i="7"/>
  <c r="BE67" i="12"/>
  <c r="BE68" i="12"/>
  <c r="BE42" i="12"/>
  <c r="BE44" i="12" s="1"/>
  <c r="BG66" i="10"/>
  <c r="BG72" i="10" s="1"/>
  <c r="BG42" i="10"/>
  <c r="BR161" i="7"/>
  <c r="BS63" i="7"/>
  <c r="BG52" i="6"/>
  <c r="BG57" i="6" s="1"/>
  <c r="BG58" i="6" s="1"/>
  <c r="BH98" i="5"/>
  <c r="BG176" i="7"/>
  <c r="BG178" i="7" s="1"/>
  <c r="BF61" i="12"/>
  <c r="BF152" i="7"/>
  <c r="BF69" i="12"/>
  <c r="BV83" i="6"/>
  <c r="BW82" i="6" s="1"/>
  <c r="BT167" i="7" l="1"/>
  <c r="BT168" i="7" s="1"/>
  <c r="BS108" i="5"/>
  <c r="BT105" i="5" s="1"/>
  <c r="BV115" i="6"/>
  <c r="BV116" i="6" s="1"/>
  <c r="BW113" i="6" s="1"/>
  <c r="BS104" i="10"/>
  <c r="BS105" i="10" s="1"/>
  <c r="BS135" i="5"/>
  <c r="BT132" i="5" s="1"/>
  <c r="BT134" i="5" s="1"/>
  <c r="BT92" i="7" s="1"/>
  <c r="BS58" i="7"/>
  <c r="BS64" i="7" s="1"/>
  <c r="BS65" i="7" s="1"/>
  <c r="BS36" i="12"/>
  <c r="BS38" i="12" s="1"/>
  <c r="BT121" i="7"/>
  <c r="BT68" i="10"/>
  <c r="BW89" i="6"/>
  <c r="BW120" i="7" s="1"/>
  <c r="BV85" i="6"/>
  <c r="BU166" i="7"/>
  <c r="BT84" i="5"/>
  <c r="BT92" i="5" s="1"/>
  <c r="BT106" i="5" s="1"/>
  <c r="BT54" i="7"/>
  <c r="BT51" i="12" s="1"/>
  <c r="BT118" i="5"/>
  <c r="BT126" i="5" s="1"/>
  <c r="BT141" i="5" s="1"/>
  <c r="BT127" i="5" s="1"/>
  <c r="BT128" i="5" s="1"/>
  <c r="BT133" i="5" s="1"/>
  <c r="BT57" i="7" s="1"/>
  <c r="BU122" i="6"/>
  <c r="BU52" i="7"/>
  <c r="BR41" i="10"/>
  <c r="BR71" i="10"/>
  <c r="BG51" i="10"/>
  <c r="BG52" i="10" s="1"/>
  <c r="BG43" i="10"/>
  <c r="BG46" i="6"/>
  <c r="BG47" i="6" s="1"/>
  <c r="BH45" i="6" s="1"/>
  <c r="BG113" i="7"/>
  <c r="BG115" i="7" s="1"/>
  <c r="BG123" i="7" s="1"/>
  <c r="BG127" i="7" s="1"/>
  <c r="BG130" i="7" s="1"/>
  <c r="BG53" i="6"/>
  <c r="BG81" i="10"/>
  <c r="BG82" i="10" s="1"/>
  <c r="BG73" i="10"/>
  <c r="BE184" i="7"/>
  <c r="BE54" i="12"/>
  <c r="BF42" i="12"/>
  <c r="BF44" i="12" s="1"/>
  <c r="BF55" i="12" s="1"/>
  <c r="BF154" i="7"/>
  <c r="BF54" i="12" s="1"/>
  <c r="BF67" i="12"/>
  <c r="BF68" i="12"/>
  <c r="BH100" i="5"/>
  <c r="BH91" i="7" s="1"/>
  <c r="BH96" i="7" s="1"/>
  <c r="BH98" i="7" s="1"/>
  <c r="BE56" i="12"/>
  <c r="BE55" i="12"/>
  <c r="BW80" i="6"/>
  <c r="BS59" i="7" l="1"/>
  <c r="BS52" i="12" s="1"/>
  <c r="BT107" i="5"/>
  <c r="BT93" i="5" s="1"/>
  <c r="BT94" i="5" s="1"/>
  <c r="BT99" i="5" s="1"/>
  <c r="BT56" i="7" s="1"/>
  <c r="BT36" i="12" s="1"/>
  <c r="BW70" i="10"/>
  <c r="BW114" i="6"/>
  <c r="BW121" i="6" s="1"/>
  <c r="BT140" i="5"/>
  <c r="BT142" i="5" s="1"/>
  <c r="BU139" i="5" s="1"/>
  <c r="BU60" i="12"/>
  <c r="BU53" i="7"/>
  <c r="BU119" i="7"/>
  <c r="BU38" i="6"/>
  <c r="BU123" i="6"/>
  <c r="BV90" i="6"/>
  <c r="BF56" i="12"/>
  <c r="BT135" i="5"/>
  <c r="BU132" i="5" s="1"/>
  <c r="BU134" i="5" s="1"/>
  <c r="BU92" i="7" s="1"/>
  <c r="BH101" i="5"/>
  <c r="BI98" i="5" s="1"/>
  <c r="BH51" i="6"/>
  <c r="BG160" i="7"/>
  <c r="BG162" i="7" s="1"/>
  <c r="BF184" i="7"/>
  <c r="BG147" i="7"/>
  <c r="BH129" i="7"/>
  <c r="BG134" i="7"/>
  <c r="BS161" i="7"/>
  <c r="BT63" i="7"/>
  <c r="BH37" i="6"/>
  <c r="BH39" i="6" s="1"/>
  <c r="BH39" i="10"/>
  <c r="BS107" i="10"/>
  <c r="BT37" i="12"/>
  <c r="BT104" i="10"/>
  <c r="BW83" i="6"/>
  <c r="BX82" i="6" s="1"/>
  <c r="BT108" i="5" l="1"/>
  <c r="BU105" i="5" s="1"/>
  <c r="BT58" i="7"/>
  <c r="BT64" i="7" s="1"/>
  <c r="BT65" i="7" s="1"/>
  <c r="BT103" i="10"/>
  <c r="BW115" i="6"/>
  <c r="BW116" i="6" s="1"/>
  <c r="BX113" i="6" s="1"/>
  <c r="BH176" i="7"/>
  <c r="BH178" i="7" s="1"/>
  <c r="BV122" i="6"/>
  <c r="BV52" i="7"/>
  <c r="BV166" i="7"/>
  <c r="BW85" i="6"/>
  <c r="BU68" i="10"/>
  <c r="BU121" i="7"/>
  <c r="BU167" i="7"/>
  <c r="BU168" i="7" s="1"/>
  <c r="BV120" i="6"/>
  <c r="BU84" i="5"/>
  <c r="BU92" i="5" s="1"/>
  <c r="BU106" i="5" s="1"/>
  <c r="BU54" i="7"/>
  <c r="BU51" i="12" s="1"/>
  <c r="BU118" i="5"/>
  <c r="BU126" i="5" s="1"/>
  <c r="BU140" i="5" s="1"/>
  <c r="BX89" i="6"/>
  <c r="BX120" i="7" s="1"/>
  <c r="BG61" i="12"/>
  <c r="BG152" i="7"/>
  <c r="BG69" i="12"/>
  <c r="BI100" i="5"/>
  <c r="BI91" i="7" s="1"/>
  <c r="BI96" i="7" s="1"/>
  <c r="BI98" i="7" s="1"/>
  <c r="BS41" i="10"/>
  <c r="BS71" i="10"/>
  <c r="BH66" i="10"/>
  <c r="BH72" i="10" s="1"/>
  <c r="BH42" i="10"/>
  <c r="BH52" i="6"/>
  <c r="BT105" i="10"/>
  <c r="BT38" i="12"/>
  <c r="BG53" i="12"/>
  <c r="BG62" i="12"/>
  <c r="BG180" i="7"/>
  <c r="BG63" i="12" s="1"/>
  <c r="BX80" i="6"/>
  <c r="BT59" i="7" l="1"/>
  <c r="BT52" i="12" s="1"/>
  <c r="BX114" i="6"/>
  <c r="BX121" i="6" s="1"/>
  <c r="BX70" i="10"/>
  <c r="BU107" i="5"/>
  <c r="BU93" i="5" s="1"/>
  <c r="BU94" i="5" s="1"/>
  <c r="BU99" i="5" s="1"/>
  <c r="BU56" i="7" s="1"/>
  <c r="BU36" i="12" s="1"/>
  <c r="BV123" i="6"/>
  <c r="BU141" i="5"/>
  <c r="BU127" i="5" s="1"/>
  <c r="BU128" i="5" s="1"/>
  <c r="BU133" i="5" s="1"/>
  <c r="BU57" i="7" s="1"/>
  <c r="BW120" i="6"/>
  <c r="BV167" i="7"/>
  <c r="BV168" i="7" s="1"/>
  <c r="BW90" i="6"/>
  <c r="K153" i="9"/>
  <c r="BV53" i="7"/>
  <c r="BV60" i="12"/>
  <c r="BV38" i="6"/>
  <c r="BV119" i="7"/>
  <c r="BH46" i="6"/>
  <c r="BH47" i="6" s="1"/>
  <c r="BI45" i="6" s="1"/>
  <c r="BH113" i="7"/>
  <c r="BH115" i="7" s="1"/>
  <c r="BH123" i="7" s="1"/>
  <c r="BH127" i="7" s="1"/>
  <c r="BH130" i="7" s="1"/>
  <c r="BG68" i="12"/>
  <c r="BG42" i="12"/>
  <c r="BG44" i="12" s="1"/>
  <c r="BG67" i="12"/>
  <c r="BG154" i="7"/>
  <c r="BT107" i="10"/>
  <c r="BI101" i="5"/>
  <c r="BH51" i="10"/>
  <c r="BH52" i="10" s="1"/>
  <c r="BH43" i="10"/>
  <c r="BH53" i="6"/>
  <c r="BI37" i="6"/>
  <c r="BI39" i="6" s="1"/>
  <c r="BI39" i="10"/>
  <c r="BT161" i="7"/>
  <c r="BU63" i="7"/>
  <c r="BH57" i="6"/>
  <c r="BH58" i="6" s="1"/>
  <c r="BH81" i="10"/>
  <c r="BH82" i="10" s="1"/>
  <c r="BH73" i="10"/>
  <c r="BX83" i="6"/>
  <c r="BY82" i="6" s="1"/>
  <c r="BX115" i="6" l="1"/>
  <c r="BX116" i="6" s="1"/>
  <c r="BY113" i="6" s="1"/>
  <c r="BU108" i="5"/>
  <c r="BV105" i="5" s="1"/>
  <c r="BU103" i="10"/>
  <c r="BU58" i="7"/>
  <c r="BU64" i="7" s="1"/>
  <c r="BU65" i="7" s="1"/>
  <c r="BU142" i="5"/>
  <c r="BV139" i="5" s="1"/>
  <c r="BU135" i="5"/>
  <c r="BV132" i="5" s="1"/>
  <c r="BV134" i="5" s="1"/>
  <c r="BV92" i="7" s="1"/>
  <c r="BW122" i="6"/>
  <c r="BW52" i="7"/>
  <c r="BV118" i="5"/>
  <c r="BV126" i="5" s="1"/>
  <c r="BV54" i="7"/>
  <c r="BV51" i="12" s="1"/>
  <c r="BV84" i="5"/>
  <c r="BV92" i="5" s="1"/>
  <c r="BV106" i="5" s="1"/>
  <c r="BX85" i="6"/>
  <c r="BW166" i="7"/>
  <c r="BY89" i="6"/>
  <c r="BY120" i="7" s="1"/>
  <c r="BV121" i="7"/>
  <c r="BV68" i="10"/>
  <c r="BI51" i="6"/>
  <c r="BH160" i="7"/>
  <c r="BH162" i="7" s="1"/>
  <c r="BI176" i="7"/>
  <c r="BI178" i="7" s="1"/>
  <c r="BJ98" i="5"/>
  <c r="BG55" i="12"/>
  <c r="BG56" i="12"/>
  <c r="BT41" i="10"/>
  <c r="BT71" i="10"/>
  <c r="BH134" i="7"/>
  <c r="BI129" i="7"/>
  <c r="BH147" i="7"/>
  <c r="BI66" i="10"/>
  <c r="BI72" i="10" s="1"/>
  <c r="BI81" i="10" s="1"/>
  <c r="BI82" i="10" s="1"/>
  <c r="BI42" i="10"/>
  <c r="BI51" i="10" s="1"/>
  <c r="BI52" i="10" s="1"/>
  <c r="BG184" i="7"/>
  <c r="BG54" i="12"/>
  <c r="BI52" i="6"/>
  <c r="BI57" i="6" s="1"/>
  <c r="BI58" i="6" s="1"/>
  <c r="BU104" i="10"/>
  <c r="BU37" i="12"/>
  <c r="BU38" i="12" s="1"/>
  <c r="BY80" i="6"/>
  <c r="BV141" i="5" l="1"/>
  <c r="BV127" i="5" s="1"/>
  <c r="BV128" i="5" s="1"/>
  <c r="BV133" i="5" s="1"/>
  <c r="BV57" i="7" s="1"/>
  <c r="BV104" i="10" s="1"/>
  <c r="BU59" i="7"/>
  <c r="BU52" i="12" s="1"/>
  <c r="BU105" i="10"/>
  <c r="BU107" i="10" s="1"/>
  <c r="BY70" i="10"/>
  <c r="BY114" i="6"/>
  <c r="BY121" i="6" s="1"/>
  <c r="BV140" i="5"/>
  <c r="BV107" i="5"/>
  <c r="BV93" i="5" s="1"/>
  <c r="BV94" i="5" s="1"/>
  <c r="BV99" i="5" s="1"/>
  <c r="BV56" i="7" s="1"/>
  <c r="BV36" i="12" s="1"/>
  <c r="BX90" i="6"/>
  <c r="BW53" i="7"/>
  <c r="BW60" i="12"/>
  <c r="BW123" i="6"/>
  <c r="BW38" i="6"/>
  <c r="BW119" i="7"/>
  <c r="BV63" i="7"/>
  <c r="BU161" i="7"/>
  <c r="BH61" i="12"/>
  <c r="BH152" i="7"/>
  <c r="BH69" i="12"/>
  <c r="BI46" i="6"/>
  <c r="BI47" i="6" s="1"/>
  <c r="BJ45" i="6" s="1"/>
  <c r="BI113" i="7"/>
  <c r="BI115" i="7" s="1"/>
  <c r="BI123" i="7" s="1"/>
  <c r="BI127" i="7" s="1"/>
  <c r="BI130" i="7" s="1"/>
  <c r="BI73" i="10"/>
  <c r="BH53" i="12"/>
  <c r="BH180" i="7"/>
  <c r="BH63" i="12" s="1"/>
  <c r="BH62" i="12"/>
  <c r="BJ100" i="5"/>
  <c r="BJ91" i="7" s="1"/>
  <c r="BJ96" i="7" s="1"/>
  <c r="BJ98" i="7" s="1"/>
  <c r="BI53" i="6"/>
  <c r="BI43" i="10"/>
  <c r="BY83" i="6"/>
  <c r="BZ82" i="6" s="1"/>
  <c r="BV135" i="5" l="1"/>
  <c r="BW132" i="5" s="1"/>
  <c r="BW134" i="5" s="1"/>
  <c r="BW92" i="7" s="1"/>
  <c r="BV142" i="5"/>
  <c r="BW139" i="5" s="1"/>
  <c r="BV103" i="10"/>
  <c r="BV105" i="10" s="1"/>
  <c r="BV107" i="10" s="1"/>
  <c r="BV71" i="10" s="1"/>
  <c r="BV37" i="12"/>
  <c r="BV38" i="12" s="1"/>
  <c r="BV108" i="5"/>
  <c r="BW105" i="5" s="1"/>
  <c r="BV58" i="7"/>
  <c r="BV59" i="7" s="1"/>
  <c r="BV52" i="12" s="1"/>
  <c r="BY115" i="6"/>
  <c r="BY116" i="6" s="1"/>
  <c r="BZ113" i="6" s="1"/>
  <c r="BW121" i="7"/>
  <c r="BW68" i="10"/>
  <c r="BW118" i="5"/>
  <c r="BW126" i="5" s="1"/>
  <c r="BW140" i="5" s="1"/>
  <c r="BW84" i="5"/>
  <c r="BW92" i="5" s="1"/>
  <c r="BW106" i="5" s="1"/>
  <c r="BW54" i="7"/>
  <c r="BW51" i="12" s="1"/>
  <c r="BZ89" i="6"/>
  <c r="BZ120" i="7" s="1"/>
  <c r="BX122" i="6"/>
  <c r="BX52" i="7"/>
  <c r="BX120" i="6"/>
  <c r="BW167" i="7"/>
  <c r="BW168" i="7" s="1"/>
  <c r="BX166" i="7"/>
  <c r="BY85" i="6"/>
  <c r="BJ51" i="6"/>
  <c r="BI160" i="7"/>
  <c r="BI162" i="7" s="1"/>
  <c r="BJ101" i="5"/>
  <c r="BJ37" i="6"/>
  <c r="BJ39" i="6" s="1"/>
  <c r="BJ52" i="6" s="1"/>
  <c r="BJ39" i="10"/>
  <c r="BI147" i="7"/>
  <c r="BJ129" i="7"/>
  <c r="BI134" i="7"/>
  <c r="BH154" i="7"/>
  <c r="BH42" i="12"/>
  <c r="BH44" i="12" s="1"/>
  <c r="BH67" i="12"/>
  <c r="BH68" i="12"/>
  <c r="BU71" i="10"/>
  <c r="BU41" i="10"/>
  <c r="BZ80" i="6"/>
  <c r="BV64" i="7" l="1"/>
  <c r="BV65" i="7" s="1"/>
  <c r="BV161" i="7" s="1"/>
  <c r="K148" i="9" s="1"/>
  <c r="BZ70" i="10"/>
  <c r="BZ114" i="6"/>
  <c r="BZ121" i="6" s="1"/>
  <c r="BV41" i="10"/>
  <c r="BW141" i="5"/>
  <c r="BW127" i="5" s="1"/>
  <c r="BW128" i="5" s="1"/>
  <c r="BW133" i="5" s="1"/>
  <c r="BW135" i="5" s="1"/>
  <c r="BX132" i="5" s="1"/>
  <c r="BW107" i="5"/>
  <c r="BW93" i="5" s="1"/>
  <c r="BW94" i="5" s="1"/>
  <c r="BW99" i="5" s="1"/>
  <c r="BW56" i="7" s="1"/>
  <c r="BW103" i="10" s="1"/>
  <c r="BX38" i="6"/>
  <c r="BX119" i="7"/>
  <c r="BX123" i="6"/>
  <c r="BY90" i="6"/>
  <c r="BX53" i="7"/>
  <c r="BX60" i="12"/>
  <c r="BI53" i="12"/>
  <c r="BI62" i="12"/>
  <c r="BI180" i="7"/>
  <c r="BI63" i="12" s="1"/>
  <c r="BH56" i="12"/>
  <c r="BH55" i="12"/>
  <c r="BI69" i="12"/>
  <c r="BI152" i="7"/>
  <c r="BI61" i="12"/>
  <c r="K154" i="9"/>
  <c r="K155" i="9" s="1"/>
  <c r="I107" i="15" s="1"/>
  <c r="BH184" i="7"/>
  <c r="BH54" i="12"/>
  <c r="BJ53" i="6"/>
  <c r="BJ66" i="10"/>
  <c r="BJ72" i="10" s="1"/>
  <c r="BJ42" i="10"/>
  <c r="BJ57" i="6"/>
  <c r="BJ58" i="6" s="1"/>
  <c r="BJ46" i="6"/>
  <c r="BJ47" i="6" s="1"/>
  <c r="BK45" i="6" s="1"/>
  <c r="BJ113" i="7"/>
  <c r="BJ115" i="7" s="1"/>
  <c r="BJ123" i="7" s="1"/>
  <c r="BJ127" i="7" s="1"/>
  <c r="BJ130" i="7" s="1"/>
  <c r="BJ176" i="7"/>
  <c r="BK98" i="5"/>
  <c r="BZ83" i="6"/>
  <c r="CA82" i="6" s="1"/>
  <c r="BW63" i="7" l="1"/>
  <c r="BW57" i="7"/>
  <c r="BW58" i="7" s="1"/>
  <c r="BW59" i="7" s="1"/>
  <c r="BW52" i="12" s="1"/>
  <c r="BW142" i="5"/>
  <c r="BX139" i="5" s="1"/>
  <c r="BZ115" i="6"/>
  <c r="BZ116" i="6"/>
  <c r="CA113" i="6" s="1"/>
  <c r="BW36" i="12"/>
  <c r="BW108" i="5"/>
  <c r="BX105" i="5" s="1"/>
  <c r="BX54" i="7"/>
  <c r="BX51" i="12" s="1"/>
  <c r="BX84" i="5"/>
  <c r="BX92" i="5" s="1"/>
  <c r="BX106" i="5" s="1"/>
  <c r="BX118" i="5"/>
  <c r="BX126" i="5" s="1"/>
  <c r="BX140" i="5" s="1"/>
  <c r="BX167" i="7"/>
  <c r="BX168" i="7" s="1"/>
  <c r="BY120" i="6"/>
  <c r="CA89" i="6"/>
  <c r="CA120" i="7" s="1"/>
  <c r="BZ85" i="6"/>
  <c r="BY166" i="7"/>
  <c r="BX121" i="7"/>
  <c r="BX68" i="10"/>
  <c r="BY52" i="7"/>
  <c r="BY122" i="6"/>
  <c r="BK100" i="5"/>
  <c r="BK91" i="7" s="1"/>
  <c r="BJ178" i="7"/>
  <c r="J163" i="9"/>
  <c r="J165" i="9" s="1"/>
  <c r="BJ51" i="10"/>
  <c r="BJ52" i="10" s="1"/>
  <c r="BJ43" i="10"/>
  <c r="BK51" i="6"/>
  <c r="BJ160" i="7"/>
  <c r="BJ162" i="7" s="1"/>
  <c r="BX134" i="5"/>
  <c r="BX92" i="7" s="1"/>
  <c r="BJ147" i="7"/>
  <c r="BJ134" i="7"/>
  <c r="BK129" i="7"/>
  <c r="BJ81" i="10"/>
  <c r="BJ82" i="10" s="1"/>
  <c r="BJ73" i="10"/>
  <c r="BI154" i="7"/>
  <c r="BI68" i="12"/>
  <c r="BI42" i="12"/>
  <c r="BI44" i="12" s="1"/>
  <c r="BI67" i="12"/>
  <c r="CA80" i="6"/>
  <c r="BW37" i="12" l="1"/>
  <c r="BW38" i="12" s="1"/>
  <c r="BW104" i="10"/>
  <c r="BW105" i="10" s="1"/>
  <c r="BW107" i="10" s="1"/>
  <c r="BW71" i="10" s="1"/>
  <c r="CA70" i="10"/>
  <c r="BW64" i="7"/>
  <c r="BW65" i="7" s="1"/>
  <c r="BX63" i="7" s="1"/>
  <c r="CA114" i="6"/>
  <c r="CA121" i="6" s="1"/>
  <c r="BX141" i="5"/>
  <c r="BX127" i="5" s="1"/>
  <c r="BX128" i="5" s="1"/>
  <c r="BX133" i="5" s="1"/>
  <c r="BX57" i="7" s="1"/>
  <c r="BX104" i="10" s="1"/>
  <c r="BX107" i="5"/>
  <c r="BX93" i="5" s="1"/>
  <c r="BX94" i="5" s="1"/>
  <c r="BX99" i="5" s="1"/>
  <c r="BX56" i="7" s="1"/>
  <c r="BX36" i="12" s="1"/>
  <c r="BY53" i="7"/>
  <c r="BY60" i="12"/>
  <c r="BZ90" i="6"/>
  <c r="BY38" i="6"/>
  <c r="BY119" i="7"/>
  <c r="BY123" i="6"/>
  <c r="BK101" i="5"/>
  <c r="BL98" i="5" s="1"/>
  <c r="BI184" i="7"/>
  <c r="BI54" i="12"/>
  <c r="BJ69" i="12"/>
  <c r="BJ152" i="7"/>
  <c r="J134" i="9"/>
  <c r="J139" i="9" s="1"/>
  <c r="BJ61" i="12"/>
  <c r="BJ53" i="12"/>
  <c r="H108" i="15"/>
  <c r="BI56" i="12"/>
  <c r="BI55" i="12"/>
  <c r="BJ180" i="7"/>
  <c r="BJ63" i="12" s="1"/>
  <c r="BJ62" i="12"/>
  <c r="BK96" i="7"/>
  <c r="BK98" i="7" s="1"/>
  <c r="CA83" i="6"/>
  <c r="CB82" i="6" s="1"/>
  <c r="CA115" i="6" l="1"/>
  <c r="CA116" i="6" s="1"/>
  <c r="CB113" i="6" s="1"/>
  <c r="BX108" i="5"/>
  <c r="BY105" i="5" s="1"/>
  <c r="BX37" i="12"/>
  <c r="BW161" i="7"/>
  <c r="BW41" i="10"/>
  <c r="BX103" i="10"/>
  <c r="BX105" i="10" s="1"/>
  <c r="BX107" i="10" s="1"/>
  <c r="BX142" i="5"/>
  <c r="BY139" i="5" s="1"/>
  <c r="BX135" i="5"/>
  <c r="BY132" i="5" s="1"/>
  <c r="BY134" i="5" s="1"/>
  <c r="BY92" i="7" s="1"/>
  <c r="BX58" i="7"/>
  <c r="BX64" i="7" s="1"/>
  <c r="BX65" i="7" s="1"/>
  <c r="BK176" i="7"/>
  <c r="BK178" i="7" s="1"/>
  <c r="CB89" i="6"/>
  <c r="CB120" i="7" s="1"/>
  <c r="CB70" i="10" s="1"/>
  <c r="BZ122" i="6"/>
  <c r="BZ52" i="7"/>
  <c r="BY167" i="7"/>
  <c r="BY168" i="7" s="1"/>
  <c r="BZ120" i="6"/>
  <c r="CA85" i="6"/>
  <c r="BZ166" i="7"/>
  <c r="BY68" i="10"/>
  <c r="BY121" i="7"/>
  <c r="BY84" i="5"/>
  <c r="BY92" i="5" s="1"/>
  <c r="BY54" i="7"/>
  <c r="BY51" i="12" s="1"/>
  <c r="BY118" i="5"/>
  <c r="BY126" i="5" s="1"/>
  <c r="BY140" i="5" s="1"/>
  <c r="BJ154" i="7"/>
  <c r="BJ67" i="12"/>
  <c r="BJ68" i="12"/>
  <c r="BJ42" i="12"/>
  <c r="BJ44" i="12" s="1"/>
  <c r="BX38" i="12"/>
  <c r="BK37" i="6"/>
  <c r="BK39" i="6" s="1"/>
  <c r="BK39" i="10"/>
  <c r="BL100" i="5"/>
  <c r="BL91" i="7" s="1"/>
  <c r="H102" i="15"/>
  <c r="H103" i="15" s="1"/>
  <c r="J141" i="9"/>
  <c r="CB80" i="6"/>
  <c r="BY107" i="5" l="1"/>
  <c r="BY93" i="5" s="1"/>
  <c r="BY94" i="5" s="1"/>
  <c r="BY99" i="5" s="1"/>
  <c r="BY56" i="7" s="1"/>
  <c r="BY36" i="12" s="1"/>
  <c r="CB114" i="6"/>
  <c r="CB121" i="6" s="1"/>
  <c r="BX59" i="7"/>
  <c r="BX52" i="12" s="1"/>
  <c r="BY106" i="5"/>
  <c r="BY141" i="5"/>
  <c r="BY127" i="5" s="1"/>
  <c r="BY128" i="5" s="1"/>
  <c r="BY133" i="5" s="1"/>
  <c r="BY135" i="5" s="1"/>
  <c r="BZ132" i="5" s="1"/>
  <c r="BZ123" i="6"/>
  <c r="CA120" i="6" s="1"/>
  <c r="BZ60" i="12"/>
  <c r="BZ53" i="7"/>
  <c r="CA90" i="6"/>
  <c r="BZ119" i="7"/>
  <c r="BZ38" i="6"/>
  <c r="BZ167" i="7"/>
  <c r="BZ168" i="7" s="1"/>
  <c r="BL101" i="5"/>
  <c r="BL176" i="7" s="1"/>
  <c r="BL178" i="7" s="1"/>
  <c r="BY63" i="7"/>
  <c r="BX161" i="7"/>
  <c r="BL96" i="7"/>
  <c r="BL98" i="7" s="1"/>
  <c r="BK66" i="10"/>
  <c r="BK42" i="10"/>
  <c r="BX41" i="10"/>
  <c r="BX71" i="10"/>
  <c r="BY142" i="5"/>
  <c r="BZ139" i="5" s="1"/>
  <c r="BK52" i="6"/>
  <c r="BK57" i="6" s="1"/>
  <c r="BK58" i="6" s="1"/>
  <c r="BJ184" i="7"/>
  <c r="BJ54" i="12"/>
  <c r="BJ55" i="12"/>
  <c r="BJ56" i="12"/>
  <c r="CB83" i="6"/>
  <c r="CC82" i="6" s="1"/>
  <c r="BY108" i="5" l="1"/>
  <c r="BZ105" i="5" s="1"/>
  <c r="BY103" i="10"/>
  <c r="CB115" i="6"/>
  <c r="CB116" i="6" s="1"/>
  <c r="CC113" i="6" s="1"/>
  <c r="BY57" i="7"/>
  <c r="BY58" i="7" s="1"/>
  <c r="BY64" i="7" s="1"/>
  <c r="BY65" i="7" s="1"/>
  <c r="BM98" i="5"/>
  <c r="BM100" i="5" s="1"/>
  <c r="BM91" i="7" s="1"/>
  <c r="CB85" i="6"/>
  <c r="CA166" i="7"/>
  <c r="BZ54" i="7"/>
  <c r="BZ51" i="12" s="1"/>
  <c r="BZ84" i="5"/>
  <c r="BZ92" i="5" s="1"/>
  <c r="BZ107" i="5" s="1"/>
  <c r="BZ93" i="5" s="1"/>
  <c r="BZ94" i="5" s="1"/>
  <c r="BZ99" i="5" s="1"/>
  <c r="BZ56" i="7" s="1"/>
  <c r="BZ118" i="5"/>
  <c r="BZ126" i="5" s="1"/>
  <c r="BZ140" i="5" s="1"/>
  <c r="BZ121" i="7"/>
  <c r="BZ68" i="10"/>
  <c r="CC89" i="6"/>
  <c r="CC120" i="7" s="1"/>
  <c r="CC70" i="10" s="1"/>
  <c r="CA122" i="6"/>
  <c r="CA52" i="7"/>
  <c r="BK72" i="10"/>
  <c r="BZ134" i="5"/>
  <c r="BZ92" i="7" s="1"/>
  <c r="BL37" i="6"/>
  <c r="BL39" i="6" s="1"/>
  <c r="BL39" i="10"/>
  <c r="BK46" i="6"/>
  <c r="BK47" i="6" s="1"/>
  <c r="BL45" i="6" s="1"/>
  <c r="BK113" i="7"/>
  <c r="BK53" i="6"/>
  <c r="BK51" i="10"/>
  <c r="BK43" i="10"/>
  <c r="CC80" i="6"/>
  <c r="BY104" i="10" l="1"/>
  <c r="BY105" i="10" s="1"/>
  <c r="BY107" i="10" s="1"/>
  <c r="BY41" i="10" s="1"/>
  <c r="CC114" i="6"/>
  <c r="CC121" i="6" s="1"/>
  <c r="BY59" i="7"/>
  <c r="BY52" i="12" s="1"/>
  <c r="BY37" i="12"/>
  <c r="BY38" i="12" s="1"/>
  <c r="BZ141" i="5"/>
  <c r="BZ127" i="5" s="1"/>
  <c r="BZ128" i="5" s="1"/>
  <c r="BZ133" i="5" s="1"/>
  <c r="BZ57" i="7" s="1"/>
  <c r="BZ37" i="12" s="1"/>
  <c r="BZ106" i="5"/>
  <c r="BZ108" i="5" s="1"/>
  <c r="CA105" i="5" s="1"/>
  <c r="CA60" i="12"/>
  <c r="CA53" i="7"/>
  <c r="CA119" i="7"/>
  <c r="CA38" i="6"/>
  <c r="CB90" i="6"/>
  <c r="CA123" i="6"/>
  <c r="BL51" i="6"/>
  <c r="BK160" i="7"/>
  <c r="BK162" i="7" s="1"/>
  <c r="BY161" i="7"/>
  <c r="BZ63" i="7"/>
  <c r="BK52" i="10"/>
  <c r="BK115" i="7"/>
  <c r="BK123" i="7" s="1"/>
  <c r="BK127" i="7" s="1"/>
  <c r="BK130" i="7" s="1"/>
  <c r="BL66" i="10"/>
  <c r="BL42" i="10"/>
  <c r="BL51" i="10" s="1"/>
  <c r="BK81" i="10"/>
  <c r="BK73" i="10"/>
  <c r="BM96" i="7"/>
  <c r="BM98" i="7" s="1"/>
  <c r="BM101" i="5"/>
  <c r="BL52" i="6"/>
  <c r="BZ103" i="10"/>
  <c r="BZ36" i="12"/>
  <c r="CC83" i="6"/>
  <c r="CD82" i="6" s="1"/>
  <c r="BZ142" i="5" l="1"/>
  <c r="CA139" i="5" s="1"/>
  <c r="BY71" i="10"/>
  <c r="CC115" i="6"/>
  <c r="CC116" i="6" s="1"/>
  <c r="CD113" i="6" s="1"/>
  <c r="BZ104" i="10"/>
  <c r="BZ105" i="10" s="1"/>
  <c r="BZ107" i="10" s="1"/>
  <c r="BZ58" i="7"/>
  <c r="BZ59" i="7" s="1"/>
  <c r="BZ52" i="12" s="1"/>
  <c r="BZ135" i="5"/>
  <c r="CA132" i="5" s="1"/>
  <c r="CA134" i="5" s="1"/>
  <c r="CA92" i="7" s="1"/>
  <c r="CB122" i="6"/>
  <c r="CB52" i="7"/>
  <c r="CD89" i="6"/>
  <c r="CD120" i="7" s="1"/>
  <c r="CD70" i="10" s="1"/>
  <c r="CB166" i="7"/>
  <c r="CC85" i="6"/>
  <c r="CA84" i="5"/>
  <c r="CA92" i="5" s="1"/>
  <c r="CA107" i="5" s="1"/>
  <c r="CA93" i="5" s="1"/>
  <c r="CA94" i="5" s="1"/>
  <c r="CA99" i="5" s="1"/>
  <c r="CA56" i="7" s="1"/>
  <c r="CA54" i="7"/>
  <c r="CA51" i="12" s="1"/>
  <c r="CA118" i="5"/>
  <c r="CA126" i="5" s="1"/>
  <c r="CA140" i="5" s="1"/>
  <c r="CA167" i="7"/>
  <c r="CA168" i="7" s="1"/>
  <c r="CB120" i="6"/>
  <c r="CB123" i="6" s="1"/>
  <c r="CA68" i="10"/>
  <c r="CA121" i="7"/>
  <c r="BL46" i="6"/>
  <c r="BL47" i="6" s="1"/>
  <c r="BM45" i="6" s="1"/>
  <c r="BL113" i="7"/>
  <c r="BK53" i="12"/>
  <c r="BK180" i="7"/>
  <c r="BK63" i="12" s="1"/>
  <c r="BK62" i="12"/>
  <c r="BM37" i="6"/>
  <c r="BM39" i="6" s="1"/>
  <c r="BM39" i="10"/>
  <c r="BK82" i="10"/>
  <c r="BK147" i="7"/>
  <c r="BL129" i="7"/>
  <c r="BK134" i="7"/>
  <c r="BL53" i="6"/>
  <c r="BZ38" i="12"/>
  <c r="BL57" i="6"/>
  <c r="BL58" i="6" s="1"/>
  <c r="BL52" i="10"/>
  <c r="BL43" i="10"/>
  <c r="BN98" i="5"/>
  <c r="BM176" i="7"/>
  <c r="BM178" i="7" s="1"/>
  <c r="BL72" i="10"/>
  <c r="BL81" i="10" s="1"/>
  <c r="CD80" i="6"/>
  <c r="BZ64" i="7" l="1"/>
  <c r="BZ65" i="7" s="1"/>
  <c r="BZ161" i="7" s="1"/>
  <c r="CD114" i="6"/>
  <c r="CD121" i="6" s="1"/>
  <c r="CA141" i="5"/>
  <c r="CA127" i="5" s="1"/>
  <c r="CA128" i="5" s="1"/>
  <c r="CA133" i="5" s="1"/>
  <c r="CA57" i="7" s="1"/>
  <c r="CA37" i="12" s="1"/>
  <c r="CA106" i="5"/>
  <c r="CA108" i="5" s="1"/>
  <c r="CB105" i="5" s="1"/>
  <c r="CC120" i="6"/>
  <c r="CB167" i="7"/>
  <c r="CB168" i="7" s="1"/>
  <c r="CC90" i="6"/>
  <c r="CB60" i="12"/>
  <c r="CB53" i="7"/>
  <c r="CB38" i="6"/>
  <c r="CB119" i="7"/>
  <c r="BL115" i="7"/>
  <c r="BL123" i="7" s="1"/>
  <c r="BL127" i="7" s="1"/>
  <c r="BL130" i="7" s="1"/>
  <c r="BM66" i="10"/>
  <c r="BM42" i="10"/>
  <c r="BM43" i="10" s="1"/>
  <c r="BL73" i="10"/>
  <c r="CA63" i="7"/>
  <c r="BM51" i="6"/>
  <c r="BL160" i="7"/>
  <c r="BK61" i="12"/>
  <c r="BK152" i="7"/>
  <c r="BK69" i="12"/>
  <c r="BM52" i="6"/>
  <c r="BM57" i="6" s="1"/>
  <c r="BM58" i="6" s="1"/>
  <c r="CA103" i="10"/>
  <c r="CA36" i="12"/>
  <c r="BZ71" i="10"/>
  <c r="BZ41" i="10"/>
  <c r="BN100" i="5"/>
  <c r="BN91" i="7" s="1"/>
  <c r="BL82" i="10"/>
  <c r="CD83" i="6"/>
  <c r="CE82" i="6" s="1"/>
  <c r="CD115" i="6" l="1"/>
  <c r="CD116" i="6" s="1"/>
  <c r="CE113" i="6" s="1"/>
  <c r="CA58" i="7"/>
  <c r="CA59" i="7" s="1"/>
  <c r="CA52" i="12" s="1"/>
  <c r="CA135" i="5"/>
  <c r="CB132" i="5" s="1"/>
  <c r="CB134" i="5" s="1"/>
  <c r="CB92" i="7" s="1"/>
  <c r="CA142" i="5"/>
  <c r="CB139" i="5" s="1"/>
  <c r="CA104" i="10"/>
  <c r="CA105" i="10" s="1"/>
  <c r="CA107" i="10" s="1"/>
  <c r="CC122" i="6"/>
  <c r="CC52" i="7"/>
  <c r="CE89" i="6"/>
  <c r="CE120" i="7" s="1"/>
  <c r="CE70" i="10" s="1"/>
  <c r="CB54" i="7"/>
  <c r="CB51" i="12" s="1"/>
  <c r="CB118" i="5"/>
  <c r="CB126" i="5" s="1"/>
  <c r="CB140" i="5" s="1"/>
  <c r="CB84" i="5"/>
  <c r="CB92" i="5" s="1"/>
  <c r="CB107" i="5" s="1"/>
  <c r="CB93" i="5" s="1"/>
  <c r="CB94" i="5" s="1"/>
  <c r="CB99" i="5" s="1"/>
  <c r="CB56" i="7" s="1"/>
  <c r="CD85" i="6"/>
  <c r="CC166" i="7"/>
  <c r="CC123" i="6"/>
  <c r="CD120" i="6" s="1"/>
  <c r="CA38" i="12"/>
  <c r="CB68" i="10"/>
  <c r="CB121" i="7"/>
  <c r="BN101" i="5"/>
  <c r="BO98" i="5" s="1"/>
  <c r="BM46" i="6"/>
  <c r="BM47" i="6" s="1"/>
  <c r="BN45" i="6" s="1"/>
  <c r="BM113" i="7"/>
  <c r="J147" i="9"/>
  <c r="J149" i="9" s="1"/>
  <c r="BL162" i="7"/>
  <c r="BM72" i="10"/>
  <c r="BM73" i="10" s="1"/>
  <c r="BM53" i="6"/>
  <c r="BL134" i="7"/>
  <c r="BM129" i="7"/>
  <c r="BL147" i="7"/>
  <c r="F59" i="10"/>
  <c r="BK154" i="7"/>
  <c r="BK42" i="12"/>
  <c r="BK44" i="12" s="1"/>
  <c r="BK68" i="12"/>
  <c r="BK67" i="12"/>
  <c r="BM51" i="10"/>
  <c r="F58" i="10"/>
  <c r="BN96" i="7"/>
  <c r="BN98" i="7" s="1"/>
  <c r="CE80" i="6"/>
  <c r="CE114" i="6" l="1"/>
  <c r="CE121" i="6" s="1"/>
  <c r="CA64" i="7"/>
  <c r="CA65" i="7" s="1"/>
  <c r="CA161" i="7" s="1"/>
  <c r="CB141" i="5"/>
  <c r="CB127" i="5" s="1"/>
  <c r="CB128" i="5" s="1"/>
  <c r="CB133" i="5" s="1"/>
  <c r="CB57" i="7" s="1"/>
  <c r="CB58" i="7" s="1"/>
  <c r="CC167" i="7"/>
  <c r="CC168" i="7" s="1"/>
  <c r="CB106" i="5"/>
  <c r="CB108" i="5" s="1"/>
  <c r="CC105" i="5" s="1"/>
  <c r="BN176" i="7"/>
  <c r="BN178" i="7" s="1"/>
  <c r="CC60" i="12"/>
  <c r="CC53" i="7"/>
  <c r="CD90" i="6"/>
  <c r="CC38" i="6"/>
  <c r="CC119" i="7"/>
  <c r="CA41" i="10"/>
  <c r="CA71" i="10"/>
  <c r="CB103" i="10"/>
  <c r="CB36" i="12"/>
  <c r="BL69" i="12"/>
  <c r="BL152" i="7"/>
  <c r="BL61" i="12"/>
  <c r="F89" i="10"/>
  <c r="F221" i="9" s="1"/>
  <c r="G45" i="15" s="1"/>
  <c r="BN37" i="6"/>
  <c r="BN39" i="6" s="1"/>
  <c r="BN52" i="6" s="1"/>
  <c r="BN39" i="10"/>
  <c r="BK56" i="12"/>
  <c r="BK55" i="12"/>
  <c r="E35" i="11"/>
  <c r="G59" i="10"/>
  <c r="F195" i="9"/>
  <c r="E45" i="15" s="1"/>
  <c r="BL53" i="12"/>
  <c r="BL62" i="12"/>
  <c r="BL180" i="7"/>
  <c r="BL63" i="12" s="1"/>
  <c r="BO100" i="5"/>
  <c r="BO91" i="7" s="1"/>
  <c r="BN51" i="6"/>
  <c r="BM160" i="7"/>
  <c r="BM162" i="7" s="1"/>
  <c r="BM53" i="12" s="1"/>
  <c r="H106" i="15"/>
  <c r="H109" i="15" s="1"/>
  <c r="J167" i="9"/>
  <c r="J171" i="9" s="1"/>
  <c r="E171" i="9" s="1"/>
  <c r="E17" i="13" s="1"/>
  <c r="F17" i="13" s="1"/>
  <c r="F194" i="9"/>
  <c r="E44" i="15" s="1"/>
  <c r="E34" i="11"/>
  <c r="BK184" i="7"/>
  <c r="BK54" i="12"/>
  <c r="BM52" i="10"/>
  <c r="BM81" i="10"/>
  <c r="F88" i="10"/>
  <c r="F220" i="9" s="1"/>
  <c r="G44" i="15" s="1"/>
  <c r="BM115" i="7"/>
  <c r="BM123" i="7" s="1"/>
  <c r="BM127" i="7" s="1"/>
  <c r="BM130" i="7" s="1"/>
  <c r="CE83" i="6"/>
  <c r="CF82" i="6" s="1"/>
  <c r="CB63" i="7" l="1"/>
  <c r="CB37" i="12"/>
  <c r="CB135" i="5"/>
  <c r="CC132" i="5" s="1"/>
  <c r="CC134" i="5" s="1"/>
  <c r="CC92" i="7" s="1"/>
  <c r="CE115" i="6"/>
  <c r="CE116" i="6" s="1"/>
  <c r="CF113" i="6" s="1"/>
  <c r="BN53" i="6"/>
  <c r="BO51" i="6" s="1"/>
  <c r="CB142" i="5"/>
  <c r="CC139" i="5" s="1"/>
  <c r="CB104" i="10"/>
  <c r="CB105" i="10" s="1"/>
  <c r="CF89" i="6"/>
  <c r="CF120" i="7" s="1"/>
  <c r="CF70" i="10" s="1"/>
  <c r="CD122" i="6"/>
  <c r="CD52" i="7"/>
  <c r="CE85" i="6"/>
  <c r="CD166" i="7"/>
  <c r="CC121" i="7"/>
  <c r="CC68" i="10"/>
  <c r="CC118" i="5"/>
  <c r="CC126" i="5" s="1"/>
  <c r="CC140" i="5" s="1"/>
  <c r="CC84" i="5"/>
  <c r="CC92" i="5" s="1"/>
  <c r="CC106" i="5" s="1"/>
  <c r="CC54" i="7"/>
  <c r="CC51" i="12" s="1"/>
  <c r="BM62" i="12"/>
  <c r="BM180" i="7"/>
  <c r="BM63" i="12" s="1"/>
  <c r="BN57" i="6"/>
  <c r="BN58" i="6" s="1"/>
  <c r="BN46" i="6"/>
  <c r="BN47" i="6" s="1"/>
  <c r="BO45" i="6" s="1"/>
  <c r="BN113" i="7"/>
  <c r="BL68" i="12"/>
  <c r="BL67" i="12"/>
  <c r="BL42" i="12"/>
  <c r="BL44" i="12" s="1"/>
  <c r="BL154" i="7"/>
  <c r="F60" i="10"/>
  <c r="BM82" i="10"/>
  <c r="BM134" i="7"/>
  <c r="BM147" i="7"/>
  <c r="BN129" i="7"/>
  <c r="BO101" i="5"/>
  <c r="BO96" i="7"/>
  <c r="BO98" i="7" s="1"/>
  <c r="CB64" i="7"/>
  <c r="CB59" i="7"/>
  <c r="CB52" i="12" s="1"/>
  <c r="G195" i="9"/>
  <c r="BN66" i="10"/>
  <c r="BN42" i="10"/>
  <c r="CB38" i="12"/>
  <c r="CF80" i="6"/>
  <c r="CB65" i="7" l="1"/>
  <c r="CB161" i="7" s="1"/>
  <c r="CF114" i="6"/>
  <c r="CF121" i="6" s="1"/>
  <c r="BN160" i="7"/>
  <c r="BN162" i="7" s="1"/>
  <c r="BN53" i="12" s="1"/>
  <c r="CC107" i="5"/>
  <c r="CC93" i="5" s="1"/>
  <c r="CC94" i="5" s="1"/>
  <c r="CC99" i="5" s="1"/>
  <c r="CC56" i="7" s="1"/>
  <c r="CC36" i="12" s="1"/>
  <c r="CC141" i="5"/>
  <c r="CC127" i="5" s="1"/>
  <c r="CC128" i="5" s="1"/>
  <c r="CC133" i="5" s="1"/>
  <c r="CC57" i="7" s="1"/>
  <c r="CD60" i="12"/>
  <c r="CD53" i="7"/>
  <c r="CD119" i="7"/>
  <c r="CD123" i="6"/>
  <c r="CD38" i="6"/>
  <c r="CE90" i="6"/>
  <c r="F90" i="10"/>
  <c r="F222" i="9" s="1"/>
  <c r="G46" i="15" s="1"/>
  <c r="CB107" i="10"/>
  <c r="BL184" i="7"/>
  <c r="BL54" i="12"/>
  <c r="BN115" i="7"/>
  <c r="BN123" i="7" s="1"/>
  <c r="BN127" i="7" s="1"/>
  <c r="BN130" i="7" s="1"/>
  <c r="BN51" i="10"/>
  <c r="BN43" i="10"/>
  <c r="G60" i="10"/>
  <c r="F196" i="9"/>
  <c r="E46" i="15" s="1"/>
  <c r="E36" i="11"/>
  <c r="BL56" i="12"/>
  <c r="BL55" i="12"/>
  <c r="BO37" i="6"/>
  <c r="BO39" i="6" s="1"/>
  <c r="BO39" i="10"/>
  <c r="BN72" i="10"/>
  <c r="BO176" i="7"/>
  <c r="BO178" i="7" s="1"/>
  <c r="BP98" i="5"/>
  <c r="BM69" i="12"/>
  <c r="BM152" i="7"/>
  <c r="BM61" i="12"/>
  <c r="CF83" i="6"/>
  <c r="CG82" i="6" s="1"/>
  <c r="CC63" i="7" l="1"/>
  <c r="CC103" i="10"/>
  <c r="BN62" i="12"/>
  <c r="BN180" i="7"/>
  <c r="BN63" i="12" s="1"/>
  <c r="CC108" i="5"/>
  <c r="CD105" i="5" s="1"/>
  <c r="CF115" i="6"/>
  <c r="CF116" i="6" s="1"/>
  <c r="CG113" i="6" s="1"/>
  <c r="CC58" i="7"/>
  <c r="CC59" i="7" s="1"/>
  <c r="CC52" i="12" s="1"/>
  <c r="CC135" i="5"/>
  <c r="CD132" i="5" s="1"/>
  <c r="CD134" i="5" s="1"/>
  <c r="CD92" i="7" s="1"/>
  <c r="CC37" i="12"/>
  <c r="CC38" i="12" s="1"/>
  <c r="CC104" i="10"/>
  <c r="CC105" i="10" s="1"/>
  <c r="CC142" i="5"/>
  <c r="CD139" i="5" s="1"/>
  <c r="CE122" i="6"/>
  <c r="CE52" i="7"/>
  <c r="CD167" i="7"/>
  <c r="CD168" i="7" s="1"/>
  <c r="CE120" i="6"/>
  <c r="CD68" i="10"/>
  <c r="CD121" i="7"/>
  <c r="CG89" i="6"/>
  <c r="CG120" i="7" s="1"/>
  <c r="CG70" i="10" s="1"/>
  <c r="CD118" i="5"/>
  <c r="CD126" i="5" s="1"/>
  <c r="CD141" i="5" s="1"/>
  <c r="CD127" i="5" s="1"/>
  <c r="CD128" i="5" s="1"/>
  <c r="CD133" i="5" s="1"/>
  <c r="CD57" i="7" s="1"/>
  <c r="CD54" i="7"/>
  <c r="CD51" i="12" s="1"/>
  <c r="CD84" i="5"/>
  <c r="CD92" i="5" s="1"/>
  <c r="CD107" i="5" s="1"/>
  <c r="CD93" i="5" s="1"/>
  <c r="CD94" i="5" s="1"/>
  <c r="CD99" i="5" s="1"/>
  <c r="CD56" i="7" s="1"/>
  <c r="CF85" i="6"/>
  <c r="CE166" i="7"/>
  <c r="BO52" i="6"/>
  <c r="BO57" i="6" s="1"/>
  <c r="BO58" i="6" s="1"/>
  <c r="BN81" i="10"/>
  <c r="BN73" i="10"/>
  <c r="BN52" i="10"/>
  <c r="BM68" i="12"/>
  <c r="BM42" i="12"/>
  <c r="BM44" i="12" s="1"/>
  <c r="BM154" i="7"/>
  <c r="BM67" i="12"/>
  <c r="BP100" i="5"/>
  <c r="BP91" i="7" s="1"/>
  <c r="BP96" i="7" s="1"/>
  <c r="BP98" i="7" s="1"/>
  <c r="BO129" i="7"/>
  <c r="BN147" i="7"/>
  <c r="BN134" i="7"/>
  <c r="BO66" i="10"/>
  <c r="BO42" i="10"/>
  <c r="BO51" i="10" s="1"/>
  <c r="G196" i="9"/>
  <c r="CB71" i="10"/>
  <c r="CB41" i="10"/>
  <c r="CG80" i="6"/>
  <c r="CG114" i="6" s="1"/>
  <c r="CG121" i="6" s="1"/>
  <c r="CC64" i="7" l="1"/>
  <c r="CC65" i="7" s="1"/>
  <c r="CC161" i="7" s="1"/>
  <c r="CD106" i="5"/>
  <c r="CD108" i="5" s="1"/>
  <c r="CE105" i="5" s="1"/>
  <c r="CE123" i="6"/>
  <c r="CD140" i="5"/>
  <c r="CD142" i="5" s="1"/>
  <c r="CE139" i="5" s="1"/>
  <c r="BP101" i="5"/>
  <c r="BQ98" i="5" s="1"/>
  <c r="CF90" i="6"/>
  <c r="CE60" i="12"/>
  <c r="CE53" i="7"/>
  <c r="CE38" i="6"/>
  <c r="CE119" i="7"/>
  <c r="CD135" i="5"/>
  <c r="CE132" i="5" s="1"/>
  <c r="CE134" i="5" s="1"/>
  <c r="CE92" i="7" s="1"/>
  <c r="CG115" i="6"/>
  <c r="CG116" i="6" s="1"/>
  <c r="CH113" i="6" s="1"/>
  <c r="BN152" i="7"/>
  <c r="BN69" i="12"/>
  <c r="BN61" i="12"/>
  <c r="CC107" i="10"/>
  <c r="BM56" i="12"/>
  <c r="BM55" i="12"/>
  <c r="BN82" i="10"/>
  <c r="CD103" i="10"/>
  <c r="CD36" i="12"/>
  <c r="CD58" i="7"/>
  <c r="BO72" i="10"/>
  <c r="BO81" i="10" s="1"/>
  <c r="BP37" i="6"/>
  <c r="BP39" i="6" s="1"/>
  <c r="BP39" i="10"/>
  <c r="BO52" i="10"/>
  <c r="BO43" i="10"/>
  <c r="BO46" i="6"/>
  <c r="BO47" i="6" s="1"/>
  <c r="BP45" i="6" s="1"/>
  <c r="BO113" i="7"/>
  <c r="BO53" i="6"/>
  <c r="BM54" i="12"/>
  <c r="BM184" i="7"/>
  <c r="CD104" i="10"/>
  <c r="CD37" i="12"/>
  <c r="CG83" i="6"/>
  <c r="CH82" i="6" s="1"/>
  <c r="CD63" i="7" l="1"/>
  <c r="BP176" i="7"/>
  <c r="BP178" i="7" s="1"/>
  <c r="CF120" i="6"/>
  <c r="CE167" i="7"/>
  <c r="CE168" i="7" s="1"/>
  <c r="CE68" i="10"/>
  <c r="CE121" i="7"/>
  <c r="CH89" i="6"/>
  <c r="CH120" i="7" s="1"/>
  <c r="CH70" i="10" s="1"/>
  <c r="CG85" i="6"/>
  <c r="CF166" i="7"/>
  <c r="CF52" i="7"/>
  <c r="CF122" i="6"/>
  <c r="CE54" i="7"/>
  <c r="CE51" i="12" s="1"/>
  <c r="CE118" i="5"/>
  <c r="CE126" i="5" s="1"/>
  <c r="CE141" i="5" s="1"/>
  <c r="CE127" i="5" s="1"/>
  <c r="CE128" i="5" s="1"/>
  <c r="CE133" i="5" s="1"/>
  <c r="CE84" i="5"/>
  <c r="CE92" i="5" s="1"/>
  <c r="CE107" i="5" s="1"/>
  <c r="CE93" i="5" s="1"/>
  <c r="CE94" i="5" s="1"/>
  <c r="CE99" i="5" s="1"/>
  <c r="CE56" i="7" s="1"/>
  <c r="BN154" i="7"/>
  <c r="BN42" i="12"/>
  <c r="BN44" i="12" s="1"/>
  <c r="BN68" i="12"/>
  <c r="BN67" i="12"/>
  <c r="BO73" i="10"/>
  <c r="BP51" i="6"/>
  <c r="BO160" i="7"/>
  <c r="BO162" i="7" s="1"/>
  <c r="BP66" i="10"/>
  <c r="BP72" i="10" s="1"/>
  <c r="BP81" i="10" s="1"/>
  <c r="BP42" i="10"/>
  <c r="BP51" i="10" s="1"/>
  <c r="CD59" i="7"/>
  <c r="CD52" i="12" s="1"/>
  <c r="CD64" i="7"/>
  <c r="CD65" i="7" s="1"/>
  <c r="CC41" i="10"/>
  <c r="CC71" i="10"/>
  <c r="BO115" i="7"/>
  <c r="BO123" i="7" s="1"/>
  <c r="BO127" i="7" s="1"/>
  <c r="BO130" i="7" s="1"/>
  <c r="BP52" i="6"/>
  <c r="BP57" i="6" s="1"/>
  <c r="BP58" i="6" s="1"/>
  <c r="CD38" i="12"/>
  <c r="CD105" i="10"/>
  <c r="BO82" i="10"/>
  <c r="BQ100" i="5"/>
  <c r="BQ91" i="7" s="1"/>
  <c r="BQ96" i="7" s="1"/>
  <c r="BQ98" i="7" s="1"/>
  <c r="CH80" i="6"/>
  <c r="CH114" i="6" l="1"/>
  <c r="CH121" i="6" s="1"/>
  <c r="CE106" i="5"/>
  <c r="CE108" i="5" s="1"/>
  <c r="CF105" i="5" s="1"/>
  <c r="BP43" i="10"/>
  <c r="CE140" i="5"/>
  <c r="CE142" i="5" s="1"/>
  <c r="CF139" i="5" s="1"/>
  <c r="CF123" i="6"/>
  <c r="CF38" i="6"/>
  <c r="CF119" i="7"/>
  <c r="CF60" i="12"/>
  <c r="CF53" i="7"/>
  <c r="CG90" i="6"/>
  <c r="BP73" i="10"/>
  <c r="CD161" i="7"/>
  <c r="CE63" i="7"/>
  <c r="CE57" i="7"/>
  <c r="CE58" i="7" s="1"/>
  <c r="CE135" i="5"/>
  <c r="CF132" i="5" s="1"/>
  <c r="BQ37" i="6"/>
  <c r="BQ39" i="6" s="1"/>
  <c r="BQ39" i="10"/>
  <c r="CE103" i="10"/>
  <c r="CE36" i="12"/>
  <c r="BN56" i="12"/>
  <c r="BN55" i="12"/>
  <c r="BO147" i="7"/>
  <c r="BP129" i="7"/>
  <c r="BO134" i="7"/>
  <c r="BP52" i="10"/>
  <c r="BO53" i="12"/>
  <c r="BO180" i="7"/>
  <c r="BO63" i="12" s="1"/>
  <c r="BO62" i="12"/>
  <c r="BN184" i="7"/>
  <c r="BN54" i="12"/>
  <c r="BQ101" i="5"/>
  <c r="CD107" i="10"/>
  <c r="BP46" i="6"/>
  <c r="BP47" i="6" s="1"/>
  <c r="BQ45" i="6" s="1"/>
  <c r="BP113" i="7"/>
  <c r="BP115" i="7" s="1"/>
  <c r="BP123" i="7" s="1"/>
  <c r="BP127" i="7" s="1"/>
  <c r="BP82" i="10"/>
  <c r="BP53" i="6"/>
  <c r="CH83" i="6"/>
  <c r="CI82" i="6" s="1"/>
  <c r="BP130" i="7" l="1"/>
  <c r="BQ129" i="7" s="1"/>
  <c r="CH115" i="6"/>
  <c r="CH116" i="6" s="1"/>
  <c r="CI113" i="6" s="1"/>
  <c r="CG122" i="6"/>
  <c r="CG52" i="7"/>
  <c r="CG166" i="7"/>
  <c r="CH85" i="6"/>
  <c r="CF68" i="10"/>
  <c r="CF121" i="7"/>
  <c r="CI89" i="6"/>
  <c r="CI120" i="7" s="1"/>
  <c r="CF84" i="5"/>
  <c r="CF92" i="5" s="1"/>
  <c r="CF107" i="5" s="1"/>
  <c r="CF93" i="5" s="1"/>
  <c r="CF94" i="5" s="1"/>
  <c r="CF99" i="5" s="1"/>
  <c r="CF56" i="7" s="1"/>
  <c r="CF54" i="7"/>
  <c r="CF51" i="12" s="1"/>
  <c r="CF118" i="5"/>
  <c r="CF126" i="5" s="1"/>
  <c r="CF141" i="5" s="1"/>
  <c r="CF127" i="5" s="1"/>
  <c r="CF128" i="5" s="1"/>
  <c r="CF133" i="5" s="1"/>
  <c r="CF57" i="7" s="1"/>
  <c r="CG120" i="6"/>
  <c r="CG123" i="6" s="1"/>
  <c r="CF167" i="7"/>
  <c r="CF168" i="7" s="1"/>
  <c r="CD41" i="10"/>
  <c r="CD71" i="10"/>
  <c r="CF134" i="5"/>
  <c r="CF92" i="7" s="1"/>
  <c r="BQ51" i="6"/>
  <c r="BP160" i="7"/>
  <c r="BP162" i="7" s="1"/>
  <c r="BQ176" i="7"/>
  <c r="BQ178" i="7" s="1"/>
  <c r="BR98" i="5"/>
  <c r="BQ66" i="10"/>
  <c r="BQ72" i="10" s="1"/>
  <c r="BQ42" i="10"/>
  <c r="CE37" i="12"/>
  <c r="CE38" i="12" s="1"/>
  <c r="CE104" i="10"/>
  <c r="CE105" i="10" s="1"/>
  <c r="CE107" i="10" s="1"/>
  <c r="BQ52" i="6"/>
  <c r="BO69" i="12"/>
  <c r="BO152" i="7"/>
  <c r="BO61" i="12"/>
  <c r="CE64" i="7"/>
  <c r="CE65" i="7" s="1"/>
  <c r="CE59" i="7"/>
  <c r="CE52" i="12" s="1"/>
  <c r="CI80" i="6"/>
  <c r="BP134" i="7" l="1"/>
  <c r="BP147" i="7"/>
  <c r="BP69" i="12" s="1"/>
  <c r="CF140" i="5"/>
  <c r="CF142" i="5" s="1"/>
  <c r="CG139" i="5" s="1"/>
  <c r="CI70" i="10"/>
  <c r="CI114" i="6"/>
  <c r="CI121" i="6" s="1"/>
  <c r="CF106" i="5"/>
  <c r="CF108" i="5" s="1"/>
  <c r="CG105" i="5" s="1"/>
  <c r="CH120" i="6"/>
  <c r="CG167" i="7"/>
  <c r="CG168" i="7" s="1"/>
  <c r="CH90" i="6"/>
  <c r="CG60" i="12"/>
  <c r="CG53" i="7"/>
  <c r="CG38" i="6"/>
  <c r="CG119" i="7"/>
  <c r="CE41" i="10"/>
  <c r="CE71" i="10"/>
  <c r="CF63" i="7"/>
  <c r="CE161" i="7"/>
  <c r="BQ46" i="6"/>
  <c r="BQ47" i="6" s="1"/>
  <c r="BR45" i="6" s="1"/>
  <c r="BQ113" i="7"/>
  <c r="BQ115" i="7" s="1"/>
  <c r="BQ123" i="7" s="1"/>
  <c r="BQ127" i="7" s="1"/>
  <c r="BQ130" i="7" s="1"/>
  <c r="BQ51" i="10"/>
  <c r="BQ43" i="10"/>
  <c r="BP62" i="12"/>
  <c r="BP180" i="7"/>
  <c r="BP63" i="12" s="1"/>
  <c r="BP53" i="12"/>
  <c r="CF135" i="5"/>
  <c r="CG132" i="5" s="1"/>
  <c r="BQ81" i="10"/>
  <c r="BQ82" i="10" s="1"/>
  <c r="BQ73" i="10"/>
  <c r="BQ53" i="6"/>
  <c r="CF37" i="12"/>
  <c r="CF104" i="10"/>
  <c r="BO154" i="7"/>
  <c r="BO68" i="12"/>
  <c r="BO67" i="12"/>
  <c r="BO42" i="12"/>
  <c r="BO44" i="12" s="1"/>
  <c r="BQ57" i="6"/>
  <c r="BQ58" i="6" s="1"/>
  <c r="CF36" i="12"/>
  <c r="CF103" i="10"/>
  <c r="CF58" i="7"/>
  <c r="BR100" i="5"/>
  <c r="BR91" i="7" s="1"/>
  <c r="BR96" i="7" s="1"/>
  <c r="BR98" i="7" s="1"/>
  <c r="CI83" i="6"/>
  <c r="CJ82" i="6" s="1"/>
  <c r="BP61" i="12" l="1"/>
  <c r="BP152" i="7"/>
  <c r="BP68" i="12" s="1"/>
  <c r="CI115" i="6"/>
  <c r="CI116" i="6" s="1"/>
  <c r="CJ113" i="6" s="1"/>
  <c r="CI85" i="6"/>
  <c r="CH166" i="7"/>
  <c r="L153" i="9" s="1"/>
  <c r="CG54" i="7"/>
  <c r="CG51" i="12" s="1"/>
  <c r="CG118" i="5"/>
  <c r="CG126" i="5" s="1"/>
  <c r="CG141" i="5" s="1"/>
  <c r="CG127" i="5" s="1"/>
  <c r="CG128" i="5" s="1"/>
  <c r="CG133" i="5" s="1"/>
  <c r="CG57" i="7" s="1"/>
  <c r="CG84" i="5"/>
  <c r="CG92" i="5" s="1"/>
  <c r="CG107" i="5" s="1"/>
  <c r="CG93" i="5" s="1"/>
  <c r="CG94" i="5" s="1"/>
  <c r="CG99" i="5" s="1"/>
  <c r="CG56" i="7" s="1"/>
  <c r="CH122" i="6"/>
  <c r="CH123" i="6" s="1"/>
  <c r="CH52" i="7"/>
  <c r="CJ89" i="6"/>
  <c r="CJ120" i="7" s="1"/>
  <c r="CG121" i="7"/>
  <c r="CG68" i="10"/>
  <c r="BR101" i="5"/>
  <c r="BS98" i="5" s="1"/>
  <c r="CF38" i="12"/>
  <c r="BR37" i="6"/>
  <c r="BR39" i="6" s="1"/>
  <c r="BR52" i="6" s="1"/>
  <c r="BR39" i="10"/>
  <c r="BO184" i="7"/>
  <c r="BO54" i="12"/>
  <c r="CG134" i="5"/>
  <c r="CG92" i="7" s="1"/>
  <c r="BQ52" i="10"/>
  <c r="BP67" i="12"/>
  <c r="BO55" i="12"/>
  <c r="BO56" i="12"/>
  <c r="CF105" i="10"/>
  <c r="CF107" i="10" s="1"/>
  <c r="BR51" i="6"/>
  <c r="BQ160" i="7"/>
  <c r="BQ162" i="7" s="1"/>
  <c r="CF64" i="7"/>
  <c r="CF65" i="7" s="1"/>
  <c r="CF59" i="7"/>
  <c r="CF52" i="12" s="1"/>
  <c r="BQ134" i="7"/>
  <c r="BQ147" i="7"/>
  <c r="BR129" i="7"/>
  <c r="CJ80" i="6"/>
  <c r="BP154" i="7" l="1"/>
  <c r="BP184" i="7" s="1"/>
  <c r="BP42" i="12"/>
  <c r="BP44" i="12" s="1"/>
  <c r="BP56" i="12" s="1"/>
  <c r="CJ114" i="6"/>
  <c r="CJ121" i="6" s="1"/>
  <c r="CJ70" i="10"/>
  <c r="BR176" i="7"/>
  <c r="BR178" i="7" s="1"/>
  <c r="CG106" i="5"/>
  <c r="CG108" i="5" s="1"/>
  <c r="CH105" i="5" s="1"/>
  <c r="CG140" i="5"/>
  <c r="CG142" i="5" s="1"/>
  <c r="CH139" i="5" s="1"/>
  <c r="BR53" i="6"/>
  <c r="BS51" i="6" s="1"/>
  <c r="CI120" i="6"/>
  <c r="CH167" i="7"/>
  <c r="CH168" i="7" s="1"/>
  <c r="CH53" i="7"/>
  <c r="CH60" i="12"/>
  <c r="CH38" i="6"/>
  <c r="CH119" i="7"/>
  <c r="CI90" i="6"/>
  <c r="CF161" i="7"/>
  <c r="CG63" i="7"/>
  <c r="CF41" i="10"/>
  <c r="CF71" i="10"/>
  <c r="BQ69" i="12"/>
  <c r="BQ152" i="7"/>
  <c r="BQ61" i="12"/>
  <c r="BR66" i="10"/>
  <c r="BR72" i="10" s="1"/>
  <c r="BR42" i="10"/>
  <c r="BS100" i="5"/>
  <c r="BS91" i="7" s="1"/>
  <c r="BS96" i="7" s="1"/>
  <c r="BS98" i="7" s="1"/>
  <c r="BQ62" i="12"/>
  <c r="BQ180" i="7"/>
  <c r="BQ63" i="12" s="1"/>
  <c r="BQ53" i="12"/>
  <c r="BR57" i="6"/>
  <c r="BR58" i="6" s="1"/>
  <c r="BR46" i="6"/>
  <c r="BR47" i="6" s="1"/>
  <c r="BS45" i="6" s="1"/>
  <c r="BR113" i="7"/>
  <c r="BR115" i="7" s="1"/>
  <c r="BR123" i="7" s="1"/>
  <c r="BR127" i="7" s="1"/>
  <c r="BR130" i="7" s="1"/>
  <c r="CG103" i="10"/>
  <c r="CG36" i="12"/>
  <c r="CG58" i="7"/>
  <c r="CG135" i="5"/>
  <c r="CH132" i="5" s="1"/>
  <c r="CG104" i="10"/>
  <c r="CG37" i="12"/>
  <c r="CJ83" i="6"/>
  <c r="CK82" i="6" s="1"/>
  <c r="BP55" i="12" l="1"/>
  <c r="BP54" i="12"/>
  <c r="BR160" i="7"/>
  <c r="BR162" i="7" s="1"/>
  <c r="BR62" i="12" s="1"/>
  <c r="CJ115" i="6"/>
  <c r="CJ116" i="6" s="1"/>
  <c r="CK113" i="6" s="1"/>
  <c r="CI166" i="7"/>
  <c r="CJ85" i="6"/>
  <c r="CH68" i="10"/>
  <c r="CH121" i="7"/>
  <c r="CH118" i="5"/>
  <c r="CH126" i="5" s="1"/>
  <c r="CH141" i="5" s="1"/>
  <c r="CH127" i="5" s="1"/>
  <c r="CH128" i="5" s="1"/>
  <c r="CH133" i="5" s="1"/>
  <c r="CH57" i="7" s="1"/>
  <c r="CH54" i="7"/>
  <c r="CH51" i="12" s="1"/>
  <c r="CH84" i="5"/>
  <c r="CH92" i="5" s="1"/>
  <c r="CH106" i="5" s="1"/>
  <c r="CK89" i="6"/>
  <c r="CI122" i="6"/>
  <c r="CI52" i="7"/>
  <c r="BS101" i="5"/>
  <c r="BS176" i="7" s="1"/>
  <c r="BS178" i="7" s="1"/>
  <c r="CH134" i="5"/>
  <c r="CH92" i="7" s="1"/>
  <c r="CG59" i="7"/>
  <c r="CG52" i="12" s="1"/>
  <c r="CG64" i="7"/>
  <c r="CG65" i="7" s="1"/>
  <c r="BS37" i="6"/>
  <c r="BS39" i="6" s="1"/>
  <c r="BS39" i="10"/>
  <c r="CG105" i="10"/>
  <c r="CG107" i="10" s="1"/>
  <c r="BR147" i="7"/>
  <c r="BR134" i="7"/>
  <c r="BS129" i="7"/>
  <c r="CG38" i="12"/>
  <c r="BR51" i="10"/>
  <c r="BR52" i="10" s="1"/>
  <c r="BR43" i="10"/>
  <c r="BQ42" i="12"/>
  <c r="BQ44" i="12" s="1"/>
  <c r="BQ154" i="7"/>
  <c r="BQ68" i="12"/>
  <c r="BQ67" i="12"/>
  <c r="BR81" i="10"/>
  <c r="BR82" i="10" s="1"/>
  <c r="BR73" i="10"/>
  <c r="CK80" i="6"/>
  <c r="CK114" i="6" s="1"/>
  <c r="CK121" i="6" s="1"/>
  <c r="D82" i="6"/>
  <c r="D83" i="6" s="1"/>
  <c r="BR53" i="12" l="1"/>
  <c r="BR180" i="7"/>
  <c r="BR63" i="12" s="1"/>
  <c r="D89" i="6"/>
  <c r="D90" i="6" s="1"/>
  <c r="CK120" i="7"/>
  <c r="CH140" i="5"/>
  <c r="CH142" i="5" s="1"/>
  <c r="CI139" i="5" s="1"/>
  <c r="BT98" i="5"/>
  <c r="BT100" i="5" s="1"/>
  <c r="BT91" i="7" s="1"/>
  <c r="BT96" i="7" s="1"/>
  <c r="BT98" i="7" s="1"/>
  <c r="CH107" i="5"/>
  <c r="CH93" i="5" s="1"/>
  <c r="CH94" i="5" s="1"/>
  <c r="CH99" i="5" s="1"/>
  <c r="CH56" i="7" s="1"/>
  <c r="CH36" i="12" s="1"/>
  <c r="CI60" i="12"/>
  <c r="CI53" i="7"/>
  <c r="CI123" i="6"/>
  <c r="CI119" i="7"/>
  <c r="CI38" i="6"/>
  <c r="CJ90" i="6"/>
  <c r="CK115" i="6"/>
  <c r="D115" i="6" s="1"/>
  <c r="D114" i="6"/>
  <c r="CG71" i="10"/>
  <c r="CG41" i="10"/>
  <c r="BS52" i="6"/>
  <c r="CH63" i="7"/>
  <c r="CG161" i="7"/>
  <c r="CH135" i="5"/>
  <c r="CI132" i="5" s="1"/>
  <c r="CH37" i="12"/>
  <c r="CH104" i="10"/>
  <c r="BQ184" i="7"/>
  <c r="BQ54" i="12"/>
  <c r="BR152" i="7"/>
  <c r="BR69" i="12"/>
  <c r="BR61" i="12"/>
  <c r="BS66" i="10"/>
  <c r="BS72" i="10" s="1"/>
  <c r="BS81" i="10" s="1"/>
  <c r="BS82" i="10" s="1"/>
  <c r="BS42" i="10"/>
  <c r="BS51" i="10" s="1"/>
  <c r="BS52" i="10" s="1"/>
  <c r="BQ55" i="12"/>
  <c r="BQ56" i="12"/>
  <c r="CK83" i="6"/>
  <c r="CK70" i="10" l="1"/>
  <c r="F107" i="9"/>
  <c r="D120" i="7"/>
  <c r="G107" i="9"/>
  <c r="H107" i="9"/>
  <c r="I107" i="9"/>
  <c r="J107" i="9"/>
  <c r="K107" i="9"/>
  <c r="L107" i="9"/>
  <c r="M107" i="9"/>
  <c r="CH108" i="5"/>
  <c r="CI105" i="5" s="1"/>
  <c r="CH58" i="7"/>
  <c r="CH59" i="7" s="1"/>
  <c r="CH52" i="12" s="1"/>
  <c r="D116" i="6"/>
  <c r="CH103" i="10"/>
  <c r="CH105" i="10" s="1"/>
  <c r="CH107" i="10" s="1"/>
  <c r="CH38" i="12"/>
  <c r="CI68" i="10"/>
  <c r="CI121" i="7"/>
  <c r="CJ52" i="7"/>
  <c r="CJ122" i="6"/>
  <c r="CJ120" i="6"/>
  <c r="CI167" i="7"/>
  <c r="CI168" i="7" s="1"/>
  <c r="CJ166" i="7"/>
  <c r="CK85" i="6"/>
  <c r="CI118" i="5"/>
  <c r="CI126" i="5" s="1"/>
  <c r="CI140" i="5" s="1"/>
  <c r="CI54" i="7"/>
  <c r="CI51" i="12" s="1"/>
  <c r="CI84" i="5"/>
  <c r="CI92" i="5" s="1"/>
  <c r="CI106" i="5" s="1"/>
  <c r="BT37" i="6"/>
  <c r="BT39" i="6" s="1"/>
  <c r="BT39" i="10"/>
  <c r="BS46" i="6"/>
  <c r="BS47" i="6" s="1"/>
  <c r="BT45" i="6" s="1"/>
  <c r="BS113" i="7"/>
  <c r="BS115" i="7" s="1"/>
  <c r="BS123" i="7" s="1"/>
  <c r="BS127" i="7" s="1"/>
  <c r="BS130" i="7" s="1"/>
  <c r="BS53" i="6"/>
  <c r="CI134" i="5"/>
  <c r="CI92" i="7" s="1"/>
  <c r="BS43" i="10"/>
  <c r="BS73" i="10"/>
  <c r="BR42" i="12"/>
  <c r="BR44" i="12" s="1"/>
  <c r="BR68" i="12"/>
  <c r="BR154" i="7"/>
  <c r="BR67" i="12"/>
  <c r="BT101" i="5"/>
  <c r="BS57" i="6"/>
  <c r="BS58" i="6" s="1"/>
  <c r="CK116" i="6"/>
  <c r="D107" i="9" l="1"/>
  <c r="D70" i="10"/>
  <c r="F206" i="9"/>
  <c r="G206" i="9"/>
  <c r="H206" i="9"/>
  <c r="J206" i="9"/>
  <c r="K206" i="9"/>
  <c r="L206" i="9"/>
  <c r="M206" i="9"/>
  <c r="CH64" i="7"/>
  <c r="CH65" i="7" s="1"/>
  <c r="CI63" i="7" s="1"/>
  <c r="CI107" i="5"/>
  <c r="CI93" i="5" s="1"/>
  <c r="CI94" i="5" s="1"/>
  <c r="CI99" i="5" s="1"/>
  <c r="CI56" i="7" s="1"/>
  <c r="CI36" i="12" s="1"/>
  <c r="CI141" i="5"/>
  <c r="CI127" i="5" s="1"/>
  <c r="CI128" i="5" s="1"/>
  <c r="CI133" i="5" s="1"/>
  <c r="CI57" i="7" s="1"/>
  <c r="CK90" i="6"/>
  <c r="CK166" i="7" s="1"/>
  <c r="M153" i="9" s="1"/>
  <c r="CJ123" i="6"/>
  <c r="CJ38" i="6"/>
  <c r="CJ119" i="7"/>
  <c r="CJ60" i="12"/>
  <c r="CJ53" i="7"/>
  <c r="BR184" i="7"/>
  <c r="BR54" i="12"/>
  <c r="CH41" i="10"/>
  <c r="CH71" i="10"/>
  <c r="BT51" i="6"/>
  <c r="BS160" i="7"/>
  <c r="BS162" i="7" s="1"/>
  <c r="BT66" i="10"/>
  <c r="BT72" i="10" s="1"/>
  <c r="BT81" i="10" s="1"/>
  <c r="BT82" i="10" s="1"/>
  <c r="BT42" i="10"/>
  <c r="BT51" i="10" s="1"/>
  <c r="BT52" i="10" s="1"/>
  <c r="BU98" i="5"/>
  <c r="BT176" i="7"/>
  <c r="BT178" i="7" s="1"/>
  <c r="BS134" i="7"/>
  <c r="BS147" i="7"/>
  <c r="BT129" i="7"/>
  <c r="BT52" i="6"/>
  <c r="BT57" i="6" s="1"/>
  <c r="BT58" i="6" s="1"/>
  <c r="BR55" i="12"/>
  <c r="BR56" i="12"/>
  <c r="F35" i="9"/>
  <c r="G35" i="9"/>
  <c r="H35" i="9"/>
  <c r="I35" i="9"/>
  <c r="J35" i="9"/>
  <c r="K35" i="9"/>
  <c r="L35" i="9"/>
  <c r="CH161" i="7" l="1"/>
  <c r="L148" i="9" s="1"/>
  <c r="CI108" i="5"/>
  <c r="CJ105" i="5" s="1"/>
  <c r="D206" i="9"/>
  <c r="CI103" i="10"/>
  <c r="CI58" i="7"/>
  <c r="CI59" i="7" s="1"/>
  <c r="CI52" i="12" s="1"/>
  <c r="BT73" i="10"/>
  <c r="BT43" i="10"/>
  <c r="CI104" i="10"/>
  <c r="CI105" i="10" s="1"/>
  <c r="CI107" i="10" s="1"/>
  <c r="CI135" i="5"/>
  <c r="CJ132" i="5" s="1"/>
  <c r="CJ134" i="5" s="1"/>
  <c r="CJ92" i="7" s="1"/>
  <c r="CI37" i="12"/>
  <c r="CI38" i="12" s="1"/>
  <c r="CI142" i="5"/>
  <c r="CJ139" i="5" s="1"/>
  <c r="CJ54" i="7"/>
  <c r="CJ51" i="12" s="1"/>
  <c r="CJ118" i="5"/>
  <c r="CJ126" i="5" s="1"/>
  <c r="CJ141" i="5" s="1"/>
  <c r="CJ127" i="5" s="1"/>
  <c r="CJ128" i="5" s="1"/>
  <c r="CJ133" i="5" s="1"/>
  <c r="CJ57" i="7" s="1"/>
  <c r="CJ84" i="5"/>
  <c r="CJ92" i="5" s="1"/>
  <c r="CJ106" i="5" s="1"/>
  <c r="CK120" i="6"/>
  <c r="CJ167" i="7"/>
  <c r="CK122" i="6"/>
  <c r="CK52" i="7"/>
  <c r="D121" i="6"/>
  <c r="CJ68" i="10"/>
  <c r="CJ121" i="7"/>
  <c r="I36" i="9"/>
  <c r="G87" i="15"/>
  <c r="BT46" i="6"/>
  <c r="BT47" i="6" s="1"/>
  <c r="BU45" i="6" s="1"/>
  <c r="BT113" i="7"/>
  <c r="BT115" i="7" s="1"/>
  <c r="BT123" i="7" s="1"/>
  <c r="BT127" i="7" s="1"/>
  <c r="BT130" i="7" s="1"/>
  <c r="BS53" i="12"/>
  <c r="BS180" i="7"/>
  <c r="BS63" i="12" s="1"/>
  <c r="BS62" i="12"/>
  <c r="J87" i="15"/>
  <c r="L36" i="9"/>
  <c r="L37" i="9" s="1"/>
  <c r="H36" i="9"/>
  <c r="F87" i="15"/>
  <c r="BU100" i="5"/>
  <c r="BU91" i="7" s="1"/>
  <c r="BU96" i="7" s="1"/>
  <c r="BU98" i="7" s="1"/>
  <c r="BT53" i="6"/>
  <c r="F106" i="9"/>
  <c r="G106" i="9"/>
  <c r="G108" i="9" s="1"/>
  <c r="E127" i="15" s="1"/>
  <c r="H106" i="9"/>
  <c r="H108" i="9" s="1"/>
  <c r="F127" i="15" s="1"/>
  <c r="I106" i="9"/>
  <c r="I108" i="9" s="1"/>
  <c r="J106" i="9"/>
  <c r="J108" i="9" s="1"/>
  <c r="H127" i="15" s="1"/>
  <c r="K106" i="9"/>
  <c r="K108" i="9" s="1"/>
  <c r="I127" i="15" s="1"/>
  <c r="L106" i="9"/>
  <c r="L108" i="9" s="1"/>
  <c r="J127" i="15" s="1"/>
  <c r="I87" i="15"/>
  <c r="K36" i="9"/>
  <c r="K37" i="9" s="1"/>
  <c r="E87" i="15"/>
  <c r="G36" i="9"/>
  <c r="BS152" i="7"/>
  <c r="BS69" i="12"/>
  <c r="BS61" i="12"/>
  <c r="H87" i="15"/>
  <c r="J36" i="9"/>
  <c r="J37" i="9" s="1"/>
  <c r="D87" i="15"/>
  <c r="F36" i="9"/>
  <c r="CI64" i="7" l="1"/>
  <c r="CI65" i="7" s="1"/>
  <c r="CJ63" i="7" s="1"/>
  <c r="CJ107" i="5"/>
  <c r="CJ93" i="5" s="1"/>
  <c r="CJ94" i="5" s="1"/>
  <c r="CJ99" i="5" s="1"/>
  <c r="CJ56" i="7" s="1"/>
  <c r="CJ103" i="10" s="1"/>
  <c r="CJ140" i="5"/>
  <c r="CJ142" i="5" s="1"/>
  <c r="CK139" i="5" s="1"/>
  <c r="CK123" i="6"/>
  <c r="CK167" i="7" s="1"/>
  <c r="CK60" i="12"/>
  <c r="CK53" i="7"/>
  <c r="D52" i="7"/>
  <c r="M35" i="9"/>
  <c r="D122" i="6"/>
  <c r="D123" i="6" s="1"/>
  <c r="CK38" i="6"/>
  <c r="D38" i="6" s="1"/>
  <c r="CK119" i="7"/>
  <c r="L154" i="9"/>
  <c r="L155" i="9" s="1"/>
  <c r="J107" i="15" s="1"/>
  <c r="CJ168" i="7"/>
  <c r="BU101" i="5"/>
  <c r="BV98" i="5" s="1"/>
  <c r="F37" i="9"/>
  <c r="G37" i="9"/>
  <c r="F108" i="9"/>
  <c r="BU51" i="6"/>
  <c r="BT160" i="7"/>
  <c r="BT162" i="7" s="1"/>
  <c r="H37" i="9"/>
  <c r="CJ135" i="5"/>
  <c r="CK132" i="5" s="1"/>
  <c r="BU129" i="7"/>
  <c r="BT134" i="7"/>
  <c r="BT147" i="7"/>
  <c r="I37" i="9"/>
  <c r="G127" i="15"/>
  <c r="G128" i="15" s="1"/>
  <c r="I110" i="9"/>
  <c r="D88" i="15"/>
  <c r="C142" i="15"/>
  <c r="D142" i="15"/>
  <c r="E88" i="15"/>
  <c r="E89" i="15" s="1"/>
  <c r="BU37" i="6"/>
  <c r="BU39" i="6" s="1"/>
  <c r="BU39" i="10"/>
  <c r="CJ37" i="12"/>
  <c r="CJ104" i="10"/>
  <c r="I142" i="15"/>
  <c r="J88" i="15"/>
  <c r="J89" i="15" s="1"/>
  <c r="G142" i="15"/>
  <c r="H88" i="15"/>
  <c r="H89" i="15" s="1"/>
  <c r="BS154" i="7"/>
  <c r="BS67" i="12"/>
  <c r="BS68" i="12"/>
  <c r="BS42" i="12"/>
  <c r="BS44" i="12" s="1"/>
  <c r="H142" i="15"/>
  <c r="I88" i="15"/>
  <c r="I89" i="15" s="1"/>
  <c r="F204" i="9"/>
  <c r="G204" i="9"/>
  <c r="H204" i="9"/>
  <c r="I204" i="9"/>
  <c r="I208" i="9" s="1"/>
  <c r="J204" i="9"/>
  <c r="K204" i="9"/>
  <c r="L204" i="9"/>
  <c r="F88" i="15"/>
  <c r="F89" i="15" s="1"/>
  <c r="E142" i="15"/>
  <c r="CI71" i="10"/>
  <c r="CI41" i="10"/>
  <c r="F142" i="15"/>
  <c r="G88" i="15"/>
  <c r="G89" i="15" s="1"/>
  <c r="CI161" i="7" l="1"/>
  <c r="CJ108" i="5"/>
  <c r="CK105" i="5" s="1"/>
  <c r="CJ36" i="12"/>
  <c r="CJ38" i="12" s="1"/>
  <c r="CJ58" i="7"/>
  <c r="CJ59" i="7" s="1"/>
  <c r="CJ52" i="12" s="1"/>
  <c r="CJ105" i="10"/>
  <c r="CJ107" i="10" s="1"/>
  <c r="CJ71" i="10" s="1"/>
  <c r="BU176" i="7"/>
  <c r="BU178" i="7" s="1"/>
  <c r="CK121" i="7"/>
  <c r="D119" i="7"/>
  <c r="D121" i="7" s="1"/>
  <c r="M106" i="9"/>
  <c r="CK68" i="10"/>
  <c r="D53" i="7"/>
  <c r="D54" i="7" s="1"/>
  <c r="CK118" i="5"/>
  <c r="CK54" i="7"/>
  <c r="CK51" i="12" s="1"/>
  <c r="CK84" i="5"/>
  <c r="D35" i="9"/>
  <c r="M36" i="9"/>
  <c r="K87" i="15"/>
  <c r="CK168" i="7"/>
  <c r="M154" i="9"/>
  <c r="M155" i="9" s="1"/>
  <c r="K107" i="15" s="1"/>
  <c r="F208" i="9"/>
  <c r="BS184" i="7"/>
  <c r="BS54" i="12"/>
  <c r="BU66" i="10"/>
  <c r="BU72" i="10" s="1"/>
  <c r="BU42" i="10"/>
  <c r="BT152" i="7"/>
  <c r="BT69" i="12"/>
  <c r="BT61" i="12"/>
  <c r="D127" i="15"/>
  <c r="BS55" i="12"/>
  <c r="BS56" i="12"/>
  <c r="BU52" i="6"/>
  <c r="BU57" i="6" s="1"/>
  <c r="BU58" i="6" s="1"/>
  <c r="D89" i="15"/>
  <c r="BT62" i="12"/>
  <c r="BT180" i="7"/>
  <c r="BT63" i="12" s="1"/>
  <c r="BT53" i="12"/>
  <c r="BV100" i="5"/>
  <c r="BV91" i="7" s="1"/>
  <c r="BV96" i="7" s="1"/>
  <c r="BV98" i="7" s="1"/>
  <c r="CK134" i="5"/>
  <c r="CJ64" i="7" l="1"/>
  <c r="CJ65" i="7" s="1"/>
  <c r="CJ161" i="7" s="1"/>
  <c r="CJ41" i="10"/>
  <c r="CK92" i="5"/>
  <c r="D84" i="5"/>
  <c r="D68" i="10"/>
  <c r="M204" i="9"/>
  <c r="D204" i="9" s="1"/>
  <c r="M108" i="9"/>
  <c r="D106" i="9"/>
  <c r="K88" i="15"/>
  <c r="J142" i="15"/>
  <c r="C87" i="15"/>
  <c r="M37" i="9"/>
  <c r="D36" i="9"/>
  <c r="D37" i="9" s="1"/>
  <c r="D118" i="5"/>
  <c r="CK126" i="5"/>
  <c r="BU53" i="6"/>
  <c r="BU160" i="7" s="1"/>
  <c r="BU162" i="7" s="1"/>
  <c r="CK92" i="7"/>
  <c r="D134" i="5"/>
  <c r="BV101" i="5"/>
  <c r="BU46" i="6"/>
  <c r="BU47" i="6" s="1"/>
  <c r="BV45" i="6" s="1"/>
  <c r="BU113" i="7"/>
  <c r="BU115" i="7" s="1"/>
  <c r="BU123" i="7" s="1"/>
  <c r="BU127" i="7" s="1"/>
  <c r="BU130" i="7" s="1"/>
  <c r="BU51" i="10"/>
  <c r="BU52" i="10" s="1"/>
  <c r="BU43" i="10"/>
  <c r="CK63" i="7"/>
  <c r="BU81" i="10"/>
  <c r="BU82" i="10" s="1"/>
  <c r="BU73" i="10"/>
  <c r="F209" i="9"/>
  <c r="BV37" i="6"/>
  <c r="BV39" i="6" s="1"/>
  <c r="BV52" i="6" s="1"/>
  <c r="BV39" i="10"/>
  <c r="BT42" i="12"/>
  <c r="BT44" i="12" s="1"/>
  <c r="BT68" i="12"/>
  <c r="BT67" i="12"/>
  <c r="BT154" i="7"/>
  <c r="BV51" i="6" l="1"/>
  <c r="BV53" i="6" s="1"/>
  <c r="K89" i="15"/>
  <c r="C88" i="15"/>
  <c r="C89" i="15" s="1"/>
  <c r="D126" i="5"/>
  <c r="CK141" i="5"/>
  <c r="CK140" i="5"/>
  <c r="K127" i="15"/>
  <c r="C127" i="15" s="1"/>
  <c r="D108" i="9"/>
  <c r="CK106" i="5"/>
  <c r="CK107" i="5"/>
  <c r="D92" i="5"/>
  <c r="BV57" i="6"/>
  <c r="BV58" i="6" s="1"/>
  <c r="BV46" i="6"/>
  <c r="BV47" i="6" s="1"/>
  <c r="BW45" i="6" s="1"/>
  <c r="BV113" i="7"/>
  <c r="BV115" i="7" s="1"/>
  <c r="BV123" i="7" s="1"/>
  <c r="BV127" i="7" s="1"/>
  <c r="BU134" i="7"/>
  <c r="BV129" i="7"/>
  <c r="BU147" i="7"/>
  <c r="BW98" i="5"/>
  <c r="BV176" i="7"/>
  <c r="D92" i="7"/>
  <c r="G79" i="9"/>
  <c r="H79" i="9"/>
  <c r="I79" i="9"/>
  <c r="J79" i="9"/>
  <c r="K79" i="9"/>
  <c r="L79" i="9"/>
  <c r="M79" i="9"/>
  <c r="BT184" i="7"/>
  <c r="BT54" i="12"/>
  <c r="BU62" i="12"/>
  <c r="BU180" i="7"/>
  <c r="BU63" i="12" s="1"/>
  <c r="BU53" i="12"/>
  <c r="BT55" i="12"/>
  <c r="BT56" i="12"/>
  <c r="BV66" i="10"/>
  <c r="BV72" i="10" s="1"/>
  <c r="BV81" i="10" s="1"/>
  <c r="BV82" i="10" s="1"/>
  <c r="BV42" i="10"/>
  <c r="BV51" i="10" s="1"/>
  <c r="BV52" i="10" s="1"/>
  <c r="D106" i="5" l="1"/>
  <c r="CK108" i="5"/>
  <c r="D141" i="5"/>
  <c r="CK127" i="5"/>
  <c r="BV130" i="7"/>
  <c r="BW129" i="7" s="1"/>
  <c r="CK93" i="5"/>
  <c r="D107" i="5"/>
  <c r="D140" i="5"/>
  <c r="CK142" i="5"/>
  <c r="BV43" i="10"/>
  <c r="D79" i="9"/>
  <c r="BV178" i="7"/>
  <c r="K163" i="9"/>
  <c r="K165" i="9" s="1"/>
  <c r="BV73" i="10"/>
  <c r="BW100" i="5"/>
  <c r="BW91" i="7" s="1"/>
  <c r="BW51" i="6"/>
  <c r="BV160" i="7"/>
  <c r="BV162" i="7" s="1"/>
  <c r="BU69" i="12"/>
  <c r="BU152" i="7"/>
  <c r="BU61" i="12"/>
  <c r="BV147" i="7" l="1"/>
  <c r="BV69" i="12" s="1"/>
  <c r="D108" i="5"/>
  <c r="BV134" i="7"/>
  <c r="D142" i="5"/>
  <c r="CK128" i="5"/>
  <c r="CK133" i="5" s="1"/>
  <c r="D127" i="5"/>
  <c r="D128" i="5" s="1"/>
  <c r="D93" i="5"/>
  <c r="D94" i="5" s="1"/>
  <c r="CK94" i="5"/>
  <c r="CK99" i="5" s="1"/>
  <c r="BW101" i="5"/>
  <c r="BW176" i="7" s="1"/>
  <c r="BW178" i="7" s="1"/>
  <c r="BU42" i="12"/>
  <c r="BU44" i="12" s="1"/>
  <c r="BU67" i="12"/>
  <c r="BU154" i="7"/>
  <c r="BU68" i="12"/>
  <c r="I108" i="15"/>
  <c r="BV53" i="12"/>
  <c r="BW96" i="7"/>
  <c r="BW98" i="7" s="1"/>
  <c r="F40" i="9"/>
  <c r="G40" i="9"/>
  <c r="E92" i="15" s="1"/>
  <c r="H40" i="9"/>
  <c r="F92" i="15" s="1"/>
  <c r="I40" i="9"/>
  <c r="G92" i="15" s="1"/>
  <c r="J40" i="9"/>
  <c r="H92" i="15" s="1"/>
  <c r="K40" i="9"/>
  <c r="I92" i="15" s="1"/>
  <c r="L40" i="9"/>
  <c r="J92" i="15" s="1"/>
  <c r="BV180" i="7"/>
  <c r="BV63" i="12" s="1"/>
  <c r="BV62" i="12"/>
  <c r="G39" i="9"/>
  <c r="H39" i="9"/>
  <c r="I39" i="9"/>
  <c r="J39" i="9"/>
  <c r="K39" i="9"/>
  <c r="L39" i="9"/>
  <c r="BV61" i="12" l="1"/>
  <c r="K134" i="9"/>
  <c r="K139" i="9" s="1"/>
  <c r="I102" i="15" s="1"/>
  <c r="I103" i="15" s="1"/>
  <c r="BX98" i="5"/>
  <c r="BX100" i="5" s="1"/>
  <c r="BX91" i="7" s="1"/>
  <c r="BV152" i="7"/>
  <c r="BV154" i="7" s="1"/>
  <c r="BV184" i="7" s="1"/>
  <c r="CK56" i="7"/>
  <c r="D99" i="5"/>
  <c r="CK57" i="7"/>
  <c r="CK135" i="5"/>
  <c r="D133" i="5"/>
  <c r="D135" i="5" s="1"/>
  <c r="L41" i="9"/>
  <c r="J91" i="15"/>
  <c r="J41" i="9"/>
  <c r="H91" i="15"/>
  <c r="G91" i="15"/>
  <c r="I41" i="9"/>
  <c r="BU55" i="12"/>
  <c r="BU56" i="12"/>
  <c r="F91" i="15"/>
  <c r="H41" i="9"/>
  <c r="D92" i="15"/>
  <c r="F41" i="9"/>
  <c r="BW37" i="6"/>
  <c r="BW39" i="6" s="1"/>
  <c r="BW39" i="10"/>
  <c r="K41" i="9"/>
  <c r="I91" i="15"/>
  <c r="E91" i="15"/>
  <c r="G41" i="9"/>
  <c r="BU184" i="7"/>
  <c r="BU54" i="12"/>
  <c r="G93" i="15" l="1"/>
  <c r="G94" i="15" s="1"/>
  <c r="BV42" i="12"/>
  <c r="BV44" i="12" s="1"/>
  <c r="BV55" i="12" s="1"/>
  <c r="F93" i="15"/>
  <c r="BV68" i="12"/>
  <c r="BV67" i="12"/>
  <c r="K141" i="9"/>
  <c r="BV54" i="12"/>
  <c r="M40" i="9"/>
  <c r="D57" i="7"/>
  <c r="CK37" i="12"/>
  <c r="D37" i="12" s="1"/>
  <c r="CK104" i="10"/>
  <c r="D104" i="10" s="1"/>
  <c r="CK103" i="10"/>
  <c r="CK36" i="12"/>
  <c r="M39" i="9"/>
  <c r="D56" i="7"/>
  <c r="CK58" i="7"/>
  <c r="D93" i="15"/>
  <c r="BW66" i="10"/>
  <c r="BW42" i="10"/>
  <c r="H42" i="9"/>
  <c r="H47" i="9"/>
  <c r="H93" i="15"/>
  <c r="F94" i="15"/>
  <c r="I93" i="15"/>
  <c r="BW52" i="6"/>
  <c r="BW57" i="6" s="1"/>
  <c r="BW58" i="6" s="1"/>
  <c r="BX101" i="5"/>
  <c r="J47" i="9"/>
  <c r="J42" i="9"/>
  <c r="G42" i="9"/>
  <c r="G47" i="9"/>
  <c r="K42" i="9"/>
  <c r="K47" i="9"/>
  <c r="F42" i="9"/>
  <c r="F47" i="9"/>
  <c r="BX96" i="7"/>
  <c r="BX98" i="7" s="1"/>
  <c r="J93" i="15"/>
  <c r="I47" i="9"/>
  <c r="I42" i="9"/>
  <c r="E93" i="15"/>
  <c r="L42" i="9"/>
  <c r="L47" i="9"/>
  <c r="BV56" i="12" l="1"/>
  <c r="M41" i="9"/>
  <c r="K91" i="15"/>
  <c r="C143" i="15" s="1" a="1"/>
  <c r="D39" i="9"/>
  <c r="CK38" i="12"/>
  <c r="D36" i="12"/>
  <c r="D38" i="12" s="1"/>
  <c r="CK64" i="7"/>
  <c r="D58" i="7"/>
  <c r="D59" i="7" s="1"/>
  <c r="CK59" i="7"/>
  <c r="CK52" i="12" s="1"/>
  <c r="CK105" i="10"/>
  <c r="CK107" i="10" s="1"/>
  <c r="D103" i="10"/>
  <c r="D105" i="10" s="1"/>
  <c r="K92" i="15"/>
  <c r="C92" i="15" s="1"/>
  <c r="D40" i="9"/>
  <c r="BW51" i="10"/>
  <c r="BW43" i="10"/>
  <c r="F48" i="9"/>
  <c r="G46" i="9" s="1"/>
  <c r="G48" i="9" s="1"/>
  <c r="H46" i="9" s="1"/>
  <c r="H48" i="9" s="1"/>
  <c r="I46" i="9" s="1"/>
  <c r="I48" i="9" s="1"/>
  <c r="J46" i="9" s="1"/>
  <c r="J48" i="9" s="1"/>
  <c r="K46" i="9" s="1"/>
  <c r="K48" i="9" s="1"/>
  <c r="L46" i="9" s="1"/>
  <c r="L48" i="9" s="1"/>
  <c r="M46" i="9" s="1"/>
  <c r="BX37" i="6"/>
  <c r="BX39" i="6" s="1"/>
  <c r="BX39" i="10"/>
  <c r="BW46" i="6"/>
  <c r="BW47" i="6" s="1"/>
  <c r="BX45" i="6" s="1"/>
  <c r="BW113" i="7"/>
  <c r="BW53" i="6"/>
  <c r="BW72" i="10"/>
  <c r="BY98" i="5"/>
  <c r="BX176" i="7"/>
  <c r="BX178" i="7" s="1"/>
  <c r="G207" i="9"/>
  <c r="H207" i="9"/>
  <c r="J207" i="9"/>
  <c r="K207" i="9"/>
  <c r="L207" i="9"/>
  <c r="E94" i="15"/>
  <c r="J94" i="15"/>
  <c r="D94" i="15"/>
  <c r="G181" i="9"/>
  <c r="H181" i="9"/>
  <c r="J181" i="9"/>
  <c r="K181" i="9"/>
  <c r="L181" i="9"/>
  <c r="I94" i="15"/>
  <c r="H94" i="15"/>
  <c r="C143" i="15" l="1"/>
  <c r="F143" i="15"/>
  <c r="E143" i="15"/>
  <c r="D143" i="15"/>
  <c r="I143" i="15"/>
  <c r="H143" i="15"/>
  <c r="G143" i="15"/>
  <c r="CK65" i="7"/>
  <c r="CK161" i="7" s="1"/>
  <c r="M148" i="9" s="1"/>
  <c r="D64" i="7"/>
  <c r="D65" i="7" s="1"/>
  <c r="C91" i="15"/>
  <c r="K93" i="15"/>
  <c r="C144" i="15" s="1" a="1"/>
  <c r="J143" i="15"/>
  <c r="CK41" i="10"/>
  <c r="D107" i="10"/>
  <c r="CK71" i="10"/>
  <c r="D41" i="9"/>
  <c r="M47" i="9"/>
  <c r="D47" i="9" s="1"/>
  <c r="D48" i="9" s="1"/>
  <c r="M42" i="9"/>
  <c r="BX66" i="10"/>
  <c r="BX42" i="10"/>
  <c r="BX51" i="10" s="1"/>
  <c r="BW81" i="10"/>
  <c r="BW73" i="10"/>
  <c r="BX52" i="6"/>
  <c r="BX57" i="6" s="1"/>
  <c r="BX58" i="6" s="1"/>
  <c r="BX51" i="6"/>
  <c r="BW160" i="7"/>
  <c r="BW162" i="7" s="1"/>
  <c r="BW52" i="10"/>
  <c r="BY100" i="5"/>
  <c r="BY91" i="7" s="1"/>
  <c r="BW115" i="7"/>
  <c r="BW123" i="7" s="1"/>
  <c r="BW127" i="7" s="1"/>
  <c r="BW130" i="7" s="1"/>
  <c r="F144" i="15" l="1"/>
  <c r="E144" i="15"/>
  <c r="I144" i="15"/>
  <c r="H144" i="15"/>
  <c r="C144" i="15"/>
  <c r="G144" i="15"/>
  <c r="D144" i="15"/>
  <c r="BX43" i="10"/>
  <c r="BX52" i="10"/>
  <c r="M181" i="9"/>
  <c r="D181" i="9" s="1"/>
  <c r="D41" i="10"/>
  <c r="E30" i="11"/>
  <c r="D42" i="9"/>
  <c r="E32" i="11" s="1"/>
  <c r="E52" i="9"/>
  <c r="E13" i="13" s="1"/>
  <c r="F13" i="13" s="1"/>
  <c r="M207" i="9"/>
  <c r="D207" i="9" s="1"/>
  <c r="D71" i="10"/>
  <c r="K94" i="15"/>
  <c r="C93" i="15"/>
  <c r="C94" i="15" s="1"/>
  <c r="J144" i="15"/>
  <c r="M48" i="9"/>
  <c r="BY96" i="7"/>
  <c r="BY98" i="7" s="1"/>
  <c r="BX46" i="6"/>
  <c r="BX47" i="6" s="1"/>
  <c r="BY45" i="6" s="1"/>
  <c r="BX113" i="7"/>
  <c r="BW53" i="12"/>
  <c r="BW62" i="12"/>
  <c r="BW180" i="7"/>
  <c r="BW63" i="12" s="1"/>
  <c r="BW147" i="7"/>
  <c r="BW134" i="7"/>
  <c r="BX129" i="7"/>
  <c r="BY101" i="5"/>
  <c r="BX53" i="6"/>
  <c r="BW82" i="10"/>
  <c r="BX72" i="10"/>
  <c r="BX81" i="10" s="1"/>
  <c r="BX82" i="10" l="1"/>
  <c r="BZ98" i="5"/>
  <c r="BY176" i="7"/>
  <c r="BY178" i="7" s="1"/>
  <c r="BW69" i="12"/>
  <c r="BW152" i="7"/>
  <c r="BW61" i="12"/>
  <c r="BY51" i="6"/>
  <c r="BX160" i="7"/>
  <c r="BX73" i="10"/>
  <c r="BX115" i="7"/>
  <c r="BX123" i="7" s="1"/>
  <c r="BX127" i="7" s="1"/>
  <c r="BX130" i="7" s="1"/>
  <c r="BY37" i="6"/>
  <c r="BY39" i="6" s="1"/>
  <c r="BY39" i="10"/>
  <c r="BY52" i="6" l="1"/>
  <c r="BY57" i="6" s="1"/>
  <c r="BY58" i="6" s="1"/>
  <c r="K147" i="9"/>
  <c r="K149" i="9" s="1"/>
  <c r="BX162" i="7"/>
  <c r="BZ100" i="5"/>
  <c r="BZ91" i="7" s="1"/>
  <c r="BY129" i="7"/>
  <c r="BX134" i="7"/>
  <c r="BX147" i="7"/>
  <c r="BY66" i="10"/>
  <c r="BY42" i="10"/>
  <c r="BW154" i="7"/>
  <c r="BW67" i="12"/>
  <c r="BW68" i="12"/>
  <c r="BW42" i="12"/>
  <c r="BW44" i="12" s="1"/>
  <c r="BY53" i="6" l="1"/>
  <c r="BY160" i="7" s="1"/>
  <c r="BY162" i="7" s="1"/>
  <c r="BY53" i="12" s="1"/>
  <c r="BW56" i="12"/>
  <c r="BW55" i="12"/>
  <c r="BX69" i="12"/>
  <c r="BX152" i="7"/>
  <c r="BX61" i="12"/>
  <c r="BZ96" i="7"/>
  <c r="BZ98" i="7" s="1"/>
  <c r="BX180" i="7"/>
  <c r="BX63" i="12" s="1"/>
  <c r="BX62" i="12"/>
  <c r="BX53" i="12"/>
  <c r="I106" i="15"/>
  <c r="I109" i="15" s="1"/>
  <c r="K167" i="9"/>
  <c r="K171" i="9" s="1"/>
  <c r="BY51" i="10"/>
  <c r="BY43" i="10"/>
  <c r="BW54" i="12"/>
  <c r="BW184" i="7"/>
  <c r="BY72" i="10"/>
  <c r="BZ101" i="5"/>
  <c r="BY46" i="6"/>
  <c r="BY47" i="6" s="1"/>
  <c r="BZ45" i="6" s="1"/>
  <c r="BY113" i="7"/>
  <c r="BZ51" i="6" l="1"/>
  <c r="BY115" i="7"/>
  <c r="BY123" i="7" s="1"/>
  <c r="BY127" i="7" s="1"/>
  <c r="BY130" i="7" s="1"/>
  <c r="CA98" i="5"/>
  <c r="BZ176" i="7"/>
  <c r="BZ178" i="7" s="1"/>
  <c r="BZ37" i="6"/>
  <c r="BZ39" i="6" s="1"/>
  <c r="BZ52" i="6" s="1"/>
  <c r="BZ39" i="10"/>
  <c r="BY52" i="10"/>
  <c r="BY62" i="12"/>
  <c r="BY180" i="7"/>
  <c r="BY63" i="12" s="1"/>
  <c r="BY81" i="10"/>
  <c r="BY73" i="10"/>
  <c r="BX67" i="12"/>
  <c r="BX68" i="12"/>
  <c r="BX42" i="12"/>
  <c r="BX44" i="12" s="1"/>
  <c r="BX154" i="7"/>
  <c r="BZ53" i="6" l="1"/>
  <c r="CA51" i="6" s="1"/>
  <c r="BY82" i="10"/>
  <c r="BZ66" i="10"/>
  <c r="BZ42" i="10"/>
  <c r="BX184" i="7"/>
  <c r="BX54" i="12"/>
  <c r="BX55" i="12"/>
  <c r="BX56" i="12"/>
  <c r="CA100" i="5"/>
  <c r="CA91" i="7" s="1"/>
  <c r="BZ57" i="6"/>
  <c r="BZ58" i="6" s="1"/>
  <c r="BZ46" i="6"/>
  <c r="BZ47" i="6" s="1"/>
  <c r="CA45" i="6" s="1"/>
  <c r="BZ113" i="7"/>
  <c r="BZ129" i="7"/>
  <c r="BY147" i="7"/>
  <c r="BY134" i="7"/>
  <c r="BZ160" i="7" l="1"/>
  <c r="BZ162" i="7" s="1"/>
  <c r="BZ53" i="12" s="1"/>
  <c r="BZ51" i="10"/>
  <c r="BZ43" i="10"/>
  <c r="CA101" i="5"/>
  <c r="BZ72" i="10"/>
  <c r="BZ115" i="7"/>
  <c r="BZ123" i="7" s="1"/>
  <c r="BZ127" i="7" s="1"/>
  <c r="BZ130" i="7" s="1"/>
  <c r="CA96" i="7"/>
  <c r="CA98" i="7" s="1"/>
  <c r="BY69" i="12"/>
  <c r="BY152" i="7"/>
  <c r="BY61" i="12"/>
  <c r="BZ180" i="7" l="1"/>
  <c r="BZ63" i="12" s="1"/>
  <c r="BZ62" i="12"/>
  <c r="CB98" i="5"/>
  <c r="CA176" i="7"/>
  <c r="CA178" i="7" s="1"/>
  <c r="BZ147" i="7"/>
  <c r="CA129" i="7"/>
  <c r="BZ134" i="7"/>
  <c r="BZ52" i="10"/>
  <c r="BY154" i="7"/>
  <c r="BY68" i="12"/>
  <c r="BY67" i="12"/>
  <c r="BY42" i="12"/>
  <c r="BY44" i="12" s="1"/>
  <c r="CA37" i="6"/>
  <c r="CA39" i="6" s="1"/>
  <c r="CA39" i="10"/>
  <c r="BZ81" i="10"/>
  <c r="BZ73" i="10"/>
  <c r="BZ82" i="10" l="1"/>
  <c r="BY56" i="12"/>
  <c r="BY55" i="12"/>
  <c r="BZ61" i="12"/>
  <c r="BZ69" i="12"/>
  <c r="BZ152" i="7"/>
  <c r="CA66" i="10"/>
  <c r="CA42" i="10"/>
  <c r="CA52" i="6"/>
  <c r="BY184" i="7"/>
  <c r="BY54" i="12"/>
  <c r="CB100" i="5"/>
  <c r="CB91" i="7" s="1"/>
  <c r="CB96" i="7" s="1"/>
  <c r="CB98" i="7" s="1"/>
  <c r="CB101" i="5" l="1"/>
  <c r="CB176" i="7" s="1"/>
  <c r="CB178" i="7" s="1"/>
  <c r="CA46" i="6"/>
  <c r="CA47" i="6" s="1"/>
  <c r="CB45" i="6" s="1"/>
  <c r="CA113" i="7"/>
  <c r="CA53" i="6"/>
  <c r="CA72" i="10"/>
  <c r="CB37" i="6"/>
  <c r="CB39" i="6" s="1"/>
  <c r="CB39" i="10"/>
  <c r="CA57" i="6"/>
  <c r="CA58" i="6" s="1"/>
  <c r="CA51" i="10"/>
  <c r="CA43" i="10"/>
  <c r="BZ68" i="12"/>
  <c r="BZ67" i="12"/>
  <c r="BZ42" i="12"/>
  <c r="BZ44" i="12" s="1"/>
  <c r="BZ154" i="7"/>
  <c r="CC98" i="5" l="1"/>
  <c r="CC100" i="5" s="1"/>
  <c r="CC91" i="7" s="1"/>
  <c r="CC96" i="7" s="1"/>
  <c r="CC98" i="7" s="1"/>
  <c r="BZ55" i="12"/>
  <c r="BZ56" i="12"/>
  <c r="CA52" i="10"/>
  <c r="CB52" i="6"/>
  <c r="CB57" i="6" s="1"/>
  <c r="CB58" i="6" s="1"/>
  <c r="CA115" i="7"/>
  <c r="CA123" i="7" s="1"/>
  <c r="CA127" i="7" s="1"/>
  <c r="CA130" i="7" s="1"/>
  <c r="CA81" i="10"/>
  <c r="CA73" i="10"/>
  <c r="BZ184" i="7"/>
  <c r="BZ54" i="12"/>
  <c r="CB66" i="10"/>
  <c r="CB72" i="10" s="1"/>
  <c r="CB81" i="10" s="1"/>
  <c r="CB42" i="10"/>
  <c r="CB51" i="10" s="1"/>
  <c r="CB51" i="6"/>
  <c r="CA160" i="7"/>
  <c r="CA162" i="7" s="1"/>
  <c r="CC101" i="5" l="1"/>
  <c r="CD98" i="5" s="1"/>
  <c r="CB53" i="6"/>
  <c r="CC51" i="6" s="1"/>
  <c r="CB52" i="10"/>
  <c r="CC37" i="6"/>
  <c r="CC39" i="6" s="1"/>
  <c r="CC39" i="10"/>
  <c r="CB73" i="10"/>
  <c r="CA147" i="7"/>
  <c r="CB129" i="7"/>
  <c r="CA134" i="7"/>
  <c r="CA53" i="12"/>
  <c r="CA62" i="12"/>
  <c r="CA180" i="7"/>
  <c r="CA63" i="12" s="1"/>
  <c r="CB43" i="10"/>
  <c r="CA82" i="10"/>
  <c r="CB82" i="10" s="1"/>
  <c r="CB46" i="6"/>
  <c r="CB47" i="6" s="1"/>
  <c r="CC45" i="6" s="1"/>
  <c r="CB113" i="7"/>
  <c r="CB115" i="7" s="1"/>
  <c r="CB123" i="7" s="1"/>
  <c r="CB127" i="7" s="1"/>
  <c r="CB130" i="7" s="1"/>
  <c r="CB160" i="7" l="1"/>
  <c r="CB162" i="7" s="1"/>
  <c r="CB62" i="12" s="1"/>
  <c r="CC176" i="7"/>
  <c r="CC178" i="7" s="1"/>
  <c r="CA152" i="7"/>
  <c r="CA69" i="12"/>
  <c r="CA61" i="12"/>
  <c r="CC129" i="7"/>
  <c r="CB134" i="7"/>
  <c r="CB147" i="7"/>
  <c r="CC66" i="10"/>
  <c r="CC72" i="10" s="1"/>
  <c r="CC81" i="10" s="1"/>
  <c r="CC42" i="10"/>
  <c r="CC51" i="10" s="1"/>
  <c r="CC52" i="10" s="1"/>
  <c r="CD100" i="5"/>
  <c r="CD91" i="7" s="1"/>
  <c r="CD96" i="7" s="1"/>
  <c r="CD98" i="7" s="1"/>
  <c r="CC52" i="6"/>
  <c r="CC53" i="6" s="1"/>
  <c r="CB53" i="12"/>
  <c r="CB180" i="7" l="1"/>
  <c r="CB63" i="12" s="1"/>
  <c r="CC57" i="6"/>
  <c r="CC58" i="6" s="1"/>
  <c r="CC73" i="10"/>
  <c r="CD51" i="6"/>
  <c r="CC160" i="7"/>
  <c r="CC162" i="7" s="1"/>
  <c r="CC46" i="6"/>
  <c r="CC47" i="6" s="1"/>
  <c r="CD45" i="6" s="1"/>
  <c r="CC113" i="7"/>
  <c r="CC115" i="7" s="1"/>
  <c r="CC123" i="7" s="1"/>
  <c r="CC127" i="7" s="1"/>
  <c r="CC130" i="7" s="1"/>
  <c r="CC43" i="10"/>
  <c r="CD101" i="5"/>
  <c r="CC82" i="10"/>
  <c r="CB69" i="12"/>
  <c r="CB152" i="7"/>
  <c r="CB61" i="12"/>
  <c r="CD37" i="6"/>
  <c r="CD39" i="6" s="1"/>
  <c r="CD52" i="6" s="1"/>
  <c r="CD39" i="10"/>
  <c r="CA67" i="12"/>
  <c r="CA154" i="7"/>
  <c r="CA42" i="12"/>
  <c r="CA44" i="12" s="1"/>
  <c r="CA68" i="12"/>
  <c r="CB67" i="12" l="1"/>
  <c r="CB68" i="12"/>
  <c r="CB42" i="12"/>
  <c r="CB44" i="12" s="1"/>
  <c r="CB55" i="12" s="1"/>
  <c r="CB154" i="7"/>
  <c r="CB54" i="12" s="1"/>
  <c r="CD176" i="7"/>
  <c r="CD178" i="7" s="1"/>
  <c r="CE98" i="5"/>
  <c r="CA184" i="7"/>
  <c r="CA54" i="12"/>
  <c r="CA55" i="12"/>
  <c r="CA56" i="12"/>
  <c r="CD66" i="10"/>
  <c r="CD72" i="10" s="1"/>
  <c r="CD42" i="10"/>
  <c r="CD51" i="10" s="1"/>
  <c r="CD52" i="10" s="1"/>
  <c r="CD57" i="6"/>
  <c r="CD58" i="6" s="1"/>
  <c r="CD46" i="6"/>
  <c r="CD47" i="6" s="1"/>
  <c r="CE45" i="6" s="1"/>
  <c r="CD113" i="7"/>
  <c r="CD115" i="7" s="1"/>
  <c r="CD123" i="7" s="1"/>
  <c r="CD127" i="7" s="1"/>
  <c r="CC147" i="7"/>
  <c r="CD129" i="7"/>
  <c r="CC134" i="7"/>
  <c r="CC62" i="12"/>
  <c r="CC53" i="12"/>
  <c r="CC180" i="7"/>
  <c r="CC63" i="12" s="1"/>
  <c r="CD53" i="6"/>
  <c r="CD130" i="7" l="1"/>
  <c r="CD134" i="7" s="1"/>
  <c r="CB56" i="12"/>
  <c r="CD43" i="10"/>
  <c r="CC61" i="12"/>
  <c r="CC69" i="12"/>
  <c r="CC152" i="7"/>
  <c r="CB184" i="7"/>
  <c r="CD81" i="10"/>
  <c r="CD82" i="10" s="1"/>
  <c r="CD73" i="10"/>
  <c r="CE100" i="5"/>
  <c r="CE91" i="7" s="1"/>
  <c r="CE96" i="7" s="1"/>
  <c r="CE98" i="7" s="1"/>
  <c r="CE51" i="6"/>
  <c r="CD160" i="7"/>
  <c r="CD162" i="7" s="1"/>
  <c r="CD62" i="12" s="1"/>
  <c r="CE129" i="7" l="1"/>
  <c r="CD147" i="7"/>
  <c r="CD152" i="7" s="1"/>
  <c r="CE101" i="5"/>
  <c r="CC42" i="12"/>
  <c r="CC44" i="12" s="1"/>
  <c r="CC67" i="12"/>
  <c r="CC68" i="12"/>
  <c r="CC154" i="7"/>
  <c r="CE37" i="6"/>
  <c r="CE39" i="6" s="1"/>
  <c r="CE39" i="10"/>
  <c r="CD180" i="7"/>
  <c r="CD63" i="12" s="1"/>
  <c r="CD53" i="12"/>
  <c r="CD69" i="12" l="1"/>
  <c r="CD61" i="12"/>
  <c r="CD67" i="12"/>
  <c r="CD68" i="12"/>
  <c r="CD154" i="7"/>
  <c r="CD54" i="12" s="1"/>
  <c r="CD42" i="12"/>
  <c r="CD44" i="12" s="1"/>
  <c r="CD56" i="12" s="1"/>
  <c r="CE66" i="10"/>
  <c r="CE72" i="10" s="1"/>
  <c r="CE42" i="10"/>
  <c r="CE52" i="6"/>
  <c r="CE57" i="6" s="1"/>
  <c r="CE58" i="6" s="1"/>
  <c r="CC55" i="12"/>
  <c r="CC56" i="12"/>
  <c r="CF98" i="5"/>
  <c r="CE176" i="7"/>
  <c r="CE178" i="7" s="1"/>
  <c r="CC184" i="7"/>
  <c r="CC54" i="12"/>
  <c r="CE46" i="6" l="1"/>
  <c r="CE47" i="6" s="1"/>
  <c r="CF45" i="6" s="1"/>
  <c r="CE113" i="7"/>
  <c r="CE115" i="7" s="1"/>
  <c r="CE123" i="7" s="1"/>
  <c r="CE127" i="7" s="1"/>
  <c r="CE130" i="7" s="1"/>
  <c r="CE53" i="6"/>
  <c r="CD184" i="7"/>
  <c r="CE51" i="10"/>
  <c r="CE52" i="10" s="1"/>
  <c r="CE43" i="10"/>
  <c r="CF100" i="5"/>
  <c r="CF91" i="7" s="1"/>
  <c r="CF96" i="7" s="1"/>
  <c r="CF98" i="7" s="1"/>
  <c r="CD55" i="12"/>
  <c r="CE81" i="10"/>
  <c r="CE82" i="10" s="1"/>
  <c r="CE73" i="10"/>
  <c r="CF101" i="5" l="1"/>
  <c r="CF51" i="6"/>
  <c r="CE160" i="7"/>
  <c r="CE162" i="7" s="1"/>
  <c r="CF37" i="6"/>
  <c r="CF39" i="6" s="1"/>
  <c r="CF39" i="10"/>
  <c r="CF129" i="7"/>
  <c r="CE134" i="7"/>
  <c r="CE147" i="7"/>
  <c r="CE61" i="12" l="1"/>
  <c r="CE69" i="12"/>
  <c r="CE152" i="7"/>
  <c r="CF66" i="10"/>
  <c r="CF72" i="10" s="1"/>
  <c r="CF42" i="10"/>
  <c r="CF52" i="6"/>
  <c r="CF57" i="6" s="1"/>
  <c r="CF58" i="6" s="1"/>
  <c r="CF176" i="7"/>
  <c r="CF178" i="7" s="1"/>
  <c r="CG98" i="5"/>
  <c r="CE53" i="12"/>
  <c r="CE62" i="12"/>
  <c r="CE180" i="7"/>
  <c r="CE63" i="12" s="1"/>
  <c r="CE154" i="7" l="1"/>
  <c r="CE67" i="12"/>
  <c r="CE68" i="12"/>
  <c r="CE42" i="12"/>
  <c r="CE44" i="12" s="1"/>
  <c r="CF46" i="6"/>
  <c r="CF47" i="6" s="1"/>
  <c r="CG45" i="6" s="1"/>
  <c r="CF113" i="7"/>
  <c r="CF115" i="7" s="1"/>
  <c r="CF123" i="7" s="1"/>
  <c r="CF127" i="7" s="1"/>
  <c r="CF130" i="7" s="1"/>
  <c r="CG100" i="5"/>
  <c r="CG91" i="7" s="1"/>
  <c r="CG96" i="7" s="1"/>
  <c r="CG98" i="7" s="1"/>
  <c r="CF51" i="10"/>
  <c r="CF52" i="10" s="1"/>
  <c r="CF43" i="10"/>
  <c r="CF81" i="10"/>
  <c r="CF82" i="10" s="1"/>
  <c r="CF73" i="10"/>
  <c r="CF53" i="6"/>
  <c r="CG37" i="6" l="1"/>
  <c r="CG39" i="6" s="1"/>
  <c r="CG39" i="10"/>
  <c r="CG51" i="6"/>
  <c r="CF160" i="7"/>
  <c r="CF162" i="7" s="1"/>
  <c r="CF147" i="7"/>
  <c r="CF134" i="7"/>
  <c r="CG129" i="7"/>
  <c r="CE184" i="7"/>
  <c r="CE54" i="12"/>
  <c r="CG101" i="5"/>
  <c r="CE55" i="12"/>
  <c r="CE56" i="12"/>
  <c r="CF61" i="12" l="1"/>
  <c r="CF152" i="7"/>
  <c r="CF69" i="12"/>
  <c r="CG66" i="10"/>
  <c r="CG72" i="10" s="1"/>
  <c r="CG42" i="10"/>
  <c r="CH98" i="5"/>
  <c r="CG176" i="7"/>
  <c r="CG178" i="7" s="1"/>
  <c r="CF53" i="12"/>
  <c r="CF180" i="7"/>
  <c r="CF63" i="12" s="1"/>
  <c r="CF62" i="12"/>
  <c r="CG52" i="6"/>
  <c r="CG57" i="6" s="1"/>
  <c r="CG58" i="6" s="1"/>
  <c r="CH100" i="5" l="1"/>
  <c r="CH91" i="7" s="1"/>
  <c r="CH96" i="7" s="1"/>
  <c r="CH98" i="7" s="1"/>
  <c r="CF68" i="12"/>
  <c r="CF42" i="12"/>
  <c r="CF44" i="12" s="1"/>
  <c r="CF154" i="7"/>
  <c r="CF67" i="12"/>
  <c r="CG43" i="10"/>
  <c r="CG51" i="10"/>
  <c r="CG52" i="10" s="1"/>
  <c r="CG46" i="6"/>
  <c r="CG47" i="6" s="1"/>
  <c r="CH45" i="6" s="1"/>
  <c r="CG113" i="7"/>
  <c r="CG115" i="7" s="1"/>
  <c r="CG123" i="7" s="1"/>
  <c r="CG127" i="7" s="1"/>
  <c r="CG130" i="7" s="1"/>
  <c r="CG81" i="10"/>
  <c r="CG82" i="10" s="1"/>
  <c r="CG73" i="10"/>
  <c r="CG53" i="6"/>
  <c r="CH51" i="6" l="1"/>
  <c r="CG160" i="7"/>
  <c r="CG162" i="7" s="1"/>
  <c r="CH101" i="5"/>
  <c r="CH37" i="6"/>
  <c r="CH39" i="6" s="1"/>
  <c r="CH52" i="6" s="1"/>
  <c r="CH39" i="10"/>
  <c r="CF184" i="7"/>
  <c r="CF54" i="12"/>
  <c r="CF56" i="12"/>
  <c r="CF55" i="12"/>
  <c r="CH129" i="7"/>
  <c r="CG134" i="7"/>
  <c r="CG147" i="7"/>
  <c r="CH57" i="6" l="1"/>
  <c r="CH58" i="6" s="1"/>
  <c r="CH46" i="6"/>
  <c r="CH47" i="6" s="1"/>
  <c r="CI45" i="6" s="1"/>
  <c r="CH113" i="7"/>
  <c r="CH115" i="7" s="1"/>
  <c r="CH123" i="7" s="1"/>
  <c r="CH127" i="7" s="1"/>
  <c r="CH130" i="7" s="1"/>
  <c r="CI98" i="5"/>
  <c r="CH176" i="7"/>
  <c r="CH178" i="7" s="1"/>
  <c r="CG53" i="12"/>
  <c r="CG180" i="7"/>
  <c r="CG63" i="12" s="1"/>
  <c r="CG62" i="12"/>
  <c r="CG69" i="12"/>
  <c r="CG152" i="7"/>
  <c r="CG61" i="12"/>
  <c r="CH66" i="10"/>
  <c r="CH72" i="10" s="1"/>
  <c r="CH42" i="10"/>
  <c r="CH53" i="6"/>
  <c r="CI100" i="5" l="1"/>
  <c r="CI91" i="7" s="1"/>
  <c r="CI51" i="6"/>
  <c r="CH160" i="7"/>
  <c r="CH162" i="7" s="1"/>
  <c r="CH62" i="12" s="1"/>
  <c r="CG68" i="12"/>
  <c r="CG42" i="12"/>
  <c r="CG44" i="12" s="1"/>
  <c r="CG67" i="12"/>
  <c r="CG154" i="7"/>
  <c r="CH147" i="7"/>
  <c r="CH134" i="7"/>
  <c r="CI129" i="7"/>
  <c r="CH51" i="10"/>
  <c r="CH52" i="10" s="1"/>
  <c r="CH43" i="10"/>
  <c r="CH81" i="10"/>
  <c r="CH82" i="10" s="1"/>
  <c r="CH73" i="10"/>
  <c r="CH180" i="7"/>
  <c r="CH63" i="12" s="1"/>
  <c r="CI101" i="5" l="1"/>
  <c r="CJ98" i="5" s="1"/>
  <c r="CG184" i="7"/>
  <c r="CG54" i="12"/>
  <c r="CH53" i="12"/>
  <c r="CG56" i="12"/>
  <c r="CG55" i="12"/>
  <c r="CH69" i="12"/>
  <c r="CH152" i="7"/>
  <c r="L134" i="9"/>
  <c r="L139" i="9" s="1"/>
  <c r="CH61" i="12"/>
  <c r="CI96" i="7"/>
  <c r="CI98" i="7" s="1"/>
  <c r="CI176" i="7" l="1"/>
  <c r="CI178" i="7" s="1"/>
  <c r="CH154" i="7"/>
  <c r="CH42" i="12"/>
  <c r="CH44" i="12" s="1"/>
  <c r="CH67" i="12"/>
  <c r="CH68" i="12"/>
  <c r="CJ100" i="5"/>
  <c r="CJ91" i="7" s="1"/>
  <c r="J102" i="15"/>
  <c r="J103" i="15" s="1"/>
  <c r="L141" i="9"/>
  <c r="CI37" i="6"/>
  <c r="CI39" i="6" s="1"/>
  <c r="CI39" i="10"/>
  <c r="CI66" i="10" l="1"/>
  <c r="CI42" i="10"/>
  <c r="CJ101" i="5"/>
  <c r="CH55" i="12"/>
  <c r="CH56" i="12"/>
  <c r="CJ96" i="7"/>
  <c r="CJ98" i="7" s="1"/>
  <c r="CH184" i="7"/>
  <c r="CH54" i="12"/>
  <c r="CI52" i="6"/>
  <c r="CI46" i="6" l="1"/>
  <c r="CI47" i="6" s="1"/>
  <c r="CJ45" i="6" s="1"/>
  <c r="CI113" i="7"/>
  <c r="CI53" i="6"/>
  <c r="CJ37" i="6"/>
  <c r="CJ39" i="6" s="1"/>
  <c r="CJ39" i="10"/>
  <c r="CK98" i="5"/>
  <c r="CJ176" i="7"/>
  <c r="CI57" i="6"/>
  <c r="CI58" i="6" s="1"/>
  <c r="CI51" i="10"/>
  <c r="CI43" i="10"/>
  <c r="CI72" i="10"/>
  <c r="CJ52" i="6" l="1"/>
  <c r="CJ57" i="6" s="1"/>
  <c r="CJ58" i="6" s="1"/>
  <c r="CI81" i="10"/>
  <c r="CI73" i="10"/>
  <c r="CK100" i="5"/>
  <c r="CK101" i="5" s="1"/>
  <c r="CK176" i="7" s="1"/>
  <c r="CJ51" i="6"/>
  <c r="CI160" i="7"/>
  <c r="CI162" i="7" s="1"/>
  <c r="L163" i="9"/>
  <c r="L165" i="9" s="1"/>
  <c r="CJ178" i="7"/>
  <c r="CI52" i="10"/>
  <c r="CI115" i="7"/>
  <c r="CI123" i="7" s="1"/>
  <c r="CI127" i="7" s="1"/>
  <c r="CI130" i="7" s="1"/>
  <c r="CJ66" i="10"/>
  <c r="CJ42" i="10"/>
  <c r="CJ51" i="10" s="1"/>
  <c r="CJ53" i="6" l="1"/>
  <c r="CK51" i="6" s="1"/>
  <c r="M163" i="9"/>
  <c r="M165" i="9" s="1"/>
  <c r="CK178" i="7"/>
  <c r="CI82" i="10"/>
  <c r="CJ129" i="7"/>
  <c r="CI134" i="7"/>
  <c r="CI147" i="7"/>
  <c r="CK91" i="7"/>
  <c r="D100" i="5"/>
  <c r="D101" i="5" s="1"/>
  <c r="J108" i="15"/>
  <c r="CJ72" i="10"/>
  <c r="CJ81" i="10" s="1"/>
  <c r="CJ52" i="10"/>
  <c r="CI53" i="12"/>
  <c r="CI62" i="12"/>
  <c r="CI180" i="7"/>
  <c r="CI63" i="12" s="1"/>
  <c r="CJ43" i="10"/>
  <c r="CJ46" i="6"/>
  <c r="CJ47" i="6" s="1"/>
  <c r="CK45" i="6" s="1"/>
  <c r="CJ113" i="7"/>
  <c r="CJ160" i="7" l="1"/>
  <c r="CJ162" i="7" s="1"/>
  <c r="L147" i="9"/>
  <c r="L149" i="9" s="1"/>
  <c r="CK96" i="7"/>
  <c r="CK98" i="7" s="1"/>
  <c r="D91" i="7"/>
  <c r="D96" i="7" s="1"/>
  <c r="F78" i="9"/>
  <c r="G78" i="9"/>
  <c r="G83" i="9" s="1"/>
  <c r="H78" i="9"/>
  <c r="H83" i="9" s="1"/>
  <c r="I78" i="9"/>
  <c r="I83" i="9" s="1"/>
  <c r="J78" i="9"/>
  <c r="J83" i="9" s="1"/>
  <c r="K78" i="9"/>
  <c r="K83" i="9" s="1"/>
  <c r="L78" i="9"/>
  <c r="L83" i="9" s="1"/>
  <c r="M78" i="9"/>
  <c r="M83" i="9" s="1"/>
  <c r="CJ115" i="7"/>
  <c r="CJ123" i="7" s="1"/>
  <c r="CJ127" i="7" s="1"/>
  <c r="CJ130" i="7" s="1"/>
  <c r="CI61" i="12"/>
  <c r="CI152" i="7"/>
  <c r="CI69" i="12"/>
  <c r="CJ82" i="10"/>
  <c r="CJ73" i="10"/>
  <c r="K108" i="15"/>
  <c r="I117" i="15" l="1"/>
  <c r="I118" i="15" s="1"/>
  <c r="K85" i="9"/>
  <c r="G85" i="9"/>
  <c r="E117" i="15"/>
  <c r="E118" i="15" s="1"/>
  <c r="J85" i="9"/>
  <c r="H117" i="15"/>
  <c r="H118" i="15" s="1"/>
  <c r="F83" i="9"/>
  <c r="D78" i="9"/>
  <c r="CJ147" i="7"/>
  <c r="CK129" i="7"/>
  <c r="CJ134" i="7"/>
  <c r="K117" i="15"/>
  <c r="K118" i="15" s="1"/>
  <c r="M85" i="9"/>
  <c r="I85" i="9"/>
  <c r="I114" i="9" s="1"/>
  <c r="G117" i="15"/>
  <c r="G118" i="15" s="1"/>
  <c r="G131" i="15" s="1"/>
  <c r="CJ53" i="12"/>
  <c r="CJ180" i="7"/>
  <c r="CJ63" i="12" s="1"/>
  <c r="CJ62" i="12"/>
  <c r="CI42" i="12"/>
  <c r="CI44" i="12" s="1"/>
  <c r="CI67" i="12"/>
  <c r="CI154" i="7"/>
  <c r="CI68" i="12"/>
  <c r="J117" i="15"/>
  <c r="J118" i="15" s="1"/>
  <c r="L85" i="9"/>
  <c r="H85" i="9"/>
  <c r="F117" i="15"/>
  <c r="F118" i="15" s="1"/>
  <c r="CK37" i="6"/>
  <c r="CK39" i="10"/>
  <c r="D98" i="7"/>
  <c r="J106" i="15"/>
  <c r="J109" i="15" s="1"/>
  <c r="L167" i="9"/>
  <c r="L171" i="9" s="1"/>
  <c r="D117" i="15" l="1"/>
  <c r="F85" i="9"/>
  <c r="D83" i="9"/>
  <c r="CK66" i="10"/>
  <c r="CK42" i="10"/>
  <c r="D39" i="10"/>
  <c r="D42" i="10" s="1"/>
  <c r="G179" i="9"/>
  <c r="H179" i="9"/>
  <c r="H182" i="9" s="1"/>
  <c r="J179" i="9"/>
  <c r="J182" i="9" s="1"/>
  <c r="K179" i="9"/>
  <c r="K182" i="9" s="1"/>
  <c r="L179" i="9"/>
  <c r="L182" i="9" s="1"/>
  <c r="M179" i="9"/>
  <c r="M182" i="9" s="1"/>
  <c r="CI184" i="7"/>
  <c r="CI54" i="12"/>
  <c r="CK39" i="6"/>
  <c r="D37" i="6"/>
  <c r="D39" i="6" s="1"/>
  <c r="CJ152" i="7"/>
  <c r="CJ69" i="12"/>
  <c r="CJ61" i="12"/>
  <c r="CI56" i="12"/>
  <c r="CI55" i="12"/>
  <c r="CJ154" i="7" l="1"/>
  <c r="CJ67" i="12"/>
  <c r="CJ42" i="12"/>
  <c r="CJ44" i="12" s="1"/>
  <c r="CJ68" i="12"/>
  <c r="CK52" i="6"/>
  <c r="CK57" i="6" s="1"/>
  <c r="D43" i="10"/>
  <c r="F56" i="10"/>
  <c r="F192" i="9" s="1"/>
  <c r="E42" i="15" s="1"/>
  <c r="CK51" i="10"/>
  <c r="CK43" i="10"/>
  <c r="D85" i="9"/>
  <c r="CK72" i="10"/>
  <c r="D66" i="10"/>
  <c r="D72" i="10" s="1"/>
  <c r="G202" i="9"/>
  <c r="H202" i="9"/>
  <c r="H208" i="9" s="1"/>
  <c r="J202" i="9"/>
  <c r="J208" i="9" s="1"/>
  <c r="K202" i="9"/>
  <c r="K208" i="9" s="1"/>
  <c r="L202" i="9"/>
  <c r="L208" i="9" s="1"/>
  <c r="M202" i="9"/>
  <c r="M208" i="9" s="1"/>
  <c r="D118" i="15"/>
  <c r="C117" i="15"/>
  <c r="D179" i="9"/>
  <c r="G182" i="9"/>
  <c r="D182" i="9" l="1"/>
  <c r="D183" i="9" s="1"/>
  <c r="G183" i="9"/>
  <c r="H183" i="9" s="1"/>
  <c r="I183" i="9" s="1"/>
  <c r="J183" i="9" s="1"/>
  <c r="K183" i="9" s="1"/>
  <c r="L183" i="9" s="1"/>
  <c r="M183" i="9" s="1"/>
  <c r="D202" i="9"/>
  <c r="G208" i="9"/>
  <c r="CJ55" i="12"/>
  <c r="CJ56" i="12"/>
  <c r="F86" i="10"/>
  <c r="F218" i="9" s="1"/>
  <c r="G42" i="15" s="1"/>
  <c r="D73" i="10"/>
  <c r="G89" i="10"/>
  <c r="D57" i="6"/>
  <c r="D58" i="6" s="1"/>
  <c r="CK58" i="6"/>
  <c r="C118" i="15"/>
  <c r="CK81" i="10"/>
  <c r="CK73" i="10"/>
  <c r="D51" i="10"/>
  <c r="G187" i="9"/>
  <c r="H187" i="9"/>
  <c r="J187" i="9"/>
  <c r="K187" i="9"/>
  <c r="L187" i="9"/>
  <c r="M187" i="9"/>
  <c r="CK52" i="10"/>
  <c r="CK46" i="6"/>
  <c r="CK113" i="7"/>
  <c r="D52" i="6"/>
  <c r="D53" i="6" s="1"/>
  <c r="CK53" i="6"/>
  <c r="CK160" i="7" s="1"/>
  <c r="CJ184" i="7"/>
  <c r="CJ54" i="12"/>
  <c r="F213" i="9" l="1"/>
  <c r="D81" i="10"/>
  <c r="G213" i="9"/>
  <c r="H213" i="9"/>
  <c r="J213" i="9"/>
  <c r="K213" i="9"/>
  <c r="L213" i="9"/>
  <c r="M213" i="9"/>
  <c r="CK82" i="10"/>
  <c r="D208" i="9"/>
  <c r="D209" i="9" s="1"/>
  <c r="G209" i="9"/>
  <c r="H209" i="9" s="1"/>
  <c r="I209" i="9" s="1"/>
  <c r="J209" i="9" s="1"/>
  <c r="K209" i="9" s="1"/>
  <c r="L209" i="9" s="1"/>
  <c r="M209" i="9" s="1"/>
  <c r="G188" i="9"/>
  <c r="I188" i="9" s="1"/>
  <c r="K188" i="9" s="1"/>
  <c r="M188" i="9" s="1"/>
  <c r="D187" i="9"/>
  <c r="G221" i="9"/>
  <c r="D52" i="10"/>
  <c r="F57" i="10"/>
  <c r="CK115" i="7"/>
  <c r="CK123" i="7" s="1"/>
  <c r="F100" i="9"/>
  <c r="D113" i="7"/>
  <c r="D115" i="7" s="1"/>
  <c r="G100" i="9"/>
  <c r="G102" i="9" s="1"/>
  <c r="H100" i="9"/>
  <c r="H102" i="9" s="1"/>
  <c r="J100" i="9"/>
  <c r="J102" i="9" s="1"/>
  <c r="K100" i="9"/>
  <c r="K102" i="9" s="1"/>
  <c r="L100" i="9"/>
  <c r="L102" i="9" s="1"/>
  <c r="M100" i="9"/>
  <c r="M102" i="9" s="1"/>
  <c r="D46" i="6"/>
  <c r="D47" i="6" s="1"/>
  <c r="CK47" i="6"/>
  <c r="M147" i="9"/>
  <c r="M149" i="9" s="1"/>
  <c r="CK162" i="7"/>
  <c r="H126" i="15" l="1"/>
  <c r="J110" i="9"/>
  <c r="J114" i="9" s="1"/>
  <c r="F102" i="9"/>
  <c r="D100" i="9"/>
  <c r="G51" i="15" s="1"/>
  <c r="CK62" i="12"/>
  <c r="CK180" i="7"/>
  <c r="CK63" i="12" s="1"/>
  <c r="CK53" i="12"/>
  <c r="F126" i="15"/>
  <c r="F128" i="15" s="1"/>
  <c r="F131" i="15" s="1"/>
  <c r="H110" i="9"/>
  <c r="H114" i="9" s="1"/>
  <c r="D123" i="7"/>
  <c r="CK127" i="7"/>
  <c r="K126" i="15"/>
  <c r="K128" i="15" s="1"/>
  <c r="K131" i="15" s="1"/>
  <c r="M110" i="9"/>
  <c r="M114" i="9" s="1"/>
  <c r="J126" i="15"/>
  <c r="J128" i="15" s="1"/>
  <c r="J131" i="15" s="1"/>
  <c r="L110" i="9"/>
  <c r="L114" i="9" s="1"/>
  <c r="E126" i="15"/>
  <c r="E128" i="15" s="1"/>
  <c r="E131" i="15" s="1"/>
  <c r="G110" i="9"/>
  <c r="G114" i="9" s="1"/>
  <c r="G117" i="9" s="1"/>
  <c r="I116" i="9" s="1"/>
  <c r="I117" i="9" s="1"/>
  <c r="K116" i="9" s="1"/>
  <c r="E33" i="11"/>
  <c r="F193" i="9"/>
  <c r="E43" i="15" s="1"/>
  <c r="F87" i="10"/>
  <c r="F219" i="9" s="1"/>
  <c r="G43" i="15" s="1"/>
  <c r="D82" i="10"/>
  <c r="G90" i="10"/>
  <c r="K106" i="15"/>
  <c r="K109" i="15" s="1"/>
  <c r="M167" i="9"/>
  <c r="K110" i="9"/>
  <c r="K114" i="9" s="1"/>
  <c r="I126" i="15"/>
  <c r="I128" i="15" s="1"/>
  <c r="I131" i="15" s="1"/>
  <c r="D188" i="9"/>
  <c r="F188" i="9" s="1"/>
  <c r="H188" i="9" s="1"/>
  <c r="J188" i="9" s="1"/>
  <c r="L188" i="9" s="1"/>
  <c r="E226" i="9"/>
  <c r="E18" i="13" s="1"/>
  <c r="F18" i="13" s="1"/>
  <c r="F214" i="9"/>
  <c r="G214" i="9" s="1"/>
  <c r="H214" i="9" s="1"/>
  <c r="I214" i="9" s="1"/>
  <c r="J214" i="9" s="1"/>
  <c r="K214" i="9" s="1"/>
  <c r="L214" i="9" s="1"/>
  <c r="M214" i="9" s="1"/>
  <c r="D213" i="9"/>
  <c r="K117" i="9" l="1"/>
  <c r="M116" i="9" s="1"/>
  <c r="G53" i="15"/>
  <c r="H51" i="15" s="1"/>
  <c r="CK130" i="7"/>
  <c r="D127" i="7"/>
  <c r="D130" i="7" s="1"/>
  <c r="D126" i="15"/>
  <c r="D128" i="15" s="1"/>
  <c r="F110" i="9"/>
  <c r="D102" i="9"/>
  <c r="E227" i="9"/>
  <c r="E19" i="13" s="1"/>
  <c r="F19" i="13" s="1"/>
  <c r="D214" i="9"/>
  <c r="G222" i="9"/>
  <c r="E37" i="11"/>
  <c r="M117" i="9"/>
  <c r="C126" i="15"/>
  <c r="H128" i="15"/>
  <c r="H131" i="15" s="1"/>
  <c r="CK147" i="7" l="1"/>
  <c r="CK134" i="7"/>
  <c r="E134" i="7" s="1"/>
  <c r="E15" i="13" s="1"/>
  <c r="F15" i="13" s="1"/>
  <c r="D110" i="9"/>
  <c r="F114" i="9"/>
  <c r="C128" i="15"/>
  <c r="D131" i="15"/>
  <c r="C52" i="15"/>
  <c r="C53" i="15" s="1"/>
  <c r="H52" i="15"/>
  <c r="H53" i="15" s="1"/>
  <c r="F117" i="9" l="1"/>
  <c r="H116" i="9" s="1"/>
  <c r="H117" i="9" s="1"/>
  <c r="J116" i="9" s="1"/>
  <c r="J117" i="9" s="1"/>
  <c r="L116" i="9" s="1"/>
  <c r="L117" i="9" s="1"/>
  <c r="D114" i="9"/>
  <c r="E121" i="9" s="1"/>
  <c r="E14" i="13" s="1"/>
  <c r="D133" i="15"/>
  <c r="E132" i="15" s="1"/>
  <c r="E133" i="15" s="1"/>
  <c r="F132" i="15" s="1"/>
  <c r="F133" i="15" s="1"/>
  <c r="G132" i="15" s="1"/>
  <c r="G133" i="15" s="1"/>
  <c r="H132" i="15" s="1"/>
  <c r="H133" i="15" s="1"/>
  <c r="I132" i="15" s="1"/>
  <c r="I133" i="15" s="1"/>
  <c r="J132" i="15" s="1"/>
  <c r="J133" i="15" s="1"/>
  <c r="K132" i="15" s="1"/>
  <c r="K133" i="15" s="1"/>
  <c r="C131" i="15"/>
  <c r="C133" i="15" s="1"/>
  <c r="CK152" i="7"/>
  <c r="CK69" i="12"/>
  <c r="M134" i="9"/>
  <c r="M139" i="9" s="1"/>
  <c r="CK61" i="12"/>
  <c r="F14" i="13" l="1"/>
  <c r="M141" i="9"/>
  <c r="M171" i="9" s="1"/>
  <c r="K102" i="15"/>
  <c r="K103" i="15" s="1"/>
  <c r="CK42" i="12"/>
  <c r="CK44" i="12" s="1"/>
  <c r="CK67" i="12"/>
  <c r="CK154" i="7"/>
  <c r="CK68" i="12"/>
  <c r="CK184" i="7" l="1"/>
  <c r="E184" i="7" s="1"/>
  <c r="E16" i="13" s="1"/>
  <c r="CK54" i="12"/>
  <c r="CK55" i="12"/>
  <c r="CK56" i="12"/>
  <c r="F16" i="13" l="1"/>
  <c r="E20" i="13"/>
  <c r="K2" i="6" l="1"/>
  <c r="K2" i="1"/>
  <c r="C12" i="15" s="1"/>
  <c r="K2" i="8"/>
  <c r="L2" i="11"/>
  <c r="H2" i="15"/>
  <c r="K2" i="10"/>
  <c r="K2" i="12"/>
  <c r="K2" i="4"/>
  <c r="J2" i="9"/>
  <c r="K2" i="3"/>
  <c r="F20" i="13"/>
  <c r="K2" i="2"/>
  <c r="K2" i="5"/>
  <c r="K2" i="7"/>
</calcChain>
</file>

<file path=xl/sharedStrings.xml><?xml version="1.0" encoding="utf-8"?>
<sst xmlns="http://schemas.openxmlformats.org/spreadsheetml/2006/main" count="1214" uniqueCount="765">
  <si>
    <t>Временные предпосылки</t>
  </si>
  <si>
    <t>Инвестиции</t>
  </si>
  <si>
    <t>Окончание</t>
  </si>
  <si>
    <t>Начальная дата</t>
  </si>
  <si>
    <t>Временные параметры</t>
  </si>
  <si>
    <t>Этапы проекта</t>
  </si>
  <si>
    <t>Календарный год</t>
  </si>
  <si>
    <t>Дней в периоде</t>
  </si>
  <si>
    <t>№ периода</t>
  </si>
  <si>
    <t>№ месяца</t>
  </si>
  <si>
    <t>Капитальные вложения</t>
  </si>
  <si>
    <t>ИТОГО</t>
  </si>
  <si>
    <t>Пусто</t>
  </si>
  <si>
    <t>Текущая деятельность</t>
  </si>
  <si>
    <t>Цены</t>
  </si>
  <si>
    <t>Переменные затраты</t>
  </si>
  <si>
    <t>Постоянные затраты</t>
  </si>
  <si>
    <t>Фонд оплаты труда</t>
  </si>
  <si>
    <t>Количество персонала</t>
  </si>
  <si>
    <t>чел.</t>
  </si>
  <si>
    <t>Ставка ЗП</t>
  </si>
  <si>
    <t>Ставки страховых взносов</t>
  </si>
  <si>
    <t>Ставка до предельной суммы</t>
  </si>
  <si>
    <t>Ставка после предельной суммы</t>
  </si>
  <si>
    <t>Финансирование</t>
  </si>
  <si>
    <t>Собственный и заемный капитал</t>
  </si>
  <si>
    <t>Ставка дисконтирования</t>
  </si>
  <si>
    <t>Постпрогнозный период</t>
  </si>
  <si>
    <t>Ставки налогов</t>
  </si>
  <si>
    <t>Налог на прибыль</t>
  </si>
  <si>
    <t>Налог на имущество</t>
  </si>
  <si>
    <t>Налоги и взносы</t>
  </si>
  <si>
    <t>Чистый оборотный капитал</t>
  </si>
  <si>
    <t>Запасы</t>
  </si>
  <si>
    <t>Дебиторская задолженность</t>
  </si>
  <si>
    <t>Кредиторская задолженность</t>
  </si>
  <si>
    <t>Инфляция цен</t>
  </si>
  <si>
    <t>Инфляция постоянных затрат</t>
  </si>
  <si>
    <t>Название проекта</t>
  </si>
  <si>
    <t>Годовая инфляция</t>
  </si>
  <si>
    <t>Инфляция периода</t>
  </si>
  <si>
    <t>Накопленная инфляция</t>
  </si>
  <si>
    <t>Темпы роста объемов продаж</t>
  </si>
  <si>
    <t>Объемы продаж</t>
  </si>
  <si>
    <t>Годовой темп роста</t>
  </si>
  <si>
    <t>Темп роста периода</t>
  </si>
  <si>
    <t>Накопленный темп роста</t>
  </si>
  <si>
    <t>№ операционного периода</t>
  </si>
  <si>
    <t>Выручка</t>
  </si>
  <si>
    <t>Текущие расходы</t>
  </si>
  <si>
    <t>Итого</t>
  </si>
  <si>
    <t>Инфляция заработной платы</t>
  </si>
  <si>
    <t>Заработная плата</t>
  </si>
  <si>
    <t>НДФЛ</t>
  </si>
  <si>
    <t>Капитальные затраты</t>
  </si>
  <si>
    <t>График оплаты инвестиций</t>
  </si>
  <si>
    <t>Амортизация</t>
  </si>
  <si>
    <t>Сальдо на начало периода</t>
  </si>
  <si>
    <t>Сальдо на конец периода</t>
  </si>
  <si>
    <t>Налоги</t>
  </si>
  <si>
    <t>Налог на добавленную стоимость</t>
  </si>
  <si>
    <t>Инфляция капитальных затрат</t>
  </si>
  <si>
    <t>НДС по выручке</t>
  </si>
  <si>
    <t>НДС по текущим затратам</t>
  </si>
  <si>
    <t>НДС по капитальным затратам</t>
  </si>
  <si>
    <t>НДС к уплате</t>
  </si>
  <si>
    <t>НДС на конец периода</t>
  </si>
  <si>
    <t>Ставка налога на прибыль</t>
  </si>
  <si>
    <t>Налоговая база</t>
  </si>
  <si>
    <t>Прибыль до налогообложения</t>
  </si>
  <si>
    <t>Убытки прошлых периодов</t>
  </si>
  <si>
    <t>Налогооблагаемая прибыль</t>
  </si>
  <si>
    <t>Начисление налога</t>
  </si>
  <si>
    <t>Выплата налога</t>
  </si>
  <si>
    <t>Маржинальный доход</t>
  </si>
  <si>
    <t>EBITDA</t>
  </si>
  <si>
    <t>EBIT</t>
  </si>
  <si>
    <t>Обслуживание долга</t>
  </si>
  <si>
    <t>Чистая прибыль</t>
  </si>
  <si>
    <t>Операционная деятельность</t>
  </si>
  <si>
    <t>Притоки по операционной деятельности</t>
  </si>
  <si>
    <t>Оттоки по операционной деятельности</t>
  </si>
  <si>
    <t>Инвестиционная деятельность</t>
  </si>
  <si>
    <t>Оттоки по инвестиционной деятельности</t>
  </si>
  <si>
    <t>Финансовая деятельность</t>
  </si>
  <si>
    <t>Притоки по финансовой деятельности</t>
  </si>
  <si>
    <t>Привлечение займов и кредитов</t>
  </si>
  <si>
    <t>Оттоки по финансовой деятельности</t>
  </si>
  <si>
    <t>Выплата процентов по долгу</t>
  </si>
  <si>
    <t>Чистое изменение денежных средств</t>
  </si>
  <si>
    <t xml:space="preserve">Итого  </t>
  </si>
  <si>
    <t xml:space="preserve">Итого </t>
  </si>
  <si>
    <t>Оборотный капитал</t>
  </si>
  <si>
    <t>Прирост</t>
  </si>
  <si>
    <t>Использование</t>
  </si>
  <si>
    <t>Ставка налога на имущество (год)</t>
  </si>
  <si>
    <t>Денежный поток до финансирования</t>
  </si>
  <si>
    <t>Сальдо на начало</t>
  </si>
  <si>
    <t>Привлечение капитала</t>
  </si>
  <si>
    <t>Сальдо на конец</t>
  </si>
  <si>
    <t>Заемный капитал</t>
  </si>
  <si>
    <t>Привлечение долга</t>
  </si>
  <si>
    <t>Денежный поток до привлечения долга</t>
  </si>
  <si>
    <t>Начисление процентов</t>
  </si>
  <si>
    <t>Уплата процентов</t>
  </si>
  <si>
    <t>Процентная ставка (в год)</t>
  </si>
  <si>
    <t>Процентная ставка (за период)</t>
  </si>
  <si>
    <t>Погашение долга</t>
  </si>
  <si>
    <t>Оборотные активы</t>
  </si>
  <si>
    <t>Денежные средства</t>
  </si>
  <si>
    <t xml:space="preserve">Дебиторская задолженность </t>
  </si>
  <si>
    <t>Задолженность бюджета по НДС</t>
  </si>
  <si>
    <t>Итого оборотных активов</t>
  </si>
  <si>
    <t>Внеоборотные активы</t>
  </si>
  <si>
    <t>Основные средства</t>
  </si>
  <si>
    <t>Итого внеоборотных активов</t>
  </si>
  <si>
    <t>ИТОГО АКТИВЫ</t>
  </si>
  <si>
    <t>Текущие обязательства</t>
  </si>
  <si>
    <t>Задолженность по процентам</t>
  </si>
  <si>
    <t>Задолженность перед бюджетом по НДС</t>
  </si>
  <si>
    <t>Итого текущих обязательств</t>
  </si>
  <si>
    <t>Долгосрочные обязательства</t>
  </si>
  <si>
    <t>Долгосрочные займы и кредиты</t>
  </si>
  <si>
    <t>Итого долгосрочных обязательств</t>
  </si>
  <si>
    <t>Капитал и резервы</t>
  </si>
  <si>
    <t>Нераспределенная прибыль</t>
  </si>
  <si>
    <t>Итого капитал</t>
  </si>
  <si>
    <t>Проверка баланса</t>
  </si>
  <si>
    <t>Задолженность по налогам и сборам</t>
  </si>
  <si>
    <t>Чистая прибыль / (убыток)</t>
  </si>
  <si>
    <t>Справочно: нераспределенная прибыль</t>
  </si>
  <si>
    <t>Норма амортизации (за период)</t>
  </si>
  <si>
    <t>(-)  увеличение дебиторской задолженности</t>
  </si>
  <si>
    <t>Средняя стоимость основных средств за период</t>
  </si>
  <si>
    <t>(+) НДС по выручке</t>
  </si>
  <si>
    <t>(-) увеличение запасов</t>
  </si>
  <si>
    <t>(+) увеличение кредиторской задолженности</t>
  </si>
  <si>
    <t>(-) НДС по операционным расходам</t>
  </si>
  <si>
    <t>Проценты по кредиту</t>
  </si>
  <si>
    <t>Страховые взносы</t>
  </si>
  <si>
    <t>Индексация зарплат</t>
  </si>
  <si>
    <t>Период</t>
  </si>
  <si>
    <t>Начисление и уплата</t>
  </si>
  <si>
    <t>Начисление взносов</t>
  </si>
  <si>
    <t>Уплата взносов</t>
  </si>
  <si>
    <t>Денежный поток проекта</t>
  </si>
  <si>
    <t xml:space="preserve">Инвестиционная деятельность </t>
  </si>
  <si>
    <t>Терминальная стоимость</t>
  </si>
  <si>
    <t>Ставка дисконтирования (годовая)</t>
  </si>
  <si>
    <t>Ставка дисконтирования за период</t>
  </si>
  <si>
    <t>Коэффициент дисконтирования</t>
  </si>
  <si>
    <t>Дисконтированный денежный поток</t>
  </si>
  <si>
    <t>Показатели эффективности проекта</t>
  </si>
  <si>
    <t>Внутренняя норма доходности (IRR)</t>
  </si>
  <si>
    <t>Погашение займов и кредитов</t>
  </si>
  <si>
    <t>Налоговый щит</t>
  </si>
  <si>
    <t>Стоимость ЗК (после налогов)</t>
  </si>
  <si>
    <t>Доля ЗК</t>
  </si>
  <si>
    <t>NOPAT</t>
  </si>
  <si>
    <t>Стоимость капитала (WACC)</t>
  </si>
  <si>
    <t xml:space="preserve">Терминальная стоимость </t>
  </si>
  <si>
    <t>Долгосрочный долг</t>
  </si>
  <si>
    <t>Показатели эффективности акционерного капитала</t>
  </si>
  <si>
    <t>Оценка эффективности инвестиций</t>
  </si>
  <si>
    <t>Инвестированный капитал</t>
  </si>
  <si>
    <t>Внеоборотный капитал</t>
  </si>
  <si>
    <t>Коэффициенты</t>
  </si>
  <si>
    <t>Показатели рентабельности</t>
  </si>
  <si>
    <t>Показатели долговой нагрузки</t>
  </si>
  <si>
    <t>НДС к вычету</t>
  </si>
  <si>
    <t>Дней в году</t>
  </si>
  <si>
    <t>Номер сценария</t>
  </si>
  <si>
    <t>Название сценария</t>
  </si>
  <si>
    <t>Объем продаж</t>
  </si>
  <si>
    <t>Цена</t>
  </si>
  <si>
    <t>Оптимист</t>
  </si>
  <si>
    <t>Пессимист</t>
  </si>
  <si>
    <t>Таблица сценариев</t>
  </si>
  <si>
    <t>Базовый</t>
  </si>
  <si>
    <t>Сигналы</t>
  </si>
  <si>
    <t>Критерий</t>
  </si>
  <si>
    <t>Значение</t>
  </si>
  <si>
    <t>Предпосылки</t>
  </si>
  <si>
    <t>Оглавление</t>
  </si>
  <si>
    <t>Переменные и постоянные затраты</t>
  </si>
  <si>
    <t>Стоимость ЗК (до налогов)</t>
  </si>
  <si>
    <t>Сводные показатели проекта</t>
  </si>
  <si>
    <t>Краткая информация о проекте</t>
  </si>
  <si>
    <t>Доля</t>
  </si>
  <si>
    <t>Отчет</t>
  </si>
  <si>
    <t>Сценарии</t>
  </si>
  <si>
    <t xml:space="preserve">Начало </t>
  </si>
  <si>
    <t>Описание проекта</t>
  </si>
  <si>
    <t>Итого финансирование</t>
  </si>
  <si>
    <t>Перменные затраты</t>
  </si>
  <si>
    <t>Активы</t>
  </si>
  <si>
    <t>Итого активы</t>
  </si>
  <si>
    <t>Итого обязательства и капитал</t>
  </si>
  <si>
    <t>Притоки</t>
  </si>
  <si>
    <t xml:space="preserve">Оттоки </t>
  </si>
  <si>
    <t xml:space="preserve">Денежный поток </t>
  </si>
  <si>
    <t>Чистое изменение д/с</t>
  </si>
  <si>
    <t>Название компании</t>
  </si>
  <si>
    <t>ЗП и прочие расходы</t>
  </si>
  <si>
    <t>Коэффициент текущей ликвидности</t>
  </si>
  <si>
    <t>Коэффициент быстрой ликвидности</t>
  </si>
  <si>
    <t>Коэффициент абсолютной ликвидности</t>
  </si>
  <si>
    <t>Показатели ликвидности</t>
  </si>
  <si>
    <t>Инвестиции в оборотный капитал</t>
  </si>
  <si>
    <t>Проверка</t>
  </si>
  <si>
    <t>Итого инвестиции</t>
  </si>
  <si>
    <t>Графики и диаграммы</t>
  </si>
  <si>
    <t>Начало периода</t>
  </si>
  <si>
    <t>Конец периода</t>
  </si>
  <si>
    <t>Число периодов на листе</t>
  </si>
  <si>
    <t>Капзатраты оплачены полностью</t>
  </si>
  <si>
    <t>Срок проекта не больше горизонта планирования</t>
  </si>
  <si>
    <t>Ставка</t>
  </si>
  <si>
    <t>Начисление НДФЛ</t>
  </si>
  <si>
    <t>Уплата НДФЛ</t>
  </si>
  <si>
    <t>Окончание квартала</t>
  </si>
  <si>
    <t>Выплачено в бюджет</t>
  </si>
  <si>
    <t>Исчисленная сумма налога</t>
  </si>
  <si>
    <t>Возмещено из бюджета</t>
  </si>
  <si>
    <t>Календарный квартал</t>
  </si>
  <si>
    <t>Месяц с начала квартала</t>
  </si>
  <si>
    <t>Расчет налога на прибыль по кварталам</t>
  </si>
  <si>
    <t>Сальдо на конец квартала</t>
  </si>
  <si>
    <t>Задолженность бюджета по НДС (резерв до подачи налоговой декларации)</t>
  </si>
  <si>
    <t>Задолженность перед бюджетом по НДС (резерв до подачи налоговой декларации)</t>
  </si>
  <si>
    <t>Прирост резерва</t>
  </si>
  <si>
    <t>Списание резерва</t>
  </si>
  <si>
    <t>Переменные материальные затраты</t>
  </si>
  <si>
    <t>Переменные нематериальные затраты</t>
  </si>
  <si>
    <t>Перменные материальные затраты</t>
  </si>
  <si>
    <t>Перменные нематериальные затраты</t>
  </si>
  <si>
    <t>График оплаты складских остатков</t>
  </si>
  <si>
    <t>Количество месяцев в году</t>
  </si>
  <si>
    <t>Количество кварталов в году</t>
  </si>
  <si>
    <t>Количество месяцев в квартале</t>
  </si>
  <si>
    <t>Описание компании и проекта</t>
  </si>
  <si>
    <t>Период планирования</t>
  </si>
  <si>
    <t>календарный месяц</t>
  </si>
  <si>
    <t>планирование проекта начинается с месяца следующего за этой датой</t>
  </si>
  <si>
    <t>укажите название компании, оно будет отражено в сводном отчете по проекту</t>
  </si>
  <si>
    <t>укажите название проекта, оно будет отражено в сводном отчете по проекту</t>
  </si>
  <si>
    <t>добавьте описание проекта, оно будет отражено в сводном отчете по проекту</t>
  </si>
  <si>
    <t>Фаза проекта</t>
  </si>
  <si>
    <t>Длительность периода</t>
  </si>
  <si>
    <t>Окончание периода</t>
  </si>
  <si>
    <t>Операции</t>
  </si>
  <si>
    <t>дата окончания каждого периода определяется автоматически</t>
  </si>
  <si>
    <t>Проверка горизонта</t>
  </si>
  <si>
    <t>суммарная продолжительность всех фаз проекта не должна превышать заложенный горизонт планирования</t>
  </si>
  <si>
    <t>технический параметр, используется в расчетах</t>
  </si>
  <si>
    <t>Валюта расчетов</t>
  </si>
  <si>
    <t>Кратность расчетов</t>
  </si>
  <si>
    <t>руб.</t>
  </si>
  <si>
    <t>укажите валюту расчетов</t>
  </si>
  <si>
    <t>укажите кратность расчетов</t>
  </si>
  <si>
    <t>определяется автоматически, используется во всей модели</t>
  </si>
  <si>
    <t>Ед.измерения денежных потоков</t>
  </si>
  <si>
    <t>Стоимость (базовый сценарий)</t>
  </si>
  <si>
    <t>Стоимость (текущий сценарий)</t>
  </si>
  <si>
    <t>Текущий сценарий:</t>
  </si>
  <si>
    <t>Влияние сценария</t>
  </si>
  <si>
    <t>Наименование</t>
  </si>
  <si>
    <t>Номер периода с начала проекта</t>
  </si>
  <si>
    <t>Итого оплата, %</t>
  </si>
  <si>
    <t>График оплаты капитальных вложений, в %</t>
  </si>
  <si>
    <t>Срок полезного использования (лет)</t>
  </si>
  <si>
    <t>Норма амортизации, % в год</t>
  </si>
  <si>
    <t>единый срок службы для всего оборудования</t>
  </si>
  <si>
    <t>рассчитывается автоматически</t>
  </si>
  <si>
    <t>дата начала каждого периода определяется автоматически: инвестиции в месяце следующем за начальной датой, операции сразу после инвестиций</t>
  </si>
  <si>
    <t>Вложения в начальные складские остатки</t>
  </si>
  <si>
    <t>Затраты на первоначальный склад</t>
  </si>
  <si>
    <t>если инфляция не влияет на размер капитальных затрат (например, контракты уже подписаны), оставьте инфляцию равной 0</t>
  </si>
  <si>
    <t>если инфляция не влияет на размер вложений в склад (например, контракты уже подписаны), оставьте инфляцию равной 0</t>
  </si>
  <si>
    <t>Размер капитальных вложений в текущих ценах</t>
  </si>
  <si>
    <t>Размер вложений в складские остатки в текущих ценах</t>
  </si>
  <si>
    <t>поступление на склады материалов, необходимых для начала операционной деятельности, будет запланировано на последний месяц инвестиционной фазы</t>
  </si>
  <si>
    <t>все капитальные затраты будут поставлены на баланс как основные средства в последний месяц инвестиционной фазы по полной номинальной стоимости</t>
  </si>
  <si>
    <t>укажите капитальные вложения в текущих ценах (для базового сценария)</t>
  </si>
  <si>
    <t>укажите график оплаты капитальных вложений, при расчете платежей их размер будет корректироваться на инфляцию капитальных затрат</t>
  </si>
  <si>
    <t>Платежи по капитальным затратам</t>
  </si>
  <si>
    <t>Авансы по капитальным затратам</t>
  </si>
  <si>
    <t>Задолженность по капитальным затратам</t>
  </si>
  <si>
    <t>Поступление оборудования</t>
  </si>
  <si>
    <t>Прочие краткосрочные обязательства</t>
  </si>
  <si>
    <t>Платежи по вложениям в склад</t>
  </si>
  <si>
    <t>Вложения в склад оплачены полностью</t>
  </si>
  <si>
    <t>Инфляция цен материалов, необходимых для начала деятельности</t>
  </si>
  <si>
    <t>Задолженность по материалам</t>
  </si>
  <si>
    <t>Платежи за материалы</t>
  </si>
  <si>
    <t>Поступление материалов</t>
  </si>
  <si>
    <t>Авансы по материалам</t>
  </si>
  <si>
    <t>Расход материалов и запасов</t>
  </si>
  <si>
    <t>Поступление материалов и запасов</t>
  </si>
  <si>
    <t>Формирование складских остатков для работы в следующем периоде</t>
  </si>
  <si>
    <t>Текущие инвестиции в склады</t>
  </si>
  <si>
    <t>Прочие активы и обязательства, сформированные из-за НДС с авансов</t>
  </si>
  <si>
    <t>(-) первоначальные инвестиции в склад</t>
  </si>
  <si>
    <t>(-) НДС по первоначальным инвестициям в склад</t>
  </si>
  <si>
    <t>укажите суммы вложений в склад (для базового сценария)</t>
  </si>
  <si>
    <t>укажите график оплаты первоначальных вложений в склады, при расчете платежей их размер будет корректироваться на инфляцию цен на материалы</t>
  </si>
  <si>
    <t>Инфляция цен на материалы, для первоначального формирования складов</t>
  </si>
  <si>
    <t>Продажи</t>
  </si>
  <si>
    <t>Цена (базовый сценарий)</t>
  </si>
  <si>
    <t>Ед.измерения продукции</t>
  </si>
  <si>
    <t>укажите единицу измерения продукции</t>
  </si>
  <si>
    <t>Ед.измерения цен продукции</t>
  </si>
  <si>
    <t>Цена (текущий сценарий)</t>
  </si>
  <si>
    <t>укажите продажи в первый месяц операционной фазы, график нарастания рассчитается автоматически</t>
  </si>
  <si>
    <t>укажите средний рост объемов производства на каждый год с начала операционной фазы</t>
  </si>
  <si>
    <t>Темп прироста продаж</t>
  </si>
  <si>
    <t>Продажи (базовый сценарий)</t>
  </si>
  <si>
    <t>Продажи (текущий сценарий)</t>
  </si>
  <si>
    <t>укажите текущие цены на продукцию</t>
  </si>
  <si>
    <t>Затраты (базовый сценарий)</t>
  </si>
  <si>
    <t>Затраты (текущий сценарий)</t>
  </si>
  <si>
    <t>укажите текущие средние ставки переменных затрат на производство одной единицы продукции</t>
  </si>
  <si>
    <t>укажите темп инфляции для каждого года планирования</t>
  </si>
  <si>
    <t>Инфляция переменных материальных затрат</t>
  </si>
  <si>
    <t>Инфляция переменных нематериальных затрат</t>
  </si>
  <si>
    <t>укажите текущие ставки постоянных затрат</t>
  </si>
  <si>
    <t>Должность</t>
  </si>
  <si>
    <t>Ед.изм.</t>
  </si>
  <si>
    <t>Ставки постоянных затрат</t>
  </si>
  <si>
    <t>Номер операционного года</t>
  </si>
  <si>
    <t>Ед.измерения регулярных платежей</t>
  </si>
  <si>
    <t>мес.</t>
  </si>
  <si>
    <t>Период (сокращенно)</t>
  </si>
  <si>
    <t>укажите среднюю численность персонала для каждого операционного года</t>
  </si>
  <si>
    <t>Ставка заработной платы (до вычета налогов)</t>
  </si>
  <si>
    <t>укажите средние заработные платы (с учетом премий) в текущих ценах</t>
  </si>
  <si>
    <t>укажите темп роста заработных плат для каждого года планирования</t>
  </si>
  <si>
    <t>укажите параметры, необходимые для расчета ставки дисконтирования</t>
  </si>
  <si>
    <t>укажите параметры, описывающие развитие проекта за пределом горизонта планирования</t>
  </si>
  <si>
    <t>укажите ставки налогов на каждый год планирования</t>
  </si>
  <si>
    <t>Налог</t>
  </si>
  <si>
    <t>укажите ставку налога на прибыль</t>
  </si>
  <si>
    <t>укажите ставку НДС, в расчетах НДС используется следующий алгоритм: инвестиционные затраты должны быть оплачены до поставки, текущие - после поставки</t>
  </si>
  <si>
    <t>укажите ставку налога на имущество</t>
  </si>
  <si>
    <t>укажите параметры начисления страховых взносов</t>
  </si>
  <si>
    <t>Ставка до предельной суммы, %</t>
  </si>
  <si>
    <t>Ставка после предельной суммы, %</t>
  </si>
  <si>
    <t>Показатель</t>
  </si>
  <si>
    <t>Параметр</t>
  </si>
  <si>
    <t>укажите сумму ФОТ, после которой страховые взносы взимаются по пониженной ставке; при необходимости заложите прогнозный рост этого параметра на уровне инфляции цен или индексации зарплат</t>
  </si>
  <si>
    <t>укажите ставку страховых взносов, действующую при сумме заработной платы меньше предельной суммы ФОТ</t>
  </si>
  <si>
    <t>укажите ставку страховых взносов, действующую для заработной платы, превышающей предельную сумму ФОТ</t>
  </si>
  <si>
    <t>укажите продолжительность оборота каждого из показателей на каждый год, в календарных днях</t>
  </si>
  <si>
    <t>Имена в книге</t>
  </si>
  <si>
    <t>АК_доля</t>
  </si>
  <si>
    <t>=Предпосылки!$D$180</t>
  </si>
  <si>
    <t>АК_лимит</t>
  </si>
  <si>
    <t>=Предпосылки!$D$175</t>
  </si>
  <si>
    <t>АК_стоимость</t>
  </si>
  <si>
    <t>=Предпосылки!$D$179</t>
  </si>
  <si>
    <t>Ед_измерения_денег</t>
  </si>
  <si>
    <t>=Предпосылки!$D$37</t>
  </si>
  <si>
    <t>Ед_измерения_периода</t>
  </si>
  <si>
    <t>=Предпосылки!$C$46</t>
  </si>
  <si>
    <t>Ед_измерения_продукции</t>
  </si>
  <si>
    <t>=Предпосылки!$D$38</t>
  </si>
  <si>
    <t>Ед_измерения_регулярных_платежей</t>
  </si>
  <si>
    <t>=Предпосылки!$D$40</t>
  </si>
  <si>
    <t>Ед_измерения_цен</t>
  </si>
  <si>
    <t>=Предпосылки!$D$39</t>
  </si>
  <si>
    <t>ЗК_стоимость</t>
  </si>
  <si>
    <t>=Предпосылки!$D$181</t>
  </si>
  <si>
    <t>Инвестиции_в_склад_год_инфляции</t>
  </si>
  <si>
    <t>=Предпосылки!$I$98:$P$98</t>
  </si>
  <si>
    <t>Инвестиции_в_склад_график_оплаты</t>
  </si>
  <si>
    <t>=Предпосылки!$J$88:$BQ$93</t>
  </si>
  <si>
    <t>Инвестиции_в_склад_наименования</t>
  </si>
  <si>
    <t>=Предпосылки!$B$88:$B$93</t>
  </si>
  <si>
    <t>Инвестиции_в_склад_суммы</t>
  </si>
  <si>
    <t>=Предпосылки!$F$88:$F$93</t>
  </si>
  <si>
    <t>Инвестиции_в_склад_уровень_инфляции</t>
  </si>
  <si>
    <t>=Предпосылки!$I$99:$P$99</t>
  </si>
  <si>
    <t>Капексы_год_инфляции</t>
  </si>
  <si>
    <t>=Предпосылки!$I$76:$P$76</t>
  </si>
  <si>
    <t>Капексы_график_оплаты</t>
  </si>
  <si>
    <t>=Предпосылки!$J$66:$BQ$71</t>
  </si>
  <si>
    <t>Капексы_наименования</t>
  </si>
  <si>
    <t>=Предпосылки!$B$66:$B$71</t>
  </si>
  <si>
    <t>Капексы_суммы</t>
  </si>
  <si>
    <t>=Предпосылки!$F$66:$F$71</t>
  </si>
  <si>
    <t>Капексы_уровень_инфляции</t>
  </si>
  <si>
    <t>=Предпосылки!$I$77:$P$77</t>
  </si>
  <si>
    <t>Кв_в_году</t>
  </si>
  <si>
    <t>=Предпосылки!$D$55</t>
  </si>
  <si>
    <t>Компания</t>
  </si>
  <si>
    <t>=Предпосылки!$C$7</t>
  </si>
  <si>
    <t>Конец_инвест</t>
  </si>
  <si>
    <t>=Предпосылки!$C$51</t>
  </si>
  <si>
    <t>Конец_тек</t>
  </si>
  <si>
    <t>=Предпосылки!$D$51</t>
  </si>
  <si>
    <t>Мес_в_году</t>
  </si>
  <si>
    <t>=Предпосылки!$D$54</t>
  </si>
  <si>
    <t>Мес_в_кв</t>
  </si>
  <si>
    <t>=Предпосылки!$D$56</t>
  </si>
  <si>
    <t>Налоги_года</t>
  </si>
  <si>
    <t>=Предпосылки!$C$197:$I$197</t>
  </si>
  <si>
    <t>Начало_инвест</t>
  </si>
  <si>
    <t>=Предпосылки!$C$49</t>
  </si>
  <si>
    <t>Начало_тек</t>
  </si>
  <si>
    <t>=Предпосылки!$D$49</t>
  </si>
  <si>
    <t>Начальная_дата</t>
  </si>
  <si>
    <t>=Предпосылки!$C$44</t>
  </si>
  <si>
    <t>НДС_ставки</t>
  </si>
  <si>
    <t>=Предпосылки!$C$198:$I$198</t>
  </si>
  <si>
    <t>НДФЛ_ставки</t>
  </si>
  <si>
    <t>=Предпосылки!$C$201:$I$201</t>
  </si>
  <si>
    <t>НнИ_ставки</t>
  </si>
  <si>
    <t>=Предпосылки!$C$200:$I$200</t>
  </si>
  <si>
    <t>НнП_ставки</t>
  </si>
  <si>
    <t>=Предпосылки!$C$199:$I$199</t>
  </si>
  <si>
    <t>Оборачиваемость_год</t>
  </si>
  <si>
    <t>=Предпосылки!$D$214:$J$214</t>
  </si>
  <si>
    <t>Оборачиваемость_дебиторка</t>
  </si>
  <si>
    <t>=Предпосылки!$D$216:$J$216</t>
  </si>
  <si>
    <t>Оборачиваемость_запасы</t>
  </si>
  <si>
    <t>=Предпосылки!$D$215:$J$215</t>
  </si>
  <si>
    <t>Оборачиваемость_кредиторка</t>
  </si>
  <si>
    <t>=Предпосылки!$D$217:$J$217</t>
  </si>
  <si>
    <t>Оборачиваемость_показатели</t>
  </si>
  <si>
    <t>=Предпосылки!$B$215:$C$217</t>
  </si>
  <si>
    <t>ПМЗ_год_инфляции</t>
  </si>
  <si>
    <t>=Предпосылки!$I$129:$O$129</t>
  </si>
  <si>
    <t>ПМЗ_наименования</t>
  </si>
  <si>
    <t>=Предпосылки!$B$131:$B$133</t>
  </si>
  <si>
    <t>ПМЗ_ставки</t>
  </si>
  <si>
    <t>=Предпосылки!$F$131:$F$133</t>
  </si>
  <si>
    <t>ПМЗ_уровень_инфляции</t>
  </si>
  <si>
    <t>=Предпосылки!$I$130:$O$130</t>
  </si>
  <si>
    <t>ПНЗ_год_инфляции</t>
  </si>
  <si>
    <t>=Предпосылки!$I$137:$O$137</t>
  </si>
  <si>
    <t>ПНЗ_наименования</t>
  </si>
  <si>
    <t>=Предпосылки!$B$139:$B$141</t>
  </si>
  <si>
    <t>ПНЗ_ставки</t>
  </si>
  <si>
    <t>=Предпосылки!$F$139:$F$141</t>
  </si>
  <si>
    <t>ПНЗ_уровень_инфляции</t>
  </si>
  <si>
    <t>=Предпосылки!$I$138:$O$138</t>
  </si>
  <si>
    <t>Постоянные_затраты_год_инфляции</t>
  </si>
  <si>
    <t>=Предпосылки!$I$147:$O$147</t>
  </si>
  <si>
    <t>Постоянные_затраты_наименования</t>
  </si>
  <si>
    <t>=Предпосылки!$B$149:$B$151</t>
  </si>
  <si>
    <t>Постоянные_затраты_суммы</t>
  </si>
  <si>
    <t>=Предпосылки!$F$149:$F$151</t>
  </si>
  <si>
    <t>Постоянные_затраты_уровень_инфляции</t>
  </si>
  <si>
    <t>=Предпосылки!$I$148:$O$148</t>
  </si>
  <si>
    <t>Постпрогноз_NOPAT</t>
  </si>
  <si>
    <t>=Предпосылки!$D$189</t>
  </si>
  <si>
    <t>Постпрогноз_доля_ЗК</t>
  </si>
  <si>
    <t>=Предпосылки!$D$191</t>
  </si>
  <si>
    <t>Продажи_год_инфляции</t>
  </si>
  <si>
    <t>=Предпосылки!$I$117:$O$117</t>
  </si>
  <si>
    <t>Продажи_год_прироста</t>
  </si>
  <si>
    <t>=Предпосылки!$I$107:$O$107</t>
  </si>
  <si>
    <t>Продажи_наименования</t>
  </si>
  <si>
    <t>=Предпосылки!$B$109:$B$113</t>
  </si>
  <si>
    <t>Продажи_натуральное_выражение</t>
  </si>
  <si>
    <t>=Предпосылки!$F$109:$F$113</t>
  </si>
  <si>
    <t>Продажи_уровень_инфляции</t>
  </si>
  <si>
    <t>=Предпосылки!$I$118:$O$118</t>
  </si>
  <si>
    <t>Продажи_уровень_прироста</t>
  </si>
  <si>
    <t>=Предпосылки!$I$108:$O$108</t>
  </si>
  <si>
    <t>Продажи_цены</t>
  </si>
  <si>
    <t>=Предпосылки!$F$119:$F$123</t>
  </si>
  <si>
    <t>Проект</t>
  </si>
  <si>
    <t>=Предпосылки!$C$8</t>
  </si>
  <si>
    <t>Ставка_дисконтирования_постпрогноз</t>
  </si>
  <si>
    <t>=Предпосылки!$D$190</t>
  </si>
  <si>
    <t>Ставка_дисконтирования_прогноз</t>
  </si>
  <si>
    <t>=Предпосылки!$D$185</t>
  </si>
  <si>
    <t>Страховые_взносы_года</t>
  </si>
  <si>
    <t>=Предпосылки!$D$205:$J$205</t>
  </si>
  <si>
    <t>Страховые_взносы_пониженная_ставка</t>
  </si>
  <si>
    <t>=Предпосылки!$D$208:$J$208</t>
  </si>
  <si>
    <t>Страховые_взносы_ставка</t>
  </si>
  <si>
    <t>=Предпосылки!$D$207:$J$207</t>
  </si>
  <si>
    <t>Страховые_взносы_ставка_отсечения</t>
  </si>
  <si>
    <t>=Предпосылки!$D$206:$J$206</t>
  </si>
  <si>
    <t>Сценарий</t>
  </si>
  <si>
    <t>Сценарий_название</t>
  </si>
  <si>
    <t>Сценарий_номера</t>
  </si>
  <si>
    <t>Сценарии_результаты</t>
  </si>
  <si>
    <t>ФОТ_год_инфляции</t>
  </si>
  <si>
    <t>=Предпосылки!$I$165:$O$165</t>
  </si>
  <si>
    <t>ФОТ_должности</t>
  </si>
  <si>
    <t>=Предпосылки!$B$159:$B$161</t>
  </si>
  <si>
    <t>ФОТ_единицы_измерения</t>
  </si>
  <si>
    <t>=Предпосылки!$C$159:$C$161</t>
  </si>
  <si>
    <t>ФОТ_количество_персонала</t>
  </si>
  <si>
    <t>=Предпосылки!$D$159:$J$161</t>
  </si>
  <si>
    <t>ФОТ_операционный_год</t>
  </si>
  <si>
    <t>=Предпосылки!$D$158:$J$158</t>
  </si>
  <si>
    <t>ФОТ_ставки_ЗП</t>
  </si>
  <si>
    <t>=Предпосылки!$C$167:$C$169</t>
  </si>
  <si>
    <t>ФОТ_уровень_инфляции</t>
  </si>
  <si>
    <t>=Предпосылки!$I$166:$O$166</t>
  </si>
  <si>
    <t>Имена</t>
  </si>
  <si>
    <t>Лист_имена</t>
  </si>
  <si>
    <t>Выбор сценария</t>
  </si>
  <si>
    <t>Параметры сценариев</t>
  </si>
  <si>
    <t>укажите отклонение основных показателей проекта от базовых значений, в %</t>
  </si>
  <si>
    <t>Анализ чувствительности проекта к изменению предпосылок</t>
  </si>
  <si>
    <t>EBITDA к выручке</t>
  </si>
  <si>
    <t>Чистая прибыль к выручке</t>
  </si>
  <si>
    <t>Текущий</t>
  </si>
  <si>
    <t>Для работы с таблицей сценариев может потребоваться пересчет книги или листа.
Откройте вкладку "Формулы" и нажмите кнопку "Параметры вычислений". В открывшемся списке выберите "Автоматически".
В режимах "Вручную" и "Автоматически, кроме таблиц данных" на вкладке "Формулы" нажмите кнопку "Пересчитать".</t>
  </si>
  <si>
    <t>При изменении названия сценария убедитесь, что выше выбран существующий сценарий.
Если название сценария, выбранное выше, не будет соответствовать ни одному из названий сценариев в таблице слева, все расчеты будут проводиться по базовому сценарию (номер 1).</t>
  </si>
  <si>
    <t>Проверка:</t>
  </si>
  <si>
    <t>Фазы проекта</t>
  </si>
  <si>
    <t>№ операционного года</t>
  </si>
  <si>
    <t>Название периода</t>
  </si>
  <si>
    <t>выберите сценарий из выпадающего списка</t>
  </si>
  <si>
    <t>Сигнал: капитальные затраты оплачены</t>
  </si>
  <si>
    <t>Сигнал: вложения в склад оплачены</t>
  </si>
  <si>
    <t>Итого, без НДС</t>
  </si>
  <si>
    <t>Доходы от продаж</t>
  </si>
  <si>
    <t>Цены на продукцию</t>
  </si>
  <si>
    <t>Инфляция цен на продукцию</t>
  </si>
  <si>
    <t>Объемы продаж в натуральном выражении</t>
  </si>
  <si>
    <t>Количество персонала, в чел.</t>
  </si>
  <si>
    <t>Заработная плата и страховые взносы</t>
  </si>
  <si>
    <t>Конец налогового периода</t>
  </si>
  <si>
    <t>Зарплата к выплате (за вычетом НДФЛ)</t>
  </si>
  <si>
    <t>Выплата зарплаты (за вычетом НДФЛ)</t>
  </si>
  <si>
    <t>Налоговая ставка</t>
  </si>
  <si>
    <t>Задолженность перед персоналом по оплате труда</t>
  </si>
  <si>
    <t>укажите ставку налога на доходы физических лиц</t>
  </si>
  <si>
    <t>НДС по инвестициям в склад</t>
  </si>
  <si>
    <t>Ставка налога на имущество (квартал)</t>
  </si>
  <si>
    <t>Расчет налога на имущество по кварталам</t>
  </si>
  <si>
    <t>Уставный капитал</t>
  </si>
  <si>
    <t>Аккумулированный денежный поток</t>
  </si>
  <si>
    <t>Формирование уставного капитала</t>
  </si>
  <si>
    <t>Стоимость уставного капитала</t>
  </si>
  <si>
    <t>Доля уставного капитала</t>
  </si>
  <si>
    <t>укажите предельный размер вложений учредителей в проект</t>
  </si>
  <si>
    <t>Оплата уставного капитала</t>
  </si>
  <si>
    <t>Запасы (материальные затраты)</t>
  </si>
  <si>
    <t>Продолжительность оборота, в днях</t>
  </si>
  <si>
    <t>Продолжительность оборота</t>
  </si>
  <si>
    <t>Использование материалов</t>
  </si>
  <si>
    <t>Оценка эффективности</t>
  </si>
  <si>
    <t>Фактор дисконтирования</t>
  </si>
  <si>
    <t>Эффективность проекта в целом</t>
  </si>
  <si>
    <t>Эффективность капитала учредителей</t>
  </si>
  <si>
    <t>Долгосрочный рост компании</t>
  </si>
  <si>
    <t>Средневзвешенная стоимость капитала</t>
  </si>
  <si>
    <t>Последний период планирования проекта</t>
  </si>
  <si>
    <t>Долгосрочные темпы роста компании</t>
  </si>
  <si>
    <t>Операционная прибыль после налогов</t>
  </si>
  <si>
    <t>Отчетность по календарным месяцам</t>
  </si>
  <si>
    <t>Выручка, очищенная от НДС</t>
  </si>
  <si>
    <t>Переменные затраты без НДС</t>
  </si>
  <si>
    <t>Постоянные затраты без НДС</t>
  </si>
  <si>
    <t>Маржа к выручке</t>
  </si>
  <si>
    <t>EBIT к выручке</t>
  </si>
  <si>
    <t>Прибыль до налогообложения к выручке</t>
  </si>
  <si>
    <t>Итого по операционной деятельности</t>
  </si>
  <si>
    <t>Итого по инвестиционной деятельности</t>
  </si>
  <si>
    <t>Итого по финансовой деятельности</t>
  </si>
  <si>
    <t>Сальдо денежных потоков</t>
  </si>
  <si>
    <t>Проверка схождения баланса</t>
  </si>
  <si>
    <t>Отчетность по годам</t>
  </si>
  <si>
    <t>Пассивы</t>
  </si>
  <si>
    <t>Проверка денежных потоков</t>
  </si>
  <si>
    <t>Нет отрицательного остатка денежных средств</t>
  </si>
  <si>
    <t>Схождение дисконтированного потока проекта</t>
  </si>
  <si>
    <t>Схождение дисконтированного потока учредителей</t>
  </si>
  <si>
    <t>Простой период окупаемости (PP), в годах</t>
  </si>
  <si>
    <t>Дисконтированный период окупаемости (DPP), в годах</t>
  </si>
  <si>
    <t>Показатели эффективности капитала учредителей</t>
  </si>
  <si>
    <t>Проверка схождения денежных потоков за период и за год</t>
  </si>
  <si>
    <t>Проверка схождения прибыли за период и за год</t>
  </si>
  <si>
    <t>Проверка схождения ДДС за период и за год</t>
  </si>
  <si>
    <t>Показатели текущей эффективности</t>
  </si>
  <si>
    <t>Рентабельность собственного капитала (ROE)</t>
  </si>
  <si>
    <t>Рентабельность активов (ROA)</t>
  </si>
  <si>
    <t>Рентабельность инвестированного капитала (ROIC)</t>
  </si>
  <si>
    <t>Денежный доход на инвестированный капитал (CROIC)</t>
  </si>
  <si>
    <t>EBITDA к процентам</t>
  </si>
  <si>
    <t>Чистый долг к EBITDA</t>
  </si>
  <si>
    <t>Долг к собственному капиталу</t>
  </si>
  <si>
    <t>Долг к активам</t>
  </si>
  <si>
    <t>Схождение чистой прибыли в отчете за период за год</t>
  </si>
  <si>
    <t>Схождение ДДС в отчете за период за год</t>
  </si>
  <si>
    <t>Остатки денежных средств в каждом периоде неотрицательны</t>
  </si>
  <si>
    <t>Выполняется балансовое равенство по каждому периоду</t>
  </si>
  <si>
    <t>Выполняется балансовое равенство по каждому году</t>
  </si>
  <si>
    <t>Схождение дисконтированных потоков по проекту за период и за год</t>
  </si>
  <si>
    <t>Схождение дисконтированных потоков на капитал учредителей за период и за год</t>
  </si>
  <si>
    <t>Итоговая проверка</t>
  </si>
  <si>
    <t>Эффективность инвестиций</t>
  </si>
  <si>
    <t>Сумма</t>
  </si>
  <si>
    <t>Эффективность 
проекта в целом</t>
  </si>
  <si>
    <t>Эффективность 
капитала учредителей</t>
  </si>
  <si>
    <t>Внутренняя норма доходности (общая)</t>
  </si>
  <si>
    <t>Итог по строке</t>
  </si>
  <si>
    <t>Окупаемость для всех участников</t>
  </si>
  <si>
    <t>Лист_время</t>
  </si>
  <si>
    <t>=Время!$B$8</t>
  </si>
  <si>
    <t>Лист_инвестиции</t>
  </si>
  <si>
    <t>=Инвестиции!$B$28</t>
  </si>
  <si>
    <t>Лист_коэффициенты</t>
  </si>
  <si>
    <t>=Коэффициенты!$B$28</t>
  </si>
  <si>
    <t>Лист_налоги</t>
  </si>
  <si>
    <t>=Налоги!$B$28</t>
  </si>
  <si>
    <t>Лист_оборотный_капитал</t>
  </si>
  <si>
    <t>=Оборотный_капитал!$B$28</t>
  </si>
  <si>
    <t>Лист_оглавление</t>
  </si>
  <si>
    <t>Лист_операции</t>
  </si>
  <si>
    <t>=Операции!$B$28</t>
  </si>
  <si>
    <t>Лист_отчетность_по_годам</t>
  </si>
  <si>
    <t>=Отчетность_по_годам!$B$13</t>
  </si>
  <si>
    <t>Лист_отчетность_по_периодам_планирования</t>
  </si>
  <si>
    <t>=Отчетность_по_периодам!$B$28</t>
  </si>
  <si>
    <t>Лист_оценка</t>
  </si>
  <si>
    <t>=Оценка!$B$28</t>
  </si>
  <si>
    <t>Лист_предпосылки</t>
  </si>
  <si>
    <t>=Предпосылки!$B$4</t>
  </si>
  <si>
    <t>Лист_сигналы</t>
  </si>
  <si>
    <t>=Сигналы!$B$5</t>
  </si>
  <si>
    <t>Лист_сценарии</t>
  </si>
  <si>
    <t>=Сценарии!$B$4</t>
  </si>
  <si>
    <t>Лист_финансирование</t>
  </si>
  <si>
    <t>=Финансирование!$B$30</t>
  </si>
  <si>
    <t>=Сценарии!$C$8</t>
  </si>
  <si>
    <t>Сценарий_затраты_на_первоначальный_склад</t>
  </si>
  <si>
    <t>=Сценарии!$D$20:$F$20</t>
  </si>
  <si>
    <t>Сценарий_капитальные_затраты</t>
  </si>
  <si>
    <t>=Сценарии!$D$19:$F$19</t>
  </si>
  <si>
    <t>=Сценарии!$C$7</t>
  </si>
  <si>
    <t>=Сценарии!$D$12:$F$12</t>
  </si>
  <si>
    <t>Сценарий_объем_продаж</t>
  </si>
  <si>
    <t>=Сценарии!$D$14:$F$14</t>
  </si>
  <si>
    <t>Сценарий_переменные_материальные_затраты</t>
  </si>
  <si>
    <t>=Сценарии!$D$16:$F$16</t>
  </si>
  <si>
    <t>Сценарий_переменные_нематериальные_затраты</t>
  </si>
  <si>
    <t>=Сценарии!$D$17:$F$17</t>
  </si>
  <si>
    <t>Сценарий_постоянные_затраты</t>
  </si>
  <si>
    <t>=Сценарии!$D$18:$F$18</t>
  </si>
  <si>
    <t>=Сценарии!$F$25:$H$34</t>
  </si>
  <si>
    <t>Сценарий_цена</t>
  </si>
  <si>
    <t>=Сценарии!$D$15:$F$15</t>
  </si>
  <si>
    <t>Фазы_название</t>
  </si>
  <si>
    <t>=Предпосылки!$C$48:$D$48</t>
  </si>
  <si>
    <t>Для корректной работы гиперссылок на этом листе пересчитайте все формулы в книге. Для этого на вкладке "Формулы" в разделе "Вычисление" нажмите кнопку "Пересчет".</t>
  </si>
  <si>
    <t>Имя</t>
  </si>
  <si>
    <t>Адрес</t>
  </si>
  <si>
    <t>Гиперссылка</t>
  </si>
  <si>
    <t>Имя книги:</t>
  </si>
  <si>
    <t>=Имена!$B$5</t>
  </si>
  <si>
    <t>Лист_отчет</t>
  </si>
  <si>
    <t>=Отчет!$B$5</t>
  </si>
  <si>
    <t>Время</t>
  </si>
  <si>
    <t>Оценка</t>
  </si>
  <si>
    <t>Отчетность по периодам планирования</t>
  </si>
  <si>
    <t>Используется для быстрого перехода между разделами проекта.</t>
  </si>
  <si>
    <t>Рассчитывается автоматически. Содержит сводную информацию по проекту: отчетность, эффективность, сценарный анализ.</t>
  </si>
  <si>
    <t>Рассчитывается автоматически. Содержит расчет временных параметров.</t>
  </si>
  <si>
    <t>Рассчитывается автоматически. Содержит план инвестиционной деятельности: покупку и оплату капитальных вложений, приобретение материалов для начала деятельности. Здесь также рассчитывается амортизация.</t>
  </si>
  <si>
    <t>Рассчитывается автоматически. Содержит план операционной деятельности: продажи, текущие перменные и постоянные затраты, планируемый ФОТ (в т.ч. страховые взносы), расчет НДФЛ.</t>
  </si>
  <si>
    <t>Рассчитывается автоматически. Содержит налоговый план: НДС, налог на имущество, налог на прибыль.</t>
  </si>
  <si>
    <t>Рассчитывается автоматически. Содержит информацию об оборотном капитале и инвестициях в него в ходе текущей деятельности: дебиторской задолженности, запасах и кредиторской задолженности.</t>
  </si>
  <si>
    <t>Рассчитывается автоматически. Содержит финансовую отчетность: плановый отчет о прибылях и убытках, плановый отчет о движении денежных средств, плановый баланс. Отчетность формируется по периодам планирования.</t>
  </si>
  <si>
    <t>Рассчитывается автоматически. Содержит финансовую отчетность: плановый отчет о прибылях и убытках, плановый отчет о движении денежных средств, плановый баланс. Отчетность формируется по календарным годам.</t>
  </si>
  <si>
    <t>Рассчитывается автоматически. Содержит инвестиционную оценку эффективности проекта: расчет чистой приведенной стоимости, внутренней нормы доходности, срока окупаемости, терминальной стоимости.</t>
  </si>
  <si>
    <t>Рассчитывается автоматически. Содержит оценку текущей эффективности проекта: показатели рентабельности, маржинальности, коэффициенты долговой нагрузки и платежеспособности.</t>
  </si>
  <si>
    <t>Рассчитывается автоматически. Содержит сигналы для проверки корректности работы модели.</t>
  </si>
  <si>
    <t>Содержит перечень всех имен, использованных в данной книге. Может быть использован для быстрого перехода к именованным диапазонам.</t>
  </si>
  <si>
    <t>Рассчитывается автоматически. Содержит план привлечения капитала: уставного капитала и заемного финансирования. Также содержит расчет процентов за пользование заемными средствами.</t>
  </si>
  <si>
    <t>Для перехода к нужному разделу проекта нажмите на гиперссылку с его названием или описанием.</t>
  </si>
  <si>
    <t>ИТОГО ПАССИВЫ</t>
  </si>
  <si>
    <t>=Оглавление!$B$6</t>
  </si>
  <si>
    <t>Заполняется пользователем. Используется для задания исходных данных по проекту (базовый сценарий). Заполняются ячейки со свтело-синим фоном.</t>
  </si>
  <si>
    <t>Заполняется пользователем. Используется для указания отклонений от базового сценария. Заполняются ячейки со свтело-синим фоном.</t>
  </si>
  <si>
    <t>Лист_лицензия</t>
  </si>
  <si>
    <t>=Лицензия!$B$5</t>
  </si>
  <si>
    <t>Проектно-сметная документация</t>
  </si>
  <si>
    <t>Строительно -монтажные работы</t>
  </si>
  <si>
    <t xml:space="preserve">Оборудование </t>
  </si>
  <si>
    <t>Прочие капитальные вложения</t>
  </si>
  <si>
    <t>Медикаменты для лечения пчел</t>
  </si>
  <si>
    <t>Сырье и материалы 1 месяца</t>
  </si>
  <si>
    <t>БЛК</t>
  </si>
  <si>
    <t>Зоогумус</t>
  </si>
  <si>
    <t>Протеиновая мука</t>
  </si>
  <si>
    <t>Жир светлый из предкуколки ЧЛ</t>
  </si>
  <si>
    <t>Крем-мыло из светлого жира предкуколки ЧЛ</t>
  </si>
  <si>
    <t>Продукты пчеловодства</t>
  </si>
  <si>
    <t>Опылительная деятельность</t>
  </si>
  <si>
    <t>Реализация пчелопакетов</t>
  </si>
  <si>
    <t>Реализация пчеломаток</t>
  </si>
  <si>
    <t>Реализация с/х продукции</t>
  </si>
  <si>
    <t>Форель</t>
  </si>
  <si>
    <t>шт.(т, пч/семьи, пч/пакеты)</t>
  </si>
  <si>
    <t>Отходы</t>
  </si>
  <si>
    <t>на блк</t>
  </si>
  <si>
    <t>Фуражное зерно (кукуруза)</t>
  </si>
  <si>
    <t xml:space="preserve">Личинки мухи </t>
  </si>
  <si>
    <t>на форель</t>
  </si>
  <si>
    <t>Корм для личинок рыб стартовый</t>
  </si>
  <si>
    <t>Вощина для отстройки сотов</t>
  </si>
  <si>
    <t>Сахар для осенней подкормки</t>
  </si>
  <si>
    <t>Инвентарь и инструменты</t>
  </si>
  <si>
    <t>Топливно-энергетические ресурсы</t>
  </si>
  <si>
    <t>Прочие постоянные затраты</t>
  </si>
  <si>
    <t>рабочие</t>
  </si>
  <si>
    <t xml:space="preserve">руководители </t>
  </si>
  <si>
    <t>специалисты и другие служащие</t>
  </si>
  <si>
    <t>Единый сельхоз налог</t>
  </si>
  <si>
    <t>укажите ставку единого сельхоз налога</t>
  </si>
  <si>
    <t>Ставка НДС по выручке</t>
  </si>
  <si>
    <t>Ставка НДС по текущим затратам</t>
  </si>
  <si>
    <t>Ставка НДС по капитальным затратам</t>
  </si>
  <si>
    <t>Ставка НДС по инвестициям в склад</t>
  </si>
  <si>
    <t>Ставка единого сельхоз налога</t>
  </si>
  <si>
    <t>Расчет единого сельхоз налога по полугодиям</t>
  </si>
  <si>
    <t>Окончание полугодия</t>
  </si>
  <si>
    <t>Количество полугодий в году</t>
  </si>
  <si>
    <t>Количество месяцев в полугодии</t>
  </si>
  <si>
    <t>Календарное полугодие</t>
  </si>
  <si>
    <t>Месяц с начала полугодия</t>
  </si>
  <si>
    <t>укажите предельный размер вложений инвесторов и заемщиков в проект (% от капитальных затрат)</t>
  </si>
  <si>
    <t>График вложений средств в проект инвесторами и заемщиками, в %</t>
  </si>
  <si>
    <t>укажите график вложений средств в проект инвесторами и заемщиками, при расчете платежей их размер будет корректироваться на инфляцию капитальных затрат</t>
  </si>
  <si>
    <t>Стоимость ИК (до налогов)</t>
  </si>
  <si>
    <t>Стоимость ИК (после налогов)</t>
  </si>
  <si>
    <t>Доля ИК</t>
  </si>
  <si>
    <t>Привлечение долга Заемщика</t>
  </si>
  <si>
    <t>Привлечение долга Инвестора</t>
  </si>
  <si>
    <t>Погашение долга Заемщику</t>
  </si>
  <si>
    <t>Погашение долга Инвестору</t>
  </si>
  <si>
    <t>укажите условия выплаты средств инвесторам и заемщикам</t>
  </si>
  <si>
    <t>Срок предоставления средств Инвестора</t>
  </si>
  <si>
    <t>Срок предоставления средств Заемщика</t>
  </si>
  <si>
    <t>Укажите количество месяцев</t>
  </si>
  <si>
    <t>Отсрочка выплаты основного долга Инвестору (месяц, год)</t>
  </si>
  <si>
    <t>Отсрочка выплаты процентов Инвестору (месяц, год)</t>
  </si>
  <si>
    <t>Отсрочка выплаты основного долга Заемщику (месяц, год)</t>
  </si>
  <si>
    <t>Отсрочка выплаты процентов Заемщику (месяц, год)</t>
  </si>
  <si>
    <t>Дата начала выплаты</t>
  </si>
  <si>
    <t>Стоимость долга банка</t>
  </si>
  <si>
    <t>Стоимость долга инвестора</t>
  </si>
  <si>
    <t>График выдачи заемных средств</t>
  </si>
  <si>
    <t>Выдача средств банка</t>
  </si>
  <si>
    <t>Выдача средств инвестора</t>
  </si>
  <si>
    <t>Сигнал: заемные средства выданы</t>
  </si>
  <si>
    <t>Заемные средства выданы</t>
  </si>
  <si>
    <t>Погашение долга Инвестора</t>
  </si>
  <si>
    <t>Собственник модели:</t>
  </si>
  <si>
    <t>Модель для планирования и оценки инвестиционного проекта:</t>
  </si>
  <si>
    <t>Минск – 2023</t>
  </si>
  <si>
    <t>Версия 1.0</t>
  </si>
  <si>
    <t>Организация безотходного производства белково–липидного концентрата, зоогумуса, кормовых и пищевых добавок из насекомых, продуктов пчеловодства, выращивание аквакультур в установках замкнутого водоснабжения на основе кормов из личинки Black Soldier Fly (Hermetia illucens) в Кардымовском районе Смоленской области</t>
  </si>
  <si>
    <t>Разработчик модели: ООО "Автоматизированное бизнес планирование"</t>
  </si>
  <si>
    <t>Компания УЛА ФАРМС</t>
  </si>
  <si>
    <r>
      <rPr>
        <b/>
        <sz val="10"/>
        <rFont val="Calibri"/>
        <family val="2"/>
        <charset val="204"/>
        <scheme val="minor"/>
      </rPr>
      <t>Миссия</t>
    </r>
    <r>
      <rPr>
        <sz val="10"/>
        <rFont val="Calibri"/>
        <family val="2"/>
        <charset val="204"/>
        <scheme val="minor"/>
      </rPr>
      <t xml:space="preserve"> Предприятия состоит в улучшении уровня жизни населения на конкретной территории путем решения экологических проблем этих территорий, а также концептуальных экономических и социальных задач через использование местных ресурсов и содействие реализации стратегий по сокращению пищевых отходов и продовольственных потерь. 
Цели проекта:
- Быстрый выход на запланированные мощности.
- Внедрение инновационных технологий промышленного производства белково-липидного концентрата, биополимеров (хитина, хитазана), меланина, кормовых и пищевых добавок из насекомых, гранулированного зоогумуса.
- Внедрение в сельское хозяйство ресурсосберегающей технологии переработки отходов пищевой промышленности и продовольственных потерь сельского хозяйства с помощью биомассы личинок мух Hermetia illucens в высокоэфективные корма для промышленного разведения аквакультур, птицы и др. животных.
- Внедрение инновационных технологий зеленой энергетики (возобновляемые источники энергии) и новых управленческих решений на их основе.
- Внедрение инновационных решений в промышленном пчеловодстве.
- Внедрение новой технологии выращивания аквакультур на кормах из живых насекомых.
- Создание научно-исследовательской лаборатории для проведения собственных исследований и разработок инновационных биотехнологий.
- Производство высококачественной низкозатратной агропродукции. 
- Создание условий для импортозамещения и снижения цен на продукцию на внутреннем рынке.
- Создание не менее 150 новых качественных рабочих мест.
- Получение конкурентных преимуществ на внешних рынках. 
Сильные стороны проекта:
- растущий рынок, перспектива стабильного высокого спроса на продукцию при стабильно высоких ценах;
- современное оборудование, высокий технологический уровень производства;
- высокий уровень автоматизации технологических процессов;
- высокое качество продукции, ее экспортоориентированность;
- энергоэффективность производства, использование альтернативной энергетики для производства электрической и тепловой энергии;
- наличие достаточной сырьевой базы в регионе предполагаемого размещения производства;
- выгодное месторасположение участка для размещения производства, наличие инфраструктуры и путей сообщения, возможность построения эффективных логистических схем материально-технического снабжения производства и сбыта продукции;
- наличие у Инициатора необходимых компетенций и управленческого опыта по созданию и эффективному ведению бизнеса.                Поручитель по кредиту  банка и инвестор проекта (25%) -  ООО "ОНИКС"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</si>
</sst>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_-;\-* #,##0.00_-;_-* &quot;-&quot;??_-;_-@_-"/>
    <numFmt numFmtId="165" formatCode="_(* #,##0.00_);_(* \(#,##0.00\);_(* &quot;-&quot;??_);_(@_)"/>
    <numFmt numFmtId="166" formatCode="[$-419]d\-mmm\-yyyy;@"/>
    <numFmt numFmtId="167" formatCode="[$-419]mmmm\ yyyy;@"/>
    <numFmt numFmtId="168" formatCode="_(* #,##0_);_(* \(#,##0\);_(* &quot;-&quot;??_);_(@_)"/>
    <numFmt numFmtId="169" formatCode="0.0%"/>
    <numFmt numFmtId="170" formatCode="#,##0.0_ ;[Red]\-#,##0.0\ "/>
    <numFmt numFmtId="171" formatCode="_-* #,##0_р_._-;\-* #,##0_р_._-;_-* &quot;-&quot;??_р_._-;_-@_-"/>
    <numFmt numFmtId="172" formatCode="_-* #,##0.0_р_._-;\-* #,##0.0_р_._-;_-* &quot;-&quot;?_р_._-;_-@_-"/>
    <numFmt numFmtId="173" formatCode="0.000"/>
    <numFmt numFmtId="174" formatCode="#,##0_-;&quot; (&quot;#,##0\);_-* \-??;_-@_-"/>
    <numFmt numFmtId="175" formatCode="0.0"/>
    <numFmt numFmtId="176" formatCode="[$-F800]dddd\,\ mmmm\ dd\,\ yyyy"/>
  </numFmts>
  <fonts count="4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59"/>
      <name val="Arial"/>
      <family val="2"/>
    </font>
    <font>
      <b/>
      <sz val="18"/>
      <color indexed="18"/>
      <name val="Arial"/>
      <family val="2"/>
      <charset val="204"/>
    </font>
    <font>
      <sz val="10"/>
      <name val="Helvetica-Narrow"/>
      <family val="2"/>
    </font>
    <font>
      <b/>
      <sz val="18"/>
      <color theme="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sz val="10"/>
      <color theme="1" tint="0.499984740745262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10"/>
      <color theme="0" tint="-0.3499862666707357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i/>
      <sz val="10"/>
      <color rgb="FF003399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6"/>
      <color rgb="FF002060"/>
      <name val="Calibri"/>
      <family val="2"/>
      <charset val="204"/>
      <scheme val="minor"/>
    </font>
    <font>
      <sz val="11"/>
      <color theme="3"/>
      <name val="Calibri"/>
      <family val="2"/>
      <charset val="204"/>
    </font>
    <font>
      <u/>
      <sz val="10"/>
      <color theme="10"/>
      <name val="Calibri"/>
      <family val="2"/>
      <charset val="204"/>
    </font>
    <font>
      <sz val="20"/>
      <color theme="1"/>
      <name val="Times New Roman"/>
      <family val="1"/>
      <charset val="204"/>
    </font>
    <font>
      <b/>
      <u/>
      <sz val="20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7"/>
      </patternFill>
    </fill>
  </fills>
  <borders count="48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ck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ck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0" tint="-0.34998626667073579"/>
      </right>
      <top style="thick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ck">
        <color theme="0" tint="-0.34998626667073579"/>
      </top>
      <bottom style="thin">
        <color theme="0" tint="-0.34998626667073579"/>
      </bottom>
      <diagonal/>
    </border>
    <border>
      <left/>
      <right/>
      <top style="thick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ck">
        <color theme="0" tint="-0.34998626667073579"/>
      </bottom>
      <diagonal/>
    </border>
    <border>
      <left/>
      <right/>
      <top style="thin">
        <color theme="0" tint="-0.34998626667073579"/>
      </top>
      <bottom style="thick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ck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ck">
        <color theme="0" tint="-0.34998626667073579"/>
      </bottom>
      <diagonal/>
    </border>
    <border>
      <left style="thin">
        <color theme="0" tint="-0.34998626667073579"/>
      </left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ck">
        <color theme="0" tint="-0.34998626667073579"/>
      </top>
      <bottom style="thick">
        <color theme="0" tint="-0.34998626667073579"/>
      </bottom>
      <diagonal/>
    </border>
    <border>
      <left/>
      <right style="thin">
        <color theme="0" tint="-0.34998626667073579"/>
      </right>
      <top style="thick">
        <color theme="0" tint="-0.34998626667073579"/>
      </top>
      <bottom style="thick">
        <color theme="0" tint="-0.34998626667073579"/>
      </bottom>
      <diagonal/>
    </border>
    <border>
      <left style="thin">
        <color theme="0" tint="-0.34998626667073579"/>
      </left>
      <right style="thick">
        <color theme="0" tint="-0.34998626667073579"/>
      </right>
      <top style="thick">
        <color theme="0" tint="-0.34998626667073579"/>
      </top>
      <bottom style="thick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ck">
        <color theme="0" tint="-0.34998626667073579"/>
      </top>
      <bottom style="thick">
        <color theme="0" tint="-0.34998626667073579"/>
      </bottom>
      <diagonal/>
    </border>
    <border>
      <left style="thin">
        <color theme="0" tint="-0.34998626667073579"/>
      </left>
      <right style="thick">
        <color theme="0" tint="-0.34998626667073579"/>
      </right>
      <top style="thin">
        <color theme="0" tint="-0.34998626667073579"/>
      </top>
      <bottom style="thick">
        <color theme="0" tint="-0.34998626667073579"/>
      </bottom>
      <diagonal/>
    </border>
    <border>
      <left/>
      <right/>
      <top style="thick">
        <color theme="0" tint="-0.34998626667073579"/>
      </top>
      <bottom style="thick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ck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ck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2" fillId="2" borderId="1" applyNumberFormat="0"/>
    <xf numFmtId="0" fontId="3" fillId="0" borderId="0" applyFill="0"/>
    <xf numFmtId="165" fontId="4" fillId="3" borderId="2" applyNumberFormat="0" applyAlignment="0">
      <alignment horizontal="left"/>
    </xf>
    <xf numFmtId="0" fontId="5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2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/>
  </cellStyleXfs>
  <cellXfs count="420">
    <xf numFmtId="0" fontId="0" fillId="0" borderId="0" xfId="0"/>
    <xf numFmtId="0" fontId="10" fillId="4" borderId="9" xfId="0" applyFont="1" applyFill="1" applyBorder="1" applyAlignment="1">
      <alignment horizontal="center" vertical="center" wrapText="1"/>
    </xf>
    <xf numFmtId="3" fontId="11" fillId="5" borderId="6" xfId="0" applyNumberFormat="1" applyFont="1" applyFill="1" applyBorder="1" applyAlignment="1">
      <alignment horizontal="left"/>
    </xf>
    <xf numFmtId="3" fontId="11" fillId="5" borderId="7" xfId="0" applyNumberFormat="1" applyFont="1" applyFill="1" applyBorder="1" applyAlignment="1">
      <alignment horizontal="left"/>
    </xf>
    <xf numFmtId="0" fontId="11" fillId="5" borderId="8" xfId="0" applyFont="1" applyFill="1" applyBorder="1"/>
    <xf numFmtId="3" fontId="11" fillId="5" borderId="9" xfId="0" applyNumberFormat="1" applyFont="1" applyFill="1" applyBorder="1" applyAlignment="1">
      <alignment horizontal="center"/>
    </xf>
    <xf numFmtId="3" fontId="10" fillId="6" borderId="6" xfId="0" applyNumberFormat="1" applyFont="1" applyFill="1" applyBorder="1" applyAlignment="1">
      <alignment horizontal="left"/>
    </xf>
    <xf numFmtId="3" fontId="10" fillId="6" borderId="7" xfId="0" applyNumberFormat="1" applyFont="1" applyFill="1" applyBorder="1" applyAlignment="1">
      <alignment horizontal="left"/>
    </xf>
    <xf numFmtId="0" fontId="10" fillId="6" borderId="8" xfId="0" applyFont="1" applyFill="1" applyBorder="1"/>
    <xf numFmtId="3" fontId="10" fillId="6" borderId="9" xfId="0" applyNumberFormat="1" applyFont="1" applyFill="1" applyBorder="1" applyAlignment="1">
      <alignment horizontal="center"/>
    </xf>
    <xf numFmtId="0" fontId="5" fillId="5" borderId="0" xfId="5" applyFill="1" applyBorder="1" applyAlignment="1" applyProtection="1">
      <alignment vertical="center"/>
    </xf>
    <xf numFmtId="0" fontId="9" fillId="5" borderId="0" xfId="5" applyFont="1" applyFill="1" applyAlignment="1" applyProtection="1">
      <alignment vertical="center"/>
    </xf>
    <xf numFmtId="0" fontId="12" fillId="5" borderId="0" xfId="5" applyFont="1" applyFill="1" applyAlignment="1" applyProtection="1">
      <alignment horizontal="center" vertical="center"/>
    </xf>
    <xf numFmtId="0" fontId="11" fillId="5" borderId="0" xfId="0" applyFont="1" applyFill="1" applyAlignment="1">
      <alignment vertical="center"/>
    </xf>
    <xf numFmtId="0" fontId="11" fillId="7" borderId="0" xfId="0" applyFont="1" applyFill="1" applyAlignment="1">
      <alignment vertical="center"/>
    </xf>
    <xf numFmtId="166" fontId="11" fillId="7" borderId="0" xfId="0" applyNumberFormat="1" applyFont="1" applyFill="1" applyAlignment="1">
      <alignment vertical="center"/>
    </xf>
    <xf numFmtId="0" fontId="11" fillId="4" borderId="10" xfId="0" applyFont="1" applyFill="1" applyBorder="1" applyAlignment="1">
      <alignment vertical="center"/>
    </xf>
    <xf numFmtId="0" fontId="11" fillId="4" borderId="11" xfId="0" applyFont="1" applyFill="1" applyBorder="1" applyAlignment="1">
      <alignment vertical="center"/>
    </xf>
    <xf numFmtId="0" fontId="11" fillId="4" borderId="12" xfId="0" applyFont="1" applyFill="1" applyBorder="1" applyAlignment="1">
      <alignment horizontal="right" vertical="center"/>
    </xf>
    <xf numFmtId="14" fontId="11" fillId="4" borderId="13" xfId="0" applyNumberFormat="1" applyFont="1" applyFill="1" applyBorder="1" applyAlignment="1">
      <alignment horizontal="center" vertical="center"/>
    </xf>
    <xf numFmtId="14" fontId="11" fillId="4" borderId="13" xfId="1" applyNumberFormat="1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vertical="center"/>
    </xf>
    <xf numFmtId="3" fontId="13" fillId="4" borderId="15" xfId="0" applyNumberFormat="1" applyFont="1" applyFill="1" applyBorder="1" applyAlignment="1">
      <alignment vertical="center"/>
    </xf>
    <xf numFmtId="0" fontId="11" fillId="4" borderId="16" xfId="0" applyFont="1" applyFill="1" applyBorder="1" applyAlignment="1">
      <alignment vertical="center"/>
    </xf>
    <xf numFmtId="14" fontId="11" fillId="4" borderId="17" xfId="0" applyNumberFormat="1" applyFont="1" applyFill="1" applyBorder="1" applyAlignment="1">
      <alignment horizontal="center" vertical="center"/>
    </xf>
    <xf numFmtId="14" fontId="11" fillId="4" borderId="17" xfId="1" applyNumberFormat="1" applyFont="1" applyFill="1" applyBorder="1" applyAlignment="1">
      <alignment horizontal="center" vertical="center"/>
    </xf>
    <xf numFmtId="0" fontId="7" fillId="5" borderId="3" xfId="8" applyFill="1" applyAlignment="1" applyProtection="1">
      <alignment vertical="center"/>
    </xf>
    <xf numFmtId="0" fontId="11" fillId="5" borderId="6" xfId="0" applyFont="1" applyFill="1" applyBorder="1" applyAlignment="1">
      <alignment vertical="center"/>
    </xf>
    <xf numFmtId="0" fontId="11" fillId="5" borderId="7" xfId="0" applyFont="1" applyFill="1" applyBorder="1" applyAlignment="1">
      <alignment vertical="center"/>
    </xf>
    <xf numFmtId="0" fontId="14" fillId="7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1" fillId="7" borderId="6" xfId="0" applyFont="1" applyFill="1" applyBorder="1" applyAlignment="1">
      <alignment vertical="center"/>
    </xf>
    <xf numFmtId="0" fontId="11" fillId="7" borderId="7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/>
    </xf>
    <xf numFmtId="167" fontId="11" fillId="7" borderId="9" xfId="0" applyNumberFormat="1" applyFont="1" applyFill="1" applyBorder="1" applyAlignment="1">
      <alignment horizontal="center" vertical="center"/>
    </xf>
    <xf numFmtId="167" fontId="11" fillId="0" borderId="9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9" xfId="0" applyFont="1" applyBorder="1" applyAlignment="1">
      <alignment horizontal="center" vertical="center"/>
    </xf>
    <xf numFmtId="0" fontId="11" fillId="7" borderId="7" xfId="0" applyFont="1" applyFill="1" applyBorder="1" applyAlignment="1">
      <alignment horizontal="center" vertical="center"/>
    </xf>
    <xf numFmtId="0" fontId="15" fillId="7" borderId="6" xfId="0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/>
    </xf>
    <xf numFmtId="0" fontId="16" fillId="7" borderId="0" xfId="0" applyFont="1" applyFill="1" applyAlignment="1">
      <alignment horizontal="right" vertical="center"/>
    </xf>
    <xf numFmtId="0" fontId="16" fillId="7" borderId="0" xfId="0" applyFont="1" applyFill="1" applyAlignment="1">
      <alignment vertical="center"/>
    </xf>
    <xf numFmtId="3" fontId="17" fillId="7" borderId="10" xfId="0" applyNumberFormat="1" applyFont="1" applyFill="1" applyBorder="1" applyAlignment="1">
      <alignment vertical="center"/>
    </xf>
    <xf numFmtId="3" fontId="17" fillId="7" borderId="12" xfId="0" applyNumberFormat="1" applyFont="1" applyFill="1" applyBorder="1" applyAlignment="1">
      <alignment horizontal="center" vertical="center"/>
    </xf>
    <xf numFmtId="168" fontId="11" fillId="6" borderId="19" xfId="7" applyNumberFormat="1" applyFont="1" applyFill="1" applyBorder="1" applyAlignment="1" applyProtection="1">
      <alignment horizontal="center" vertical="center"/>
    </xf>
    <xf numFmtId="168" fontId="17" fillId="7" borderId="13" xfId="7" applyNumberFormat="1" applyFont="1" applyFill="1" applyBorder="1" applyAlignment="1">
      <alignment vertical="center"/>
    </xf>
    <xf numFmtId="168" fontId="17" fillId="7" borderId="13" xfId="7" applyNumberFormat="1" applyFont="1" applyFill="1" applyBorder="1" applyAlignment="1">
      <alignment horizontal="right" vertical="center"/>
    </xf>
    <xf numFmtId="3" fontId="18" fillId="6" borderId="20" xfId="0" applyNumberFormat="1" applyFont="1" applyFill="1" applyBorder="1" applyAlignment="1">
      <alignment vertical="center"/>
    </xf>
    <xf numFmtId="3" fontId="18" fillId="6" borderId="21" xfId="0" applyNumberFormat="1" applyFont="1" applyFill="1" applyBorder="1" applyAlignment="1">
      <alignment horizontal="center" vertical="center"/>
    </xf>
    <xf numFmtId="168" fontId="10" fillId="6" borderId="22" xfId="7" applyNumberFormat="1" applyFont="1" applyFill="1" applyBorder="1" applyAlignment="1" applyProtection="1">
      <alignment horizontal="center" vertical="center"/>
    </xf>
    <xf numFmtId="168" fontId="18" fillId="6" borderId="23" xfId="7" applyNumberFormat="1" applyFont="1" applyFill="1" applyBorder="1" applyAlignment="1">
      <alignment vertical="center"/>
    </xf>
    <xf numFmtId="168" fontId="18" fillId="6" borderId="23" xfId="7" applyNumberFormat="1" applyFont="1" applyFill="1" applyBorder="1" applyAlignment="1">
      <alignment horizontal="right" vertical="center"/>
    </xf>
    <xf numFmtId="3" fontId="17" fillId="5" borderId="11" xfId="0" applyNumberFormat="1" applyFont="1" applyFill="1" applyBorder="1" applyAlignment="1">
      <alignment horizontal="center" vertical="center"/>
    </xf>
    <xf numFmtId="168" fontId="11" fillId="5" borderId="11" xfId="7" applyNumberFormat="1" applyFont="1" applyFill="1" applyBorder="1" applyAlignment="1" applyProtection="1">
      <alignment horizontal="center" vertical="center"/>
    </xf>
    <xf numFmtId="168" fontId="17" fillId="5" borderId="12" xfId="7" applyNumberFormat="1" applyFont="1" applyFill="1" applyBorder="1" applyAlignment="1">
      <alignment vertical="center"/>
    </xf>
    <xf numFmtId="3" fontId="18" fillId="6" borderId="24" xfId="0" applyNumberFormat="1" applyFont="1" applyFill="1" applyBorder="1" applyAlignment="1">
      <alignment horizontal="center" vertical="center"/>
    </xf>
    <xf numFmtId="168" fontId="10" fillId="6" borderId="24" xfId="7" applyNumberFormat="1" applyFont="1" applyFill="1" applyBorder="1" applyAlignment="1" applyProtection="1">
      <alignment horizontal="center" vertical="center"/>
    </xf>
    <xf numFmtId="168" fontId="18" fillId="6" borderId="21" xfId="7" applyNumberFormat="1" applyFont="1" applyFill="1" applyBorder="1" applyAlignment="1">
      <alignment vertical="center"/>
    </xf>
    <xf numFmtId="169" fontId="17" fillId="5" borderId="6" xfId="0" applyNumberFormat="1" applyFont="1" applyFill="1" applyBorder="1" applyAlignment="1">
      <alignment vertical="center"/>
    </xf>
    <xf numFmtId="169" fontId="17" fillId="5" borderId="7" xfId="0" applyNumberFormat="1" applyFont="1" applyFill="1" applyBorder="1" applyAlignment="1">
      <alignment horizontal="center" vertical="center"/>
    </xf>
    <xf numFmtId="169" fontId="17" fillId="5" borderId="7" xfId="7" applyNumberFormat="1" applyFont="1" applyFill="1" applyBorder="1" applyAlignment="1">
      <alignment horizontal="right" vertical="center"/>
    </xf>
    <xf numFmtId="169" fontId="17" fillId="5" borderId="8" xfId="7" applyNumberFormat="1" applyFont="1" applyFill="1" applyBorder="1" applyAlignment="1">
      <alignment vertical="center"/>
    </xf>
    <xf numFmtId="169" fontId="17" fillId="5" borderId="9" xfId="7" applyNumberFormat="1" applyFont="1" applyFill="1" applyBorder="1" applyAlignment="1">
      <alignment horizontal="right" vertical="center"/>
    </xf>
    <xf numFmtId="0" fontId="19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170" fontId="17" fillId="5" borderId="9" xfId="6" applyNumberFormat="1" applyFont="1" applyFill="1" applyBorder="1" applyAlignment="1">
      <alignment horizontal="right" vertical="center"/>
    </xf>
    <xf numFmtId="170" fontId="11" fillId="7" borderId="0" xfId="6" applyNumberFormat="1" applyFont="1" applyFill="1" applyAlignment="1">
      <alignment vertical="center"/>
    </xf>
    <xf numFmtId="170" fontId="7" fillId="5" borderId="3" xfId="6" applyNumberFormat="1" applyFont="1" applyFill="1" applyBorder="1" applyAlignment="1" applyProtection="1">
      <alignment vertical="center"/>
    </xf>
    <xf numFmtId="170" fontId="11" fillId="7" borderId="0" xfId="6" applyNumberFormat="1" applyFont="1" applyFill="1" applyAlignment="1">
      <alignment horizontal="right" vertical="center"/>
    </xf>
    <xf numFmtId="0" fontId="9" fillId="5" borderId="0" xfId="5" applyFont="1" applyFill="1" applyBorder="1" applyAlignment="1" applyProtection="1">
      <alignment vertical="center"/>
    </xf>
    <xf numFmtId="0" fontId="12" fillId="5" borderId="0" xfId="5" applyFont="1" applyFill="1" applyAlignment="1" applyProtection="1">
      <alignment vertical="center"/>
    </xf>
    <xf numFmtId="3" fontId="13" fillId="7" borderId="0" xfId="0" applyNumberFormat="1" applyFont="1" applyFill="1" applyAlignment="1">
      <alignment vertical="center"/>
    </xf>
    <xf numFmtId="0" fontId="11" fillId="4" borderId="15" xfId="0" applyFont="1" applyFill="1" applyBorder="1" applyAlignment="1">
      <alignment vertical="center"/>
    </xf>
    <xf numFmtId="0" fontId="11" fillId="7" borderId="9" xfId="0" applyFont="1" applyFill="1" applyBorder="1" applyAlignment="1">
      <alignment horizontal="center" vertical="center"/>
    </xf>
    <xf numFmtId="3" fontId="17" fillId="7" borderId="6" xfId="0" applyNumberFormat="1" applyFont="1" applyFill="1" applyBorder="1" applyAlignment="1">
      <alignment vertical="center"/>
    </xf>
    <xf numFmtId="3" fontId="17" fillId="7" borderId="8" xfId="0" applyNumberFormat="1" applyFont="1" applyFill="1" applyBorder="1" applyAlignment="1">
      <alignment horizontal="center" vertical="center"/>
    </xf>
    <xf numFmtId="168" fontId="17" fillId="7" borderId="9" xfId="7" applyNumberFormat="1" applyFont="1" applyFill="1" applyBorder="1" applyAlignment="1">
      <alignment vertical="center"/>
    </xf>
    <xf numFmtId="168" fontId="17" fillId="7" borderId="9" xfId="7" applyNumberFormat="1" applyFont="1" applyFill="1" applyBorder="1" applyAlignment="1">
      <alignment horizontal="right" vertical="center"/>
    </xf>
    <xf numFmtId="3" fontId="17" fillId="7" borderId="9" xfId="0" applyNumberFormat="1" applyFont="1" applyFill="1" applyBorder="1" applyAlignment="1">
      <alignment vertical="center"/>
    </xf>
    <xf numFmtId="0" fontId="18" fillId="0" borderId="0" xfId="1" applyFont="1" applyAlignment="1">
      <alignment vertical="center"/>
    </xf>
    <xf numFmtId="0" fontId="10" fillId="7" borderId="0" xfId="0" applyFont="1" applyFill="1" applyAlignment="1">
      <alignment vertical="center"/>
    </xf>
    <xf numFmtId="171" fontId="10" fillId="7" borderId="0" xfId="0" applyNumberFormat="1" applyFont="1" applyFill="1" applyAlignment="1">
      <alignment horizontal="center" vertical="center"/>
    </xf>
    <xf numFmtId="0" fontId="18" fillId="7" borderId="0" xfId="1" applyFont="1" applyFill="1" applyAlignment="1">
      <alignment vertical="center"/>
    </xf>
    <xf numFmtId="3" fontId="17" fillId="0" borderId="10" xfId="0" applyNumberFormat="1" applyFont="1" applyBorder="1" applyAlignment="1">
      <alignment vertical="center"/>
    </xf>
    <xf numFmtId="3" fontId="18" fillId="6" borderId="23" xfId="0" applyNumberFormat="1" applyFont="1" applyFill="1" applyBorder="1" applyAlignment="1">
      <alignment vertical="center"/>
    </xf>
    <xf numFmtId="169" fontId="18" fillId="6" borderId="25" xfId="0" applyNumberFormat="1" applyFont="1" applyFill="1" applyBorder="1" applyAlignment="1">
      <alignment vertical="center"/>
    </xf>
    <xf numFmtId="169" fontId="18" fillId="6" borderId="26" xfId="0" applyNumberFormat="1" applyFont="1" applyFill="1" applyBorder="1" applyAlignment="1">
      <alignment horizontal="center" vertical="center"/>
    </xf>
    <xf numFmtId="169" fontId="18" fillId="6" borderId="27" xfId="7" applyNumberFormat="1" applyFont="1" applyFill="1" applyBorder="1" applyAlignment="1">
      <alignment vertical="center"/>
    </xf>
    <xf numFmtId="169" fontId="18" fillId="6" borderId="28" xfId="7" applyNumberFormat="1" applyFont="1" applyFill="1" applyBorder="1" applyAlignment="1">
      <alignment horizontal="right" vertical="center"/>
    </xf>
    <xf numFmtId="169" fontId="18" fillId="6" borderId="28" xfId="0" applyNumberFormat="1" applyFont="1" applyFill="1" applyBorder="1" applyAlignment="1">
      <alignment vertical="center"/>
    </xf>
    <xf numFmtId="0" fontId="20" fillId="0" borderId="0" xfId="1" applyFont="1" applyAlignment="1">
      <alignment horizontal="left" vertical="center"/>
    </xf>
    <xf numFmtId="0" fontId="20" fillId="7" borderId="0" xfId="1" applyFont="1" applyFill="1" applyAlignment="1">
      <alignment horizontal="left" vertical="center"/>
    </xf>
    <xf numFmtId="171" fontId="11" fillId="7" borderId="0" xfId="0" applyNumberFormat="1" applyFont="1" applyFill="1" applyAlignment="1">
      <alignment horizontal="center" vertical="center"/>
    </xf>
    <xf numFmtId="0" fontId="9" fillId="7" borderId="5" xfId="10" applyFill="1" applyAlignment="1">
      <alignment vertical="center"/>
    </xf>
    <xf numFmtId="0" fontId="9" fillId="7" borderId="5" xfId="10" applyFill="1" applyAlignment="1">
      <alignment horizontal="left" vertical="center"/>
    </xf>
    <xf numFmtId="168" fontId="11" fillId="6" borderId="29" xfId="7" applyNumberFormat="1" applyFont="1" applyFill="1" applyBorder="1" applyAlignment="1" applyProtection="1">
      <alignment horizontal="center" vertical="center"/>
    </xf>
    <xf numFmtId="0" fontId="19" fillId="7" borderId="0" xfId="0" applyFont="1" applyFill="1" applyAlignment="1">
      <alignment horizontal="left" vertical="center"/>
    </xf>
    <xf numFmtId="0" fontId="8" fillId="7" borderId="4" xfId="9" applyFill="1" applyAlignment="1">
      <alignment horizontal="left" vertical="center"/>
    </xf>
    <xf numFmtId="0" fontId="8" fillId="7" borderId="4" xfId="9" applyFill="1" applyAlignment="1">
      <alignment vertical="center"/>
    </xf>
    <xf numFmtId="0" fontId="17" fillId="0" borderId="0" xfId="1" applyFont="1" applyAlignment="1">
      <alignment vertical="center"/>
    </xf>
    <xf numFmtId="0" fontId="9" fillId="0" borderId="5" xfId="10" applyAlignment="1">
      <alignment vertical="center"/>
    </xf>
    <xf numFmtId="0" fontId="21" fillId="0" borderId="0" xfId="1" applyFont="1" applyAlignment="1">
      <alignment horizontal="left" vertical="center"/>
    </xf>
    <xf numFmtId="3" fontId="18" fillId="6" borderId="30" xfId="0" applyNumberFormat="1" applyFont="1" applyFill="1" applyBorder="1" applyAlignment="1">
      <alignment vertical="center"/>
    </xf>
    <xf numFmtId="3" fontId="18" fillId="6" borderId="31" xfId="0" applyNumberFormat="1" applyFont="1" applyFill="1" applyBorder="1" applyAlignment="1">
      <alignment horizontal="center" vertical="center"/>
    </xf>
    <xf numFmtId="168" fontId="10" fillId="6" borderId="32" xfId="7" applyNumberFormat="1" applyFont="1" applyFill="1" applyBorder="1" applyAlignment="1" applyProtection="1">
      <alignment horizontal="center" vertical="center"/>
    </xf>
    <xf numFmtId="168" fontId="18" fillId="6" borderId="33" xfId="7" applyNumberFormat="1" applyFont="1" applyFill="1" applyBorder="1" applyAlignment="1">
      <alignment vertical="center"/>
    </xf>
    <xf numFmtId="168" fontId="18" fillId="6" borderId="33" xfId="7" applyNumberFormat="1" applyFont="1" applyFill="1" applyBorder="1" applyAlignment="1">
      <alignment horizontal="right" vertical="center"/>
    </xf>
    <xf numFmtId="0" fontId="8" fillId="0" borderId="4" xfId="9" applyAlignment="1">
      <alignment horizontal="left" vertical="center"/>
    </xf>
    <xf numFmtId="0" fontId="22" fillId="0" borderId="0" xfId="1" applyFont="1" applyAlignment="1">
      <alignment vertical="center"/>
    </xf>
    <xf numFmtId="3" fontId="18" fillId="6" borderId="25" xfId="0" applyNumberFormat="1" applyFont="1" applyFill="1" applyBorder="1" applyAlignment="1">
      <alignment vertical="center"/>
    </xf>
    <xf numFmtId="3" fontId="18" fillId="6" borderId="27" xfId="0" applyNumberFormat="1" applyFont="1" applyFill="1" applyBorder="1" applyAlignment="1">
      <alignment horizontal="center" vertical="center"/>
    </xf>
    <xf numFmtId="168" fontId="10" fillId="6" borderId="34" xfId="7" applyNumberFormat="1" applyFont="1" applyFill="1" applyBorder="1" applyAlignment="1" applyProtection="1">
      <alignment horizontal="center" vertical="center"/>
    </xf>
    <xf numFmtId="168" fontId="18" fillId="6" borderId="28" xfId="7" applyNumberFormat="1" applyFont="1" applyFill="1" applyBorder="1" applyAlignment="1">
      <alignment vertical="center"/>
    </xf>
    <xf numFmtId="168" fontId="18" fillId="6" borderId="28" xfId="7" applyNumberFormat="1" applyFont="1" applyFill="1" applyBorder="1" applyAlignment="1">
      <alignment horizontal="right" vertical="center"/>
    </xf>
    <xf numFmtId="0" fontId="17" fillId="5" borderId="0" xfId="1" applyFont="1" applyFill="1" applyAlignment="1">
      <alignment vertical="center"/>
    </xf>
    <xf numFmtId="3" fontId="17" fillId="7" borderId="11" xfId="0" applyNumberFormat="1" applyFont="1" applyFill="1" applyBorder="1" applyAlignment="1">
      <alignment horizontal="center" vertical="center"/>
    </xf>
    <xf numFmtId="168" fontId="17" fillId="7" borderId="12" xfId="7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3" fontId="18" fillId="6" borderId="35" xfId="0" applyNumberFormat="1" applyFont="1" applyFill="1" applyBorder="1" applyAlignment="1">
      <alignment horizontal="center" vertical="center"/>
    </xf>
    <xf numFmtId="168" fontId="10" fillId="6" borderId="35" xfId="7" applyNumberFormat="1" applyFont="1" applyFill="1" applyBorder="1" applyAlignment="1" applyProtection="1">
      <alignment horizontal="center" vertical="center"/>
    </xf>
    <xf numFmtId="168" fontId="18" fillId="6" borderId="31" xfId="7" applyNumberFormat="1" applyFont="1" applyFill="1" applyBorder="1" applyAlignment="1">
      <alignment vertical="center"/>
    </xf>
    <xf numFmtId="3" fontId="17" fillId="7" borderId="7" xfId="0" applyNumberFormat="1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vertical="center"/>
    </xf>
    <xf numFmtId="168" fontId="11" fillId="5" borderId="8" xfId="7" applyNumberFormat="1" applyFont="1" applyFill="1" applyBorder="1" applyAlignment="1" applyProtection="1">
      <alignment horizontal="center" vertical="center"/>
    </xf>
    <xf numFmtId="0" fontId="9" fillId="7" borderId="5" xfId="10" applyFill="1" applyAlignment="1">
      <alignment horizontal="center" vertical="center"/>
    </xf>
    <xf numFmtId="3" fontId="17" fillId="0" borderId="6" xfId="0" applyNumberFormat="1" applyFont="1" applyBorder="1" applyAlignment="1">
      <alignment vertical="center"/>
    </xf>
    <xf numFmtId="171" fontId="23" fillId="7" borderId="0" xfId="0" applyNumberFormat="1" applyFont="1" applyFill="1" applyAlignment="1">
      <alignment vertical="center"/>
    </xf>
    <xf numFmtId="3" fontId="18" fillId="6" borderId="6" xfId="0" applyNumberFormat="1" applyFont="1" applyFill="1" applyBorder="1" applyAlignment="1">
      <alignment vertical="center"/>
    </xf>
    <xf numFmtId="3" fontId="18" fillId="6" borderId="7" xfId="0" applyNumberFormat="1" applyFont="1" applyFill="1" applyBorder="1" applyAlignment="1">
      <alignment horizontal="center" vertical="center"/>
    </xf>
    <xf numFmtId="168" fontId="10" fillId="6" borderId="7" xfId="7" applyNumberFormat="1" applyFont="1" applyFill="1" applyBorder="1" applyAlignment="1" applyProtection="1">
      <alignment horizontal="center" vertical="center"/>
    </xf>
    <xf numFmtId="168" fontId="18" fillId="6" borderId="8" xfId="7" applyNumberFormat="1" applyFont="1" applyFill="1" applyBorder="1" applyAlignment="1">
      <alignment vertical="center"/>
    </xf>
    <xf numFmtId="168" fontId="18" fillId="6" borderId="9" xfId="7" applyNumberFormat="1" applyFont="1" applyFill="1" applyBorder="1" applyAlignment="1">
      <alignment horizontal="right" vertical="center"/>
    </xf>
    <xf numFmtId="3" fontId="18" fillId="6" borderId="6" xfId="0" applyNumberFormat="1" applyFont="1" applyFill="1" applyBorder="1" applyAlignment="1">
      <alignment horizontal="center" vertical="center"/>
    </xf>
    <xf numFmtId="169" fontId="18" fillId="6" borderId="6" xfId="0" applyNumberFormat="1" applyFont="1" applyFill="1" applyBorder="1" applyAlignment="1">
      <alignment vertical="center"/>
    </xf>
    <xf numFmtId="169" fontId="18" fillId="6" borderId="7" xfId="0" applyNumberFormat="1" applyFont="1" applyFill="1" applyBorder="1" applyAlignment="1">
      <alignment horizontal="center" vertical="center"/>
    </xf>
    <xf numFmtId="169" fontId="10" fillId="6" borderId="7" xfId="7" applyNumberFormat="1" applyFont="1" applyFill="1" applyBorder="1" applyAlignment="1" applyProtection="1">
      <alignment horizontal="center" vertical="center"/>
    </xf>
    <xf numFmtId="169" fontId="18" fillId="6" borderId="8" xfId="7" applyNumberFormat="1" applyFont="1" applyFill="1" applyBorder="1" applyAlignment="1">
      <alignment vertical="center"/>
    </xf>
    <xf numFmtId="169" fontId="18" fillId="6" borderId="9" xfId="7" applyNumberFormat="1" applyFont="1" applyFill="1" applyBorder="1" applyAlignment="1">
      <alignment horizontal="right" vertical="center"/>
    </xf>
    <xf numFmtId="3" fontId="18" fillId="6" borderId="26" xfId="0" applyNumberFormat="1" applyFont="1" applyFill="1" applyBorder="1" applyAlignment="1">
      <alignment horizontal="center" vertical="center"/>
    </xf>
    <xf numFmtId="168" fontId="10" fillId="6" borderId="26" xfId="7" applyNumberFormat="1" applyFont="1" applyFill="1" applyBorder="1" applyAlignment="1" applyProtection="1">
      <alignment horizontal="center" vertical="center"/>
    </xf>
    <xf numFmtId="168" fontId="18" fillId="6" borderId="27" xfId="7" applyNumberFormat="1" applyFont="1" applyFill="1" applyBorder="1" applyAlignment="1">
      <alignment vertical="center"/>
    </xf>
    <xf numFmtId="3" fontId="18" fillId="6" borderId="25" xfId="0" applyNumberFormat="1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vertical="center"/>
    </xf>
    <xf numFmtId="0" fontId="11" fillId="8" borderId="7" xfId="0" applyFont="1" applyFill="1" applyBorder="1" applyAlignment="1">
      <alignment vertical="center"/>
    </xf>
    <xf numFmtId="169" fontId="18" fillId="6" borderId="34" xfId="7" applyNumberFormat="1" applyFont="1" applyFill="1" applyBorder="1" applyAlignment="1">
      <alignment horizontal="right" vertical="center"/>
    </xf>
    <xf numFmtId="0" fontId="17" fillId="7" borderId="0" xfId="1" applyFont="1" applyFill="1" applyAlignment="1">
      <alignment vertical="center"/>
    </xf>
    <xf numFmtId="171" fontId="11" fillId="7" borderId="0" xfId="0" applyNumberFormat="1" applyFont="1" applyFill="1" applyAlignment="1">
      <alignment vertical="center"/>
    </xf>
    <xf numFmtId="0" fontId="21" fillId="7" borderId="0" xfId="1" applyFont="1" applyFill="1" applyAlignment="1">
      <alignment horizontal="left" vertical="center"/>
    </xf>
    <xf numFmtId="0" fontId="22" fillId="7" borderId="0" xfId="1" applyFont="1" applyFill="1" applyAlignment="1">
      <alignment vertical="center"/>
    </xf>
    <xf numFmtId="168" fontId="11" fillId="5" borderId="7" xfId="7" applyNumberFormat="1" applyFont="1" applyFill="1" applyBorder="1" applyAlignment="1" applyProtection="1">
      <alignment horizontal="center" vertical="center"/>
    </xf>
    <xf numFmtId="168" fontId="17" fillId="7" borderId="8" xfId="7" applyNumberFormat="1" applyFont="1" applyFill="1" applyBorder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17" fillId="5" borderId="6" xfId="0" applyFont="1" applyFill="1" applyBorder="1" applyAlignment="1">
      <alignment vertical="center"/>
    </xf>
    <xf numFmtId="0" fontId="17" fillId="5" borderId="7" xfId="0" applyFont="1" applyFill="1" applyBorder="1" applyAlignment="1">
      <alignment horizontal="center" vertical="center"/>
    </xf>
    <xf numFmtId="9" fontId="11" fillId="5" borderId="9" xfId="7" applyFont="1" applyFill="1" applyBorder="1" applyAlignment="1" applyProtection="1">
      <alignment horizontal="center" vertical="center"/>
    </xf>
    <xf numFmtId="9" fontId="17" fillId="5" borderId="8" xfId="7" applyFont="1" applyFill="1" applyBorder="1" applyAlignment="1">
      <alignment vertical="center"/>
    </xf>
    <xf numFmtId="169" fontId="17" fillId="7" borderId="9" xfId="7" applyNumberFormat="1" applyFont="1" applyFill="1" applyBorder="1" applyAlignment="1">
      <alignment horizontal="right" vertical="center"/>
    </xf>
    <xf numFmtId="9" fontId="11" fillId="5" borderId="7" xfId="7" applyFont="1" applyFill="1" applyBorder="1" applyAlignment="1" applyProtection="1">
      <alignment horizontal="center" vertical="center"/>
    </xf>
    <xf numFmtId="169" fontId="18" fillId="6" borderId="20" xfId="0" applyNumberFormat="1" applyFont="1" applyFill="1" applyBorder="1" applyAlignment="1">
      <alignment vertical="center"/>
    </xf>
    <xf numFmtId="169" fontId="18" fillId="6" borderId="24" xfId="0" applyNumberFormat="1" applyFont="1" applyFill="1" applyBorder="1" applyAlignment="1">
      <alignment horizontal="center" vertical="center"/>
    </xf>
    <xf numFmtId="169" fontId="10" fillId="6" borderId="24" xfId="7" applyNumberFormat="1" applyFont="1" applyFill="1" applyBorder="1" applyAlignment="1" applyProtection="1">
      <alignment horizontal="center" vertical="center"/>
    </xf>
    <xf numFmtId="169" fontId="18" fillId="6" borderId="21" xfId="7" applyNumberFormat="1" applyFont="1" applyFill="1" applyBorder="1" applyAlignment="1">
      <alignment vertical="center"/>
    </xf>
    <xf numFmtId="169" fontId="18" fillId="6" borderId="23" xfId="7" applyNumberFormat="1" applyFont="1" applyFill="1" applyBorder="1" applyAlignment="1">
      <alignment horizontal="right" vertical="center"/>
    </xf>
    <xf numFmtId="169" fontId="11" fillId="7" borderId="0" xfId="7" applyNumberFormat="1" applyFont="1" applyFill="1" applyAlignment="1">
      <alignment vertical="center"/>
    </xf>
    <xf numFmtId="0" fontId="14" fillId="7" borderId="8" xfId="0" applyFont="1" applyFill="1" applyBorder="1" applyAlignment="1">
      <alignment horizontal="center" vertical="center"/>
    </xf>
    <xf numFmtId="0" fontId="24" fillId="7" borderId="0" xfId="1" applyFont="1" applyFill="1" applyAlignment="1">
      <alignment vertical="center"/>
    </xf>
    <xf numFmtId="171" fontId="25" fillId="7" borderId="0" xfId="0" applyNumberFormat="1" applyFont="1" applyFill="1" applyAlignment="1">
      <alignment vertical="center"/>
    </xf>
    <xf numFmtId="0" fontId="17" fillId="7" borderId="6" xfId="0" applyFont="1" applyFill="1" applyBorder="1" applyAlignment="1">
      <alignment vertical="center"/>
    </xf>
    <xf numFmtId="0" fontId="17" fillId="7" borderId="8" xfId="0" applyFont="1" applyFill="1" applyBorder="1" applyAlignment="1">
      <alignment horizontal="center" vertical="center"/>
    </xf>
    <xf numFmtId="9" fontId="11" fillId="6" borderId="29" xfId="7" applyFont="1" applyFill="1" applyBorder="1" applyAlignment="1" applyProtection="1">
      <alignment horizontal="center" vertical="center"/>
    </xf>
    <xf numFmtId="9" fontId="17" fillId="7" borderId="9" xfId="7" applyFont="1" applyFill="1" applyBorder="1" applyAlignment="1">
      <alignment vertical="center"/>
    </xf>
    <xf numFmtId="169" fontId="17" fillId="0" borderId="9" xfId="7" applyNumberFormat="1" applyFont="1" applyBorder="1" applyAlignment="1">
      <alignment horizontal="right" vertical="center"/>
    </xf>
    <xf numFmtId="0" fontId="17" fillId="0" borderId="6" xfId="0" applyFont="1" applyBorder="1" applyAlignment="1">
      <alignment vertical="center"/>
    </xf>
    <xf numFmtId="168" fontId="17" fillId="0" borderId="13" xfId="7" applyNumberFormat="1" applyFont="1" applyBorder="1" applyAlignment="1">
      <alignment horizontal="right" vertical="center"/>
    </xf>
    <xf numFmtId="3" fontId="17" fillId="7" borderId="36" xfId="0" applyNumberFormat="1" applyFont="1" applyFill="1" applyBorder="1" applyAlignment="1">
      <alignment horizontal="center" vertical="center"/>
    </xf>
    <xf numFmtId="168" fontId="11" fillId="6" borderId="37" xfId="7" applyNumberFormat="1" applyFont="1" applyFill="1" applyBorder="1" applyAlignment="1" applyProtection="1">
      <alignment horizontal="center" vertical="center"/>
    </xf>
    <xf numFmtId="168" fontId="17" fillId="7" borderId="38" xfId="7" applyNumberFormat="1" applyFont="1" applyFill="1" applyBorder="1" applyAlignment="1">
      <alignment vertical="center"/>
    </xf>
    <xf numFmtId="168" fontId="17" fillId="7" borderId="38" xfId="7" applyNumberFormat="1" applyFont="1" applyFill="1" applyBorder="1" applyAlignment="1">
      <alignment horizontal="right" vertical="center"/>
    </xf>
    <xf numFmtId="172" fontId="11" fillId="7" borderId="0" xfId="0" applyNumberFormat="1" applyFont="1" applyFill="1" applyAlignment="1">
      <alignment vertical="center"/>
    </xf>
    <xf numFmtId="0" fontId="26" fillId="7" borderId="0" xfId="1" applyFont="1" applyFill="1" applyAlignment="1">
      <alignment vertical="center"/>
    </xf>
    <xf numFmtId="0" fontId="23" fillId="7" borderId="0" xfId="0" applyFont="1" applyFill="1" applyAlignment="1">
      <alignment horizontal="right" vertical="center"/>
    </xf>
    <xf numFmtId="173" fontId="11" fillId="7" borderId="0" xfId="0" applyNumberFormat="1" applyFont="1" applyFill="1" applyAlignment="1">
      <alignment horizontal="right" vertical="center"/>
    </xf>
    <xf numFmtId="168" fontId="17" fillId="0" borderId="9" xfId="7" applyNumberFormat="1" applyFont="1" applyBorder="1" applyAlignment="1">
      <alignment horizontal="right" vertical="center"/>
    </xf>
    <xf numFmtId="0" fontId="23" fillId="7" borderId="0" xfId="0" applyFont="1" applyFill="1" applyAlignment="1">
      <alignment horizontal="left" vertical="center"/>
    </xf>
    <xf numFmtId="3" fontId="17" fillId="5" borderId="6" xfId="0" applyNumberFormat="1" applyFont="1" applyFill="1" applyBorder="1" applyAlignment="1">
      <alignment vertical="center"/>
    </xf>
    <xf numFmtId="0" fontId="7" fillId="7" borderId="3" xfId="8" applyFill="1" applyAlignment="1">
      <alignment horizontal="left" vertical="center"/>
    </xf>
    <xf numFmtId="0" fontId="7" fillId="7" borderId="3" xfId="8" applyFill="1" applyAlignment="1">
      <alignment vertical="center"/>
    </xf>
    <xf numFmtId="169" fontId="11" fillId="7" borderId="0" xfId="7" applyNumberFormat="1" applyFont="1" applyFill="1" applyAlignment="1">
      <alignment horizontal="center" vertical="center"/>
    </xf>
    <xf numFmtId="0" fontId="27" fillId="7" borderId="0" xfId="0" applyFont="1" applyFill="1" applyAlignment="1">
      <alignment horizontal="left" vertical="center"/>
    </xf>
    <xf numFmtId="174" fontId="17" fillId="7" borderId="0" xfId="1" applyNumberFormat="1" applyFont="1" applyFill="1" applyAlignment="1" applyProtection="1">
      <alignment horizontal="right" vertical="center"/>
      <protection hidden="1"/>
    </xf>
    <xf numFmtId="0" fontId="0" fillId="7" borderId="0" xfId="0" applyFill="1" applyAlignment="1">
      <alignment vertical="center"/>
    </xf>
    <xf numFmtId="0" fontId="14" fillId="7" borderId="18" xfId="0" applyFont="1" applyFill="1" applyBorder="1" applyAlignment="1">
      <alignment horizontal="center" vertical="center"/>
    </xf>
    <xf numFmtId="0" fontId="11" fillId="5" borderId="0" xfId="0" applyFont="1" applyFill="1"/>
    <xf numFmtId="0" fontId="11" fillId="5" borderId="9" xfId="0" applyFont="1" applyFill="1" applyBorder="1" applyAlignment="1">
      <alignment vertical="center"/>
    </xf>
    <xf numFmtId="3" fontId="11" fillId="9" borderId="9" xfId="0" applyNumberFormat="1" applyFont="1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vertical="center"/>
    </xf>
    <xf numFmtId="3" fontId="11" fillId="5" borderId="9" xfId="0" applyNumberFormat="1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left" vertical="center"/>
    </xf>
    <xf numFmtId="0" fontId="11" fillId="5" borderId="8" xfId="0" applyFont="1" applyFill="1" applyBorder="1" applyAlignment="1">
      <alignment horizontal="left" vertical="center"/>
    </xf>
    <xf numFmtId="1" fontId="18" fillId="4" borderId="9" xfId="0" applyNumberFormat="1" applyFont="1" applyFill="1" applyBorder="1" applyAlignment="1">
      <alignment horizontal="center" vertical="center" wrapText="1"/>
    </xf>
    <xf numFmtId="169" fontId="11" fillId="5" borderId="9" xfId="7" applyNumberFormat="1" applyFont="1" applyFill="1" applyBorder="1" applyAlignment="1" applyProtection="1">
      <alignment horizontal="center" vertical="center"/>
    </xf>
    <xf numFmtId="169" fontId="11" fillId="9" borderId="9" xfId="7" applyNumberFormat="1" applyFont="1" applyFill="1" applyBorder="1" applyAlignment="1" applyProtection="1">
      <alignment horizontal="center" vertical="center"/>
      <protection locked="0"/>
    </xf>
    <xf numFmtId="1" fontId="18" fillId="4" borderId="8" xfId="0" applyNumberFormat="1" applyFont="1" applyFill="1" applyBorder="1" applyAlignment="1">
      <alignment horizontal="center" vertical="center" wrapText="1"/>
    </xf>
    <xf numFmtId="1" fontId="18" fillId="4" borderId="39" xfId="0" applyNumberFormat="1" applyFont="1" applyFill="1" applyBorder="1" applyAlignment="1">
      <alignment horizontal="center" vertical="center" wrapText="1"/>
    </xf>
    <xf numFmtId="174" fontId="17" fillId="5" borderId="39" xfId="1" applyNumberFormat="1" applyFont="1" applyFill="1" applyBorder="1" applyAlignment="1">
      <alignment horizontal="right" vertical="center"/>
    </xf>
    <xf numFmtId="169" fontId="17" fillId="5" borderId="39" xfId="7" applyNumberFormat="1" applyFont="1" applyFill="1" applyBorder="1" applyAlignment="1" applyProtection="1"/>
    <xf numFmtId="175" fontId="17" fillId="5" borderId="39" xfId="0" applyNumberFormat="1" applyFont="1" applyFill="1" applyBorder="1"/>
    <xf numFmtId="175" fontId="17" fillId="5" borderId="39" xfId="0" applyNumberFormat="1" applyFont="1" applyFill="1" applyBorder="1" applyAlignment="1">
      <alignment horizontal="right"/>
    </xf>
    <xf numFmtId="0" fontId="12" fillId="5" borderId="0" xfId="5" applyFont="1" applyFill="1" applyAlignment="1" applyProtection="1">
      <alignment horizontal="center" vertical="center"/>
      <protection locked="0"/>
    </xf>
    <xf numFmtId="0" fontId="8" fillId="5" borderId="4" xfId="9" applyFill="1" applyAlignment="1" applyProtection="1">
      <alignment vertical="center"/>
    </xf>
    <xf numFmtId="0" fontId="19" fillId="5" borderId="0" xfId="0" applyFont="1" applyFill="1" applyAlignment="1">
      <alignment horizontal="center" vertical="center"/>
    </xf>
    <xf numFmtId="0" fontId="11" fillId="4" borderId="9" xfId="0" applyFont="1" applyFill="1" applyBorder="1" applyAlignment="1">
      <alignment horizontal="center" vertical="center" wrapText="1"/>
    </xf>
    <xf numFmtId="166" fontId="11" fillId="5" borderId="9" xfId="0" applyNumberFormat="1" applyFont="1" applyFill="1" applyBorder="1" applyAlignment="1">
      <alignment horizontal="center" vertical="center"/>
    </xf>
    <xf numFmtId="166" fontId="11" fillId="5" borderId="0" xfId="0" applyNumberFormat="1" applyFont="1" applyFill="1" applyAlignment="1">
      <alignment horizontal="center" vertical="center"/>
    </xf>
    <xf numFmtId="0" fontId="11" fillId="5" borderId="8" xfId="0" applyFont="1" applyFill="1" applyBorder="1" applyAlignment="1">
      <alignment vertical="center"/>
    </xf>
    <xf numFmtId="0" fontId="9" fillId="5" borderId="5" xfId="10" applyFill="1" applyAlignment="1" applyProtection="1">
      <alignment vertical="center"/>
    </xf>
    <xf numFmtId="0" fontId="9" fillId="5" borderId="5" xfId="10" applyFill="1" applyAlignment="1" applyProtection="1">
      <alignment horizontal="left" vertical="center"/>
    </xf>
    <xf numFmtId="0" fontId="19" fillId="5" borderId="0" xfId="0" applyFont="1" applyFill="1" applyAlignment="1">
      <alignment horizontal="right" vertical="center"/>
    </xf>
    <xf numFmtId="0" fontId="29" fillId="5" borderId="0" xfId="0" applyFont="1" applyFill="1" applyAlignment="1">
      <alignment horizontal="center" vertical="center"/>
    </xf>
    <xf numFmtId="0" fontId="30" fillId="5" borderId="0" xfId="0" applyFont="1" applyFill="1" applyAlignment="1">
      <alignment vertical="center"/>
    </xf>
    <xf numFmtId="0" fontId="10" fillId="4" borderId="41" xfId="0" applyFont="1" applyFill="1" applyBorder="1" applyAlignment="1">
      <alignment vertical="center"/>
    </xf>
    <xf numFmtId="0" fontId="10" fillId="4" borderId="7" xfId="0" applyFont="1" applyFill="1" applyBorder="1" applyAlignment="1">
      <alignment vertical="center"/>
    </xf>
    <xf numFmtId="0" fontId="10" fillId="4" borderId="8" xfId="0" applyFont="1" applyFill="1" applyBorder="1" applyAlignment="1">
      <alignment vertical="center"/>
    </xf>
    <xf numFmtId="3" fontId="18" fillId="4" borderId="8" xfId="0" applyNumberFormat="1" applyFont="1" applyFill="1" applyBorder="1" applyAlignment="1">
      <alignment horizontal="center" vertical="center" wrapText="1"/>
    </xf>
    <xf numFmtId="3" fontId="18" fillId="4" borderId="9" xfId="0" applyNumberFormat="1" applyFont="1" applyFill="1" applyBorder="1" applyAlignment="1">
      <alignment horizontal="center" vertical="center" wrapText="1"/>
    </xf>
    <xf numFmtId="0" fontId="11" fillId="9" borderId="9" xfId="0" applyFont="1" applyFill="1" applyBorder="1" applyAlignment="1" applyProtection="1">
      <alignment vertical="center"/>
      <protection locked="0"/>
    </xf>
    <xf numFmtId="169" fontId="11" fillId="9" borderId="8" xfId="7" applyNumberFormat="1" applyFont="1" applyFill="1" applyBorder="1" applyAlignment="1" applyProtection="1">
      <alignment horizontal="center" vertical="center"/>
      <protection locked="0"/>
    </xf>
    <xf numFmtId="0" fontId="11" fillId="9" borderId="13" xfId="0" applyFont="1" applyFill="1" applyBorder="1" applyAlignment="1" applyProtection="1">
      <alignment vertical="center"/>
      <protection locked="0"/>
    </xf>
    <xf numFmtId="169" fontId="11" fillId="5" borderId="13" xfId="7" applyNumberFormat="1" applyFont="1" applyFill="1" applyBorder="1" applyAlignment="1" applyProtection="1">
      <alignment horizontal="center" vertical="center"/>
    </xf>
    <xf numFmtId="0" fontId="10" fillId="6" borderId="23" xfId="0" applyFont="1" applyFill="1" applyBorder="1" applyAlignment="1">
      <alignment vertical="center"/>
    </xf>
    <xf numFmtId="0" fontId="23" fillId="5" borderId="0" xfId="0" applyFont="1" applyFill="1" applyAlignment="1">
      <alignment vertical="top" wrapText="1"/>
    </xf>
    <xf numFmtId="1" fontId="23" fillId="5" borderId="0" xfId="0" applyNumberFormat="1" applyFont="1" applyFill="1" applyAlignment="1">
      <alignment vertical="center"/>
    </xf>
    <xf numFmtId="0" fontId="19" fillId="5" borderId="0" xfId="0" applyFont="1" applyFill="1" applyAlignment="1">
      <alignment horizontal="left" vertical="center"/>
    </xf>
    <xf numFmtId="0" fontId="9" fillId="5" borderId="5" xfId="10" applyFill="1" applyAlignment="1" applyProtection="1">
      <alignment horizontal="center" vertical="center"/>
    </xf>
    <xf numFmtId="0" fontId="10" fillId="5" borderId="0" xfId="0" applyFont="1" applyFill="1" applyAlignment="1">
      <alignment vertical="center"/>
    </xf>
    <xf numFmtId="0" fontId="11" fillId="9" borderId="9" xfId="0" applyFont="1" applyFill="1" applyBorder="1" applyAlignment="1" applyProtection="1">
      <alignment horizontal="center" vertical="center"/>
      <protection locked="0"/>
    </xf>
    <xf numFmtId="3" fontId="17" fillId="9" borderId="43" xfId="0" applyNumberFormat="1" applyFont="1" applyFill="1" applyBorder="1" applyAlignment="1" applyProtection="1">
      <alignment horizontal="center" vertical="center"/>
      <protection locked="0"/>
    </xf>
    <xf numFmtId="3" fontId="17" fillId="9" borderId="44" xfId="0" applyNumberFormat="1" applyFont="1" applyFill="1" applyBorder="1" applyAlignment="1" applyProtection="1">
      <alignment horizontal="center" vertical="center"/>
      <protection locked="0"/>
    </xf>
    <xf numFmtId="0" fontId="10" fillId="4" borderId="13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3" fontId="11" fillId="5" borderId="0" xfId="0" applyNumberFormat="1" applyFont="1" applyFill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/>
    </xf>
    <xf numFmtId="169" fontId="10" fillId="4" borderId="13" xfId="7" applyNumberFormat="1" applyFont="1" applyFill="1" applyBorder="1" applyAlignment="1" applyProtection="1">
      <alignment horizontal="center" vertical="center" wrapText="1"/>
    </xf>
    <xf numFmtId="167" fontId="11" fillId="5" borderId="9" xfId="0" applyNumberFormat="1" applyFont="1" applyFill="1" applyBorder="1" applyAlignment="1">
      <alignment horizontal="center" vertical="center"/>
    </xf>
    <xf numFmtId="167" fontId="11" fillId="5" borderId="0" xfId="0" applyNumberFormat="1" applyFont="1" applyFill="1" applyAlignment="1">
      <alignment vertical="center"/>
    </xf>
    <xf numFmtId="9" fontId="11" fillId="9" borderId="9" xfId="0" applyNumberFormat="1" applyFont="1" applyFill="1" applyBorder="1" applyAlignment="1" applyProtection="1">
      <alignment horizontal="center" vertical="center"/>
      <protection locked="0"/>
    </xf>
    <xf numFmtId="9" fontId="11" fillId="5" borderId="9" xfId="0" applyNumberFormat="1" applyFont="1" applyFill="1" applyBorder="1" applyAlignment="1">
      <alignment horizontal="center" vertical="center"/>
    </xf>
    <xf numFmtId="9" fontId="10" fillId="5" borderId="9" xfId="0" applyNumberFormat="1" applyFont="1" applyFill="1" applyBorder="1" applyAlignment="1">
      <alignment horizontal="center" vertical="center"/>
    </xf>
    <xf numFmtId="10" fontId="11" fillId="9" borderId="9" xfId="7" applyNumberFormat="1" applyFont="1" applyFill="1" applyBorder="1" applyAlignment="1" applyProtection="1">
      <alignment horizontal="center" vertical="center"/>
      <protection locked="0"/>
    </xf>
    <xf numFmtId="3" fontId="11" fillId="9" borderId="9" xfId="7" applyNumberFormat="1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Alignment="1">
      <alignment vertical="center"/>
    </xf>
    <xf numFmtId="0" fontId="11" fillId="7" borderId="0" xfId="0" applyFont="1" applyFill="1"/>
    <xf numFmtId="0" fontId="31" fillId="7" borderId="0" xfId="3" applyFont="1" applyFill="1" applyAlignment="1">
      <alignment horizontal="left"/>
    </xf>
    <xf numFmtId="0" fontId="32" fillId="7" borderId="0" xfId="0" applyFont="1" applyFill="1" applyAlignment="1">
      <alignment horizontal="left"/>
    </xf>
    <xf numFmtId="0" fontId="17" fillId="4" borderId="6" xfId="0" applyFont="1" applyFill="1" applyBorder="1" applyAlignment="1">
      <alignment horizontal="center" vertical="center"/>
    </xf>
    <xf numFmtId="0" fontId="11" fillId="4" borderId="8" xfId="0" applyFont="1" applyFill="1" applyBorder="1"/>
    <xf numFmtId="1" fontId="17" fillId="4" borderId="9" xfId="1" applyNumberFormat="1" applyFont="1" applyFill="1" applyBorder="1" applyAlignment="1">
      <alignment horizontal="center" vertical="center"/>
    </xf>
    <xf numFmtId="168" fontId="31" fillId="7" borderId="0" xfId="4" applyNumberFormat="1" applyFont="1" applyFill="1" applyBorder="1" applyAlignment="1">
      <alignment horizontal="left"/>
    </xf>
    <xf numFmtId="0" fontId="11" fillId="7" borderId="8" xfId="0" applyFont="1" applyFill="1" applyBorder="1"/>
    <xf numFmtId="14" fontId="17" fillId="5" borderId="9" xfId="4" applyNumberFormat="1" applyFont="1" applyFill="1" applyBorder="1" applyAlignment="1">
      <alignment horizontal="center" vertical="center"/>
    </xf>
    <xf numFmtId="0" fontId="17" fillId="7" borderId="0" xfId="0" applyFont="1" applyFill="1"/>
    <xf numFmtId="3" fontId="17" fillId="5" borderId="9" xfId="4" applyNumberFormat="1" applyFont="1" applyFill="1" applyBorder="1" applyAlignment="1">
      <alignment horizontal="center" vertical="center"/>
    </xf>
    <xf numFmtId="0" fontId="10" fillId="7" borderId="0" xfId="3" applyFont="1" applyFill="1" applyAlignment="1">
      <alignment horizontal="left"/>
    </xf>
    <xf numFmtId="3" fontId="17" fillId="7" borderId="0" xfId="1" applyNumberFormat="1" applyFont="1" applyFill="1" applyAlignment="1">
      <alignment horizontal="center"/>
    </xf>
    <xf numFmtId="3" fontId="11" fillId="5" borderId="7" xfId="0" applyNumberFormat="1" applyFont="1" applyFill="1" applyBorder="1" applyAlignment="1">
      <alignment horizontal="center" vertical="center"/>
    </xf>
    <xf numFmtId="0" fontId="17" fillId="7" borderId="0" xfId="1" applyFont="1" applyFill="1"/>
    <xf numFmtId="0" fontId="18" fillId="10" borderId="9" xfId="0" applyFont="1" applyFill="1" applyBorder="1" applyAlignment="1">
      <alignment horizontal="center" vertical="center"/>
    </xf>
    <xf numFmtId="0" fontId="17" fillId="7" borderId="8" xfId="0" applyFont="1" applyFill="1" applyBorder="1"/>
    <xf numFmtId="9" fontId="11" fillId="5" borderId="44" xfId="7" applyFont="1" applyFill="1" applyBorder="1" applyAlignment="1" applyProtection="1">
      <alignment horizontal="right" vertical="center"/>
    </xf>
    <xf numFmtId="0" fontId="11" fillId="5" borderId="13" xfId="0" applyFont="1" applyFill="1" applyBorder="1" applyAlignment="1">
      <alignment vertical="center"/>
    </xf>
    <xf numFmtId="3" fontId="11" fillId="5" borderId="13" xfId="0" applyNumberFormat="1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vertical="center"/>
    </xf>
    <xf numFmtId="0" fontId="17" fillId="7" borderId="12" xfId="0" applyFont="1" applyFill="1" applyBorder="1"/>
    <xf numFmtId="9" fontId="11" fillId="5" borderId="45" xfId="7" applyFont="1" applyFill="1" applyBorder="1" applyAlignment="1" applyProtection="1">
      <alignment horizontal="right" vertical="center"/>
    </xf>
    <xf numFmtId="3" fontId="10" fillId="6" borderId="23" xfId="0" applyNumberFormat="1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left"/>
    </xf>
    <xf numFmtId="0" fontId="18" fillId="6" borderId="21" xfId="0" applyFont="1" applyFill="1" applyBorder="1"/>
    <xf numFmtId="9" fontId="10" fillId="6" borderId="46" xfId="7" applyFont="1" applyFill="1" applyBorder="1" applyAlignment="1" applyProtection="1">
      <alignment horizontal="right" vertical="center"/>
    </xf>
    <xf numFmtId="0" fontId="33" fillId="7" borderId="0" xfId="3" applyFont="1" applyFill="1" applyAlignment="1">
      <alignment horizontal="left"/>
    </xf>
    <xf numFmtId="174" fontId="17" fillId="5" borderId="8" xfId="1" applyNumberFormat="1" applyFont="1" applyFill="1" applyBorder="1" applyAlignment="1">
      <alignment horizontal="right" vertical="center"/>
    </xf>
    <xf numFmtId="174" fontId="17" fillId="5" borderId="9" xfId="1" applyNumberFormat="1" applyFont="1" applyFill="1" applyBorder="1" applyAlignment="1">
      <alignment horizontal="right" vertical="center"/>
    </xf>
    <xf numFmtId="169" fontId="17" fillId="5" borderId="8" xfId="7" applyNumberFormat="1" applyFont="1" applyFill="1" applyBorder="1" applyAlignment="1" applyProtection="1">
      <alignment horizontal="right"/>
    </xf>
    <xf numFmtId="169" fontId="17" fillId="5" borderId="9" xfId="7" applyNumberFormat="1" applyFont="1" applyFill="1" applyBorder="1" applyAlignment="1" applyProtection="1">
      <alignment horizontal="right"/>
    </xf>
    <xf numFmtId="175" fontId="17" fillId="5" borderId="8" xfId="0" applyNumberFormat="1" applyFont="1" applyFill="1" applyBorder="1" applyAlignment="1">
      <alignment horizontal="right"/>
    </xf>
    <xf numFmtId="175" fontId="17" fillId="5" borderId="9" xfId="0" applyNumberFormat="1" applyFont="1" applyFill="1" applyBorder="1" applyAlignment="1">
      <alignment horizontal="right"/>
    </xf>
    <xf numFmtId="3" fontId="18" fillId="4" borderId="9" xfId="1" applyNumberFormat="1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1" fontId="18" fillId="4" borderId="9" xfId="1" applyNumberFormat="1" applyFont="1" applyFill="1" applyBorder="1" applyAlignment="1">
      <alignment horizontal="center" vertical="center"/>
    </xf>
    <xf numFmtId="0" fontId="33" fillId="7" borderId="40" xfId="3" applyFont="1" applyFill="1" applyBorder="1" applyAlignment="1">
      <alignment horizontal="left"/>
    </xf>
    <xf numFmtId="3" fontId="17" fillId="7" borderId="36" xfId="1" applyNumberFormat="1" applyFont="1" applyFill="1" applyBorder="1" applyAlignment="1">
      <alignment horizontal="center"/>
    </xf>
    <xf numFmtId="0" fontId="17" fillId="5" borderId="9" xfId="1" applyFont="1" applyFill="1" applyBorder="1"/>
    <xf numFmtId="174" fontId="17" fillId="6" borderId="29" xfId="1" applyNumberFormat="1" applyFont="1" applyFill="1" applyBorder="1"/>
    <xf numFmtId="174" fontId="17" fillId="5" borderId="8" xfId="1" applyNumberFormat="1" applyFont="1" applyFill="1" applyBorder="1"/>
    <xf numFmtId="174" fontId="17" fillId="5" borderId="9" xfId="1" applyNumberFormat="1" applyFont="1" applyFill="1" applyBorder="1"/>
    <xf numFmtId="0" fontId="18" fillId="5" borderId="9" xfId="1" applyFont="1" applyFill="1" applyBorder="1"/>
    <xf numFmtId="174" fontId="18" fillId="6" borderId="29" xfId="1" applyNumberFormat="1" applyFont="1" applyFill="1" applyBorder="1"/>
    <xf numFmtId="174" fontId="18" fillId="5" borderId="8" xfId="1" applyNumberFormat="1" applyFont="1" applyFill="1" applyBorder="1"/>
    <xf numFmtId="174" fontId="18" fillId="5" borderId="9" xfId="1" applyNumberFormat="1" applyFont="1" applyFill="1" applyBorder="1"/>
    <xf numFmtId="0" fontId="21" fillId="5" borderId="9" xfId="1" applyFont="1" applyFill="1" applyBorder="1" applyAlignment="1">
      <alignment horizontal="left" vertical="center"/>
    </xf>
    <xf numFmtId="169" fontId="21" fillId="6" borderId="29" xfId="0" applyNumberFormat="1" applyFont="1" applyFill="1" applyBorder="1"/>
    <xf numFmtId="169" fontId="21" fillId="5" borderId="8" xfId="7" applyNumberFormat="1" applyFont="1" applyFill="1" applyBorder="1" applyAlignment="1" applyProtection="1">
      <alignment horizontal="right" vertical="center"/>
    </xf>
    <xf numFmtId="0" fontId="17" fillId="5" borderId="14" xfId="0" applyFont="1" applyFill="1" applyBorder="1"/>
    <xf numFmtId="0" fontId="17" fillId="5" borderId="15" xfId="0" applyFont="1" applyFill="1" applyBorder="1"/>
    <xf numFmtId="0" fontId="17" fillId="5" borderId="16" xfId="0" applyFont="1" applyFill="1" applyBorder="1"/>
    <xf numFmtId="0" fontId="17" fillId="5" borderId="13" xfId="1" applyFont="1" applyFill="1" applyBorder="1"/>
    <xf numFmtId="174" fontId="17" fillId="6" borderId="19" xfId="1" applyNumberFormat="1" applyFont="1" applyFill="1" applyBorder="1"/>
    <xf numFmtId="174" fontId="17" fillId="5" borderId="12" xfId="1" applyNumberFormat="1" applyFont="1" applyFill="1" applyBorder="1"/>
    <xf numFmtId="174" fontId="17" fillId="5" borderId="13" xfId="1" applyNumberFormat="1" applyFont="1" applyFill="1" applyBorder="1"/>
    <xf numFmtId="0" fontId="18" fillId="6" borderId="23" xfId="1" applyFont="1" applyFill="1" applyBorder="1"/>
    <xf numFmtId="174" fontId="18" fillId="6" borderId="22" xfId="1" applyNumberFormat="1" applyFont="1" applyFill="1" applyBorder="1"/>
    <xf numFmtId="174" fontId="18" fillId="6" borderId="21" xfId="1" applyNumberFormat="1" applyFont="1" applyFill="1" applyBorder="1"/>
    <xf numFmtId="0" fontId="21" fillId="6" borderId="28" xfId="1" applyFont="1" applyFill="1" applyBorder="1" applyAlignment="1">
      <alignment horizontal="left" vertical="center"/>
    </xf>
    <xf numFmtId="169" fontId="21" fillId="6" borderId="34" xfId="0" applyNumberFormat="1" applyFont="1" applyFill="1" applyBorder="1"/>
    <xf numFmtId="169" fontId="21" fillId="6" borderId="27" xfId="7" applyNumberFormat="1" applyFont="1" applyFill="1" applyBorder="1" applyAlignment="1" applyProtection="1">
      <alignment horizontal="right" vertical="center"/>
    </xf>
    <xf numFmtId="169" fontId="21" fillId="6" borderId="28" xfId="7" applyNumberFormat="1" applyFont="1" applyFill="1" applyBorder="1" applyAlignment="1" applyProtection="1">
      <alignment horizontal="right" vertical="center"/>
    </xf>
    <xf numFmtId="0" fontId="9" fillId="7" borderId="40" xfId="12" applyFill="1" applyBorder="1" applyProtection="1"/>
    <xf numFmtId="0" fontId="17" fillId="7" borderId="36" xfId="0" applyFont="1" applyFill="1" applyBorder="1"/>
    <xf numFmtId="0" fontId="11" fillId="5" borderId="12" xfId="0" applyFont="1" applyFill="1" applyBorder="1" applyAlignment="1">
      <alignment vertical="center"/>
    </xf>
    <xf numFmtId="174" fontId="17" fillId="5" borderId="12" xfId="1" applyNumberFormat="1" applyFont="1" applyFill="1" applyBorder="1" applyAlignment="1">
      <alignment horizontal="right" vertical="center"/>
    </xf>
    <xf numFmtId="0" fontId="11" fillId="6" borderId="20" xfId="0" applyFont="1" applyFill="1" applyBorder="1" applyAlignment="1">
      <alignment vertical="center"/>
    </xf>
    <xf numFmtId="0" fontId="11" fillId="6" borderId="21" xfId="0" applyFont="1" applyFill="1" applyBorder="1" applyAlignment="1">
      <alignment vertical="center"/>
    </xf>
    <xf numFmtId="174" fontId="17" fillId="6" borderId="21" xfId="1" applyNumberFormat="1" applyFont="1" applyFill="1" applyBorder="1" applyAlignment="1">
      <alignment horizontal="right" vertical="center"/>
    </xf>
    <xf numFmtId="0" fontId="17" fillId="11" borderId="40" xfId="1" applyFont="1" applyFill="1" applyBorder="1"/>
    <xf numFmtId="174" fontId="17" fillId="7" borderId="0" xfId="1" applyNumberFormat="1" applyFont="1" applyFill="1"/>
    <xf numFmtId="174" fontId="17" fillId="7" borderId="36" xfId="1" applyNumberFormat="1" applyFont="1" applyFill="1" applyBorder="1"/>
    <xf numFmtId="0" fontId="31" fillId="7" borderId="0" xfId="1" applyFont="1" applyFill="1"/>
    <xf numFmtId="174" fontId="18" fillId="6" borderId="29" xfId="1" applyNumberFormat="1" applyFont="1" applyFill="1" applyBorder="1" applyAlignment="1">
      <alignment horizontal="right" vertical="center"/>
    </xf>
    <xf numFmtId="174" fontId="18" fillId="6" borderId="19" xfId="1" applyNumberFormat="1" applyFont="1" applyFill="1" applyBorder="1" applyAlignment="1">
      <alignment horizontal="right" vertical="center"/>
    </xf>
    <xf numFmtId="0" fontId="10" fillId="6" borderId="20" xfId="0" applyFont="1" applyFill="1" applyBorder="1" applyAlignment="1">
      <alignment vertical="center"/>
    </xf>
    <xf numFmtId="174" fontId="18" fillId="6" borderId="22" xfId="1" applyNumberFormat="1" applyFont="1" applyFill="1" applyBorder="1" applyAlignment="1">
      <alignment horizontal="right" vertical="center"/>
    </xf>
    <xf numFmtId="174" fontId="18" fillId="6" borderId="21" xfId="1" applyNumberFormat="1" applyFont="1" applyFill="1" applyBorder="1" applyAlignment="1">
      <alignment horizontal="right" vertical="center"/>
    </xf>
    <xf numFmtId="0" fontId="17" fillId="7" borderId="40" xfId="0" applyFont="1" applyFill="1" applyBorder="1"/>
    <xf numFmtId="0" fontId="10" fillId="6" borderId="6" xfId="0" applyFont="1" applyFill="1" applyBorder="1" applyAlignment="1">
      <alignment vertical="center"/>
    </xf>
    <xf numFmtId="174" fontId="18" fillId="6" borderId="8" xfId="1" applyNumberFormat="1" applyFont="1" applyFill="1" applyBorder="1" applyAlignment="1">
      <alignment horizontal="right" vertical="center"/>
    </xf>
    <xf numFmtId="0" fontId="10" fillId="6" borderId="25" xfId="0" applyFont="1" applyFill="1" applyBorder="1" applyAlignment="1">
      <alignment vertical="center"/>
    </xf>
    <xf numFmtId="174" fontId="18" fillId="6" borderId="34" xfId="1" applyNumberFormat="1" applyFont="1" applyFill="1" applyBorder="1" applyAlignment="1">
      <alignment horizontal="right" vertical="center"/>
    </xf>
    <xf numFmtId="174" fontId="18" fillId="6" borderId="27" xfId="1" applyNumberFormat="1" applyFont="1" applyFill="1" applyBorder="1" applyAlignment="1">
      <alignment horizontal="right" vertical="center"/>
    </xf>
    <xf numFmtId="0" fontId="10" fillId="4" borderId="0" xfId="0" applyFont="1" applyFill="1"/>
    <xf numFmtId="0" fontId="11" fillId="4" borderId="0" xfId="0" applyFont="1" applyFill="1"/>
    <xf numFmtId="0" fontId="10" fillId="4" borderId="9" xfId="0" applyFont="1" applyFill="1" applyBorder="1" applyAlignment="1">
      <alignment horizontal="center"/>
    </xf>
    <xf numFmtId="0" fontId="11" fillId="7" borderId="9" xfId="0" applyFont="1" applyFill="1" applyBorder="1"/>
    <xf numFmtId="0" fontId="35" fillId="7" borderId="9" xfId="11" applyFont="1" applyFill="1" applyBorder="1" applyAlignment="1" applyProtection="1"/>
    <xf numFmtId="0" fontId="11" fillId="7" borderId="9" xfId="0" applyFont="1" applyFill="1" applyBorder="1" applyAlignment="1">
      <alignment vertical="center" wrapText="1"/>
    </xf>
    <xf numFmtId="0" fontId="11" fillId="7" borderId="9" xfId="0" applyFont="1" applyFill="1" applyBorder="1" applyAlignment="1">
      <alignment horizontal="justify" vertical="center" wrapText="1"/>
    </xf>
    <xf numFmtId="0" fontId="11" fillId="0" borderId="0" xfId="13"/>
    <xf numFmtId="0" fontId="36" fillId="0" borderId="0" xfId="13" applyFont="1" applyAlignment="1">
      <alignment horizontal="left"/>
    </xf>
    <xf numFmtId="0" fontId="37" fillId="0" borderId="0" xfId="13" applyFont="1"/>
    <xf numFmtId="0" fontId="36" fillId="0" borderId="0" xfId="13" applyFont="1"/>
    <xf numFmtId="0" fontId="38" fillId="0" borderId="0" xfId="13" applyFont="1" applyAlignment="1">
      <alignment horizontal="center"/>
    </xf>
    <xf numFmtId="3" fontId="39" fillId="0" borderId="0" xfId="13" applyNumberFormat="1" applyFont="1" applyAlignment="1">
      <alignment horizontal="center" wrapText="1"/>
    </xf>
    <xf numFmtId="0" fontId="39" fillId="0" borderId="0" xfId="13" applyFont="1" applyAlignment="1">
      <alignment horizontal="center" wrapText="1"/>
    </xf>
    <xf numFmtId="0" fontId="40" fillId="0" borderId="0" xfId="13" applyFont="1" applyAlignment="1">
      <alignment horizontal="center" wrapText="1"/>
    </xf>
    <xf numFmtId="0" fontId="40" fillId="0" borderId="0" xfId="13" applyFont="1" applyAlignment="1">
      <alignment horizontal="center"/>
    </xf>
    <xf numFmtId="0" fontId="22" fillId="0" borderId="0" xfId="11" applyFont="1" applyAlignment="1">
      <alignment horizontal="center"/>
    </xf>
    <xf numFmtId="0" fontId="11" fillId="7" borderId="0" xfId="0" applyFont="1" applyFill="1" applyAlignment="1">
      <alignment horizontal="justify" vertical="center"/>
    </xf>
    <xf numFmtId="0" fontId="34" fillId="5" borderId="0" xfId="11" applyFont="1" applyFill="1" applyBorder="1" applyAlignment="1" applyProtection="1">
      <alignment horizontal="center" vertical="center"/>
    </xf>
    <xf numFmtId="3" fontId="11" fillId="5" borderId="6" xfId="0" applyNumberFormat="1" applyFont="1" applyFill="1" applyBorder="1" applyAlignment="1">
      <alignment horizontal="center" vertical="center"/>
    </xf>
    <xf numFmtId="3" fontId="11" fillId="5" borderId="8" xfId="0" applyNumberFormat="1" applyFont="1" applyFill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0" fontId="18" fillId="10" borderId="8" xfId="0" applyFont="1" applyFill="1" applyBorder="1" applyAlignment="1">
      <alignment horizontal="center" vertical="center"/>
    </xf>
    <xf numFmtId="1" fontId="18" fillId="4" borderId="6" xfId="0" applyNumberFormat="1" applyFont="1" applyFill="1" applyBorder="1" applyAlignment="1">
      <alignment horizontal="center" vertical="center" wrapText="1"/>
    </xf>
    <xf numFmtId="1" fontId="18" fillId="4" borderId="8" xfId="0" applyNumberFormat="1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7" fillId="7" borderId="47" xfId="0" applyFont="1" applyFill="1" applyBorder="1" applyAlignment="1">
      <alignment horizontal="left" vertical="center" wrapText="1"/>
    </xf>
    <xf numFmtId="3" fontId="11" fillId="5" borderId="7" xfId="0" applyNumberFormat="1" applyFont="1" applyFill="1" applyBorder="1" applyAlignment="1">
      <alignment horizontal="center" vertical="center"/>
    </xf>
    <xf numFmtId="3" fontId="11" fillId="5" borderId="6" xfId="0" applyNumberFormat="1" applyFont="1" applyFill="1" applyBorder="1" applyAlignment="1">
      <alignment horizontal="center" vertical="center" wrapText="1"/>
    </xf>
    <xf numFmtId="3" fontId="11" fillId="5" borderId="7" xfId="0" applyNumberFormat="1" applyFont="1" applyFill="1" applyBorder="1" applyAlignment="1">
      <alignment horizontal="center" vertical="center" wrapText="1"/>
    </xf>
    <xf numFmtId="3" fontId="11" fillId="5" borderId="8" xfId="0" applyNumberFormat="1" applyFont="1" applyFill="1" applyBorder="1" applyAlignment="1">
      <alignment horizontal="center" vertical="center" wrapText="1"/>
    </xf>
    <xf numFmtId="3" fontId="18" fillId="4" borderId="6" xfId="1" applyNumberFormat="1" applyFont="1" applyFill="1" applyBorder="1" applyAlignment="1">
      <alignment horizontal="center" vertical="center"/>
    </xf>
    <xf numFmtId="3" fontId="18" fillId="4" borderId="8" xfId="1" applyNumberFormat="1" applyFont="1" applyFill="1" applyBorder="1" applyAlignment="1">
      <alignment horizontal="center" vertical="center"/>
    </xf>
    <xf numFmtId="9" fontId="11" fillId="5" borderId="6" xfId="0" applyNumberFormat="1" applyFont="1" applyFill="1" applyBorder="1" applyAlignment="1">
      <alignment horizontal="center" vertical="center"/>
    </xf>
    <xf numFmtId="9" fontId="11" fillId="5" borderId="8" xfId="0" applyNumberFormat="1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left" vertical="center"/>
    </xf>
    <xf numFmtId="0" fontId="11" fillId="5" borderId="8" xfId="0" applyFont="1" applyFill="1" applyBorder="1" applyAlignment="1">
      <alignment horizontal="left" vertical="center"/>
    </xf>
    <xf numFmtId="0" fontId="9" fillId="5" borderId="0" xfId="5" applyFont="1" applyFill="1" applyBorder="1" applyAlignment="1" applyProtection="1">
      <alignment horizontal="center" vertical="center"/>
      <protection locked="0"/>
    </xf>
    <xf numFmtId="0" fontId="10" fillId="5" borderId="6" xfId="0" applyFont="1" applyFill="1" applyBorder="1" applyAlignment="1">
      <alignment horizontal="left" vertical="center"/>
    </xf>
    <xf numFmtId="0" fontId="10" fillId="5" borderId="8" xfId="0" applyFont="1" applyFill="1" applyBorder="1" applyAlignment="1">
      <alignment horizontal="left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1" fontId="18" fillId="4" borderId="7" xfId="0" applyNumberFormat="1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42" xfId="0" applyFont="1" applyFill="1" applyBorder="1" applyAlignment="1">
      <alignment horizontal="center" vertical="center" wrapText="1"/>
    </xf>
    <xf numFmtId="3" fontId="11" fillId="9" borderId="9" xfId="0" applyNumberFormat="1" applyFont="1" applyFill="1" applyBorder="1" applyAlignment="1" applyProtection="1">
      <alignment horizontal="center" vertical="center"/>
      <protection locked="0"/>
    </xf>
    <xf numFmtId="3" fontId="11" fillId="5" borderId="9" xfId="0" applyNumberFormat="1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/>
    </xf>
    <xf numFmtId="169" fontId="10" fillId="4" borderId="13" xfId="7" applyNumberFormat="1" applyFont="1" applyFill="1" applyBorder="1" applyAlignment="1" applyProtection="1">
      <alignment horizontal="center" vertical="center" wrapText="1"/>
    </xf>
    <xf numFmtId="169" fontId="10" fillId="4" borderId="17" xfId="7" applyNumberFormat="1" applyFont="1" applyFill="1" applyBorder="1" applyAlignment="1" applyProtection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3" fontId="10" fillId="6" borderId="23" xfId="0" applyNumberFormat="1" applyFont="1" applyFill="1" applyBorder="1" applyAlignment="1">
      <alignment horizontal="center" vertical="center"/>
    </xf>
    <xf numFmtId="0" fontId="23" fillId="5" borderId="0" xfId="0" applyFont="1" applyFill="1" applyAlignment="1">
      <alignment horizontal="justify" vertical="top" wrapText="1"/>
    </xf>
    <xf numFmtId="0" fontId="23" fillId="5" borderId="0" xfId="0" applyFont="1" applyFill="1" applyAlignment="1">
      <alignment horizontal="justify" vertical="top"/>
    </xf>
    <xf numFmtId="3" fontId="11" fillId="9" borderId="13" xfId="0" applyNumberFormat="1" applyFont="1" applyFill="1" applyBorder="1" applyAlignment="1" applyProtection="1">
      <alignment horizontal="center" vertical="center"/>
      <protection locked="0"/>
    </xf>
    <xf numFmtId="3" fontId="11" fillId="5" borderId="13" xfId="0" applyNumberFormat="1" applyFont="1" applyFill="1" applyBorder="1" applyAlignment="1">
      <alignment horizontal="center" vertical="center"/>
    </xf>
    <xf numFmtId="3" fontId="11" fillId="9" borderId="40" xfId="0" applyNumberFormat="1" applyFont="1" applyFill="1" applyBorder="1" applyAlignment="1" applyProtection="1">
      <alignment horizontal="center" vertical="center"/>
      <protection locked="0"/>
    </xf>
    <xf numFmtId="3" fontId="11" fillId="9" borderId="0" xfId="0" applyNumberFormat="1" applyFont="1" applyFill="1" applyBorder="1" applyAlignment="1" applyProtection="1">
      <alignment horizontal="center" vertical="center"/>
      <protection locked="0"/>
    </xf>
    <xf numFmtId="3" fontId="11" fillId="9" borderId="40" xfId="0" applyNumberFormat="1" applyFont="1" applyFill="1" applyBorder="1" applyAlignment="1" applyProtection="1">
      <alignment horizontal="center" vertical="center" wrapText="1"/>
      <protection locked="0"/>
    </xf>
    <xf numFmtId="3" fontId="11" fillId="9" borderId="0" xfId="0" applyNumberFormat="1" applyFont="1" applyFill="1" applyBorder="1" applyAlignment="1" applyProtection="1">
      <alignment horizontal="center" vertical="center" wrapText="1"/>
      <protection locked="0"/>
    </xf>
    <xf numFmtId="176" fontId="11" fillId="9" borderId="9" xfId="0" applyNumberFormat="1" applyFont="1" applyFill="1" applyBorder="1" applyAlignment="1" applyProtection="1">
      <alignment horizontal="center" vertical="center"/>
      <protection locked="0"/>
    </xf>
    <xf numFmtId="0" fontId="11" fillId="5" borderId="6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0" fontId="17" fillId="9" borderId="10" xfId="0" applyFont="1" applyFill="1" applyBorder="1" applyAlignment="1" applyProtection="1">
      <alignment horizontal="justify" vertical="center" wrapText="1"/>
      <protection locked="0"/>
    </xf>
    <xf numFmtId="0" fontId="17" fillId="9" borderId="11" xfId="0" applyFont="1" applyFill="1" applyBorder="1" applyAlignment="1" applyProtection="1">
      <alignment horizontal="justify" vertical="center" wrapText="1"/>
      <protection locked="0"/>
    </xf>
    <xf numFmtId="0" fontId="17" fillId="9" borderId="12" xfId="0" applyFont="1" applyFill="1" applyBorder="1" applyAlignment="1" applyProtection="1">
      <alignment horizontal="justify" vertical="center" wrapText="1"/>
      <protection locked="0"/>
    </xf>
    <xf numFmtId="0" fontId="17" fillId="9" borderId="40" xfId="0" applyFont="1" applyFill="1" applyBorder="1" applyAlignment="1" applyProtection="1">
      <alignment horizontal="justify" vertical="center" wrapText="1"/>
      <protection locked="0"/>
    </xf>
    <xf numFmtId="0" fontId="17" fillId="9" borderId="0" xfId="0" applyFont="1" applyFill="1" applyAlignment="1" applyProtection="1">
      <alignment horizontal="justify" vertical="center" wrapText="1"/>
      <protection locked="0"/>
    </xf>
    <xf numFmtId="0" fontId="17" fillId="9" borderId="36" xfId="0" applyFont="1" applyFill="1" applyBorder="1" applyAlignment="1" applyProtection="1">
      <alignment horizontal="justify" vertical="center" wrapText="1"/>
      <protection locked="0"/>
    </xf>
    <xf numFmtId="0" fontId="17" fillId="9" borderId="14" xfId="0" applyFont="1" applyFill="1" applyBorder="1" applyAlignment="1" applyProtection="1">
      <alignment horizontal="justify" vertical="center" wrapText="1"/>
      <protection locked="0"/>
    </xf>
    <xf numFmtId="0" fontId="17" fillId="9" borderId="15" xfId="0" applyFont="1" applyFill="1" applyBorder="1" applyAlignment="1" applyProtection="1">
      <alignment horizontal="justify" vertical="center" wrapText="1"/>
      <protection locked="0"/>
    </xf>
    <xf numFmtId="0" fontId="17" fillId="9" borderId="16" xfId="0" applyFont="1" applyFill="1" applyBorder="1" applyAlignment="1" applyProtection="1">
      <alignment horizontal="justify" vertical="center" wrapText="1"/>
      <protection locked="0"/>
    </xf>
    <xf numFmtId="0" fontId="11" fillId="5" borderId="0" xfId="0" applyFont="1" applyFill="1" applyAlignment="1">
      <alignment horizontal="justify" vertical="center" wrapText="1"/>
    </xf>
    <xf numFmtId="0" fontId="11" fillId="5" borderId="0" xfId="0" applyFont="1" applyFill="1" applyAlignment="1">
      <alignment horizontal="justify" vertical="center"/>
    </xf>
    <xf numFmtId="0" fontId="9" fillId="5" borderId="0" xfId="5" applyFont="1" applyFill="1" applyBorder="1" applyAlignment="1" applyProtection="1">
      <alignment horizontal="center" vertical="center"/>
    </xf>
  </cellXfs>
  <cellStyles count="14">
    <cellStyle name="Excel Built-in Normal" xfId="1"/>
    <cellStyle name="Header1" xfId="3"/>
    <cellStyle name="Line_Summary" xfId="4"/>
    <cellStyle name="OffSheet" xfId="2"/>
    <cellStyle name="Гиперссылка" xfId="11" builtinId="8"/>
    <cellStyle name="Заголовок 1" xfId="8" builtinId="16"/>
    <cellStyle name="Заголовок 2" xfId="9" builtinId="17"/>
    <cellStyle name="Заголовок 3" xfId="10" builtinId="18"/>
    <cellStyle name="Заголовок 4" xfId="12" builtinId="19"/>
    <cellStyle name="Название" xfId="5" builtinId="15" customBuiltin="1"/>
    <cellStyle name="Обычный" xfId="0" builtinId="0"/>
    <cellStyle name="Обычный 2" xfId="13"/>
    <cellStyle name="Процентный" xfId="7" builtinId="5"/>
    <cellStyle name="Финансовый" xfId="6" builtinId="3"/>
  </cellStyles>
  <dxfs count="4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ont>
        <color theme="6" tint="0.79998168889431442"/>
      </font>
      <fill>
        <patternFill>
          <bgColor theme="6" tint="0.79998168889431442"/>
        </patternFill>
      </fill>
      <border>
        <vertical/>
        <horizontal/>
      </border>
    </dxf>
    <dxf>
      <fill>
        <patternFill>
          <bgColor rgb="FFFF3F3F"/>
        </patternFill>
      </fill>
    </dxf>
    <dxf>
      <fill>
        <patternFill>
          <bgColor rgb="FFFF3F3F"/>
        </patternFill>
      </fill>
    </dxf>
    <dxf>
      <fill>
        <patternFill patternType="gray0625"/>
      </fill>
    </dxf>
    <dxf>
      <fill>
        <patternFill patternType="gray125"/>
      </fill>
      <border>
        <vertical/>
        <horizontal/>
      </border>
    </dxf>
    <dxf>
      <fill>
        <patternFill>
          <bgColor rgb="FFFF3F3F"/>
        </patternFill>
      </fill>
    </dxf>
    <dxf>
      <fill>
        <patternFill patternType="gray0625"/>
      </fill>
    </dxf>
    <dxf>
      <fill>
        <patternFill patternType="gray125"/>
      </fill>
      <border>
        <vertical/>
        <horizontal/>
      </border>
    </dxf>
    <dxf>
      <fill>
        <patternFill patternType="gray0625"/>
      </fill>
    </dxf>
    <dxf>
      <fill>
        <patternFill patternType="gray125"/>
      </fill>
      <border>
        <vertical/>
        <horizontal/>
      </border>
    </dxf>
    <dxf>
      <fill>
        <patternFill>
          <bgColor rgb="FFFF3F3F"/>
        </patternFill>
      </fill>
    </dxf>
    <dxf>
      <fill>
        <patternFill>
          <bgColor rgb="FFFF3F3F"/>
        </patternFill>
      </fill>
    </dxf>
    <dxf>
      <fill>
        <patternFill>
          <bgColor rgb="FFFF3F3F"/>
        </patternFill>
      </fill>
    </dxf>
    <dxf>
      <fill>
        <patternFill>
          <bgColor rgb="FFFF3F3F"/>
        </patternFill>
      </fill>
    </dxf>
  </dxfs>
  <tableStyles count="0" defaultTableStyle="TableStyleMedium2" defaultPivotStyle="PivotStyleLight16"/>
  <colors>
    <mruColors>
      <color rgb="FFFF9900"/>
      <color rgb="FF003300"/>
      <color rgb="FFFFFF66"/>
      <color rgb="FFDA9694"/>
      <color rgb="FFFF3F3F"/>
      <color rgb="FFAE9962"/>
      <color rgb="FF00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Выручка, затраты и чистая прибыль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Отчет!$B$138</c:f>
              <c:strCache>
                <c:ptCount val="1"/>
                <c:pt idx="0">
                  <c:v>Переменные затраты</c:v>
                </c:pt>
              </c:strCache>
            </c:strRef>
          </c:tx>
          <c:invertIfNegative val="0"/>
          <c:cat>
            <c:numRef>
              <c:f>Отчет!$C$137:$J$137</c:f>
              <c:numCache>
                <c:formatCode>General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Отчет!$C$138:$J$138</c:f>
              <c:numCache>
                <c:formatCode>General</c:formatCode>
                <c:ptCount val="8"/>
                <c:pt idx="0">
                  <c:v>0</c:v>
                </c:pt>
                <c:pt idx="1">
                  <c:v>401542302.79874337</c:v>
                </c:pt>
                <c:pt idx="2">
                  <c:v>624795628.20475423</c:v>
                </c:pt>
                <c:pt idx="3">
                  <c:v>833482533.812621</c:v>
                </c:pt>
                <c:pt idx="4">
                  <c:v>902452554.48030567</c:v>
                </c:pt>
                <c:pt idx="5">
                  <c:v>950183152.4505626</c:v>
                </c:pt>
                <c:pt idx="6">
                  <c:v>999540777.59566367</c:v>
                </c:pt>
                <c:pt idx="7">
                  <c:v>257901512.42062691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4D-4A78-802B-CFB5845DE0EC}"/>
            </c:ext>
          </c:extLst>
        </c:ser>
        <c:ser>
          <c:idx val="1"/>
          <c:order val="1"/>
          <c:tx>
            <c:strRef>
              <c:f>Отчет!$B$139</c:f>
              <c:strCache>
                <c:ptCount val="1"/>
                <c:pt idx="0">
                  <c:v>Постоянные затраты</c:v>
                </c:pt>
              </c:strCache>
            </c:strRef>
          </c:tx>
          <c:invertIfNegative val="0"/>
          <c:cat>
            <c:numRef>
              <c:f>Отчет!$C$137:$J$137</c:f>
              <c:numCache>
                <c:formatCode>General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Отчет!$C$139:$J$139</c:f>
              <c:numCache>
                <c:formatCode>General</c:formatCode>
                <c:ptCount val="8"/>
                <c:pt idx="0">
                  <c:v>0</c:v>
                </c:pt>
                <c:pt idx="1">
                  <c:v>12880368.023436259</c:v>
                </c:pt>
                <c:pt idx="2">
                  <c:v>17877963.656467658</c:v>
                </c:pt>
                <c:pt idx="3">
                  <c:v>18718227.948321618</c:v>
                </c:pt>
                <c:pt idx="4">
                  <c:v>19597984.66189272</c:v>
                </c:pt>
                <c:pt idx="5">
                  <c:v>20520055.775934979</c:v>
                </c:pt>
                <c:pt idx="6">
                  <c:v>21483487.168228723</c:v>
                </c:pt>
                <c:pt idx="7">
                  <c:v>5526791.7263847869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4D-4A78-802B-CFB5845DE0EC}"/>
            </c:ext>
          </c:extLst>
        </c:ser>
        <c:ser>
          <c:idx val="2"/>
          <c:order val="2"/>
          <c:tx>
            <c:strRef>
              <c:f>Отчет!$B$140</c:f>
              <c:strCache>
                <c:ptCount val="1"/>
                <c:pt idx="0">
                  <c:v>ЗП и прочие расходы</c:v>
                </c:pt>
              </c:strCache>
            </c:strRef>
          </c:tx>
          <c:invertIfNegative val="0"/>
          <c:cat>
            <c:numRef>
              <c:f>Отчет!$C$137:$J$137</c:f>
              <c:numCache>
                <c:formatCode>General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Отчет!$C$140:$J$140</c:f>
              <c:numCache>
                <c:formatCode>General</c:formatCode>
                <c:ptCount val="8"/>
                <c:pt idx="0">
                  <c:v>0</c:v>
                </c:pt>
                <c:pt idx="1">
                  <c:v>122874814.49726707</c:v>
                </c:pt>
                <c:pt idx="2">
                  <c:v>163314482.16308355</c:v>
                </c:pt>
                <c:pt idx="3">
                  <c:v>175451171.74052495</c:v>
                </c:pt>
                <c:pt idx="4">
                  <c:v>182469218.61014587</c:v>
                </c:pt>
                <c:pt idx="5">
                  <c:v>189775621.3048206</c:v>
                </c:pt>
                <c:pt idx="6">
                  <c:v>197358706.8487336</c:v>
                </c:pt>
                <c:pt idx="7">
                  <c:v>50560793.107006609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B4D-4A78-802B-CFB5845DE0EC}"/>
            </c:ext>
          </c:extLst>
        </c:ser>
        <c:ser>
          <c:idx val="3"/>
          <c:order val="3"/>
          <c:tx>
            <c:strRef>
              <c:f>Отчет!$B$141</c:f>
              <c:strCache>
                <c:ptCount val="1"/>
                <c:pt idx="0">
                  <c:v>Амортизация</c:v>
                </c:pt>
              </c:strCache>
            </c:strRef>
          </c:tx>
          <c:invertIfNegative val="0"/>
          <c:cat>
            <c:numRef>
              <c:f>Отчет!$C$137:$J$137</c:f>
              <c:numCache>
                <c:formatCode>General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Отчет!$C$141:$J$141</c:f>
              <c:numCache>
                <c:formatCode>General</c:formatCode>
                <c:ptCount val="8"/>
                <c:pt idx="0">
                  <c:v>0</c:v>
                </c:pt>
                <c:pt idx="1">
                  <c:v>112987012.98701298</c:v>
                </c:pt>
                <c:pt idx="2">
                  <c:v>150649350.64935064</c:v>
                </c:pt>
                <c:pt idx="3">
                  <c:v>150649350.64935064</c:v>
                </c:pt>
                <c:pt idx="4">
                  <c:v>150649350.64935064</c:v>
                </c:pt>
                <c:pt idx="5">
                  <c:v>150649350.64935064</c:v>
                </c:pt>
                <c:pt idx="6">
                  <c:v>150649350.64935064</c:v>
                </c:pt>
                <c:pt idx="7">
                  <c:v>37662337.662337661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B4D-4A78-802B-CFB5845DE0EC}"/>
            </c:ext>
          </c:extLst>
        </c:ser>
        <c:ser>
          <c:idx val="4"/>
          <c:order val="4"/>
          <c:tx>
            <c:strRef>
              <c:f>Отчет!$B$142</c:f>
              <c:strCache>
                <c:ptCount val="1"/>
                <c:pt idx="0">
                  <c:v>Обслуживание долга</c:v>
                </c:pt>
              </c:strCache>
            </c:strRef>
          </c:tx>
          <c:invertIfNegative val="0"/>
          <c:cat>
            <c:numRef>
              <c:f>Отчет!$C$137:$J$137</c:f>
              <c:numCache>
                <c:formatCode>General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Отчет!$C$142:$J$142</c:f>
              <c:numCache>
                <c:formatCode>General</c:formatCode>
                <c:ptCount val="8"/>
                <c:pt idx="0">
                  <c:v>20901123.287671231</c:v>
                </c:pt>
                <c:pt idx="1">
                  <c:v>74585956.284153</c:v>
                </c:pt>
                <c:pt idx="2">
                  <c:v>66549021.526418798</c:v>
                </c:pt>
                <c:pt idx="3">
                  <c:v>50007925.636007845</c:v>
                </c:pt>
                <c:pt idx="4">
                  <c:v>33079354.207436424</c:v>
                </c:pt>
                <c:pt idx="5">
                  <c:v>16365729.898516797</c:v>
                </c:pt>
                <c:pt idx="6">
                  <c:v>5921232.8767123464</c:v>
                </c:pt>
                <c:pt idx="7">
                  <c:v>308219.17808219575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B4D-4A78-802B-CFB5845DE0EC}"/>
            </c:ext>
          </c:extLst>
        </c:ser>
        <c:ser>
          <c:idx val="5"/>
          <c:order val="5"/>
          <c:tx>
            <c:strRef>
              <c:f>Отчет!$B$143</c:f>
              <c:strCache>
                <c:ptCount val="1"/>
                <c:pt idx="0">
                  <c:v>Налог на прибыль</c:v>
                </c:pt>
              </c:strCache>
            </c:strRef>
          </c:tx>
          <c:invertIfNegative val="0"/>
          <c:cat>
            <c:numRef>
              <c:f>Отчет!$C$137:$J$137</c:f>
              <c:numCache>
                <c:formatCode>General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Отчет!$C$143:$J$143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B4D-4A78-802B-CFB5845DE0EC}"/>
            </c:ext>
          </c:extLst>
        </c:ser>
        <c:ser>
          <c:idx val="6"/>
          <c:order val="6"/>
          <c:tx>
            <c:strRef>
              <c:f>Отчет!$B$144</c:f>
              <c:strCache>
                <c:ptCount val="1"/>
                <c:pt idx="0">
                  <c:v>Чистая прибыль</c:v>
                </c:pt>
              </c:strCache>
            </c:strRef>
          </c:tx>
          <c:invertIfNegative val="0"/>
          <c:cat>
            <c:numRef>
              <c:f>Отчет!$C$137:$J$137</c:f>
              <c:numCache>
                <c:formatCode>General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Отчет!$C$144:$J$144</c:f>
              <c:numCache>
                <c:formatCode>General</c:formatCode>
                <c:ptCount val="8"/>
                <c:pt idx="0">
                  <c:v>-20901123.287671231</c:v>
                </c:pt>
                <c:pt idx="1">
                  <c:v>-21304512.357791319</c:v>
                </c:pt>
                <c:pt idx="2">
                  <c:v>136523238.75277102</c:v>
                </c:pt>
                <c:pt idx="3">
                  <c:v>568311233.9307816</c:v>
                </c:pt>
                <c:pt idx="4">
                  <c:v>923354017.05455005</c:v>
                </c:pt>
                <c:pt idx="5">
                  <c:v>1005285180.2318989</c:v>
                </c:pt>
                <c:pt idx="6">
                  <c:v>1073211338.6303891</c:v>
                </c:pt>
                <c:pt idx="7">
                  <c:v>296624095.18922365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B4D-4A78-802B-CFB5845DE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453440"/>
        <c:axId val="83454976"/>
      </c:barChart>
      <c:lineChart>
        <c:grouping val="standard"/>
        <c:varyColors val="0"/>
        <c:ser>
          <c:idx val="7"/>
          <c:order val="7"/>
          <c:tx>
            <c:strRef>
              <c:f>Отчет!$B$145</c:f>
              <c:strCache>
                <c:ptCount val="1"/>
                <c:pt idx="0">
                  <c:v>Выручка</c:v>
                </c:pt>
              </c:strCache>
            </c:strRef>
          </c:tx>
          <c:spPr>
            <a:ln w="635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Отчет!$C$137:$J$137</c:f>
              <c:numCache>
                <c:formatCode>General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Отчет!$C$145:$J$145</c:f>
              <c:numCache>
                <c:formatCode>General</c:formatCode>
                <c:ptCount val="8"/>
                <c:pt idx="0">
                  <c:v>0</c:v>
                </c:pt>
                <c:pt idx="1">
                  <c:v>703565942.23282135</c:v>
                </c:pt>
                <c:pt idx="2">
                  <c:v>1165729957.4916103</c:v>
                </c:pt>
                <c:pt idx="3">
                  <c:v>1832895628.8621254</c:v>
                </c:pt>
                <c:pt idx="4">
                  <c:v>2270539970.1139717</c:v>
                </c:pt>
                <c:pt idx="5">
                  <c:v>2396946229.4748225</c:v>
                </c:pt>
                <c:pt idx="6">
                  <c:v>2516667745.1710176</c:v>
                </c:pt>
                <c:pt idx="7">
                  <c:v>648583749.28366172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8B4D-4A78-802B-CFB5845DE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53440"/>
        <c:axId val="83454976"/>
      </c:lineChart>
      <c:catAx>
        <c:axId val="8345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3454976"/>
        <c:crosses val="autoZero"/>
        <c:auto val="1"/>
        <c:lblAlgn val="ctr"/>
        <c:lblOffset val="100"/>
        <c:noMultiLvlLbl val="0"/>
      </c:catAx>
      <c:valAx>
        <c:axId val="8345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4534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 w="25400">
      <a:solidFill>
        <a:schemeClr val="bg1">
          <a:lumMod val="65000"/>
        </a:schemeClr>
      </a:solidFill>
    </a:ln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ru-RU" sz="1200"/>
              <a:t>Выручка,</a:t>
            </a:r>
            <a:r>
              <a:rPr lang="ru-RU" sz="1200" baseline="0"/>
              <a:t> </a:t>
            </a:r>
            <a:r>
              <a:rPr lang="en-US" sz="1200" baseline="0"/>
              <a:t>EBITDA</a:t>
            </a:r>
            <a:r>
              <a:rPr lang="ru-RU" sz="1200" baseline="0"/>
              <a:t>, прибыль при разных сценариях</a:t>
            </a:r>
            <a:endParaRPr lang="ru-RU" sz="12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Сценарии!$B$28</c:f>
              <c:strCache>
                <c:ptCount val="1"/>
                <c:pt idx="0">
                  <c:v>Выручка (суммарно), в  руб.</c:v>
                </c:pt>
              </c:strCache>
            </c:strRef>
          </c:tx>
          <c:invertIfNegative val="0"/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Сценарии!$F$28:$H$28</c:f>
              <c:numCache>
                <c:formatCode>#,##0_-;" ("#,##0\);_-* \-??;_-@_-</c:formatCode>
                <c:ptCount val="3"/>
                <c:pt idx="0">
                  <c:v>11534929222.630032</c:v>
                </c:pt>
                <c:pt idx="1">
                  <c:v>12353909197.436762</c:v>
                </c:pt>
                <c:pt idx="2">
                  <c:v>10739019106.26856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D4-4377-9607-0547A4434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01824"/>
        <c:axId val="83903616"/>
      </c:barChart>
      <c:lineChart>
        <c:grouping val="standard"/>
        <c:varyColors val="0"/>
        <c:ser>
          <c:idx val="4"/>
          <c:order val="1"/>
          <c:tx>
            <c:strRef>
              <c:f>Сценарии!$B$30</c:f>
              <c:strCache>
                <c:ptCount val="1"/>
                <c:pt idx="0">
                  <c:v>Чистая прибыль (суммарно), в  руб.</c:v>
                </c:pt>
              </c:strCache>
            </c:strRef>
          </c:tx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Сценарии!$F$30:$H$30</c:f>
              <c:numCache>
                <c:formatCode>#,##0_-;" ("#,##0\);_-* \-??;_-@_-</c:formatCode>
                <c:ptCount val="3"/>
                <c:pt idx="0">
                  <c:v>3961103468.1441517</c:v>
                </c:pt>
                <c:pt idx="1">
                  <c:v>4642951683.7440596</c:v>
                </c:pt>
                <c:pt idx="2">
                  <c:v>3309996462.9748669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9D4-4377-9607-0547A44344D4}"/>
            </c:ext>
          </c:extLst>
        </c:ser>
        <c:ser>
          <c:idx val="3"/>
          <c:order val="2"/>
          <c:tx>
            <c:strRef>
              <c:f>Сценарии!$B$29</c:f>
              <c:strCache>
                <c:ptCount val="1"/>
                <c:pt idx="0">
                  <c:v>EBITDA (суммарно), в  руб.</c:v>
                </c:pt>
              </c:strCache>
            </c:strRef>
          </c:tx>
          <c:spPr>
            <a:ln w="50800"/>
          </c:spPr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Сценарии!$F$29:$H$29</c:f>
              <c:numCache>
                <c:formatCode>#,##0_-;" ("#,##0\);_-* \-??;_-@_-</c:formatCode>
                <c:ptCount val="3"/>
                <c:pt idx="0">
                  <c:v>5366621073.6345043</c:v>
                </c:pt>
                <c:pt idx="1">
                  <c:v>6044629483.4864578</c:v>
                </c:pt>
                <c:pt idx="2">
                  <c:v>4721622319.1513376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9D4-4377-9607-0547A4434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01824"/>
        <c:axId val="83903616"/>
      </c:lineChart>
      <c:catAx>
        <c:axId val="83901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3903616"/>
        <c:crosses val="autoZero"/>
        <c:auto val="1"/>
        <c:lblAlgn val="ctr"/>
        <c:lblOffset val="100"/>
        <c:noMultiLvlLbl val="0"/>
      </c:catAx>
      <c:valAx>
        <c:axId val="83903616"/>
        <c:scaling>
          <c:orientation val="minMax"/>
        </c:scaling>
        <c:delete val="0"/>
        <c:axPos val="l"/>
        <c:majorGridlines/>
        <c:numFmt formatCode="#,##0_-;&quot; (&quot;#,##0\);_-* \-??;_-@_-" sourceLinked="1"/>
        <c:majorTickMark val="out"/>
        <c:minorTickMark val="none"/>
        <c:tickLblPos val="nextTo"/>
        <c:crossAx val="8390182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 w="25400">
      <a:solidFill>
        <a:schemeClr val="bg1">
          <a:lumMod val="6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ru-RU" sz="1200"/>
              <a:t>Показатели экономической эффективности при разных сценариях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5"/>
          <c:order val="2"/>
          <c:tx>
            <c:strRef>
              <c:f>Сценарии!$B$33</c:f>
              <c:strCache>
                <c:ptCount val="1"/>
                <c:pt idx="0">
                  <c:v>Чистая приведенная стоимость (общая), в  руб.</c:v>
                </c:pt>
              </c:strCache>
            </c:strRef>
          </c:tx>
          <c:invertIfNegative val="0"/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Сценарии!$F$33:$H$33</c:f>
              <c:numCache>
                <c:formatCode>#,##0_-;" ("#,##0\);_-* \-??;_-@_-</c:formatCode>
                <c:ptCount val="3"/>
                <c:pt idx="0">
                  <c:v>9361946480.9014187</c:v>
                </c:pt>
                <c:pt idx="1">
                  <c:v>10797646623.209692</c:v>
                </c:pt>
                <c:pt idx="2">
                  <c:v>7990235225.4128971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0EA-AE52-F827A63A2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34592"/>
        <c:axId val="83940480"/>
      </c:barChart>
      <c:lineChart>
        <c:grouping val="standard"/>
        <c:varyColors val="0"/>
        <c:ser>
          <c:idx val="0"/>
          <c:order val="0"/>
          <c:tx>
            <c:strRef>
              <c:f>Сценарии!$B$31</c:f>
              <c:strCache>
                <c:ptCount val="1"/>
                <c:pt idx="0">
                  <c:v>EBITDA к выручке</c:v>
                </c:pt>
              </c:strCache>
            </c:strRef>
          </c:tx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Сценарии!$F$31:$H$31</c:f>
              <c:numCache>
                <c:formatCode>0.0%</c:formatCode>
                <c:ptCount val="3"/>
                <c:pt idx="0">
                  <c:v>0.4652495884505205</c:v>
                </c:pt>
                <c:pt idx="1">
                  <c:v>0.48928880622990345</c:v>
                </c:pt>
                <c:pt idx="2">
                  <c:v>0.43966979408717516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339-40EA-AE52-F827A63A2EC6}"/>
            </c:ext>
          </c:extLst>
        </c:ser>
        <c:ser>
          <c:idx val="1"/>
          <c:order val="1"/>
          <c:tx>
            <c:strRef>
              <c:f>Сценарии!$B$32</c:f>
              <c:strCache>
                <c:ptCount val="1"/>
                <c:pt idx="0">
                  <c:v>Чистая прибыль к выручке</c:v>
                </c:pt>
              </c:strCache>
            </c:strRef>
          </c:tx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Сценарии!$F$32:$H$32</c:f>
              <c:numCache>
                <c:formatCode>0.0%</c:formatCode>
                <c:ptCount val="3"/>
                <c:pt idx="0">
                  <c:v>0.34340076056756219</c:v>
                </c:pt>
                <c:pt idx="1">
                  <c:v>0.37582854216764017</c:v>
                </c:pt>
                <c:pt idx="2">
                  <c:v>0.30822148933907401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339-40EA-AE52-F827A63A2EC6}"/>
            </c:ext>
          </c:extLst>
        </c:ser>
        <c:ser>
          <c:idx val="6"/>
          <c:order val="3"/>
          <c:tx>
            <c:strRef>
              <c:f>Сценарии!$B$34</c:f>
              <c:strCache>
                <c:ptCount val="1"/>
                <c:pt idx="0">
                  <c:v>Внутренняя норма доходности (общая)</c:v>
                </c:pt>
              </c:strCache>
            </c:strRef>
          </c:tx>
          <c:spPr>
            <a:ln w="50800"/>
          </c:spPr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Сценарии!$F$34:$H$34</c:f>
              <c:numCache>
                <c:formatCode>0.0%</c:formatCode>
                <c:ptCount val="3"/>
                <c:pt idx="0">
                  <c:v>0.32349848151206972</c:v>
                </c:pt>
                <c:pt idx="1">
                  <c:v>0.41181867718696596</c:v>
                </c:pt>
                <c:pt idx="2">
                  <c:v>0.24031290411949155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339-40EA-AE52-F827A63A2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10752"/>
        <c:axId val="83942016"/>
      </c:lineChart>
      <c:catAx>
        <c:axId val="8393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3940480"/>
        <c:crosses val="autoZero"/>
        <c:auto val="1"/>
        <c:lblAlgn val="ctr"/>
        <c:lblOffset val="100"/>
        <c:noMultiLvlLbl val="0"/>
      </c:catAx>
      <c:valAx>
        <c:axId val="83940480"/>
        <c:scaling>
          <c:orientation val="minMax"/>
        </c:scaling>
        <c:delete val="0"/>
        <c:axPos val="l"/>
        <c:majorGridlines/>
        <c:numFmt formatCode="#,##0_-;&quot; (&quot;#,##0\);_-* \-??;_-@_-" sourceLinked="1"/>
        <c:majorTickMark val="out"/>
        <c:minorTickMark val="none"/>
        <c:tickLblPos val="nextTo"/>
        <c:crossAx val="83934592"/>
        <c:crosses val="autoZero"/>
        <c:crossBetween val="between"/>
      </c:valAx>
      <c:valAx>
        <c:axId val="83942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crossAx val="84410752"/>
        <c:crosses val="max"/>
        <c:crossBetween val="between"/>
      </c:valAx>
      <c:catAx>
        <c:axId val="8441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942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 w="25400">
      <a:solidFill>
        <a:schemeClr val="bg1">
          <a:lumMod val="6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Выручка,</a:t>
            </a:r>
            <a:r>
              <a:rPr lang="ru-RU" baseline="0"/>
              <a:t> </a:t>
            </a:r>
            <a:r>
              <a:rPr lang="en-US" baseline="0"/>
              <a:t>EBITDA</a:t>
            </a:r>
            <a:r>
              <a:rPr lang="ru-RU" baseline="0"/>
              <a:t>, прибыль при разных сценариях</a:t>
            </a:r>
            <a:endParaRPr lang="ru-RU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Сценарии!$B$28</c:f>
              <c:strCache>
                <c:ptCount val="1"/>
                <c:pt idx="0">
                  <c:v>Выручка (суммарно), в  руб.</c:v>
                </c:pt>
              </c:strCache>
            </c:strRef>
          </c:tx>
          <c:invertIfNegative val="0"/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Сценарии!$F$28:$H$28</c:f>
              <c:numCache>
                <c:formatCode>#,##0_-;" ("#,##0\);_-* \-??;_-@_-</c:formatCode>
                <c:ptCount val="3"/>
                <c:pt idx="0">
                  <c:v>11534929222.630032</c:v>
                </c:pt>
                <c:pt idx="1">
                  <c:v>12353909197.436762</c:v>
                </c:pt>
                <c:pt idx="2">
                  <c:v>10739019106.26856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40-4A26-9D9E-8B39B400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48800"/>
        <c:axId val="77950336"/>
      </c:barChart>
      <c:lineChart>
        <c:grouping val="standard"/>
        <c:varyColors val="0"/>
        <c:ser>
          <c:idx val="4"/>
          <c:order val="1"/>
          <c:tx>
            <c:strRef>
              <c:f>Сценарии!$B$30</c:f>
              <c:strCache>
                <c:ptCount val="1"/>
                <c:pt idx="0">
                  <c:v>Чистая прибыль (суммарно), в  руб.</c:v>
                </c:pt>
              </c:strCache>
            </c:strRef>
          </c:tx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Сценарии!$F$30:$H$30</c:f>
              <c:numCache>
                <c:formatCode>#,##0_-;" ("#,##0\);_-* \-??;_-@_-</c:formatCode>
                <c:ptCount val="3"/>
                <c:pt idx="0">
                  <c:v>3961103468.1441517</c:v>
                </c:pt>
                <c:pt idx="1">
                  <c:v>4642951683.7440596</c:v>
                </c:pt>
                <c:pt idx="2">
                  <c:v>3309996462.9748669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640-4A26-9D9E-8B39B4009E36}"/>
            </c:ext>
          </c:extLst>
        </c:ser>
        <c:ser>
          <c:idx val="3"/>
          <c:order val="2"/>
          <c:tx>
            <c:strRef>
              <c:f>Сценарии!$B$29</c:f>
              <c:strCache>
                <c:ptCount val="1"/>
                <c:pt idx="0">
                  <c:v>EBITDA (суммарно), в  руб.</c:v>
                </c:pt>
              </c:strCache>
            </c:strRef>
          </c:tx>
          <c:spPr>
            <a:ln w="50800"/>
          </c:spPr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Сценарии!$F$29:$H$29</c:f>
              <c:numCache>
                <c:formatCode>#,##0_-;" ("#,##0\);_-* \-??;_-@_-</c:formatCode>
                <c:ptCount val="3"/>
                <c:pt idx="0">
                  <c:v>5366621073.6345043</c:v>
                </c:pt>
                <c:pt idx="1">
                  <c:v>6044629483.4864578</c:v>
                </c:pt>
                <c:pt idx="2">
                  <c:v>4721622319.1513376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640-4A26-9D9E-8B39B400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48800"/>
        <c:axId val="77950336"/>
      </c:lineChart>
      <c:catAx>
        <c:axId val="7794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7950336"/>
        <c:crosses val="autoZero"/>
        <c:auto val="1"/>
        <c:lblAlgn val="ctr"/>
        <c:lblOffset val="100"/>
        <c:noMultiLvlLbl val="0"/>
      </c:catAx>
      <c:valAx>
        <c:axId val="77950336"/>
        <c:scaling>
          <c:orientation val="minMax"/>
        </c:scaling>
        <c:delete val="0"/>
        <c:axPos val="l"/>
        <c:majorGridlines/>
        <c:numFmt formatCode="#,##0_-;&quot; (&quot;#,##0\);_-* \-??;_-@_-" sourceLinked="1"/>
        <c:majorTickMark val="out"/>
        <c:minorTickMark val="none"/>
        <c:tickLblPos val="nextTo"/>
        <c:crossAx val="779488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Показатели экономической эффективности при разных сценариях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5"/>
          <c:order val="2"/>
          <c:tx>
            <c:strRef>
              <c:f>Сценарии!$B$33</c:f>
              <c:strCache>
                <c:ptCount val="1"/>
                <c:pt idx="0">
                  <c:v>Чистая приведенная стоимость (общая), в  руб.</c:v>
                </c:pt>
              </c:strCache>
            </c:strRef>
          </c:tx>
          <c:invertIfNegative val="0"/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Сценарии!$F$33:$H$33</c:f>
              <c:numCache>
                <c:formatCode>#,##0_-;" ("#,##0\);_-* \-??;_-@_-</c:formatCode>
                <c:ptCount val="3"/>
                <c:pt idx="0">
                  <c:v>9361946480.9014187</c:v>
                </c:pt>
                <c:pt idx="1">
                  <c:v>10797646623.209692</c:v>
                </c:pt>
                <c:pt idx="2">
                  <c:v>7990235225.4128971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35-4540-B972-62D5F7EC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871360"/>
        <c:axId val="73872896"/>
      </c:barChart>
      <c:lineChart>
        <c:grouping val="standard"/>
        <c:varyColors val="0"/>
        <c:ser>
          <c:idx val="0"/>
          <c:order val="0"/>
          <c:tx>
            <c:strRef>
              <c:f>Сценарии!$B$31</c:f>
              <c:strCache>
                <c:ptCount val="1"/>
                <c:pt idx="0">
                  <c:v>EBITDA к выручке</c:v>
                </c:pt>
              </c:strCache>
            </c:strRef>
          </c:tx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Сценарии!$F$31:$H$31</c:f>
              <c:numCache>
                <c:formatCode>0.0%</c:formatCode>
                <c:ptCount val="3"/>
                <c:pt idx="0">
                  <c:v>0.4652495884505205</c:v>
                </c:pt>
                <c:pt idx="1">
                  <c:v>0.48928880622990345</c:v>
                </c:pt>
                <c:pt idx="2">
                  <c:v>0.43966979408717516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335-4540-B972-62D5F7EC0EAA}"/>
            </c:ext>
          </c:extLst>
        </c:ser>
        <c:ser>
          <c:idx val="1"/>
          <c:order val="1"/>
          <c:tx>
            <c:strRef>
              <c:f>Сценарии!$B$32</c:f>
              <c:strCache>
                <c:ptCount val="1"/>
                <c:pt idx="0">
                  <c:v>Чистая прибыль к выручке</c:v>
                </c:pt>
              </c:strCache>
            </c:strRef>
          </c:tx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Сценарии!$F$32:$H$32</c:f>
              <c:numCache>
                <c:formatCode>0.0%</c:formatCode>
                <c:ptCount val="3"/>
                <c:pt idx="0">
                  <c:v>0.34340076056756219</c:v>
                </c:pt>
                <c:pt idx="1">
                  <c:v>0.37582854216764017</c:v>
                </c:pt>
                <c:pt idx="2">
                  <c:v>0.30822148933907401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335-4540-B972-62D5F7EC0EAA}"/>
            </c:ext>
          </c:extLst>
        </c:ser>
        <c:ser>
          <c:idx val="6"/>
          <c:order val="3"/>
          <c:tx>
            <c:strRef>
              <c:f>Сценарии!$B$34</c:f>
              <c:strCache>
                <c:ptCount val="1"/>
                <c:pt idx="0">
                  <c:v>Внутренняя норма доходности (общая)</c:v>
                </c:pt>
              </c:strCache>
            </c:strRef>
          </c:tx>
          <c:spPr>
            <a:ln w="50800"/>
          </c:spPr>
          <c:marker>
            <c:symbol val="square"/>
            <c:size val="10"/>
          </c:marker>
          <c:cat>
            <c:strRef>
              <c:f>Сценарии!$F$27:$H$27</c:f>
              <c:strCache>
                <c:ptCount val="3"/>
                <c:pt idx="0">
                  <c:v>Базовый</c:v>
                </c:pt>
                <c:pt idx="1">
                  <c:v>Оптимист</c:v>
                </c:pt>
                <c:pt idx="2">
                  <c:v>Пессимист</c:v>
                </c:pt>
              </c:strCache>
            </c:strRef>
          </c:cat>
          <c:val>
            <c:numRef>
              <c:f>Сценарии!$F$34:$H$34</c:f>
              <c:numCache>
                <c:formatCode>0.0%</c:formatCode>
                <c:ptCount val="3"/>
                <c:pt idx="0">
                  <c:v>0.32349848151206972</c:v>
                </c:pt>
                <c:pt idx="1">
                  <c:v>0.41181867718696596</c:v>
                </c:pt>
                <c:pt idx="2">
                  <c:v>0.24031290411949155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335-4540-B972-62D5F7EC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76224"/>
        <c:axId val="73874432"/>
      </c:lineChart>
      <c:catAx>
        <c:axId val="7387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3872896"/>
        <c:crosses val="autoZero"/>
        <c:auto val="1"/>
        <c:lblAlgn val="ctr"/>
        <c:lblOffset val="100"/>
        <c:noMultiLvlLbl val="0"/>
      </c:catAx>
      <c:valAx>
        <c:axId val="73872896"/>
        <c:scaling>
          <c:orientation val="minMax"/>
        </c:scaling>
        <c:delete val="0"/>
        <c:axPos val="l"/>
        <c:majorGridlines/>
        <c:numFmt formatCode="#,##0_-;&quot; (&quot;#,##0\);_-* \-??;_-@_-" sourceLinked="1"/>
        <c:majorTickMark val="out"/>
        <c:minorTickMark val="none"/>
        <c:tickLblPos val="nextTo"/>
        <c:crossAx val="73871360"/>
        <c:crosses val="autoZero"/>
        <c:crossBetween val="between"/>
      </c:valAx>
      <c:valAx>
        <c:axId val="738744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crossAx val="73876224"/>
        <c:crosses val="max"/>
        <c:crossBetween val="between"/>
      </c:valAx>
      <c:catAx>
        <c:axId val="7387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8744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abpfin.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327661</xdr:colOff>
      <xdr:row>0</xdr:row>
      <xdr:rowOff>22860</xdr:rowOff>
    </xdr:from>
    <xdr:to>
      <xdr:col>16</xdr:col>
      <xdr:colOff>563881</xdr:colOff>
      <xdr:row>3</xdr:row>
      <xdr:rowOff>22860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F0087E-F990-4BB1-91C5-E3A6D320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0261" y="22860"/>
          <a:ext cx="861060" cy="8153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C83FE41B-33F8-4F56-95C1-E0FB286FD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D53311D-8F8F-4C6D-817E-158EE9DD1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CE086EF-2347-4AB8-95CB-E50E0B29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1AB349B-D4C2-4433-B154-67FDBF9D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EC705B7-A193-4745-875F-2B60B4E7F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135</xdr:row>
      <xdr:rowOff>152400</xdr:rowOff>
    </xdr:from>
    <xdr:to>
      <xdr:col>10</xdr:col>
      <xdr:colOff>739140</xdr:colOff>
      <xdr:row>165</xdr:row>
      <xdr:rowOff>131444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166</xdr:row>
      <xdr:rowOff>116204</xdr:rowOff>
    </xdr:from>
    <xdr:to>
      <xdr:col>10</xdr:col>
      <xdr:colOff>739140</xdr:colOff>
      <xdr:row>191</xdr:row>
      <xdr:rowOff>116204</xdr:rowOff>
    </xdr:to>
    <xdr:graphicFrame macro="">
      <xdr:nvGraphicFramePr>
        <xdr:cNvPr id="8" name="Диаграмма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10</xdr:col>
      <xdr:colOff>746760</xdr:colOff>
      <xdr:row>219</xdr:row>
      <xdr:rowOff>0</xdr:rowOff>
    </xdr:to>
    <xdr:graphicFrame macro="">
      <xdr:nvGraphicFramePr>
        <xdr:cNvPr id="9" name="Диаграмма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38</xdr:row>
      <xdr:rowOff>1</xdr:rowOff>
    </xdr:from>
    <xdr:to>
      <xdr:col>11</xdr:col>
      <xdr:colOff>1057274</xdr:colOff>
      <xdr:row>64</xdr:row>
      <xdr:rowOff>1</xdr:rowOff>
    </xdr:to>
    <xdr:graphicFrame macro="">
      <xdr:nvGraphicFramePr>
        <xdr:cNvPr id="5" name="Диаграмма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11</xdr:col>
      <xdr:colOff>1057274</xdr:colOff>
      <xdr:row>91</xdr:row>
      <xdr:rowOff>0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38101</xdr:colOff>
      <xdr:row>0</xdr:row>
      <xdr:rowOff>114300</xdr:rowOff>
    </xdr:from>
    <xdr:to>
      <xdr:col>1</xdr:col>
      <xdr:colOff>533400</xdr:colOff>
      <xdr:row>3</xdr:row>
      <xdr:rowOff>85725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14300"/>
          <a:ext cx="495299" cy="447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1</xdr:col>
      <xdr:colOff>533399</xdr:colOff>
      <xdr:row>3</xdr:row>
      <xdr:rowOff>28575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583AD6E-26DA-4C86-95DC-ECB0D5067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7150"/>
          <a:ext cx="495299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</xdr:col>
      <xdr:colOff>504824</xdr:colOff>
      <xdr:row>3</xdr:row>
      <xdr:rowOff>9525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AD4E07A-72EF-489D-850B-2FEDFC48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8100"/>
          <a:ext cx="495299" cy="447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6C1799B-1D76-44AA-A83A-A7CFD01A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0501D27-0418-480B-8020-FB5390B1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970AA80-C3B7-4874-8E7D-58B5DFF27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495299</xdr:colOff>
      <xdr:row>2</xdr:row>
      <xdr:rowOff>133350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FD4E3C6-6CF3-4557-9533-4B0CA66CB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495299" cy="447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bpfin.by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S43"/>
  <sheetViews>
    <sheetView showGridLines="0" topLeftCell="A12" zoomScaleNormal="100" workbookViewId="0">
      <selection activeCell="N11" sqref="N11"/>
    </sheetView>
  </sheetViews>
  <sheetFormatPr defaultColWidth="0" defaultRowHeight="13.9" customHeight="1" zeroHeight="1"/>
  <cols>
    <col min="1" max="17" width="9.140625" style="347" customWidth="1"/>
    <col min="18" max="18" width="4.28515625" style="347" customWidth="1"/>
    <col min="19" max="19" width="5.140625" style="347" customWidth="1"/>
    <col min="20" max="16384" width="9.140625" style="347" hidden="1"/>
  </cols>
  <sheetData>
    <row r="1" spans="1:17" ht="25.15" customHeight="1"/>
    <row r="2" spans="1:17" ht="26.25">
      <c r="B2" s="348"/>
      <c r="E2" s="348" t="s">
        <v>757</v>
      </c>
      <c r="I2" s="349" t="str">
        <f>Компания</f>
        <v>Компания УЛА ФАРМС</v>
      </c>
    </row>
    <row r="3" spans="1:17" ht="12.75"/>
    <row r="4" spans="1:17" ht="12.75"/>
    <row r="5" spans="1:17" ht="12.75"/>
    <row r="6" spans="1:17" ht="27">
      <c r="A6" s="351" t="s">
        <v>758</v>
      </c>
      <c r="B6" s="351"/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</row>
    <row r="7" spans="1:17" ht="12.75"/>
    <row r="8" spans="1:17" ht="12.75"/>
    <row r="9" spans="1:17" ht="108" customHeight="1">
      <c r="B9" s="352" t="str">
        <f>Предпосылки!C8</f>
        <v>Организация безотходного производства белково–липидного концентрата, зоогумуса, кормовых и пищевых добавок из насекомых, продуктов пчеловодства, выращивание аквакультур в установках замкнутого водоснабжения на основе кормов из личинки Black Soldier Fly (Hermetia illucens) в Кардымовском районе Смоленской области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</row>
    <row r="10" spans="1:17" ht="12.75"/>
    <row r="11" spans="1:17" ht="12.75"/>
    <row r="12" spans="1:17" ht="26.25">
      <c r="I12" s="350" t="s">
        <v>760</v>
      </c>
    </row>
    <row r="13" spans="1:17" ht="12.75"/>
    <row r="14" spans="1:17" ht="12.75"/>
    <row r="15" spans="1:17" ht="12.75"/>
    <row r="16" spans="1:17" ht="84.6" customHeight="1">
      <c r="B16" s="354" t="str">
        <f>"Модель "&amp;B9 &amp; " является конфиденциальным документом и содержит сведения, являющиеся собственностью "&amp;I2&amp;". Ни модель, ни сведения, содержащиеся в ней, ни при каких обстоятельствах не могут быть переданы какому-либо лицу без специального разрешения собственника модели."</f>
        <v>Модель Организация безотходного производства белково–липидного концентрата, зоогумуса, кормовых и пищевых добавок из насекомых, продуктов пчеловодства, выращивание аквакультур в установках замкнутого водоснабжения на основе кормов из личинки Black Soldier Fly (Hermetia illucens) в Кардымовском районе Смоленской области является конфиденциальным документом и содержит сведения, являющиеся собственностью Компания УЛА ФАРМС. Ни модель, ни сведения, содержащиеся в ней, ни при каких обстоятельствах не могут быть переданы какому-либо лицу без специального разрешения собственника модели.</v>
      </c>
      <c r="C16" s="354"/>
      <c r="D16" s="354"/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</row>
    <row r="17" spans="2:17" ht="12.75"/>
    <row r="18" spans="2:17" ht="12.75"/>
    <row r="19" spans="2:17" ht="15">
      <c r="B19" s="356" t="s">
        <v>762</v>
      </c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</row>
    <row r="20" spans="2:17" ht="12.75"/>
    <row r="21" spans="2:17" ht="12.75"/>
    <row r="22" spans="2:17" ht="15.75">
      <c r="H22" s="355" t="s">
        <v>759</v>
      </c>
      <c r="I22" s="355"/>
      <c r="J22" s="355"/>
    </row>
    <row r="23" spans="2:17" ht="12.75"/>
    <row r="24" spans="2:17" ht="12.75"/>
    <row r="25" spans="2:17" ht="12.75"/>
    <row r="26" spans="2:17" ht="12.75"/>
    <row r="27" spans="2:17" ht="13.9" customHeight="1"/>
    <row r="28" spans="2:17" ht="13.9" customHeight="1"/>
    <row r="29" spans="2:17" ht="13.9" customHeight="1"/>
    <row r="30" spans="2:17" ht="13.9" customHeight="1"/>
    <row r="31" spans="2:17" ht="13.9" hidden="1" customHeight="1"/>
    <row r="32" spans="2:17" ht="13.9" hidden="1" customHeight="1"/>
    <row r="33" ht="13.9" hidden="1" customHeight="1"/>
    <row r="34" ht="13.9" hidden="1" customHeight="1"/>
    <row r="35" ht="13.9" hidden="1" customHeight="1"/>
    <row r="36" ht="13.9" hidden="1" customHeight="1"/>
    <row r="37" ht="13.9" customHeight="1"/>
    <row r="38" ht="13.9" hidden="1" customHeight="1"/>
    <row r="39" ht="13.9" hidden="1" customHeight="1"/>
    <row r="40" ht="13.9" hidden="1" customHeight="1"/>
    <row r="41" ht="13.9" hidden="1" customHeight="1"/>
    <row r="42" ht="13.9" hidden="1" customHeight="1"/>
    <row r="43" ht="13.9" hidden="1" customHeight="1"/>
  </sheetData>
  <sheetProtection algorithmName="SHA-512" hashValue="27nRv7mnB46r05dzW50aPpQeLzMQaiTjjj35Gh9VO4zKiui/j92bFQVMLCGrgYk6oD2dXBnkp6vN7XfxTRG+PA==" saltValue="LjkFIwzniZIIaTLIWDbpug==" spinCount="100000" sheet="1" objects="1" scenarios="1"/>
  <mergeCells count="5">
    <mergeCell ref="A6:Q6"/>
    <mergeCell ref="B9:P9"/>
    <mergeCell ref="B16:P16"/>
    <mergeCell ref="H22:J22"/>
    <mergeCell ref="B19:Q19"/>
  </mergeCells>
  <hyperlinks>
    <hyperlink ref="B19:Q19" r:id="rId1" display="Разработчик модели: ООО &quot;Автоматизированное бизнес планирование&quot;"/>
  </hyperlinks>
  <pageMargins left="0.25" right="0.25" top="0.75" bottom="0.75" header="0.3" footer="0.3"/>
  <pageSetup paperSize="9" scale="92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7" tint="0.39997558519241921"/>
  </sheetPr>
  <dimension ref="A1:CL169"/>
  <sheetViews>
    <sheetView showGridLines="0" zoomScaleNormal="100" workbookViewId="0">
      <pane xSplit="5" ySplit="10" topLeftCell="F11" activePane="bottomRight" state="frozen"/>
      <selection activeCell="D18" sqref="D18"/>
      <selection pane="topRight" activeCell="D18" sqref="D18"/>
      <selection pane="bottomLeft" activeCell="D18" sqref="D18"/>
      <selection pane="bottomRight" activeCell="B2" sqref="B2"/>
    </sheetView>
  </sheetViews>
  <sheetFormatPr defaultColWidth="0" defaultRowHeight="15" zeroHeight="1"/>
  <cols>
    <col min="1" max="1" width="2.5703125" customWidth="1"/>
    <col min="2" max="2" width="28.5703125" customWidth="1"/>
    <col min="3" max="3" width="7.140625" customWidth="1"/>
    <col min="4" max="4" width="15.140625" bestFit="1" customWidth="1"/>
    <col min="5" max="5" width="12.85546875" customWidth="1"/>
    <col min="6" max="10" width="11.7109375" bestFit="1" customWidth="1"/>
    <col min="11" max="11" width="12.85546875" bestFit="1" customWidth="1"/>
    <col min="12" max="12" width="12.140625" bestFit="1" customWidth="1"/>
    <col min="13" max="13" width="11.7109375" bestFit="1" customWidth="1"/>
    <col min="14" max="16" width="12.7109375" bestFit="1" customWidth="1"/>
    <col min="17" max="17" width="13.7109375" bestFit="1" customWidth="1"/>
    <col min="18" max="18" width="12.7109375" bestFit="1" customWidth="1"/>
    <col min="19" max="19" width="12.140625" bestFit="1" customWidth="1"/>
    <col min="20" max="20" width="13.7109375" bestFit="1" customWidth="1"/>
    <col min="21" max="22" width="12.140625" bestFit="1" customWidth="1"/>
    <col min="23" max="23" width="13.7109375" bestFit="1" customWidth="1"/>
    <col min="24" max="25" width="12.140625" bestFit="1" customWidth="1"/>
    <col min="26" max="26" width="13.7109375" bestFit="1" customWidth="1"/>
    <col min="27" max="27" width="12.140625" bestFit="1" customWidth="1"/>
    <col min="28" max="28" width="12.28515625" bestFit="1" customWidth="1"/>
    <col min="29" max="29" width="13.7109375" bestFit="1" customWidth="1"/>
    <col min="30" max="31" width="12.140625" bestFit="1" customWidth="1"/>
    <col min="32" max="32" width="13.7109375" bestFit="1" customWidth="1"/>
    <col min="33" max="34" width="12.140625" bestFit="1" customWidth="1"/>
    <col min="35" max="35" width="13.7109375" bestFit="1" customWidth="1"/>
    <col min="36" max="37" width="12.7109375" bestFit="1" customWidth="1"/>
    <col min="38" max="38" width="13.7109375" bestFit="1" customWidth="1"/>
    <col min="39" max="40" width="12.7109375" bestFit="1" customWidth="1"/>
    <col min="41" max="41" width="13.7109375" bestFit="1" customWidth="1"/>
    <col min="42" max="43" width="12.7109375" bestFit="1" customWidth="1"/>
    <col min="44" max="89" width="13.7109375" bestFit="1" customWidth="1"/>
    <col min="90" max="90" width="3.7109375" customWidth="1"/>
    <col min="91" max="16384" width="3.7109375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59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>
      <c r="B8" s="16" t="str">
        <f t="array" ref="B8:B9">Время!B8:B9</f>
        <v>Начало периода</v>
      </c>
      <c r="C8" s="17"/>
      <c r="D8" s="18"/>
      <c r="E8" s="19"/>
      <c r="F8" s="20">
        <f t="array" ref="F8:CK9">Время!F8:CK9</f>
        <v>45017</v>
      </c>
      <c r="G8" s="20">
        <v>45047</v>
      </c>
      <c r="H8" s="20">
        <v>45078</v>
      </c>
      <c r="I8" s="20">
        <v>45108</v>
      </c>
      <c r="J8" s="20">
        <v>45139</v>
      </c>
      <c r="K8" s="20">
        <v>45170</v>
      </c>
      <c r="L8" s="20">
        <v>45200</v>
      </c>
      <c r="M8" s="20">
        <v>45231</v>
      </c>
      <c r="N8" s="20">
        <v>45261</v>
      </c>
      <c r="O8" s="20">
        <v>45292</v>
      </c>
      <c r="P8" s="20">
        <v>45323</v>
      </c>
      <c r="Q8" s="20">
        <v>45352</v>
      </c>
      <c r="R8" s="20">
        <v>45383</v>
      </c>
      <c r="S8" s="20">
        <v>45413</v>
      </c>
      <c r="T8" s="20">
        <v>45444</v>
      </c>
      <c r="U8" s="20">
        <v>45474</v>
      </c>
      <c r="V8" s="20">
        <v>45505</v>
      </c>
      <c r="W8" s="20">
        <v>45536</v>
      </c>
      <c r="X8" s="20">
        <v>45566</v>
      </c>
      <c r="Y8" s="20">
        <v>45597</v>
      </c>
      <c r="Z8" s="20">
        <v>45627</v>
      </c>
      <c r="AA8" s="20">
        <v>45658</v>
      </c>
      <c r="AB8" s="20">
        <v>45689</v>
      </c>
      <c r="AC8" s="20">
        <v>45717</v>
      </c>
      <c r="AD8" s="20">
        <v>45748</v>
      </c>
      <c r="AE8" s="20">
        <v>45778</v>
      </c>
      <c r="AF8" s="20">
        <v>45809</v>
      </c>
      <c r="AG8" s="20">
        <v>45839</v>
      </c>
      <c r="AH8" s="20">
        <v>45870</v>
      </c>
      <c r="AI8" s="20">
        <v>45901</v>
      </c>
      <c r="AJ8" s="20">
        <v>45931</v>
      </c>
      <c r="AK8" s="20">
        <v>45962</v>
      </c>
      <c r="AL8" s="20">
        <v>45992</v>
      </c>
      <c r="AM8" s="20">
        <v>46023</v>
      </c>
      <c r="AN8" s="20">
        <v>46054</v>
      </c>
      <c r="AO8" s="20">
        <v>46082</v>
      </c>
      <c r="AP8" s="20">
        <v>46113</v>
      </c>
      <c r="AQ8" s="20">
        <v>46143</v>
      </c>
      <c r="AR8" s="20">
        <v>46174</v>
      </c>
      <c r="AS8" s="20">
        <v>46204</v>
      </c>
      <c r="AT8" s="20">
        <v>46235</v>
      </c>
      <c r="AU8" s="20">
        <v>46266</v>
      </c>
      <c r="AV8" s="20">
        <v>46296</v>
      </c>
      <c r="AW8" s="20">
        <v>46327</v>
      </c>
      <c r="AX8" s="20">
        <v>46357</v>
      </c>
      <c r="AY8" s="20">
        <v>46388</v>
      </c>
      <c r="AZ8" s="20">
        <v>46419</v>
      </c>
      <c r="BA8" s="20">
        <v>46447</v>
      </c>
      <c r="BB8" s="20">
        <v>46478</v>
      </c>
      <c r="BC8" s="20">
        <v>46508</v>
      </c>
      <c r="BD8" s="20">
        <v>46539</v>
      </c>
      <c r="BE8" s="20">
        <v>46569</v>
      </c>
      <c r="BF8" s="20">
        <v>46600</v>
      </c>
      <c r="BG8" s="20">
        <v>46631</v>
      </c>
      <c r="BH8" s="20">
        <v>46661</v>
      </c>
      <c r="BI8" s="20">
        <v>46692</v>
      </c>
      <c r="BJ8" s="20">
        <v>46722</v>
      </c>
      <c r="BK8" s="20">
        <v>46753</v>
      </c>
      <c r="BL8" s="20">
        <v>46784</v>
      </c>
      <c r="BM8" s="20">
        <v>46813</v>
      </c>
      <c r="BN8" s="20">
        <v>46844</v>
      </c>
      <c r="BO8" s="20">
        <v>46874</v>
      </c>
      <c r="BP8" s="20">
        <v>46905</v>
      </c>
      <c r="BQ8" s="20">
        <v>46935</v>
      </c>
      <c r="BR8" s="20">
        <v>46966</v>
      </c>
      <c r="BS8" s="20">
        <v>46997</v>
      </c>
      <c r="BT8" s="20">
        <v>47027</v>
      </c>
      <c r="BU8" s="20">
        <v>47058</v>
      </c>
      <c r="BV8" s="20">
        <v>47088</v>
      </c>
      <c r="BW8" s="20">
        <v>47119</v>
      </c>
      <c r="BX8" s="20">
        <v>47150</v>
      </c>
      <c r="BY8" s="20">
        <v>47178</v>
      </c>
      <c r="BZ8" s="20">
        <v>47209</v>
      </c>
      <c r="CA8" s="20">
        <v>47239</v>
      </c>
      <c r="CB8" s="20">
        <v>47270</v>
      </c>
      <c r="CC8" s="20">
        <v>47300</v>
      </c>
      <c r="CD8" s="20">
        <v>47331</v>
      </c>
      <c r="CE8" s="20">
        <v>47362</v>
      </c>
      <c r="CF8" s="20">
        <v>47392</v>
      </c>
      <c r="CG8" s="20">
        <v>47423</v>
      </c>
      <c r="CH8" s="20">
        <v>47453</v>
      </c>
      <c r="CI8" s="20">
        <v>47484</v>
      </c>
      <c r="CJ8" s="20">
        <v>47515</v>
      </c>
      <c r="CK8" s="20">
        <v>47543</v>
      </c>
    </row>
    <row r="9" spans="2:89">
      <c r="B9" s="21" t="str">
        <v>Конец периода</v>
      </c>
      <c r="C9" s="22"/>
      <c r="D9" s="23"/>
      <c r="E9" s="24">
        <f>Время!E9</f>
        <v>45016</v>
      </c>
      <c r="F9" s="25">
        <v>45046</v>
      </c>
      <c r="G9" s="25">
        <v>45077</v>
      </c>
      <c r="H9" s="25">
        <v>45107</v>
      </c>
      <c r="I9" s="25">
        <v>45138</v>
      </c>
      <c r="J9" s="25">
        <v>45169</v>
      </c>
      <c r="K9" s="25">
        <v>45199</v>
      </c>
      <c r="L9" s="25">
        <v>45230</v>
      </c>
      <c r="M9" s="25">
        <v>45260</v>
      </c>
      <c r="N9" s="25">
        <v>45291</v>
      </c>
      <c r="O9" s="25">
        <v>45322</v>
      </c>
      <c r="P9" s="25">
        <v>45351</v>
      </c>
      <c r="Q9" s="25">
        <v>45382</v>
      </c>
      <c r="R9" s="25">
        <v>45412</v>
      </c>
      <c r="S9" s="25">
        <v>45443</v>
      </c>
      <c r="T9" s="25">
        <v>45473</v>
      </c>
      <c r="U9" s="25">
        <v>45504</v>
      </c>
      <c r="V9" s="25">
        <v>45535</v>
      </c>
      <c r="W9" s="25">
        <v>45565</v>
      </c>
      <c r="X9" s="25">
        <v>45596</v>
      </c>
      <c r="Y9" s="25">
        <v>45626</v>
      </c>
      <c r="Z9" s="25">
        <v>45657</v>
      </c>
      <c r="AA9" s="25">
        <v>45688</v>
      </c>
      <c r="AB9" s="25">
        <v>45716</v>
      </c>
      <c r="AC9" s="25">
        <v>45747</v>
      </c>
      <c r="AD9" s="25">
        <v>45777</v>
      </c>
      <c r="AE9" s="25">
        <v>45808</v>
      </c>
      <c r="AF9" s="25">
        <v>45838</v>
      </c>
      <c r="AG9" s="25">
        <v>45869</v>
      </c>
      <c r="AH9" s="25">
        <v>45900</v>
      </c>
      <c r="AI9" s="25">
        <v>45930</v>
      </c>
      <c r="AJ9" s="25">
        <v>45961</v>
      </c>
      <c r="AK9" s="25">
        <v>45991</v>
      </c>
      <c r="AL9" s="25">
        <v>46022</v>
      </c>
      <c r="AM9" s="25">
        <v>46053</v>
      </c>
      <c r="AN9" s="25">
        <v>46081</v>
      </c>
      <c r="AO9" s="25">
        <v>46112</v>
      </c>
      <c r="AP9" s="25">
        <v>46142</v>
      </c>
      <c r="AQ9" s="25">
        <v>46173</v>
      </c>
      <c r="AR9" s="25">
        <v>46203</v>
      </c>
      <c r="AS9" s="25">
        <v>46234</v>
      </c>
      <c r="AT9" s="25">
        <v>46265</v>
      </c>
      <c r="AU9" s="25">
        <v>46295</v>
      </c>
      <c r="AV9" s="25">
        <v>46326</v>
      </c>
      <c r="AW9" s="25">
        <v>46356</v>
      </c>
      <c r="AX9" s="25">
        <v>46387</v>
      </c>
      <c r="AY9" s="25">
        <v>46418</v>
      </c>
      <c r="AZ9" s="25">
        <v>46446</v>
      </c>
      <c r="BA9" s="25">
        <v>46477</v>
      </c>
      <c r="BB9" s="25">
        <v>46507</v>
      </c>
      <c r="BC9" s="25">
        <v>46538</v>
      </c>
      <c r="BD9" s="25">
        <v>46568</v>
      </c>
      <c r="BE9" s="25">
        <v>46599</v>
      </c>
      <c r="BF9" s="25">
        <v>46630</v>
      </c>
      <c r="BG9" s="25">
        <v>46660</v>
      </c>
      <c r="BH9" s="25">
        <v>46691</v>
      </c>
      <c r="BI9" s="25">
        <v>46721</v>
      </c>
      <c r="BJ9" s="25">
        <v>46752</v>
      </c>
      <c r="BK9" s="25">
        <v>46783</v>
      </c>
      <c r="BL9" s="25">
        <v>46812</v>
      </c>
      <c r="BM9" s="25">
        <v>46843</v>
      </c>
      <c r="BN9" s="25">
        <v>46873</v>
      </c>
      <c r="BO9" s="25">
        <v>46904</v>
      </c>
      <c r="BP9" s="25">
        <v>46934</v>
      </c>
      <c r="BQ9" s="25">
        <v>46965</v>
      </c>
      <c r="BR9" s="25">
        <v>46996</v>
      </c>
      <c r="BS9" s="25">
        <v>47026</v>
      </c>
      <c r="BT9" s="25">
        <v>47057</v>
      </c>
      <c r="BU9" s="25">
        <v>47087</v>
      </c>
      <c r="BV9" s="25">
        <v>47118</v>
      </c>
      <c r="BW9" s="25">
        <v>47149</v>
      </c>
      <c r="BX9" s="25">
        <v>47177</v>
      </c>
      <c r="BY9" s="25">
        <v>47208</v>
      </c>
      <c r="BZ9" s="25">
        <v>47238</v>
      </c>
      <c r="CA9" s="25">
        <v>47269</v>
      </c>
      <c r="CB9" s="25">
        <v>47299</v>
      </c>
      <c r="CC9" s="25">
        <v>47330</v>
      </c>
      <c r="CD9" s="25">
        <v>47361</v>
      </c>
      <c r="CE9" s="25">
        <v>47391</v>
      </c>
      <c r="CF9" s="25">
        <v>47422</v>
      </c>
      <c r="CG9" s="25">
        <v>47452</v>
      </c>
      <c r="CH9" s="25">
        <v>47483</v>
      </c>
      <c r="CI9" s="25">
        <v>47514</v>
      </c>
      <c r="CJ9" s="25">
        <v>47542</v>
      </c>
      <c r="CK9" s="25"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5"/>
      <c r="G12" s="15"/>
      <c r="H12" s="15"/>
      <c r="I12" s="15"/>
      <c r="J12" s="15"/>
      <c r="K12" s="15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>
      <c r="B13" s="145" t="str">
        <f t="array" ref="B13:B14">Время!B13:B14</f>
        <v>Инвестиции</v>
      </c>
      <c r="C13" s="146"/>
      <c r="D13" s="146"/>
      <c r="E13" s="146"/>
      <c r="F13" s="29">
        <f t="array" ref="F13:CK14">Время!F13:CK14</f>
        <v>1</v>
      </c>
      <c r="G13" s="30">
        <v>1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1">
        <v>0</v>
      </c>
    </row>
    <row r="14" spans="2:89">
      <c r="B14" s="145" t="str">
        <v>Операции</v>
      </c>
      <c r="C14" s="146"/>
      <c r="D14" s="146"/>
      <c r="E14" s="146"/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>
        <v>1</v>
      </c>
      <c r="AU14" s="30">
        <v>1</v>
      </c>
      <c r="AV14" s="30">
        <v>1</v>
      </c>
      <c r="AW14" s="30">
        <v>1</v>
      </c>
      <c r="AX14" s="30">
        <v>1</v>
      </c>
      <c r="AY14" s="30">
        <v>1</v>
      </c>
      <c r="AZ14" s="30">
        <v>1</v>
      </c>
      <c r="BA14" s="30">
        <v>1</v>
      </c>
      <c r="BB14" s="30">
        <v>1</v>
      </c>
      <c r="BC14" s="30">
        <v>1</v>
      </c>
      <c r="BD14" s="30">
        <v>1</v>
      </c>
      <c r="BE14" s="30">
        <v>1</v>
      </c>
      <c r="BF14" s="30">
        <v>1</v>
      </c>
      <c r="BG14" s="30">
        <v>1</v>
      </c>
      <c r="BH14" s="30">
        <v>1</v>
      </c>
      <c r="BI14" s="30">
        <v>1</v>
      </c>
      <c r="BJ14" s="30">
        <v>1</v>
      </c>
      <c r="BK14" s="30">
        <v>1</v>
      </c>
      <c r="BL14" s="30">
        <v>1</v>
      </c>
      <c r="BM14" s="30">
        <v>1</v>
      </c>
      <c r="BN14" s="30">
        <v>1</v>
      </c>
      <c r="BO14" s="30">
        <v>1</v>
      </c>
      <c r="BP14" s="30">
        <v>1</v>
      </c>
      <c r="BQ14" s="30">
        <v>1</v>
      </c>
      <c r="BR14" s="30">
        <v>1</v>
      </c>
      <c r="BS14" s="30">
        <v>1</v>
      </c>
      <c r="BT14" s="30">
        <v>1</v>
      </c>
      <c r="BU14" s="30">
        <v>1</v>
      </c>
      <c r="BV14" s="30">
        <v>1</v>
      </c>
      <c r="BW14" s="30">
        <v>1</v>
      </c>
      <c r="BX14" s="30">
        <v>1</v>
      </c>
      <c r="BY14" s="30">
        <v>1</v>
      </c>
      <c r="BZ14" s="30">
        <v>1</v>
      </c>
      <c r="CA14" s="30">
        <v>1</v>
      </c>
      <c r="CB14" s="30">
        <v>1</v>
      </c>
      <c r="CC14" s="30">
        <v>1</v>
      </c>
      <c r="CD14" s="30">
        <v>1</v>
      </c>
      <c r="CE14" s="30">
        <v>1</v>
      </c>
      <c r="CF14" s="30">
        <v>1</v>
      </c>
      <c r="CG14" s="30">
        <v>1</v>
      </c>
      <c r="CH14" s="30">
        <v>1</v>
      </c>
      <c r="CI14" s="30">
        <v>1</v>
      </c>
      <c r="CJ14" s="30">
        <v>1</v>
      </c>
      <c r="CK14" s="31">
        <v>1</v>
      </c>
    </row>
    <row r="15" spans="2:89" ht="3" customHeight="1">
      <c r="B15" s="14"/>
      <c r="C15" s="14"/>
      <c r="D15" s="14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5"/>
      <c r="G17" s="15"/>
      <c r="H17" s="15"/>
      <c r="I17" s="15"/>
      <c r="J17" s="15"/>
      <c r="K17" s="1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>
      <c r="B18" s="32" t="str">
        <f t="array" ref="B18:B29">Время!B18:B29</f>
        <v>Название периода</v>
      </c>
      <c r="C18" s="33"/>
      <c r="D18" s="33"/>
      <c r="E18" s="34"/>
      <c r="F18" s="35">
        <f t="array" ref="F18:CK29">Время!F18:CK29</f>
        <v>45046</v>
      </c>
      <c r="G18" s="36">
        <v>45077</v>
      </c>
      <c r="H18" s="36">
        <v>45107</v>
      </c>
      <c r="I18" s="36">
        <v>45138</v>
      </c>
      <c r="J18" s="36">
        <v>45169</v>
      </c>
      <c r="K18" s="36">
        <v>45199</v>
      </c>
      <c r="L18" s="36">
        <v>45230</v>
      </c>
      <c r="M18" s="36">
        <v>45260</v>
      </c>
      <c r="N18" s="36">
        <v>45291</v>
      </c>
      <c r="O18" s="36">
        <v>45322</v>
      </c>
      <c r="P18" s="36">
        <v>45351</v>
      </c>
      <c r="Q18" s="36">
        <v>45382</v>
      </c>
      <c r="R18" s="36">
        <v>45412</v>
      </c>
      <c r="S18" s="36">
        <v>45443</v>
      </c>
      <c r="T18" s="36">
        <v>45473</v>
      </c>
      <c r="U18" s="36">
        <v>45504</v>
      </c>
      <c r="V18" s="36">
        <v>45535</v>
      </c>
      <c r="W18" s="36">
        <v>45565</v>
      </c>
      <c r="X18" s="36">
        <v>45596</v>
      </c>
      <c r="Y18" s="36">
        <v>45626</v>
      </c>
      <c r="Z18" s="36">
        <v>45657</v>
      </c>
      <c r="AA18" s="36">
        <v>45688</v>
      </c>
      <c r="AB18" s="36">
        <v>45716</v>
      </c>
      <c r="AC18" s="36">
        <v>45747</v>
      </c>
      <c r="AD18" s="36">
        <v>45777</v>
      </c>
      <c r="AE18" s="36">
        <v>45808</v>
      </c>
      <c r="AF18" s="36">
        <v>45838</v>
      </c>
      <c r="AG18" s="36">
        <v>45869</v>
      </c>
      <c r="AH18" s="36">
        <v>45900</v>
      </c>
      <c r="AI18" s="36">
        <v>45930</v>
      </c>
      <c r="AJ18" s="36">
        <v>45961</v>
      </c>
      <c r="AK18" s="36">
        <v>45991</v>
      </c>
      <c r="AL18" s="36">
        <v>46022</v>
      </c>
      <c r="AM18" s="36">
        <v>46053</v>
      </c>
      <c r="AN18" s="36">
        <v>46081</v>
      </c>
      <c r="AO18" s="36">
        <v>46112</v>
      </c>
      <c r="AP18" s="36">
        <v>46142</v>
      </c>
      <c r="AQ18" s="36">
        <v>46173</v>
      </c>
      <c r="AR18" s="36">
        <v>46203</v>
      </c>
      <c r="AS18" s="36">
        <v>46234</v>
      </c>
      <c r="AT18" s="36">
        <v>46265</v>
      </c>
      <c r="AU18" s="36">
        <v>46295</v>
      </c>
      <c r="AV18" s="36">
        <v>46326</v>
      </c>
      <c r="AW18" s="36">
        <v>46356</v>
      </c>
      <c r="AX18" s="36">
        <v>46387</v>
      </c>
      <c r="AY18" s="36">
        <v>46418</v>
      </c>
      <c r="AZ18" s="36">
        <v>46446</v>
      </c>
      <c r="BA18" s="36">
        <v>46477</v>
      </c>
      <c r="BB18" s="36">
        <v>46507</v>
      </c>
      <c r="BC18" s="36">
        <v>46538</v>
      </c>
      <c r="BD18" s="36">
        <v>46568</v>
      </c>
      <c r="BE18" s="36">
        <v>46599</v>
      </c>
      <c r="BF18" s="36">
        <v>46630</v>
      </c>
      <c r="BG18" s="36">
        <v>46660</v>
      </c>
      <c r="BH18" s="36">
        <v>46691</v>
      </c>
      <c r="BI18" s="36">
        <v>46721</v>
      </c>
      <c r="BJ18" s="36">
        <v>46752</v>
      </c>
      <c r="BK18" s="36">
        <v>46783</v>
      </c>
      <c r="BL18" s="36">
        <v>46812</v>
      </c>
      <c r="BM18" s="36">
        <v>46843</v>
      </c>
      <c r="BN18" s="36">
        <v>46873</v>
      </c>
      <c r="BO18" s="36">
        <v>46904</v>
      </c>
      <c r="BP18" s="36">
        <v>46934</v>
      </c>
      <c r="BQ18" s="36">
        <v>46965</v>
      </c>
      <c r="BR18" s="36">
        <v>46996</v>
      </c>
      <c r="BS18" s="36">
        <v>47026</v>
      </c>
      <c r="BT18" s="36">
        <v>47057</v>
      </c>
      <c r="BU18" s="36">
        <v>47087</v>
      </c>
      <c r="BV18" s="36">
        <v>47118</v>
      </c>
      <c r="BW18" s="36">
        <v>47149</v>
      </c>
      <c r="BX18" s="36">
        <v>47177</v>
      </c>
      <c r="BY18" s="36">
        <v>47208</v>
      </c>
      <c r="BZ18" s="36">
        <v>47238</v>
      </c>
      <c r="CA18" s="36">
        <v>47269</v>
      </c>
      <c r="CB18" s="36">
        <v>47299</v>
      </c>
      <c r="CC18" s="36">
        <v>47330</v>
      </c>
      <c r="CD18" s="36">
        <v>47361</v>
      </c>
      <c r="CE18" s="36">
        <v>47391</v>
      </c>
      <c r="CF18" s="36">
        <v>47422</v>
      </c>
      <c r="CG18" s="36">
        <v>47452</v>
      </c>
      <c r="CH18" s="36">
        <v>47483</v>
      </c>
      <c r="CI18" s="36">
        <v>47514</v>
      </c>
      <c r="CJ18" s="36">
        <v>47542</v>
      </c>
      <c r="CK18" s="36">
        <v>47573</v>
      </c>
    </row>
    <row r="19" spans="2:89">
      <c r="B19" s="37" t="str">
        <v>Календарный год</v>
      </c>
      <c r="C19" s="33"/>
      <c r="D19" s="33"/>
      <c r="E19" s="34"/>
      <c r="F19" s="38">
        <v>2023</v>
      </c>
      <c r="G19" s="38">
        <v>2023</v>
      </c>
      <c r="H19" s="38">
        <v>2023</v>
      </c>
      <c r="I19" s="38">
        <v>2023</v>
      </c>
      <c r="J19" s="38">
        <v>2023</v>
      </c>
      <c r="K19" s="38">
        <v>2023</v>
      </c>
      <c r="L19" s="38">
        <v>2023</v>
      </c>
      <c r="M19" s="38">
        <v>2023</v>
      </c>
      <c r="N19" s="38">
        <v>2023</v>
      </c>
      <c r="O19" s="38">
        <v>2024</v>
      </c>
      <c r="P19" s="38">
        <v>2024</v>
      </c>
      <c r="Q19" s="38">
        <v>2024</v>
      </c>
      <c r="R19" s="38">
        <v>2024</v>
      </c>
      <c r="S19" s="38">
        <v>2024</v>
      </c>
      <c r="T19" s="38">
        <v>2024</v>
      </c>
      <c r="U19" s="38">
        <v>2024</v>
      </c>
      <c r="V19" s="38">
        <v>2024</v>
      </c>
      <c r="W19" s="38">
        <v>2024</v>
      </c>
      <c r="X19" s="38">
        <v>2024</v>
      </c>
      <c r="Y19" s="38">
        <v>2024</v>
      </c>
      <c r="Z19" s="38">
        <v>2024</v>
      </c>
      <c r="AA19" s="38">
        <v>2025</v>
      </c>
      <c r="AB19" s="38">
        <v>2025</v>
      </c>
      <c r="AC19" s="38">
        <v>2025</v>
      </c>
      <c r="AD19" s="38">
        <v>2025</v>
      </c>
      <c r="AE19" s="38">
        <v>2025</v>
      </c>
      <c r="AF19" s="38">
        <v>2025</v>
      </c>
      <c r="AG19" s="38">
        <v>2025</v>
      </c>
      <c r="AH19" s="38">
        <v>2025</v>
      </c>
      <c r="AI19" s="38">
        <v>2025</v>
      </c>
      <c r="AJ19" s="38">
        <v>2025</v>
      </c>
      <c r="AK19" s="38">
        <v>2025</v>
      </c>
      <c r="AL19" s="38">
        <v>2025</v>
      </c>
      <c r="AM19" s="38">
        <v>2026</v>
      </c>
      <c r="AN19" s="38">
        <v>2026</v>
      </c>
      <c r="AO19" s="38">
        <v>2026</v>
      </c>
      <c r="AP19" s="38">
        <v>2026</v>
      </c>
      <c r="AQ19" s="38">
        <v>2026</v>
      </c>
      <c r="AR19" s="38">
        <v>2026</v>
      </c>
      <c r="AS19" s="38">
        <v>2026</v>
      </c>
      <c r="AT19" s="38">
        <v>2026</v>
      </c>
      <c r="AU19" s="38">
        <v>2026</v>
      </c>
      <c r="AV19" s="38">
        <v>2026</v>
      </c>
      <c r="AW19" s="38">
        <v>2026</v>
      </c>
      <c r="AX19" s="38">
        <v>2026</v>
      </c>
      <c r="AY19" s="38">
        <v>2027</v>
      </c>
      <c r="AZ19" s="38">
        <v>2027</v>
      </c>
      <c r="BA19" s="38">
        <v>2027</v>
      </c>
      <c r="BB19" s="38">
        <v>2027</v>
      </c>
      <c r="BC19" s="38">
        <v>2027</v>
      </c>
      <c r="BD19" s="38">
        <v>2027</v>
      </c>
      <c r="BE19" s="38">
        <v>2027</v>
      </c>
      <c r="BF19" s="38">
        <v>2027</v>
      </c>
      <c r="BG19" s="38">
        <v>2027</v>
      </c>
      <c r="BH19" s="38">
        <v>2027</v>
      </c>
      <c r="BI19" s="38">
        <v>2027</v>
      </c>
      <c r="BJ19" s="38">
        <v>2027</v>
      </c>
      <c r="BK19" s="38">
        <v>2028</v>
      </c>
      <c r="BL19" s="38">
        <v>2028</v>
      </c>
      <c r="BM19" s="38">
        <v>2028</v>
      </c>
      <c r="BN19" s="38">
        <v>2028</v>
      </c>
      <c r="BO19" s="38">
        <v>2028</v>
      </c>
      <c r="BP19" s="38">
        <v>2028</v>
      </c>
      <c r="BQ19" s="38">
        <v>2028</v>
      </c>
      <c r="BR19" s="38">
        <v>2028</v>
      </c>
      <c r="BS19" s="38">
        <v>2028</v>
      </c>
      <c r="BT19" s="38">
        <v>2028</v>
      </c>
      <c r="BU19" s="38">
        <v>2028</v>
      </c>
      <c r="BV19" s="38">
        <v>2028</v>
      </c>
      <c r="BW19" s="38">
        <v>2029</v>
      </c>
      <c r="BX19" s="38">
        <v>2029</v>
      </c>
      <c r="BY19" s="38">
        <v>2029</v>
      </c>
      <c r="BZ19" s="38">
        <v>2029</v>
      </c>
      <c r="CA19" s="38">
        <v>2029</v>
      </c>
      <c r="CB19" s="38">
        <v>2029</v>
      </c>
      <c r="CC19" s="38">
        <v>2029</v>
      </c>
      <c r="CD19" s="38">
        <v>2029</v>
      </c>
      <c r="CE19" s="38">
        <v>2029</v>
      </c>
      <c r="CF19" s="38">
        <v>2029</v>
      </c>
      <c r="CG19" s="38">
        <v>2029</v>
      </c>
      <c r="CH19" s="38">
        <v>2029</v>
      </c>
      <c r="CI19" s="38">
        <v>2030</v>
      </c>
      <c r="CJ19" s="38">
        <v>2030</v>
      </c>
      <c r="CK19" s="38">
        <v>2030</v>
      </c>
    </row>
    <row r="20" spans="2:89">
      <c r="B20" s="37" t="str">
        <v>Дней в году</v>
      </c>
      <c r="C20" s="33"/>
      <c r="D20" s="33"/>
      <c r="E20" s="34"/>
      <c r="F20" s="38">
        <v>365</v>
      </c>
      <c r="G20" s="38">
        <v>365</v>
      </c>
      <c r="H20" s="38">
        <v>365</v>
      </c>
      <c r="I20" s="38">
        <v>365</v>
      </c>
      <c r="J20" s="38">
        <v>365</v>
      </c>
      <c r="K20" s="38">
        <v>365</v>
      </c>
      <c r="L20" s="38">
        <v>365</v>
      </c>
      <c r="M20" s="38">
        <v>365</v>
      </c>
      <c r="N20" s="38">
        <v>365</v>
      </c>
      <c r="O20" s="38">
        <v>366</v>
      </c>
      <c r="P20" s="38">
        <v>366</v>
      </c>
      <c r="Q20" s="38">
        <v>366</v>
      </c>
      <c r="R20" s="38">
        <v>366</v>
      </c>
      <c r="S20" s="38">
        <v>366</v>
      </c>
      <c r="T20" s="38">
        <v>366</v>
      </c>
      <c r="U20" s="38">
        <v>366</v>
      </c>
      <c r="V20" s="38">
        <v>366</v>
      </c>
      <c r="W20" s="38">
        <v>366</v>
      </c>
      <c r="X20" s="38">
        <v>366</v>
      </c>
      <c r="Y20" s="38">
        <v>366</v>
      </c>
      <c r="Z20" s="38">
        <v>366</v>
      </c>
      <c r="AA20" s="38">
        <v>365</v>
      </c>
      <c r="AB20" s="38">
        <v>365</v>
      </c>
      <c r="AC20" s="38">
        <v>365</v>
      </c>
      <c r="AD20" s="38">
        <v>365</v>
      </c>
      <c r="AE20" s="38">
        <v>365</v>
      </c>
      <c r="AF20" s="38">
        <v>365</v>
      </c>
      <c r="AG20" s="38">
        <v>365</v>
      </c>
      <c r="AH20" s="38">
        <v>365</v>
      </c>
      <c r="AI20" s="38">
        <v>365</v>
      </c>
      <c r="AJ20" s="38">
        <v>365</v>
      </c>
      <c r="AK20" s="38">
        <v>365</v>
      </c>
      <c r="AL20" s="38">
        <v>365</v>
      </c>
      <c r="AM20" s="38">
        <v>365</v>
      </c>
      <c r="AN20" s="38">
        <v>365</v>
      </c>
      <c r="AO20" s="38">
        <v>365</v>
      </c>
      <c r="AP20" s="38">
        <v>365</v>
      </c>
      <c r="AQ20" s="38">
        <v>365</v>
      </c>
      <c r="AR20" s="38">
        <v>365</v>
      </c>
      <c r="AS20" s="38">
        <v>365</v>
      </c>
      <c r="AT20" s="38">
        <v>365</v>
      </c>
      <c r="AU20" s="38">
        <v>365</v>
      </c>
      <c r="AV20" s="38">
        <v>365</v>
      </c>
      <c r="AW20" s="38">
        <v>365</v>
      </c>
      <c r="AX20" s="38">
        <v>365</v>
      </c>
      <c r="AY20" s="38">
        <v>365</v>
      </c>
      <c r="AZ20" s="38">
        <v>365</v>
      </c>
      <c r="BA20" s="38">
        <v>365</v>
      </c>
      <c r="BB20" s="38">
        <v>365</v>
      </c>
      <c r="BC20" s="38">
        <v>365</v>
      </c>
      <c r="BD20" s="38">
        <v>365</v>
      </c>
      <c r="BE20" s="38">
        <v>365</v>
      </c>
      <c r="BF20" s="38">
        <v>365</v>
      </c>
      <c r="BG20" s="38">
        <v>365</v>
      </c>
      <c r="BH20" s="38">
        <v>365</v>
      </c>
      <c r="BI20" s="38">
        <v>365</v>
      </c>
      <c r="BJ20" s="38">
        <v>365</v>
      </c>
      <c r="BK20" s="38">
        <v>366</v>
      </c>
      <c r="BL20" s="38">
        <v>366</v>
      </c>
      <c r="BM20" s="38">
        <v>366</v>
      </c>
      <c r="BN20" s="38">
        <v>366</v>
      </c>
      <c r="BO20" s="38">
        <v>366</v>
      </c>
      <c r="BP20" s="38">
        <v>366</v>
      </c>
      <c r="BQ20" s="38">
        <v>366</v>
      </c>
      <c r="BR20" s="38">
        <v>366</v>
      </c>
      <c r="BS20" s="38">
        <v>366</v>
      </c>
      <c r="BT20" s="38">
        <v>366</v>
      </c>
      <c r="BU20" s="38">
        <v>366</v>
      </c>
      <c r="BV20" s="38">
        <v>366</v>
      </c>
      <c r="BW20" s="38">
        <v>365</v>
      </c>
      <c r="BX20" s="38">
        <v>365</v>
      </c>
      <c r="BY20" s="38">
        <v>365</v>
      </c>
      <c r="BZ20" s="38">
        <v>365</v>
      </c>
      <c r="CA20" s="38">
        <v>365</v>
      </c>
      <c r="CB20" s="38">
        <v>365</v>
      </c>
      <c r="CC20" s="38">
        <v>365</v>
      </c>
      <c r="CD20" s="38">
        <v>365</v>
      </c>
      <c r="CE20" s="38">
        <v>365</v>
      </c>
      <c r="CF20" s="38">
        <v>365</v>
      </c>
      <c r="CG20" s="38">
        <v>365</v>
      </c>
      <c r="CH20" s="38">
        <v>365</v>
      </c>
      <c r="CI20" s="38">
        <v>365</v>
      </c>
      <c r="CJ20" s="38">
        <v>365</v>
      </c>
      <c r="CK20" s="38">
        <v>365</v>
      </c>
    </row>
    <row r="21" spans="2:89">
      <c r="B21" s="37" t="str">
        <v>№ месяца</v>
      </c>
      <c r="C21" s="33"/>
      <c r="D21" s="33"/>
      <c r="E21" s="34"/>
      <c r="F21" s="38">
        <v>4</v>
      </c>
      <c r="G21" s="38">
        <v>5</v>
      </c>
      <c r="H21" s="38">
        <v>6</v>
      </c>
      <c r="I21" s="38">
        <v>7</v>
      </c>
      <c r="J21" s="38">
        <v>8</v>
      </c>
      <c r="K21" s="38">
        <v>9</v>
      </c>
      <c r="L21" s="38">
        <v>10</v>
      </c>
      <c r="M21" s="38">
        <v>11</v>
      </c>
      <c r="N21" s="38">
        <v>12</v>
      </c>
      <c r="O21" s="38">
        <v>1</v>
      </c>
      <c r="P21" s="38">
        <v>2</v>
      </c>
      <c r="Q21" s="38">
        <v>3</v>
      </c>
      <c r="R21" s="38">
        <v>4</v>
      </c>
      <c r="S21" s="38">
        <v>5</v>
      </c>
      <c r="T21" s="38">
        <v>6</v>
      </c>
      <c r="U21" s="38">
        <v>7</v>
      </c>
      <c r="V21" s="38">
        <v>8</v>
      </c>
      <c r="W21" s="38">
        <v>9</v>
      </c>
      <c r="X21" s="38">
        <v>10</v>
      </c>
      <c r="Y21" s="38">
        <v>11</v>
      </c>
      <c r="Z21" s="38">
        <v>12</v>
      </c>
      <c r="AA21" s="38">
        <v>1</v>
      </c>
      <c r="AB21" s="38">
        <v>2</v>
      </c>
      <c r="AC21" s="38">
        <v>3</v>
      </c>
      <c r="AD21" s="38">
        <v>4</v>
      </c>
      <c r="AE21" s="38">
        <v>5</v>
      </c>
      <c r="AF21" s="38">
        <v>6</v>
      </c>
      <c r="AG21" s="38">
        <v>7</v>
      </c>
      <c r="AH21" s="38">
        <v>8</v>
      </c>
      <c r="AI21" s="38">
        <v>9</v>
      </c>
      <c r="AJ21" s="38">
        <v>10</v>
      </c>
      <c r="AK21" s="38">
        <v>11</v>
      </c>
      <c r="AL21" s="38">
        <v>12</v>
      </c>
      <c r="AM21" s="38">
        <v>1</v>
      </c>
      <c r="AN21" s="38">
        <v>2</v>
      </c>
      <c r="AO21" s="38">
        <v>3</v>
      </c>
      <c r="AP21" s="38">
        <v>4</v>
      </c>
      <c r="AQ21" s="38">
        <v>5</v>
      </c>
      <c r="AR21" s="38">
        <v>6</v>
      </c>
      <c r="AS21" s="38">
        <v>7</v>
      </c>
      <c r="AT21" s="38">
        <v>8</v>
      </c>
      <c r="AU21" s="38">
        <v>9</v>
      </c>
      <c r="AV21" s="38">
        <v>10</v>
      </c>
      <c r="AW21" s="38">
        <v>11</v>
      </c>
      <c r="AX21" s="38">
        <v>12</v>
      </c>
      <c r="AY21" s="38">
        <v>1</v>
      </c>
      <c r="AZ21" s="38">
        <v>2</v>
      </c>
      <c r="BA21" s="38">
        <v>3</v>
      </c>
      <c r="BB21" s="38">
        <v>4</v>
      </c>
      <c r="BC21" s="38">
        <v>5</v>
      </c>
      <c r="BD21" s="38">
        <v>6</v>
      </c>
      <c r="BE21" s="38">
        <v>7</v>
      </c>
      <c r="BF21" s="38">
        <v>8</v>
      </c>
      <c r="BG21" s="38">
        <v>9</v>
      </c>
      <c r="BH21" s="38">
        <v>10</v>
      </c>
      <c r="BI21" s="38">
        <v>11</v>
      </c>
      <c r="BJ21" s="38">
        <v>12</v>
      </c>
      <c r="BK21" s="38">
        <v>1</v>
      </c>
      <c r="BL21" s="38">
        <v>2</v>
      </c>
      <c r="BM21" s="38">
        <v>3</v>
      </c>
      <c r="BN21" s="38">
        <v>4</v>
      </c>
      <c r="BO21" s="38">
        <v>5</v>
      </c>
      <c r="BP21" s="38">
        <v>6</v>
      </c>
      <c r="BQ21" s="38">
        <v>7</v>
      </c>
      <c r="BR21" s="38">
        <v>8</v>
      </c>
      <c r="BS21" s="38">
        <v>9</v>
      </c>
      <c r="BT21" s="38">
        <v>10</v>
      </c>
      <c r="BU21" s="38">
        <v>11</v>
      </c>
      <c r="BV21" s="38">
        <v>12</v>
      </c>
      <c r="BW21" s="38">
        <v>1</v>
      </c>
      <c r="BX21" s="38">
        <v>2</v>
      </c>
      <c r="BY21" s="38">
        <v>3</v>
      </c>
      <c r="BZ21" s="38">
        <v>4</v>
      </c>
      <c r="CA21" s="38">
        <v>5</v>
      </c>
      <c r="CB21" s="38">
        <v>6</v>
      </c>
      <c r="CC21" s="38">
        <v>7</v>
      </c>
      <c r="CD21" s="38">
        <v>8</v>
      </c>
      <c r="CE21" s="38">
        <v>9</v>
      </c>
      <c r="CF21" s="38">
        <v>10</v>
      </c>
      <c r="CG21" s="38">
        <v>11</v>
      </c>
      <c r="CH21" s="38">
        <v>12</v>
      </c>
      <c r="CI21" s="38">
        <v>1</v>
      </c>
      <c r="CJ21" s="38">
        <v>2</v>
      </c>
      <c r="CK21" s="38">
        <v>3</v>
      </c>
    </row>
    <row r="22" spans="2:89">
      <c r="B22" s="37" t="str">
        <v>Календарное полугодие</v>
      </c>
      <c r="C22" s="33"/>
      <c r="D22" s="33"/>
      <c r="E22" s="34"/>
      <c r="F22" s="38">
        <v>1</v>
      </c>
      <c r="G22" s="38">
        <v>1</v>
      </c>
      <c r="H22" s="38">
        <v>1</v>
      </c>
      <c r="I22" s="38">
        <v>2</v>
      </c>
      <c r="J22" s="38">
        <v>2</v>
      </c>
      <c r="K22" s="38">
        <v>2</v>
      </c>
      <c r="L22" s="38">
        <v>2</v>
      </c>
      <c r="M22" s="38">
        <v>2</v>
      </c>
      <c r="N22" s="38">
        <v>2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2</v>
      </c>
      <c r="V22" s="38">
        <v>2</v>
      </c>
      <c r="W22" s="38">
        <v>2</v>
      </c>
      <c r="X22" s="38">
        <v>2</v>
      </c>
      <c r="Y22" s="38">
        <v>2</v>
      </c>
      <c r="Z22" s="38">
        <v>2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2</v>
      </c>
      <c r="AH22" s="38">
        <v>2</v>
      </c>
      <c r="AI22" s="38">
        <v>2</v>
      </c>
      <c r="AJ22" s="38">
        <v>2</v>
      </c>
      <c r="AK22" s="38">
        <v>2</v>
      </c>
      <c r="AL22" s="38">
        <v>2</v>
      </c>
      <c r="AM22" s="38">
        <v>1</v>
      </c>
      <c r="AN22" s="38">
        <v>1</v>
      </c>
      <c r="AO22" s="38">
        <v>1</v>
      </c>
      <c r="AP22" s="38">
        <v>1</v>
      </c>
      <c r="AQ22" s="38">
        <v>1</v>
      </c>
      <c r="AR22" s="38">
        <v>1</v>
      </c>
      <c r="AS22" s="38">
        <v>2</v>
      </c>
      <c r="AT22" s="38">
        <v>2</v>
      </c>
      <c r="AU22" s="38">
        <v>2</v>
      </c>
      <c r="AV22" s="38">
        <v>2</v>
      </c>
      <c r="AW22" s="38">
        <v>2</v>
      </c>
      <c r="AX22" s="38">
        <v>2</v>
      </c>
      <c r="AY22" s="38">
        <v>1</v>
      </c>
      <c r="AZ22" s="38">
        <v>1</v>
      </c>
      <c r="BA22" s="38">
        <v>1</v>
      </c>
      <c r="BB22" s="38">
        <v>1</v>
      </c>
      <c r="BC22" s="38">
        <v>1</v>
      </c>
      <c r="BD22" s="38">
        <v>1</v>
      </c>
      <c r="BE22" s="38">
        <v>2</v>
      </c>
      <c r="BF22" s="38">
        <v>2</v>
      </c>
      <c r="BG22" s="38">
        <v>2</v>
      </c>
      <c r="BH22" s="38">
        <v>2</v>
      </c>
      <c r="BI22" s="38">
        <v>2</v>
      </c>
      <c r="BJ22" s="38">
        <v>2</v>
      </c>
      <c r="BK22" s="38">
        <v>1</v>
      </c>
      <c r="BL22" s="38">
        <v>1</v>
      </c>
      <c r="BM22" s="38">
        <v>1</v>
      </c>
      <c r="BN22" s="38">
        <v>1</v>
      </c>
      <c r="BO22" s="38">
        <v>1</v>
      </c>
      <c r="BP22" s="38">
        <v>1</v>
      </c>
      <c r="BQ22" s="38">
        <v>2</v>
      </c>
      <c r="BR22" s="38">
        <v>2</v>
      </c>
      <c r="BS22" s="38">
        <v>2</v>
      </c>
      <c r="BT22" s="38">
        <v>2</v>
      </c>
      <c r="BU22" s="38">
        <v>2</v>
      </c>
      <c r="BV22" s="38">
        <v>2</v>
      </c>
      <c r="BW22" s="38">
        <v>1</v>
      </c>
      <c r="BX22" s="38">
        <v>1</v>
      </c>
      <c r="BY22" s="38">
        <v>1</v>
      </c>
      <c r="BZ22" s="38">
        <v>1</v>
      </c>
      <c r="CA22" s="38">
        <v>1</v>
      </c>
      <c r="CB22" s="38">
        <v>1</v>
      </c>
      <c r="CC22" s="38">
        <v>2</v>
      </c>
      <c r="CD22" s="38">
        <v>2</v>
      </c>
      <c r="CE22" s="38">
        <v>2</v>
      </c>
      <c r="CF22" s="38">
        <v>2</v>
      </c>
      <c r="CG22" s="38">
        <v>2</v>
      </c>
      <c r="CH22" s="38">
        <v>2</v>
      </c>
      <c r="CI22" s="38">
        <v>1</v>
      </c>
      <c r="CJ22" s="38">
        <v>1</v>
      </c>
      <c r="CK22" s="38">
        <v>1</v>
      </c>
    </row>
    <row r="23" spans="2:89">
      <c r="B23" s="37" t="str">
        <v>Месяц с начала полугодия</v>
      </c>
      <c r="C23" s="33"/>
      <c r="D23" s="33"/>
      <c r="E23" s="34"/>
      <c r="F23" s="38">
        <v>4</v>
      </c>
      <c r="G23" s="38">
        <v>5</v>
      </c>
      <c r="H23" s="38">
        <v>6</v>
      </c>
      <c r="I23" s="38">
        <v>1</v>
      </c>
      <c r="J23" s="38">
        <v>2</v>
      </c>
      <c r="K23" s="38">
        <v>3</v>
      </c>
      <c r="L23" s="38">
        <v>4</v>
      </c>
      <c r="M23" s="38">
        <v>5</v>
      </c>
      <c r="N23" s="38">
        <v>6</v>
      </c>
      <c r="O23" s="38">
        <v>1</v>
      </c>
      <c r="P23" s="38">
        <v>2</v>
      </c>
      <c r="Q23" s="38">
        <v>3</v>
      </c>
      <c r="R23" s="38">
        <v>4</v>
      </c>
      <c r="S23" s="38">
        <v>5</v>
      </c>
      <c r="T23" s="38">
        <v>6</v>
      </c>
      <c r="U23" s="38">
        <v>1</v>
      </c>
      <c r="V23" s="38">
        <v>2</v>
      </c>
      <c r="W23" s="38">
        <v>3</v>
      </c>
      <c r="X23" s="38">
        <v>4</v>
      </c>
      <c r="Y23" s="38">
        <v>5</v>
      </c>
      <c r="Z23" s="38">
        <v>6</v>
      </c>
      <c r="AA23" s="38">
        <v>1</v>
      </c>
      <c r="AB23" s="38">
        <v>2</v>
      </c>
      <c r="AC23" s="38">
        <v>3</v>
      </c>
      <c r="AD23" s="38">
        <v>4</v>
      </c>
      <c r="AE23" s="38">
        <v>5</v>
      </c>
      <c r="AF23" s="38">
        <v>6</v>
      </c>
      <c r="AG23" s="38">
        <v>1</v>
      </c>
      <c r="AH23" s="38">
        <v>2</v>
      </c>
      <c r="AI23" s="38">
        <v>3</v>
      </c>
      <c r="AJ23" s="38">
        <v>4</v>
      </c>
      <c r="AK23" s="38">
        <v>5</v>
      </c>
      <c r="AL23" s="38">
        <v>6</v>
      </c>
      <c r="AM23" s="38">
        <v>1</v>
      </c>
      <c r="AN23" s="38">
        <v>2</v>
      </c>
      <c r="AO23" s="38">
        <v>3</v>
      </c>
      <c r="AP23" s="38">
        <v>4</v>
      </c>
      <c r="AQ23" s="38">
        <v>5</v>
      </c>
      <c r="AR23" s="38">
        <v>6</v>
      </c>
      <c r="AS23" s="38">
        <v>1</v>
      </c>
      <c r="AT23" s="38">
        <v>2</v>
      </c>
      <c r="AU23" s="38">
        <v>3</v>
      </c>
      <c r="AV23" s="38">
        <v>4</v>
      </c>
      <c r="AW23" s="38">
        <v>5</v>
      </c>
      <c r="AX23" s="38">
        <v>6</v>
      </c>
      <c r="AY23" s="38">
        <v>1</v>
      </c>
      <c r="AZ23" s="38">
        <v>2</v>
      </c>
      <c r="BA23" s="38">
        <v>3</v>
      </c>
      <c r="BB23" s="38">
        <v>4</v>
      </c>
      <c r="BC23" s="38">
        <v>5</v>
      </c>
      <c r="BD23" s="38">
        <v>6</v>
      </c>
      <c r="BE23" s="38">
        <v>1</v>
      </c>
      <c r="BF23" s="38">
        <v>2</v>
      </c>
      <c r="BG23" s="38">
        <v>3</v>
      </c>
      <c r="BH23" s="38">
        <v>4</v>
      </c>
      <c r="BI23" s="38">
        <v>5</v>
      </c>
      <c r="BJ23" s="38">
        <v>6</v>
      </c>
      <c r="BK23" s="38">
        <v>1</v>
      </c>
      <c r="BL23" s="38">
        <v>2</v>
      </c>
      <c r="BM23" s="38">
        <v>3</v>
      </c>
      <c r="BN23" s="38">
        <v>4</v>
      </c>
      <c r="BO23" s="38">
        <v>5</v>
      </c>
      <c r="BP23" s="38">
        <v>6</v>
      </c>
      <c r="BQ23" s="38">
        <v>1</v>
      </c>
      <c r="BR23" s="38">
        <v>2</v>
      </c>
      <c r="BS23" s="38">
        <v>3</v>
      </c>
      <c r="BT23" s="38">
        <v>4</v>
      </c>
      <c r="BU23" s="38">
        <v>5</v>
      </c>
      <c r="BV23" s="38">
        <v>6</v>
      </c>
      <c r="BW23" s="38">
        <v>1</v>
      </c>
      <c r="BX23" s="38">
        <v>2</v>
      </c>
      <c r="BY23" s="38">
        <v>3</v>
      </c>
      <c r="BZ23" s="38">
        <v>4</v>
      </c>
      <c r="CA23" s="38">
        <v>5</v>
      </c>
      <c r="CB23" s="38">
        <v>6</v>
      </c>
      <c r="CC23" s="38">
        <v>1</v>
      </c>
      <c r="CD23" s="38">
        <v>2</v>
      </c>
      <c r="CE23" s="38">
        <v>3</v>
      </c>
      <c r="CF23" s="38">
        <v>4</v>
      </c>
      <c r="CG23" s="38">
        <v>5</v>
      </c>
      <c r="CH23" s="38">
        <v>6</v>
      </c>
      <c r="CI23" s="38">
        <v>1</v>
      </c>
      <c r="CJ23" s="38">
        <v>2</v>
      </c>
      <c r="CK23" s="38">
        <v>3</v>
      </c>
    </row>
    <row r="24" spans="2:89">
      <c r="B24" s="37" t="str">
        <v>Календарный квартал</v>
      </c>
      <c r="C24" s="33"/>
      <c r="D24" s="33"/>
      <c r="E24" s="34"/>
      <c r="F24" s="38">
        <v>2</v>
      </c>
      <c r="G24" s="38">
        <v>2</v>
      </c>
      <c r="H24" s="38">
        <v>2</v>
      </c>
      <c r="I24" s="38">
        <v>3</v>
      </c>
      <c r="J24" s="38">
        <v>3</v>
      </c>
      <c r="K24" s="38">
        <v>3</v>
      </c>
      <c r="L24" s="38">
        <v>4</v>
      </c>
      <c r="M24" s="38">
        <v>4</v>
      </c>
      <c r="N24" s="38">
        <v>4</v>
      </c>
      <c r="O24" s="38">
        <v>1</v>
      </c>
      <c r="P24" s="38">
        <v>1</v>
      </c>
      <c r="Q24" s="38">
        <v>1</v>
      </c>
      <c r="R24" s="38">
        <v>2</v>
      </c>
      <c r="S24" s="38">
        <v>2</v>
      </c>
      <c r="T24" s="38">
        <v>2</v>
      </c>
      <c r="U24" s="38">
        <v>3</v>
      </c>
      <c r="V24" s="38">
        <v>3</v>
      </c>
      <c r="W24" s="38">
        <v>3</v>
      </c>
      <c r="X24" s="38">
        <v>4</v>
      </c>
      <c r="Y24" s="38">
        <v>4</v>
      </c>
      <c r="Z24" s="38">
        <v>4</v>
      </c>
      <c r="AA24" s="38">
        <v>1</v>
      </c>
      <c r="AB24" s="38">
        <v>1</v>
      </c>
      <c r="AC24" s="38">
        <v>1</v>
      </c>
      <c r="AD24" s="38">
        <v>2</v>
      </c>
      <c r="AE24" s="38">
        <v>2</v>
      </c>
      <c r="AF24" s="38">
        <v>2</v>
      </c>
      <c r="AG24" s="38">
        <v>3</v>
      </c>
      <c r="AH24" s="38">
        <v>3</v>
      </c>
      <c r="AI24" s="38">
        <v>3</v>
      </c>
      <c r="AJ24" s="38">
        <v>4</v>
      </c>
      <c r="AK24" s="38">
        <v>4</v>
      </c>
      <c r="AL24" s="38">
        <v>4</v>
      </c>
      <c r="AM24" s="38">
        <v>1</v>
      </c>
      <c r="AN24" s="38">
        <v>1</v>
      </c>
      <c r="AO24" s="38">
        <v>1</v>
      </c>
      <c r="AP24" s="38">
        <v>2</v>
      </c>
      <c r="AQ24" s="38">
        <v>2</v>
      </c>
      <c r="AR24" s="38">
        <v>2</v>
      </c>
      <c r="AS24" s="38">
        <v>3</v>
      </c>
      <c r="AT24" s="38">
        <v>3</v>
      </c>
      <c r="AU24" s="38">
        <v>3</v>
      </c>
      <c r="AV24" s="38">
        <v>4</v>
      </c>
      <c r="AW24" s="38">
        <v>4</v>
      </c>
      <c r="AX24" s="38">
        <v>4</v>
      </c>
      <c r="AY24" s="38">
        <v>1</v>
      </c>
      <c r="AZ24" s="38">
        <v>1</v>
      </c>
      <c r="BA24" s="38">
        <v>1</v>
      </c>
      <c r="BB24" s="38">
        <v>2</v>
      </c>
      <c r="BC24" s="38">
        <v>2</v>
      </c>
      <c r="BD24" s="38">
        <v>2</v>
      </c>
      <c r="BE24" s="38">
        <v>3</v>
      </c>
      <c r="BF24" s="38">
        <v>3</v>
      </c>
      <c r="BG24" s="38">
        <v>3</v>
      </c>
      <c r="BH24" s="38">
        <v>4</v>
      </c>
      <c r="BI24" s="38">
        <v>4</v>
      </c>
      <c r="BJ24" s="38">
        <v>4</v>
      </c>
      <c r="BK24" s="38">
        <v>1</v>
      </c>
      <c r="BL24" s="38">
        <v>1</v>
      </c>
      <c r="BM24" s="38">
        <v>1</v>
      </c>
      <c r="BN24" s="38">
        <v>2</v>
      </c>
      <c r="BO24" s="38">
        <v>2</v>
      </c>
      <c r="BP24" s="38">
        <v>2</v>
      </c>
      <c r="BQ24" s="38">
        <v>3</v>
      </c>
      <c r="BR24" s="38">
        <v>3</v>
      </c>
      <c r="BS24" s="38">
        <v>3</v>
      </c>
      <c r="BT24" s="38">
        <v>4</v>
      </c>
      <c r="BU24" s="38">
        <v>4</v>
      </c>
      <c r="BV24" s="38">
        <v>4</v>
      </c>
      <c r="BW24" s="38">
        <v>1</v>
      </c>
      <c r="BX24" s="38">
        <v>1</v>
      </c>
      <c r="BY24" s="38">
        <v>1</v>
      </c>
      <c r="BZ24" s="38">
        <v>2</v>
      </c>
      <c r="CA24" s="38">
        <v>2</v>
      </c>
      <c r="CB24" s="38">
        <v>2</v>
      </c>
      <c r="CC24" s="38">
        <v>3</v>
      </c>
      <c r="CD24" s="38">
        <v>3</v>
      </c>
      <c r="CE24" s="38">
        <v>3</v>
      </c>
      <c r="CF24" s="38">
        <v>4</v>
      </c>
      <c r="CG24" s="38">
        <v>4</v>
      </c>
      <c r="CH24" s="38">
        <v>4</v>
      </c>
      <c r="CI24" s="38">
        <v>1</v>
      </c>
      <c r="CJ24" s="38">
        <v>1</v>
      </c>
      <c r="CK24" s="38">
        <v>1</v>
      </c>
    </row>
    <row r="25" spans="2:89">
      <c r="B25" s="37" t="str">
        <v>Месяц с начала квартала</v>
      </c>
      <c r="C25" s="33"/>
      <c r="D25" s="33"/>
      <c r="E25" s="34"/>
      <c r="F25" s="38">
        <v>1</v>
      </c>
      <c r="G25" s="38">
        <v>2</v>
      </c>
      <c r="H25" s="38">
        <v>3</v>
      </c>
      <c r="I25" s="38">
        <v>1</v>
      </c>
      <c r="J25" s="38">
        <v>2</v>
      </c>
      <c r="K25" s="38">
        <v>3</v>
      </c>
      <c r="L25" s="38">
        <v>1</v>
      </c>
      <c r="M25" s="38">
        <v>2</v>
      </c>
      <c r="N25" s="38">
        <v>3</v>
      </c>
      <c r="O25" s="38">
        <v>1</v>
      </c>
      <c r="P25" s="38">
        <v>2</v>
      </c>
      <c r="Q25" s="38">
        <v>3</v>
      </c>
      <c r="R25" s="38">
        <v>1</v>
      </c>
      <c r="S25" s="38">
        <v>2</v>
      </c>
      <c r="T25" s="38">
        <v>3</v>
      </c>
      <c r="U25" s="38">
        <v>1</v>
      </c>
      <c r="V25" s="38">
        <v>2</v>
      </c>
      <c r="W25" s="38">
        <v>3</v>
      </c>
      <c r="X25" s="38">
        <v>1</v>
      </c>
      <c r="Y25" s="38">
        <v>2</v>
      </c>
      <c r="Z25" s="38">
        <v>3</v>
      </c>
      <c r="AA25" s="38">
        <v>1</v>
      </c>
      <c r="AB25" s="38">
        <v>2</v>
      </c>
      <c r="AC25" s="38">
        <v>3</v>
      </c>
      <c r="AD25" s="38">
        <v>1</v>
      </c>
      <c r="AE25" s="38">
        <v>2</v>
      </c>
      <c r="AF25" s="38">
        <v>3</v>
      </c>
      <c r="AG25" s="38">
        <v>1</v>
      </c>
      <c r="AH25" s="38">
        <v>2</v>
      </c>
      <c r="AI25" s="38">
        <v>3</v>
      </c>
      <c r="AJ25" s="38">
        <v>1</v>
      </c>
      <c r="AK25" s="38">
        <v>2</v>
      </c>
      <c r="AL25" s="38">
        <v>3</v>
      </c>
      <c r="AM25" s="38">
        <v>1</v>
      </c>
      <c r="AN25" s="38">
        <v>2</v>
      </c>
      <c r="AO25" s="38">
        <v>3</v>
      </c>
      <c r="AP25" s="38">
        <v>1</v>
      </c>
      <c r="AQ25" s="38">
        <v>2</v>
      </c>
      <c r="AR25" s="38">
        <v>3</v>
      </c>
      <c r="AS25" s="38">
        <v>1</v>
      </c>
      <c r="AT25" s="38">
        <v>2</v>
      </c>
      <c r="AU25" s="38">
        <v>3</v>
      </c>
      <c r="AV25" s="38">
        <v>1</v>
      </c>
      <c r="AW25" s="38">
        <v>2</v>
      </c>
      <c r="AX25" s="38">
        <v>3</v>
      </c>
      <c r="AY25" s="38">
        <v>1</v>
      </c>
      <c r="AZ25" s="38">
        <v>2</v>
      </c>
      <c r="BA25" s="38">
        <v>3</v>
      </c>
      <c r="BB25" s="38">
        <v>1</v>
      </c>
      <c r="BC25" s="38">
        <v>2</v>
      </c>
      <c r="BD25" s="38">
        <v>3</v>
      </c>
      <c r="BE25" s="38">
        <v>1</v>
      </c>
      <c r="BF25" s="38">
        <v>2</v>
      </c>
      <c r="BG25" s="38">
        <v>3</v>
      </c>
      <c r="BH25" s="38">
        <v>1</v>
      </c>
      <c r="BI25" s="38">
        <v>2</v>
      </c>
      <c r="BJ25" s="38">
        <v>3</v>
      </c>
      <c r="BK25" s="38">
        <v>1</v>
      </c>
      <c r="BL25" s="38">
        <v>2</v>
      </c>
      <c r="BM25" s="38">
        <v>3</v>
      </c>
      <c r="BN25" s="38">
        <v>1</v>
      </c>
      <c r="BO25" s="38">
        <v>2</v>
      </c>
      <c r="BP25" s="38">
        <v>3</v>
      </c>
      <c r="BQ25" s="38">
        <v>1</v>
      </c>
      <c r="BR25" s="38">
        <v>2</v>
      </c>
      <c r="BS25" s="38">
        <v>3</v>
      </c>
      <c r="BT25" s="38">
        <v>1</v>
      </c>
      <c r="BU25" s="38">
        <v>2</v>
      </c>
      <c r="BV25" s="38">
        <v>3</v>
      </c>
      <c r="BW25" s="38">
        <v>1</v>
      </c>
      <c r="BX25" s="38">
        <v>2</v>
      </c>
      <c r="BY25" s="38">
        <v>3</v>
      </c>
      <c r="BZ25" s="38">
        <v>1</v>
      </c>
      <c r="CA25" s="38">
        <v>2</v>
      </c>
      <c r="CB25" s="38">
        <v>3</v>
      </c>
      <c r="CC25" s="38">
        <v>1</v>
      </c>
      <c r="CD25" s="38">
        <v>2</v>
      </c>
      <c r="CE25" s="38">
        <v>3</v>
      </c>
      <c r="CF25" s="38">
        <v>1</v>
      </c>
      <c r="CG25" s="38">
        <v>2</v>
      </c>
      <c r="CH25" s="38">
        <v>3</v>
      </c>
      <c r="CI25" s="38">
        <v>1</v>
      </c>
      <c r="CJ25" s="38">
        <v>2</v>
      </c>
      <c r="CK25" s="38">
        <v>3</v>
      </c>
    </row>
    <row r="26" spans="2:89">
      <c r="B26" s="37" t="str">
        <v>Дней в периоде</v>
      </c>
      <c r="C26" s="33"/>
      <c r="D26" s="33"/>
      <c r="E26" s="34"/>
      <c r="F26" s="38">
        <v>30</v>
      </c>
      <c r="G26" s="38">
        <v>31</v>
      </c>
      <c r="H26" s="38">
        <v>30</v>
      </c>
      <c r="I26" s="38">
        <v>31</v>
      </c>
      <c r="J26" s="38">
        <v>31</v>
      </c>
      <c r="K26" s="38">
        <v>30</v>
      </c>
      <c r="L26" s="38">
        <v>31</v>
      </c>
      <c r="M26" s="38">
        <v>30</v>
      </c>
      <c r="N26" s="38">
        <v>31</v>
      </c>
      <c r="O26" s="38">
        <v>31</v>
      </c>
      <c r="P26" s="38">
        <v>29</v>
      </c>
      <c r="Q26" s="38">
        <v>31</v>
      </c>
      <c r="R26" s="38">
        <v>30</v>
      </c>
      <c r="S26" s="38">
        <v>31</v>
      </c>
      <c r="T26" s="38">
        <v>30</v>
      </c>
      <c r="U26" s="38">
        <v>31</v>
      </c>
      <c r="V26" s="38">
        <v>31</v>
      </c>
      <c r="W26" s="38">
        <v>30</v>
      </c>
      <c r="X26" s="38">
        <v>31</v>
      </c>
      <c r="Y26" s="38">
        <v>30</v>
      </c>
      <c r="Z26" s="38">
        <v>31</v>
      </c>
      <c r="AA26" s="38">
        <v>31</v>
      </c>
      <c r="AB26" s="38">
        <v>28</v>
      </c>
      <c r="AC26" s="38">
        <v>31</v>
      </c>
      <c r="AD26" s="38">
        <v>30</v>
      </c>
      <c r="AE26" s="38">
        <v>31</v>
      </c>
      <c r="AF26" s="38">
        <v>30</v>
      </c>
      <c r="AG26" s="38">
        <v>31</v>
      </c>
      <c r="AH26" s="38">
        <v>31</v>
      </c>
      <c r="AI26" s="38">
        <v>30</v>
      </c>
      <c r="AJ26" s="38">
        <v>31</v>
      </c>
      <c r="AK26" s="38">
        <v>30</v>
      </c>
      <c r="AL26" s="38">
        <v>31</v>
      </c>
      <c r="AM26" s="38">
        <v>31</v>
      </c>
      <c r="AN26" s="38">
        <v>28</v>
      </c>
      <c r="AO26" s="38">
        <v>31</v>
      </c>
      <c r="AP26" s="38">
        <v>30</v>
      </c>
      <c r="AQ26" s="38">
        <v>31</v>
      </c>
      <c r="AR26" s="38">
        <v>30</v>
      </c>
      <c r="AS26" s="38">
        <v>31</v>
      </c>
      <c r="AT26" s="38">
        <v>31</v>
      </c>
      <c r="AU26" s="38">
        <v>30</v>
      </c>
      <c r="AV26" s="38">
        <v>31</v>
      </c>
      <c r="AW26" s="38">
        <v>30</v>
      </c>
      <c r="AX26" s="38">
        <v>31</v>
      </c>
      <c r="AY26" s="38">
        <v>31</v>
      </c>
      <c r="AZ26" s="38">
        <v>28</v>
      </c>
      <c r="BA26" s="38">
        <v>31</v>
      </c>
      <c r="BB26" s="38">
        <v>30</v>
      </c>
      <c r="BC26" s="38">
        <v>31</v>
      </c>
      <c r="BD26" s="38">
        <v>30</v>
      </c>
      <c r="BE26" s="38">
        <v>31</v>
      </c>
      <c r="BF26" s="38">
        <v>31</v>
      </c>
      <c r="BG26" s="38">
        <v>30</v>
      </c>
      <c r="BH26" s="38">
        <v>31</v>
      </c>
      <c r="BI26" s="38">
        <v>30</v>
      </c>
      <c r="BJ26" s="38">
        <v>31</v>
      </c>
      <c r="BK26" s="38">
        <v>31</v>
      </c>
      <c r="BL26" s="38">
        <v>29</v>
      </c>
      <c r="BM26" s="38">
        <v>31</v>
      </c>
      <c r="BN26" s="38">
        <v>30</v>
      </c>
      <c r="BO26" s="38">
        <v>31</v>
      </c>
      <c r="BP26" s="38">
        <v>30</v>
      </c>
      <c r="BQ26" s="38">
        <v>31</v>
      </c>
      <c r="BR26" s="38">
        <v>31</v>
      </c>
      <c r="BS26" s="38">
        <v>30</v>
      </c>
      <c r="BT26" s="38">
        <v>31</v>
      </c>
      <c r="BU26" s="38">
        <v>30</v>
      </c>
      <c r="BV26" s="38">
        <v>31</v>
      </c>
      <c r="BW26" s="38">
        <v>31</v>
      </c>
      <c r="BX26" s="38">
        <v>28</v>
      </c>
      <c r="BY26" s="38">
        <v>31</v>
      </c>
      <c r="BZ26" s="38">
        <v>30</v>
      </c>
      <c r="CA26" s="38">
        <v>31</v>
      </c>
      <c r="CB26" s="38">
        <v>30</v>
      </c>
      <c r="CC26" s="38">
        <v>31</v>
      </c>
      <c r="CD26" s="38">
        <v>31</v>
      </c>
      <c r="CE26" s="38">
        <v>30</v>
      </c>
      <c r="CF26" s="38">
        <v>31</v>
      </c>
      <c r="CG26" s="38">
        <v>30</v>
      </c>
      <c r="CH26" s="38">
        <v>31</v>
      </c>
      <c r="CI26" s="38">
        <v>31</v>
      </c>
      <c r="CJ26" s="38">
        <v>28</v>
      </c>
      <c r="CK26" s="38">
        <v>31</v>
      </c>
    </row>
    <row r="27" spans="2:89">
      <c r="B27" s="37" t="str">
        <v>№ периода</v>
      </c>
      <c r="C27" s="33"/>
      <c r="D27" s="33"/>
      <c r="E27" s="34"/>
      <c r="F27" s="38">
        <v>1</v>
      </c>
      <c r="G27" s="38">
        <v>2</v>
      </c>
      <c r="H27" s="38">
        <v>3</v>
      </c>
      <c r="I27" s="38">
        <v>4</v>
      </c>
      <c r="J27" s="38">
        <v>5</v>
      </c>
      <c r="K27" s="38">
        <v>6</v>
      </c>
      <c r="L27" s="38">
        <v>7</v>
      </c>
      <c r="M27" s="38">
        <v>8</v>
      </c>
      <c r="N27" s="38">
        <v>9</v>
      </c>
      <c r="O27" s="38">
        <v>10</v>
      </c>
      <c r="P27" s="38">
        <v>11</v>
      </c>
      <c r="Q27" s="38">
        <v>12</v>
      </c>
      <c r="R27" s="38">
        <v>13</v>
      </c>
      <c r="S27" s="38">
        <v>14</v>
      </c>
      <c r="T27" s="38">
        <v>15</v>
      </c>
      <c r="U27" s="38">
        <v>16</v>
      </c>
      <c r="V27" s="38">
        <v>17</v>
      </c>
      <c r="W27" s="38">
        <v>18</v>
      </c>
      <c r="X27" s="38">
        <v>19</v>
      </c>
      <c r="Y27" s="38">
        <v>20</v>
      </c>
      <c r="Z27" s="38">
        <v>21</v>
      </c>
      <c r="AA27" s="38">
        <v>22</v>
      </c>
      <c r="AB27" s="38">
        <v>23</v>
      </c>
      <c r="AC27" s="38">
        <v>24</v>
      </c>
      <c r="AD27" s="38">
        <v>25</v>
      </c>
      <c r="AE27" s="38">
        <v>26</v>
      </c>
      <c r="AF27" s="38">
        <v>27</v>
      </c>
      <c r="AG27" s="38">
        <v>28</v>
      </c>
      <c r="AH27" s="38">
        <v>29</v>
      </c>
      <c r="AI27" s="38">
        <v>30</v>
      </c>
      <c r="AJ27" s="38">
        <v>31</v>
      </c>
      <c r="AK27" s="38">
        <v>32</v>
      </c>
      <c r="AL27" s="38">
        <v>33</v>
      </c>
      <c r="AM27" s="38">
        <v>34</v>
      </c>
      <c r="AN27" s="38">
        <v>35</v>
      </c>
      <c r="AO27" s="38">
        <v>36</v>
      </c>
      <c r="AP27" s="38">
        <v>37</v>
      </c>
      <c r="AQ27" s="38">
        <v>38</v>
      </c>
      <c r="AR27" s="38">
        <v>39</v>
      </c>
      <c r="AS27" s="38">
        <v>40</v>
      </c>
      <c r="AT27" s="38">
        <v>41</v>
      </c>
      <c r="AU27" s="38">
        <v>42</v>
      </c>
      <c r="AV27" s="38">
        <v>43</v>
      </c>
      <c r="AW27" s="38">
        <v>44</v>
      </c>
      <c r="AX27" s="38">
        <v>45</v>
      </c>
      <c r="AY27" s="38">
        <v>46</v>
      </c>
      <c r="AZ27" s="38">
        <v>47</v>
      </c>
      <c r="BA27" s="38">
        <v>48</v>
      </c>
      <c r="BB27" s="38">
        <v>49</v>
      </c>
      <c r="BC27" s="38">
        <v>50</v>
      </c>
      <c r="BD27" s="38">
        <v>51</v>
      </c>
      <c r="BE27" s="38">
        <v>52</v>
      </c>
      <c r="BF27" s="38">
        <v>53</v>
      </c>
      <c r="BG27" s="38">
        <v>54</v>
      </c>
      <c r="BH27" s="38">
        <v>55</v>
      </c>
      <c r="BI27" s="38">
        <v>56</v>
      </c>
      <c r="BJ27" s="38">
        <v>57</v>
      </c>
      <c r="BK27" s="38">
        <v>58</v>
      </c>
      <c r="BL27" s="38">
        <v>59</v>
      </c>
      <c r="BM27" s="38">
        <v>60</v>
      </c>
      <c r="BN27" s="38">
        <v>61</v>
      </c>
      <c r="BO27" s="38">
        <v>62</v>
      </c>
      <c r="BP27" s="38">
        <v>63</v>
      </c>
      <c r="BQ27" s="38">
        <v>64</v>
      </c>
      <c r="BR27" s="38">
        <v>65</v>
      </c>
      <c r="BS27" s="38">
        <v>66</v>
      </c>
      <c r="BT27" s="38">
        <v>67</v>
      </c>
      <c r="BU27" s="38">
        <v>68</v>
      </c>
      <c r="BV27" s="38">
        <v>69</v>
      </c>
      <c r="BW27" s="38">
        <v>70</v>
      </c>
      <c r="BX27" s="38">
        <v>71</v>
      </c>
      <c r="BY27" s="38">
        <v>72</v>
      </c>
      <c r="BZ27" s="38">
        <v>73</v>
      </c>
      <c r="CA27" s="38">
        <v>74</v>
      </c>
      <c r="CB27" s="38">
        <v>75</v>
      </c>
      <c r="CC27" s="38">
        <v>76</v>
      </c>
      <c r="CD27" s="38">
        <v>77</v>
      </c>
      <c r="CE27" s="38">
        <v>78</v>
      </c>
      <c r="CF27" s="38">
        <v>79</v>
      </c>
      <c r="CG27" s="38">
        <v>80</v>
      </c>
      <c r="CH27" s="38">
        <v>81</v>
      </c>
      <c r="CI27" s="38">
        <v>82</v>
      </c>
      <c r="CJ27" s="38">
        <v>83</v>
      </c>
      <c r="CK27" s="38">
        <v>84</v>
      </c>
    </row>
    <row r="28" spans="2:89">
      <c r="B28" s="37" t="str">
        <v>№ операционного периода</v>
      </c>
      <c r="C28" s="33"/>
      <c r="D28" s="39"/>
      <c r="E28" s="34"/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1</v>
      </c>
      <c r="S28" s="38">
        <v>2</v>
      </c>
      <c r="T28" s="38">
        <v>3</v>
      </c>
      <c r="U28" s="38">
        <v>4</v>
      </c>
      <c r="V28" s="38">
        <v>5</v>
      </c>
      <c r="W28" s="38">
        <v>6</v>
      </c>
      <c r="X28" s="38">
        <v>7</v>
      </c>
      <c r="Y28" s="38">
        <v>8</v>
      </c>
      <c r="Z28" s="38">
        <v>9</v>
      </c>
      <c r="AA28" s="38">
        <v>10</v>
      </c>
      <c r="AB28" s="38">
        <v>11</v>
      </c>
      <c r="AC28" s="38">
        <v>12</v>
      </c>
      <c r="AD28" s="38">
        <v>13</v>
      </c>
      <c r="AE28" s="38">
        <v>14</v>
      </c>
      <c r="AF28" s="38">
        <v>15</v>
      </c>
      <c r="AG28" s="38">
        <v>16</v>
      </c>
      <c r="AH28" s="38">
        <v>17</v>
      </c>
      <c r="AI28" s="38">
        <v>18</v>
      </c>
      <c r="AJ28" s="38">
        <v>19</v>
      </c>
      <c r="AK28" s="38">
        <v>20</v>
      </c>
      <c r="AL28" s="38">
        <v>21</v>
      </c>
      <c r="AM28" s="38">
        <v>22</v>
      </c>
      <c r="AN28" s="38">
        <v>23</v>
      </c>
      <c r="AO28" s="38">
        <v>24</v>
      </c>
      <c r="AP28" s="38">
        <v>25</v>
      </c>
      <c r="AQ28" s="38">
        <v>26</v>
      </c>
      <c r="AR28" s="38">
        <v>27</v>
      </c>
      <c r="AS28" s="38">
        <v>28</v>
      </c>
      <c r="AT28" s="38">
        <v>29</v>
      </c>
      <c r="AU28" s="38">
        <v>30</v>
      </c>
      <c r="AV28" s="38">
        <v>31</v>
      </c>
      <c r="AW28" s="38">
        <v>32</v>
      </c>
      <c r="AX28" s="38">
        <v>33</v>
      </c>
      <c r="AY28" s="38">
        <v>34</v>
      </c>
      <c r="AZ28" s="38">
        <v>35</v>
      </c>
      <c r="BA28" s="38">
        <v>36</v>
      </c>
      <c r="BB28" s="38">
        <v>37</v>
      </c>
      <c r="BC28" s="38">
        <v>38</v>
      </c>
      <c r="BD28" s="38">
        <v>39</v>
      </c>
      <c r="BE28" s="38">
        <v>40</v>
      </c>
      <c r="BF28" s="38">
        <v>41</v>
      </c>
      <c r="BG28" s="38">
        <v>42</v>
      </c>
      <c r="BH28" s="38">
        <v>43</v>
      </c>
      <c r="BI28" s="38">
        <v>44</v>
      </c>
      <c r="BJ28" s="38">
        <v>45</v>
      </c>
      <c r="BK28" s="38">
        <v>46</v>
      </c>
      <c r="BL28" s="38">
        <v>47</v>
      </c>
      <c r="BM28" s="38">
        <v>48</v>
      </c>
      <c r="BN28" s="38">
        <v>49</v>
      </c>
      <c r="BO28" s="38">
        <v>50</v>
      </c>
      <c r="BP28" s="38">
        <v>51</v>
      </c>
      <c r="BQ28" s="38">
        <v>52</v>
      </c>
      <c r="BR28" s="38">
        <v>53</v>
      </c>
      <c r="BS28" s="38">
        <v>54</v>
      </c>
      <c r="BT28" s="38">
        <v>55</v>
      </c>
      <c r="BU28" s="38">
        <v>56</v>
      </c>
      <c r="BV28" s="38">
        <v>57</v>
      </c>
      <c r="BW28" s="38">
        <v>58</v>
      </c>
      <c r="BX28" s="38">
        <v>59</v>
      </c>
      <c r="BY28" s="38">
        <v>60</v>
      </c>
      <c r="BZ28" s="38">
        <v>61</v>
      </c>
      <c r="CA28" s="38">
        <v>62</v>
      </c>
      <c r="CB28" s="38">
        <v>63</v>
      </c>
      <c r="CC28" s="38">
        <v>64</v>
      </c>
      <c r="CD28" s="38">
        <v>65</v>
      </c>
      <c r="CE28" s="38">
        <v>66</v>
      </c>
      <c r="CF28" s="38">
        <v>67</v>
      </c>
      <c r="CG28" s="38">
        <v>68</v>
      </c>
      <c r="CH28" s="38">
        <v>69</v>
      </c>
      <c r="CI28" s="38">
        <v>70</v>
      </c>
      <c r="CJ28" s="38">
        <v>71</v>
      </c>
      <c r="CK28" s="38">
        <v>72</v>
      </c>
    </row>
    <row r="29" spans="2:89">
      <c r="B29" s="37" t="str">
        <v>№ операционного года</v>
      </c>
      <c r="C29" s="33"/>
      <c r="D29" s="39"/>
      <c r="E29" s="34"/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2</v>
      </c>
      <c r="AE29" s="38">
        <v>2</v>
      </c>
      <c r="AF29" s="38">
        <v>2</v>
      </c>
      <c r="AG29" s="38">
        <v>2</v>
      </c>
      <c r="AH29" s="38">
        <v>2</v>
      </c>
      <c r="AI29" s="38">
        <v>2</v>
      </c>
      <c r="AJ29" s="38">
        <v>2</v>
      </c>
      <c r="AK29" s="38">
        <v>2</v>
      </c>
      <c r="AL29" s="38">
        <v>2</v>
      </c>
      <c r="AM29" s="38">
        <v>2</v>
      </c>
      <c r="AN29" s="38">
        <v>2</v>
      </c>
      <c r="AO29" s="38">
        <v>2</v>
      </c>
      <c r="AP29" s="38">
        <v>3</v>
      </c>
      <c r="AQ29" s="38">
        <v>3</v>
      </c>
      <c r="AR29" s="38">
        <v>3</v>
      </c>
      <c r="AS29" s="38">
        <v>3</v>
      </c>
      <c r="AT29" s="38">
        <v>3</v>
      </c>
      <c r="AU29" s="38">
        <v>3</v>
      </c>
      <c r="AV29" s="38">
        <v>3</v>
      </c>
      <c r="AW29" s="38">
        <v>3</v>
      </c>
      <c r="AX29" s="38">
        <v>3</v>
      </c>
      <c r="AY29" s="38">
        <v>3</v>
      </c>
      <c r="AZ29" s="38">
        <v>3</v>
      </c>
      <c r="BA29" s="38">
        <v>3</v>
      </c>
      <c r="BB29" s="38">
        <v>4</v>
      </c>
      <c r="BC29" s="38">
        <v>4</v>
      </c>
      <c r="BD29" s="38">
        <v>4</v>
      </c>
      <c r="BE29" s="38">
        <v>4</v>
      </c>
      <c r="BF29" s="38">
        <v>4</v>
      </c>
      <c r="BG29" s="38">
        <v>4</v>
      </c>
      <c r="BH29" s="38">
        <v>4</v>
      </c>
      <c r="BI29" s="38">
        <v>4</v>
      </c>
      <c r="BJ29" s="38">
        <v>4</v>
      </c>
      <c r="BK29" s="38">
        <v>4</v>
      </c>
      <c r="BL29" s="38">
        <v>4</v>
      </c>
      <c r="BM29" s="38">
        <v>4</v>
      </c>
      <c r="BN29" s="38">
        <v>5</v>
      </c>
      <c r="BO29" s="38">
        <v>5</v>
      </c>
      <c r="BP29" s="38">
        <v>5</v>
      </c>
      <c r="BQ29" s="38">
        <v>5</v>
      </c>
      <c r="BR29" s="38">
        <v>5</v>
      </c>
      <c r="BS29" s="38">
        <v>5</v>
      </c>
      <c r="BT29" s="38">
        <v>5</v>
      </c>
      <c r="BU29" s="38">
        <v>5</v>
      </c>
      <c r="BV29" s="38">
        <v>5</v>
      </c>
      <c r="BW29" s="38">
        <v>5</v>
      </c>
      <c r="BX29" s="38">
        <v>5</v>
      </c>
      <c r="BY29" s="38">
        <v>5</v>
      </c>
      <c r="BZ29" s="38">
        <v>6</v>
      </c>
      <c r="CA29" s="38">
        <v>6</v>
      </c>
      <c r="CB29" s="38">
        <v>6</v>
      </c>
      <c r="CC29" s="38">
        <v>6</v>
      </c>
      <c r="CD29" s="38">
        <v>6</v>
      </c>
      <c r="CE29" s="38">
        <v>6</v>
      </c>
      <c r="CF29" s="38">
        <v>6</v>
      </c>
      <c r="CG29" s="38">
        <v>6</v>
      </c>
      <c r="CH29" s="38">
        <v>6</v>
      </c>
      <c r="CI29" s="38">
        <v>6</v>
      </c>
      <c r="CJ29" s="38">
        <v>6</v>
      </c>
      <c r="CK29" s="38"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>
      <c r="B32" s="14"/>
      <c r="C32" s="14"/>
      <c r="D32" s="14"/>
      <c r="E32" s="14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2:89" ht="20.25" thickBot="1">
      <c r="B33" s="26" t="s">
        <v>60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</row>
    <row r="34" spans="2:89" ht="15.75" thickTop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81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</row>
    <row r="35" spans="2:89" ht="18" thickBot="1">
      <c r="B35" s="100" t="s">
        <v>532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</row>
    <row r="36" spans="2:89" ht="15.75" thickTop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81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</row>
    <row r="37" spans="2:89">
      <c r="B37" s="155" t="s">
        <v>719</v>
      </c>
      <c r="C37" s="156"/>
      <c r="D37" s="160"/>
      <c r="E37" s="158"/>
      <c r="F37" s="159">
        <f t="shared" ref="F37:AK37" ca="1" si="0">IFERROR(LOOKUP(F$19,Налоги_года,НДС_выручка_ставки),0)</f>
        <v>0.1</v>
      </c>
      <c r="G37" s="159">
        <f t="shared" ca="1" si="0"/>
        <v>0.1</v>
      </c>
      <c r="H37" s="159">
        <f t="shared" ca="1" si="0"/>
        <v>0.1</v>
      </c>
      <c r="I37" s="159">
        <f t="shared" ca="1" si="0"/>
        <v>0.1</v>
      </c>
      <c r="J37" s="159">
        <f t="shared" ca="1" si="0"/>
        <v>0.1</v>
      </c>
      <c r="K37" s="159">
        <f t="shared" ca="1" si="0"/>
        <v>0.1</v>
      </c>
      <c r="L37" s="159">
        <f t="shared" ca="1" si="0"/>
        <v>0.1</v>
      </c>
      <c r="M37" s="159">
        <f t="shared" ca="1" si="0"/>
        <v>0.1</v>
      </c>
      <c r="N37" s="159">
        <f t="shared" ca="1" si="0"/>
        <v>0.1</v>
      </c>
      <c r="O37" s="159">
        <f t="shared" ca="1" si="0"/>
        <v>0.1</v>
      </c>
      <c r="P37" s="159">
        <f t="shared" ca="1" si="0"/>
        <v>0.1</v>
      </c>
      <c r="Q37" s="159">
        <f t="shared" ca="1" si="0"/>
        <v>0.1</v>
      </c>
      <c r="R37" s="159">
        <f t="shared" ca="1" si="0"/>
        <v>0.1</v>
      </c>
      <c r="S37" s="159">
        <f t="shared" ca="1" si="0"/>
        <v>0.1</v>
      </c>
      <c r="T37" s="159">
        <f t="shared" ca="1" si="0"/>
        <v>0.1</v>
      </c>
      <c r="U37" s="159">
        <f t="shared" ca="1" si="0"/>
        <v>0.1</v>
      </c>
      <c r="V37" s="159">
        <f t="shared" ca="1" si="0"/>
        <v>0.1</v>
      </c>
      <c r="W37" s="159">
        <f t="shared" ca="1" si="0"/>
        <v>0.1</v>
      </c>
      <c r="X37" s="159">
        <f t="shared" ca="1" si="0"/>
        <v>0.1</v>
      </c>
      <c r="Y37" s="159">
        <f t="shared" ca="1" si="0"/>
        <v>0.1</v>
      </c>
      <c r="Z37" s="159">
        <f t="shared" ca="1" si="0"/>
        <v>0.1</v>
      </c>
      <c r="AA37" s="159">
        <f t="shared" ca="1" si="0"/>
        <v>0.1</v>
      </c>
      <c r="AB37" s="159">
        <f t="shared" ca="1" si="0"/>
        <v>0.1</v>
      </c>
      <c r="AC37" s="159">
        <f t="shared" ca="1" si="0"/>
        <v>0.1</v>
      </c>
      <c r="AD37" s="159">
        <f t="shared" ca="1" si="0"/>
        <v>0.1</v>
      </c>
      <c r="AE37" s="159">
        <f t="shared" ca="1" si="0"/>
        <v>0.1</v>
      </c>
      <c r="AF37" s="159">
        <f t="shared" ca="1" si="0"/>
        <v>0.1</v>
      </c>
      <c r="AG37" s="159">
        <f t="shared" ca="1" si="0"/>
        <v>0.1</v>
      </c>
      <c r="AH37" s="159">
        <f t="shared" ca="1" si="0"/>
        <v>0.1</v>
      </c>
      <c r="AI37" s="159">
        <f t="shared" ca="1" si="0"/>
        <v>0.1</v>
      </c>
      <c r="AJ37" s="159">
        <f t="shared" ca="1" si="0"/>
        <v>0.1</v>
      </c>
      <c r="AK37" s="159">
        <f t="shared" ca="1" si="0"/>
        <v>0.1</v>
      </c>
      <c r="AL37" s="159">
        <f t="shared" ref="AL37:BQ37" ca="1" si="1">IFERROR(LOOKUP(AL$19,Налоги_года,НДС_выручка_ставки),0)</f>
        <v>0.1</v>
      </c>
      <c r="AM37" s="159">
        <f t="shared" ca="1" si="1"/>
        <v>0.1</v>
      </c>
      <c r="AN37" s="159">
        <f t="shared" ca="1" si="1"/>
        <v>0.1</v>
      </c>
      <c r="AO37" s="159">
        <f t="shared" ca="1" si="1"/>
        <v>0.1</v>
      </c>
      <c r="AP37" s="159">
        <f t="shared" ca="1" si="1"/>
        <v>0.1</v>
      </c>
      <c r="AQ37" s="159">
        <f t="shared" ca="1" si="1"/>
        <v>0.1</v>
      </c>
      <c r="AR37" s="159">
        <f t="shared" ca="1" si="1"/>
        <v>0.1</v>
      </c>
      <c r="AS37" s="159">
        <f t="shared" ca="1" si="1"/>
        <v>0.1</v>
      </c>
      <c r="AT37" s="159">
        <f t="shared" ca="1" si="1"/>
        <v>0.1</v>
      </c>
      <c r="AU37" s="159">
        <f t="shared" ca="1" si="1"/>
        <v>0.1</v>
      </c>
      <c r="AV37" s="159">
        <f t="shared" ca="1" si="1"/>
        <v>0.1</v>
      </c>
      <c r="AW37" s="159">
        <f t="shared" ca="1" si="1"/>
        <v>0.1</v>
      </c>
      <c r="AX37" s="159">
        <f t="shared" ca="1" si="1"/>
        <v>0.1</v>
      </c>
      <c r="AY37" s="159">
        <f t="shared" ca="1" si="1"/>
        <v>0.1</v>
      </c>
      <c r="AZ37" s="159">
        <f t="shared" ca="1" si="1"/>
        <v>0.1</v>
      </c>
      <c r="BA37" s="159">
        <f t="shared" ca="1" si="1"/>
        <v>0.1</v>
      </c>
      <c r="BB37" s="159">
        <f t="shared" ca="1" si="1"/>
        <v>0.1</v>
      </c>
      <c r="BC37" s="159">
        <f t="shared" ca="1" si="1"/>
        <v>0.1</v>
      </c>
      <c r="BD37" s="159">
        <f t="shared" ca="1" si="1"/>
        <v>0.1</v>
      </c>
      <c r="BE37" s="159">
        <f t="shared" ca="1" si="1"/>
        <v>0.1</v>
      </c>
      <c r="BF37" s="159">
        <f t="shared" ca="1" si="1"/>
        <v>0.1</v>
      </c>
      <c r="BG37" s="159">
        <f t="shared" ca="1" si="1"/>
        <v>0.1</v>
      </c>
      <c r="BH37" s="159">
        <f t="shared" ca="1" si="1"/>
        <v>0.1</v>
      </c>
      <c r="BI37" s="159">
        <f t="shared" ca="1" si="1"/>
        <v>0.1</v>
      </c>
      <c r="BJ37" s="159">
        <f t="shared" ca="1" si="1"/>
        <v>0.1</v>
      </c>
      <c r="BK37" s="159">
        <f t="shared" ca="1" si="1"/>
        <v>0.1</v>
      </c>
      <c r="BL37" s="159">
        <f t="shared" ca="1" si="1"/>
        <v>0.1</v>
      </c>
      <c r="BM37" s="159">
        <f t="shared" ca="1" si="1"/>
        <v>0.1</v>
      </c>
      <c r="BN37" s="159">
        <f t="shared" ca="1" si="1"/>
        <v>0.1</v>
      </c>
      <c r="BO37" s="159">
        <f t="shared" ca="1" si="1"/>
        <v>0.1</v>
      </c>
      <c r="BP37" s="159">
        <f t="shared" ca="1" si="1"/>
        <v>0.1</v>
      </c>
      <c r="BQ37" s="159">
        <f t="shared" ca="1" si="1"/>
        <v>0.1</v>
      </c>
      <c r="BR37" s="159">
        <f t="shared" ref="BR37:CK37" ca="1" si="2">IFERROR(LOOKUP(BR$19,Налоги_года,НДС_выручка_ставки),0)</f>
        <v>0.1</v>
      </c>
      <c r="BS37" s="159">
        <f t="shared" ca="1" si="2"/>
        <v>0.1</v>
      </c>
      <c r="BT37" s="159">
        <f t="shared" ca="1" si="2"/>
        <v>0.1</v>
      </c>
      <c r="BU37" s="159">
        <f t="shared" ca="1" si="2"/>
        <v>0.1</v>
      </c>
      <c r="BV37" s="159">
        <f t="shared" ca="1" si="2"/>
        <v>0.1</v>
      </c>
      <c r="BW37" s="159">
        <f t="shared" ca="1" si="2"/>
        <v>0.1</v>
      </c>
      <c r="BX37" s="159">
        <f t="shared" ca="1" si="2"/>
        <v>0.1</v>
      </c>
      <c r="BY37" s="159">
        <f t="shared" ca="1" si="2"/>
        <v>0.1</v>
      </c>
      <c r="BZ37" s="159">
        <f t="shared" ca="1" si="2"/>
        <v>0.1</v>
      </c>
      <c r="CA37" s="159">
        <f t="shared" ca="1" si="2"/>
        <v>0.1</v>
      </c>
      <c r="CB37" s="159">
        <f t="shared" ca="1" si="2"/>
        <v>0.1</v>
      </c>
      <c r="CC37" s="159">
        <f t="shared" ca="1" si="2"/>
        <v>0.1</v>
      </c>
      <c r="CD37" s="159">
        <f t="shared" ca="1" si="2"/>
        <v>0.1</v>
      </c>
      <c r="CE37" s="159">
        <f t="shared" ca="1" si="2"/>
        <v>0.1</v>
      </c>
      <c r="CF37" s="159">
        <f t="shared" ca="1" si="2"/>
        <v>0.1</v>
      </c>
      <c r="CG37" s="159">
        <f t="shared" ca="1" si="2"/>
        <v>0.1</v>
      </c>
      <c r="CH37" s="159">
        <f t="shared" ca="1" si="2"/>
        <v>0.1</v>
      </c>
      <c r="CI37" s="159">
        <f t="shared" ca="1" si="2"/>
        <v>0.1</v>
      </c>
      <c r="CJ37" s="159">
        <f t="shared" ca="1" si="2"/>
        <v>0.1</v>
      </c>
      <c r="CK37" s="159">
        <f t="shared" ca="1" si="2"/>
        <v>0.1</v>
      </c>
    </row>
    <row r="38" spans="2:89">
      <c r="B38" s="155" t="s">
        <v>720</v>
      </c>
      <c r="C38" s="156"/>
      <c r="D38" s="160"/>
      <c r="E38" s="158"/>
      <c r="F38" s="159">
        <f t="shared" ref="F38:AK38" ca="1" si="3">IFERROR(LOOKUP(F$19,Налоги_года,НДС_текзатраты_ставки),0)</f>
        <v>0.16669999999999999</v>
      </c>
      <c r="G38" s="159">
        <f t="shared" ca="1" si="3"/>
        <v>0.16669999999999999</v>
      </c>
      <c r="H38" s="159">
        <f t="shared" ca="1" si="3"/>
        <v>0.16669999999999999</v>
      </c>
      <c r="I38" s="159">
        <f t="shared" ca="1" si="3"/>
        <v>0.16669999999999999</v>
      </c>
      <c r="J38" s="159">
        <f t="shared" ca="1" si="3"/>
        <v>0.16669999999999999</v>
      </c>
      <c r="K38" s="159">
        <f t="shared" ca="1" si="3"/>
        <v>0.16669999999999999</v>
      </c>
      <c r="L38" s="159">
        <f t="shared" ca="1" si="3"/>
        <v>0.16669999999999999</v>
      </c>
      <c r="M38" s="159">
        <f t="shared" ca="1" si="3"/>
        <v>0.16669999999999999</v>
      </c>
      <c r="N38" s="159">
        <f t="shared" ca="1" si="3"/>
        <v>0.16669999999999999</v>
      </c>
      <c r="O38" s="159">
        <f t="shared" ca="1" si="3"/>
        <v>0.16669999999999999</v>
      </c>
      <c r="P38" s="159">
        <f t="shared" ca="1" si="3"/>
        <v>0.16669999999999999</v>
      </c>
      <c r="Q38" s="159">
        <f t="shared" ca="1" si="3"/>
        <v>0.16669999999999999</v>
      </c>
      <c r="R38" s="159">
        <f t="shared" ca="1" si="3"/>
        <v>0.16669999999999999</v>
      </c>
      <c r="S38" s="159">
        <f t="shared" ca="1" si="3"/>
        <v>0.16669999999999999</v>
      </c>
      <c r="T38" s="159">
        <f t="shared" ca="1" si="3"/>
        <v>0.16669999999999999</v>
      </c>
      <c r="U38" s="159">
        <f t="shared" ca="1" si="3"/>
        <v>0.16669999999999999</v>
      </c>
      <c r="V38" s="159">
        <f t="shared" ca="1" si="3"/>
        <v>0.16669999999999999</v>
      </c>
      <c r="W38" s="159">
        <f t="shared" ca="1" si="3"/>
        <v>0.16669999999999999</v>
      </c>
      <c r="X38" s="159">
        <f t="shared" ca="1" si="3"/>
        <v>0.16669999999999999</v>
      </c>
      <c r="Y38" s="159">
        <f t="shared" ca="1" si="3"/>
        <v>0.16669999999999999</v>
      </c>
      <c r="Z38" s="159">
        <f t="shared" ca="1" si="3"/>
        <v>0.16669999999999999</v>
      </c>
      <c r="AA38" s="159">
        <f t="shared" ca="1" si="3"/>
        <v>0.16669999999999999</v>
      </c>
      <c r="AB38" s="159">
        <f t="shared" ca="1" si="3"/>
        <v>0.16669999999999999</v>
      </c>
      <c r="AC38" s="159">
        <f t="shared" ca="1" si="3"/>
        <v>0.16669999999999999</v>
      </c>
      <c r="AD38" s="159">
        <f t="shared" ca="1" si="3"/>
        <v>0.16669999999999999</v>
      </c>
      <c r="AE38" s="159">
        <f t="shared" ca="1" si="3"/>
        <v>0.16669999999999999</v>
      </c>
      <c r="AF38" s="159">
        <f t="shared" ca="1" si="3"/>
        <v>0.16669999999999999</v>
      </c>
      <c r="AG38" s="159">
        <f t="shared" ca="1" si="3"/>
        <v>0.16669999999999999</v>
      </c>
      <c r="AH38" s="159">
        <f t="shared" ca="1" si="3"/>
        <v>0.16669999999999999</v>
      </c>
      <c r="AI38" s="159">
        <f t="shared" ca="1" si="3"/>
        <v>0.16669999999999999</v>
      </c>
      <c r="AJ38" s="159">
        <f t="shared" ca="1" si="3"/>
        <v>0.16669999999999999</v>
      </c>
      <c r="AK38" s="159">
        <f t="shared" ca="1" si="3"/>
        <v>0.16669999999999999</v>
      </c>
      <c r="AL38" s="159">
        <f t="shared" ref="AL38:BQ38" ca="1" si="4">IFERROR(LOOKUP(AL$19,Налоги_года,НДС_текзатраты_ставки),0)</f>
        <v>0.16669999999999999</v>
      </c>
      <c r="AM38" s="159">
        <f t="shared" ca="1" si="4"/>
        <v>0.16669999999999999</v>
      </c>
      <c r="AN38" s="159">
        <f t="shared" ca="1" si="4"/>
        <v>0.16669999999999999</v>
      </c>
      <c r="AO38" s="159">
        <f t="shared" ca="1" si="4"/>
        <v>0.16669999999999999</v>
      </c>
      <c r="AP38" s="159">
        <f t="shared" ca="1" si="4"/>
        <v>0.16669999999999999</v>
      </c>
      <c r="AQ38" s="159">
        <f t="shared" ca="1" si="4"/>
        <v>0.16669999999999999</v>
      </c>
      <c r="AR38" s="159">
        <f t="shared" ca="1" si="4"/>
        <v>0.16669999999999999</v>
      </c>
      <c r="AS38" s="159">
        <f t="shared" ca="1" si="4"/>
        <v>0.16669999999999999</v>
      </c>
      <c r="AT38" s="159">
        <f t="shared" ca="1" si="4"/>
        <v>0.16669999999999999</v>
      </c>
      <c r="AU38" s="159">
        <f t="shared" ca="1" si="4"/>
        <v>0.16669999999999999</v>
      </c>
      <c r="AV38" s="159">
        <f t="shared" ca="1" si="4"/>
        <v>0.16669999999999999</v>
      </c>
      <c r="AW38" s="159">
        <f t="shared" ca="1" si="4"/>
        <v>0.16669999999999999</v>
      </c>
      <c r="AX38" s="159">
        <f t="shared" ca="1" si="4"/>
        <v>0.16669999999999999</v>
      </c>
      <c r="AY38" s="159">
        <f t="shared" ca="1" si="4"/>
        <v>0.16669999999999999</v>
      </c>
      <c r="AZ38" s="159">
        <f t="shared" ca="1" si="4"/>
        <v>0.16669999999999999</v>
      </c>
      <c r="BA38" s="159">
        <f t="shared" ca="1" si="4"/>
        <v>0.16669999999999999</v>
      </c>
      <c r="BB38" s="159">
        <f t="shared" ca="1" si="4"/>
        <v>0.16669999999999999</v>
      </c>
      <c r="BC38" s="159">
        <f t="shared" ca="1" si="4"/>
        <v>0.16669999999999999</v>
      </c>
      <c r="BD38" s="159">
        <f t="shared" ca="1" si="4"/>
        <v>0.16669999999999999</v>
      </c>
      <c r="BE38" s="159">
        <f t="shared" ca="1" si="4"/>
        <v>0.16669999999999999</v>
      </c>
      <c r="BF38" s="159">
        <f t="shared" ca="1" si="4"/>
        <v>0.16669999999999999</v>
      </c>
      <c r="BG38" s="159">
        <f t="shared" ca="1" si="4"/>
        <v>0.16669999999999999</v>
      </c>
      <c r="BH38" s="159">
        <f t="shared" ca="1" si="4"/>
        <v>0.16669999999999999</v>
      </c>
      <c r="BI38" s="159">
        <f t="shared" ca="1" si="4"/>
        <v>0.16669999999999999</v>
      </c>
      <c r="BJ38" s="159">
        <f t="shared" ca="1" si="4"/>
        <v>0.16669999999999999</v>
      </c>
      <c r="BK38" s="159">
        <f t="shared" ca="1" si="4"/>
        <v>0.16669999999999999</v>
      </c>
      <c r="BL38" s="159">
        <f t="shared" ca="1" si="4"/>
        <v>0.16669999999999999</v>
      </c>
      <c r="BM38" s="159">
        <f t="shared" ca="1" si="4"/>
        <v>0.16669999999999999</v>
      </c>
      <c r="BN38" s="159">
        <f t="shared" ca="1" si="4"/>
        <v>0.16669999999999999</v>
      </c>
      <c r="BO38" s="159">
        <f t="shared" ca="1" si="4"/>
        <v>0.16669999999999999</v>
      </c>
      <c r="BP38" s="159">
        <f t="shared" ca="1" si="4"/>
        <v>0.16669999999999999</v>
      </c>
      <c r="BQ38" s="159">
        <f t="shared" ca="1" si="4"/>
        <v>0.16669999999999999</v>
      </c>
      <c r="BR38" s="159">
        <f t="shared" ref="BR38:CK38" ca="1" si="5">IFERROR(LOOKUP(BR$19,Налоги_года,НДС_текзатраты_ставки),0)</f>
        <v>0.16669999999999999</v>
      </c>
      <c r="BS38" s="159">
        <f t="shared" ca="1" si="5"/>
        <v>0.16669999999999999</v>
      </c>
      <c r="BT38" s="159">
        <f t="shared" ca="1" si="5"/>
        <v>0.16669999999999999</v>
      </c>
      <c r="BU38" s="159">
        <f t="shared" ca="1" si="5"/>
        <v>0.16669999999999999</v>
      </c>
      <c r="BV38" s="159">
        <f t="shared" ca="1" si="5"/>
        <v>0.16669999999999999</v>
      </c>
      <c r="BW38" s="159">
        <f t="shared" ca="1" si="5"/>
        <v>0.16669999999999999</v>
      </c>
      <c r="BX38" s="159">
        <f t="shared" ca="1" si="5"/>
        <v>0.16669999999999999</v>
      </c>
      <c r="BY38" s="159">
        <f t="shared" ca="1" si="5"/>
        <v>0.16669999999999999</v>
      </c>
      <c r="BZ38" s="159">
        <f t="shared" ca="1" si="5"/>
        <v>0.16669999999999999</v>
      </c>
      <c r="CA38" s="159">
        <f t="shared" ca="1" si="5"/>
        <v>0.16669999999999999</v>
      </c>
      <c r="CB38" s="159">
        <f t="shared" ca="1" si="5"/>
        <v>0.16669999999999999</v>
      </c>
      <c r="CC38" s="159">
        <f t="shared" ca="1" si="5"/>
        <v>0.16669999999999999</v>
      </c>
      <c r="CD38" s="159">
        <f t="shared" ca="1" si="5"/>
        <v>0.16669999999999999</v>
      </c>
      <c r="CE38" s="159">
        <f t="shared" ca="1" si="5"/>
        <v>0.16669999999999999</v>
      </c>
      <c r="CF38" s="159">
        <f t="shared" ca="1" si="5"/>
        <v>0.16669999999999999</v>
      </c>
      <c r="CG38" s="159">
        <f t="shared" ca="1" si="5"/>
        <v>0.16669999999999999</v>
      </c>
      <c r="CH38" s="159">
        <f t="shared" ca="1" si="5"/>
        <v>0.16669999999999999</v>
      </c>
      <c r="CI38" s="159">
        <f t="shared" ca="1" si="5"/>
        <v>0.16669999999999999</v>
      </c>
      <c r="CJ38" s="159">
        <f t="shared" ca="1" si="5"/>
        <v>0.16669999999999999</v>
      </c>
      <c r="CK38" s="159">
        <f t="shared" ca="1" si="5"/>
        <v>0.16669999999999999</v>
      </c>
    </row>
    <row r="39" spans="2:89">
      <c r="B39" s="155" t="s">
        <v>721</v>
      </c>
      <c r="C39" s="156"/>
      <c r="D39" s="160"/>
      <c r="E39" s="158"/>
      <c r="F39" s="159">
        <f t="shared" ref="F39:AK39" ca="1" si="6">IFERROR(LOOKUP(F$19,Налоги_года,НДС_капекс_ставки),0)</f>
        <v>0.2</v>
      </c>
      <c r="G39" s="159">
        <f t="shared" ca="1" si="6"/>
        <v>0.2</v>
      </c>
      <c r="H39" s="159">
        <f t="shared" ca="1" si="6"/>
        <v>0.2</v>
      </c>
      <c r="I39" s="159">
        <f t="shared" ca="1" si="6"/>
        <v>0.2</v>
      </c>
      <c r="J39" s="159">
        <f t="shared" ca="1" si="6"/>
        <v>0.2</v>
      </c>
      <c r="K39" s="159">
        <f t="shared" ca="1" si="6"/>
        <v>0.2</v>
      </c>
      <c r="L39" s="159">
        <f t="shared" ca="1" si="6"/>
        <v>0.2</v>
      </c>
      <c r="M39" s="159">
        <f t="shared" ca="1" si="6"/>
        <v>0.2</v>
      </c>
      <c r="N39" s="159">
        <f t="shared" ca="1" si="6"/>
        <v>0.2</v>
      </c>
      <c r="O39" s="159">
        <f t="shared" ca="1" si="6"/>
        <v>0.2</v>
      </c>
      <c r="P39" s="159">
        <f t="shared" ca="1" si="6"/>
        <v>0.2</v>
      </c>
      <c r="Q39" s="159">
        <f t="shared" ca="1" si="6"/>
        <v>0.2</v>
      </c>
      <c r="R39" s="159">
        <f t="shared" ca="1" si="6"/>
        <v>0.2</v>
      </c>
      <c r="S39" s="159">
        <f t="shared" ca="1" si="6"/>
        <v>0.2</v>
      </c>
      <c r="T39" s="159">
        <f t="shared" ca="1" si="6"/>
        <v>0.2</v>
      </c>
      <c r="U39" s="159">
        <f t="shared" ca="1" si="6"/>
        <v>0.2</v>
      </c>
      <c r="V39" s="159">
        <f t="shared" ca="1" si="6"/>
        <v>0.2</v>
      </c>
      <c r="W39" s="159">
        <f t="shared" ca="1" si="6"/>
        <v>0.2</v>
      </c>
      <c r="X39" s="159">
        <f t="shared" ca="1" si="6"/>
        <v>0.2</v>
      </c>
      <c r="Y39" s="159">
        <f t="shared" ca="1" si="6"/>
        <v>0.2</v>
      </c>
      <c r="Z39" s="159">
        <f t="shared" ca="1" si="6"/>
        <v>0.2</v>
      </c>
      <c r="AA39" s="159">
        <f t="shared" ca="1" si="6"/>
        <v>0.2</v>
      </c>
      <c r="AB39" s="159">
        <f t="shared" ca="1" si="6"/>
        <v>0.2</v>
      </c>
      <c r="AC39" s="159">
        <f t="shared" ca="1" si="6"/>
        <v>0.2</v>
      </c>
      <c r="AD39" s="159">
        <f t="shared" ca="1" si="6"/>
        <v>0.2</v>
      </c>
      <c r="AE39" s="159">
        <f t="shared" ca="1" si="6"/>
        <v>0.2</v>
      </c>
      <c r="AF39" s="159">
        <f t="shared" ca="1" si="6"/>
        <v>0.2</v>
      </c>
      <c r="AG39" s="159">
        <f t="shared" ca="1" si="6"/>
        <v>0.2</v>
      </c>
      <c r="AH39" s="159">
        <f t="shared" ca="1" si="6"/>
        <v>0.2</v>
      </c>
      <c r="AI39" s="159">
        <f t="shared" ca="1" si="6"/>
        <v>0.2</v>
      </c>
      <c r="AJ39" s="159">
        <f t="shared" ca="1" si="6"/>
        <v>0.2</v>
      </c>
      <c r="AK39" s="159">
        <f t="shared" ca="1" si="6"/>
        <v>0.2</v>
      </c>
      <c r="AL39" s="159">
        <f t="shared" ref="AL39:BQ39" ca="1" si="7">IFERROR(LOOKUP(AL$19,Налоги_года,НДС_капекс_ставки),0)</f>
        <v>0.2</v>
      </c>
      <c r="AM39" s="159">
        <f t="shared" ca="1" si="7"/>
        <v>0.2</v>
      </c>
      <c r="AN39" s="159">
        <f t="shared" ca="1" si="7"/>
        <v>0.2</v>
      </c>
      <c r="AO39" s="159">
        <f t="shared" ca="1" si="7"/>
        <v>0.2</v>
      </c>
      <c r="AP39" s="159">
        <f t="shared" ca="1" si="7"/>
        <v>0.2</v>
      </c>
      <c r="AQ39" s="159">
        <f t="shared" ca="1" si="7"/>
        <v>0.2</v>
      </c>
      <c r="AR39" s="159">
        <f t="shared" ca="1" si="7"/>
        <v>0.2</v>
      </c>
      <c r="AS39" s="159">
        <f t="shared" ca="1" si="7"/>
        <v>0.2</v>
      </c>
      <c r="AT39" s="159">
        <f t="shared" ca="1" si="7"/>
        <v>0.2</v>
      </c>
      <c r="AU39" s="159">
        <f t="shared" ca="1" si="7"/>
        <v>0.2</v>
      </c>
      <c r="AV39" s="159">
        <f t="shared" ca="1" si="7"/>
        <v>0.2</v>
      </c>
      <c r="AW39" s="159">
        <f t="shared" ca="1" si="7"/>
        <v>0.2</v>
      </c>
      <c r="AX39" s="159">
        <f t="shared" ca="1" si="7"/>
        <v>0.2</v>
      </c>
      <c r="AY39" s="159">
        <f t="shared" ca="1" si="7"/>
        <v>0.2</v>
      </c>
      <c r="AZ39" s="159">
        <f t="shared" ca="1" si="7"/>
        <v>0.2</v>
      </c>
      <c r="BA39" s="159">
        <f t="shared" ca="1" si="7"/>
        <v>0.2</v>
      </c>
      <c r="BB39" s="159">
        <f t="shared" ca="1" si="7"/>
        <v>0.2</v>
      </c>
      <c r="BC39" s="159">
        <f t="shared" ca="1" si="7"/>
        <v>0.2</v>
      </c>
      <c r="BD39" s="159">
        <f t="shared" ca="1" si="7"/>
        <v>0.2</v>
      </c>
      <c r="BE39" s="159">
        <f t="shared" ca="1" si="7"/>
        <v>0.2</v>
      </c>
      <c r="BF39" s="159">
        <f t="shared" ca="1" si="7"/>
        <v>0.2</v>
      </c>
      <c r="BG39" s="159">
        <f t="shared" ca="1" si="7"/>
        <v>0.2</v>
      </c>
      <c r="BH39" s="159">
        <f t="shared" ca="1" si="7"/>
        <v>0.2</v>
      </c>
      <c r="BI39" s="159">
        <f t="shared" ca="1" si="7"/>
        <v>0.2</v>
      </c>
      <c r="BJ39" s="159">
        <f t="shared" ca="1" si="7"/>
        <v>0.2</v>
      </c>
      <c r="BK39" s="159">
        <f t="shared" ca="1" si="7"/>
        <v>0.2</v>
      </c>
      <c r="BL39" s="159">
        <f t="shared" ca="1" si="7"/>
        <v>0.2</v>
      </c>
      <c r="BM39" s="159">
        <f t="shared" ca="1" si="7"/>
        <v>0.2</v>
      </c>
      <c r="BN39" s="159">
        <f t="shared" ca="1" si="7"/>
        <v>0.2</v>
      </c>
      <c r="BO39" s="159">
        <f t="shared" ca="1" si="7"/>
        <v>0.2</v>
      </c>
      <c r="BP39" s="159">
        <f t="shared" ca="1" si="7"/>
        <v>0.2</v>
      </c>
      <c r="BQ39" s="159">
        <f t="shared" ca="1" si="7"/>
        <v>0.2</v>
      </c>
      <c r="BR39" s="159">
        <f t="shared" ref="BR39:CK39" ca="1" si="8">IFERROR(LOOKUP(BR$19,Налоги_года,НДС_капекс_ставки),0)</f>
        <v>0.2</v>
      </c>
      <c r="BS39" s="159">
        <f t="shared" ca="1" si="8"/>
        <v>0.2</v>
      </c>
      <c r="BT39" s="159">
        <f t="shared" ca="1" si="8"/>
        <v>0.2</v>
      </c>
      <c r="BU39" s="159">
        <f t="shared" ca="1" si="8"/>
        <v>0.2</v>
      </c>
      <c r="BV39" s="159">
        <f t="shared" ca="1" si="8"/>
        <v>0.2</v>
      </c>
      <c r="BW39" s="159">
        <f t="shared" ca="1" si="8"/>
        <v>0.2</v>
      </c>
      <c r="BX39" s="159">
        <f t="shared" ca="1" si="8"/>
        <v>0.2</v>
      </c>
      <c r="BY39" s="159">
        <f t="shared" ca="1" si="8"/>
        <v>0.2</v>
      </c>
      <c r="BZ39" s="159">
        <f t="shared" ca="1" si="8"/>
        <v>0.2</v>
      </c>
      <c r="CA39" s="159">
        <f t="shared" ca="1" si="8"/>
        <v>0.2</v>
      </c>
      <c r="CB39" s="159">
        <f t="shared" ca="1" si="8"/>
        <v>0.2</v>
      </c>
      <c r="CC39" s="159">
        <f t="shared" ca="1" si="8"/>
        <v>0.2</v>
      </c>
      <c r="CD39" s="159">
        <f t="shared" ca="1" si="8"/>
        <v>0.2</v>
      </c>
      <c r="CE39" s="159">
        <f t="shared" ca="1" si="8"/>
        <v>0.2</v>
      </c>
      <c r="CF39" s="159">
        <f t="shared" ca="1" si="8"/>
        <v>0.2</v>
      </c>
      <c r="CG39" s="159">
        <f t="shared" ca="1" si="8"/>
        <v>0.2</v>
      </c>
      <c r="CH39" s="159">
        <f t="shared" ca="1" si="8"/>
        <v>0.2</v>
      </c>
      <c r="CI39" s="159">
        <f t="shared" ca="1" si="8"/>
        <v>0.2</v>
      </c>
      <c r="CJ39" s="159">
        <f t="shared" ca="1" si="8"/>
        <v>0.2</v>
      </c>
      <c r="CK39" s="159">
        <f t="shared" ca="1" si="8"/>
        <v>0.2</v>
      </c>
    </row>
    <row r="40" spans="2:89">
      <c r="B40" s="155" t="s">
        <v>722</v>
      </c>
      <c r="C40" s="156"/>
      <c r="D40" s="160"/>
      <c r="E40" s="158"/>
      <c r="F40" s="159">
        <f t="shared" ref="F40:AK40" ca="1" si="9">IFERROR(LOOKUP(F$19,Налоги_года,НДС_вложения_в_склад_ставки),0)</f>
        <v>0.16669999999999999</v>
      </c>
      <c r="G40" s="159">
        <f t="shared" ca="1" si="9"/>
        <v>0.16669999999999999</v>
      </c>
      <c r="H40" s="159">
        <f t="shared" ca="1" si="9"/>
        <v>0.16669999999999999</v>
      </c>
      <c r="I40" s="159">
        <f t="shared" ca="1" si="9"/>
        <v>0.16669999999999999</v>
      </c>
      <c r="J40" s="159">
        <f t="shared" ca="1" si="9"/>
        <v>0.16669999999999999</v>
      </c>
      <c r="K40" s="159">
        <f t="shared" ca="1" si="9"/>
        <v>0.16669999999999999</v>
      </c>
      <c r="L40" s="159">
        <f t="shared" ca="1" si="9"/>
        <v>0.16669999999999999</v>
      </c>
      <c r="M40" s="159">
        <f t="shared" ca="1" si="9"/>
        <v>0.16669999999999999</v>
      </c>
      <c r="N40" s="159">
        <f t="shared" ca="1" si="9"/>
        <v>0.16669999999999999</v>
      </c>
      <c r="O40" s="159">
        <f t="shared" ca="1" si="9"/>
        <v>0.16669999999999999</v>
      </c>
      <c r="P40" s="159">
        <f t="shared" ca="1" si="9"/>
        <v>0.16669999999999999</v>
      </c>
      <c r="Q40" s="159">
        <f t="shared" ca="1" si="9"/>
        <v>0.16669999999999999</v>
      </c>
      <c r="R40" s="159">
        <f t="shared" ca="1" si="9"/>
        <v>0.16669999999999999</v>
      </c>
      <c r="S40" s="159">
        <f t="shared" ca="1" si="9"/>
        <v>0.16669999999999999</v>
      </c>
      <c r="T40" s="159">
        <f t="shared" ca="1" si="9"/>
        <v>0.16669999999999999</v>
      </c>
      <c r="U40" s="159">
        <f t="shared" ca="1" si="9"/>
        <v>0.16669999999999999</v>
      </c>
      <c r="V40" s="159">
        <f t="shared" ca="1" si="9"/>
        <v>0.16669999999999999</v>
      </c>
      <c r="W40" s="159">
        <f t="shared" ca="1" si="9"/>
        <v>0.16669999999999999</v>
      </c>
      <c r="X40" s="159">
        <f t="shared" ca="1" si="9"/>
        <v>0.16669999999999999</v>
      </c>
      <c r="Y40" s="159">
        <f t="shared" ca="1" si="9"/>
        <v>0.16669999999999999</v>
      </c>
      <c r="Z40" s="159">
        <f t="shared" ca="1" si="9"/>
        <v>0.16669999999999999</v>
      </c>
      <c r="AA40" s="159">
        <f t="shared" ca="1" si="9"/>
        <v>0.16669999999999999</v>
      </c>
      <c r="AB40" s="159">
        <f t="shared" ca="1" si="9"/>
        <v>0.16669999999999999</v>
      </c>
      <c r="AC40" s="159">
        <f t="shared" ca="1" si="9"/>
        <v>0.16669999999999999</v>
      </c>
      <c r="AD40" s="159">
        <f t="shared" ca="1" si="9"/>
        <v>0.16669999999999999</v>
      </c>
      <c r="AE40" s="159">
        <f t="shared" ca="1" si="9"/>
        <v>0.16669999999999999</v>
      </c>
      <c r="AF40" s="159">
        <f t="shared" ca="1" si="9"/>
        <v>0.16669999999999999</v>
      </c>
      <c r="AG40" s="159">
        <f t="shared" ca="1" si="9"/>
        <v>0.16669999999999999</v>
      </c>
      <c r="AH40" s="159">
        <f t="shared" ca="1" si="9"/>
        <v>0.16669999999999999</v>
      </c>
      <c r="AI40" s="159">
        <f t="shared" ca="1" si="9"/>
        <v>0.16669999999999999</v>
      </c>
      <c r="AJ40" s="159">
        <f t="shared" ca="1" si="9"/>
        <v>0.16669999999999999</v>
      </c>
      <c r="AK40" s="159">
        <f t="shared" ca="1" si="9"/>
        <v>0.16669999999999999</v>
      </c>
      <c r="AL40" s="159">
        <f t="shared" ref="AL40:BQ40" ca="1" si="10">IFERROR(LOOKUP(AL$19,Налоги_года,НДС_вложения_в_склад_ставки),0)</f>
        <v>0.16669999999999999</v>
      </c>
      <c r="AM40" s="159">
        <f t="shared" ca="1" si="10"/>
        <v>0.16669999999999999</v>
      </c>
      <c r="AN40" s="159">
        <f t="shared" ca="1" si="10"/>
        <v>0.16669999999999999</v>
      </c>
      <c r="AO40" s="159">
        <f t="shared" ca="1" si="10"/>
        <v>0.16669999999999999</v>
      </c>
      <c r="AP40" s="159">
        <f t="shared" ca="1" si="10"/>
        <v>0.16669999999999999</v>
      </c>
      <c r="AQ40" s="159">
        <f t="shared" ca="1" si="10"/>
        <v>0.16669999999999999</v>
      </c>
      <c r="AR40" s="159">
        <f t="shared" ca="1" si="10"/>
        <v>0.16669999999999999</v>
      </c>
      <c r="AS40" s="159">
        <f t="shared" ca="1" si="10"/>
        <v>0.16669999999999999</v>
      </c>
      <c r="AT40" s="159">
        <f t="shared" ca="1" si="10"/>
        <v>0.16669999999999999</v>
      </c>
      <c r="AU40" s="159">
        <f t="shared" ca="1" si="10"/>
        <v>0.16669999999999999</v>
      </c>
      <c r="AV40" s="159">
        <f t="shared" ca="1" si="10"/>
        <v>0.16669999999999999</v>
      </c>
      <c r="AW40" s="159">
        <f t="shared" ca="1" si="10"/>
        <v>0.16669999999999999</v>
      </c>
      <c r="AX40" s="159">
        <f t="shared" ca="1" si="10"/>
        <v>0.16669999999999999</v>
      </c>
      <c r="AY40" s="159">
        <f t="shared" ca="1" si="10"/>
        <v>0.16669999999999999</v>
      </c>
      <c r="AZ40" s="159">
        <f t="shared" ca="1" si="10"/>
        <v>0.16669999999999999</v>
      </c>
      <c r="BA40" s="159">
        <f t="shared" ca="1" si="10"/>
        <v>0.16669999999999999</v>
      </c>
      <c r="BB40" s="159">
        <f t="shared" ca="1" si="10"/>
        <v>0.16669999999999999</v>
      </c>
      <c r="BC40" s="159">
        <f t="shared" ca="1" si="10"/>
        <v>0.16669999999999999</v>
      </c>
      <c r="BD40" s="159">
        <f t="shared" ca="1" si="10"/>
        <v>0.16669999999999999</v>
      </c>
      <c r="BE40" s="159">
        <f t="shared" ca="1" si="10"/>
        <v>0.16669999999999999</v>
      </c>
      <c r="BF40" s="159">
        <f t="shared" ca="1" si="10"/>
        <v>0.16669999999999999</v>
      </c>
      <c r="BG40" s="159">
        <f t="shared" ca="1" si="10"/>
        <v>0.16669999999999999</v>
      </c>
      <c r="BH40" s="159">
        <f t="shared" ca="1" si="10"/>
        <v>0.16669999999999999</v>
      </c>
      <c r="BI40" s="159">
        <f t="shared" ca="1" si="10"/>
        <v>0.16669999999999999</v>
      </c>
      <c r="BJ40" s="159">
        <f t="shared" ca="1" si="10"/>
        <v>0.16669999999999999</v>
      </c>
      <c r="BK40" s="159">
        <f t="shared" ca="1" si="10"/>
        <v>0.16669999999999999</v>
      </c>
      <c r="BL40" s="159">
        <f t="shared" ca="1" si="10"/>
        <v>0.16669999999999999</v>
      </c>
      <c r="BM40" s="159">
        <f t="shared" ca="1" si="10"/>
        <v>0.16669999999999999</v>
      </c>
      <c r="BN40" s="159">
        <f t="shared" ca="1" si="10"/>
        <v>0.16669999999999999</v>
      </c>
      <c r="BO40" s="159">
        <f t="shared" ca="1" si="10"/>
        <v>0.16669999999999999</v>
      </c>
      <c r="BP40" s="159">
        <f t="shared" ca="1" si="10"/>
        <v>0.16669999999999999</v>
      </c>
      <c r="BQ40" s="159">
        <f t="shared" ca="1" si="10"/>
        <v>0.16669999999999999</v>
      </c>
      <c r="BR40" s="159">
        <f t="shared" ref="BR40:CK40" ca="1" si="11">IFERROR(LOOKUP(BR$19,Налоги_года,НДС_вложения_в_склад_ставки),0)</f>
        <v>0.16669999999999999</v>
      </c>
      <c r="BS40" s="159">
        <f t="shared" ca="1" si="11"/>
        <v>0.16669999999999999</v>
      </c>
      <c r="BT40" s="159">
        <f t="shared" ca="1" si="11"/>
        <v>0.16669999999999999</v>
      </c>
      <c r="BU40" s="159">
        <f t="shared" ca="1" si="11"/>
        <v>0.16669999999999999</v>
      </c>
      <c r="BV40" s="159">
        <f t="shared" ca="1" si="11"/>
        <v>0.16669999999999999</v>
      </c>
      <c r="BW40" s="159">
        <f t="shared" ca="1" si="11"/>
        <v>0.16669999999999999</v>
      </c>
      <c r="BX40" s="159">
        <f t="shared" ca="1" si="11"/>
        <v>0.16669999999999999</v>
      </c>
      <c r="BY40" s="159">
        <f t="shared" ca="1" si="11"/>
        <v>0.16669999999999999</v>
      </c>
      <c r="BZ40" s="159">
        <f t="shared" ca="1" si="11"/>
        <v>0.16669999999999999</v>
      </c>
      <c r="CA40" s="159">
        <f t="shared" ca="1" si="11"/>
        <v>0.16669999999999999</v>
      </c>
      <c r="CB40" s="159">
        <f t="shared" ca="1" si="11"/>
        <v>0.16669999999999999</v>
      </c>
      <c r="CC40" s="159">
        <f t="shared" ca="1" si="11"/>
        <v>0.16669999999999999</v>
      </c>
      <c r="CD40" s="159">
        <f t="shared" ca="1" si="11"/>
        <v>0.16669999999999999</v>
      </c>
      <c r="CE40" s="159">
        <f t="shared" ca="1" si="11"/>
        <v>0.16669999999999999</v>
      </c>
      <c r="CF40" s="159">
        <f t="shared" ca="1" si="11"/>
        <v>0.16669999999999999</v>
      </c>
      <c r="CG40" s="159">
        <f t="shared" ca="1" si="11"/>
        <v>0.16669999999999999</v>
      </c>
      <c r="CH40" s="159">
        <f t="shared" ca="1" si="11"/>
        <v>0.16669999999999999</v>
      </c>
      <c r="CI40" s="159">
        <f t="shared" ca="1" si="11"/>
        <v>0.16669999999999999</v>
      </c>
      <c r="CJ40" s="159">
        <f t="shared" ca="1" si="11"/>
        <v>0.16669999999999999</v>
      </c>
      <c r="CK40" s="159">
        <f t="shared" ca="1" si="11"/>
        <v>0.16669999999999999</v>
      </c>
    </row>
    <row r="41" spans="2:89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</row>
    <row r="42" spans="2:89" ht="18" thickBot="1">
      <c r="B42" s="100" t="str">
        <f>"НДС по клиентам и поставщикам, в "&amp;Ед_измерения_денег</f>
        <v>НДС по клиентам и поставщикам, в  руб.</v>
      </c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</row>
    <row r="43" spans="2:89" ht="15.75" thickTop="1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</row>
    <row r="44" spans="2:89">
      <c r="B44" s="77" t="s">
        <v>62</v>
      </c>
      <c r="C44" s="78"/>
      <c r="D44" s="98">
        <f ca="1">SUM(F44:CK44)</f>
        <v>1153492922.2630031</v>
      </c>
      <c r="E44" s="79"/>
      <c r="F44" s="80">
        <f ca="1">Операции!F162/(1+F$37)*F$37</f>
        <v>0</v>
      </c>
      <c r="G44" s="80">
        <f ca="1">Операции!G162/(1+G$37)*G$37</f>
        <v>0</v>
      </c>
      <c r="H44" s="80">
        <f ca="1">Операции!H162/(1+H$37)*H$37</f>
        <v>0</v>
      </c>
      <c r="I44" s="80">
        <f ca="1">Операции!I162/(1+I$37)*I$37</f>
        <v>0</v>
      </c>
      <c r="J44" s="80">
        <f ca="1">Операции!J162/(1+J$37)*J$37</f>
        <v>0</v>
      </c>
      <c r="K44" s="80">
        <f ca="1">Операции!K162/(1+K$37)*K$37</f>
        <v>0</v>
      </c>
      <c r="L44" s="80">
        <f ca="1">Операции!L162/(1+L$37)*L$37</f>
        <v>0</v>
      </c>
      <c r="M44" s="80">
        <f ca="1">Операции!M162/(1+M$37)*M$37</f>
        <v>0</v>
      </c>
      <c r="N44" s="80">
        <f ca="1">Операции!N162/(1+N$37)*N$37</f>
        <v>0</v>
      </c>
      <c r="O44" s="80">
        <f ca="1">Операции!O162/(1+O$37)*O$37</f>
        <v>0</v>
      </c>
      <c r="P44" s="80">
        <f ca="1">Операции!P162/(1+P$37)*P$37</f>
        <v>0</v>
      </c>
      <c r="Q44" s="80">
        <f ca="1">Операции!Q162/(1+Q$37)*Q$37</f>
        <v>0</v>
      </c>
      <c r="R44" s="80">
        <f ca="1">Операции!R162/(1+R$37)*R$37</f>
        <v>7690294.0744730532</v>
      </c>
      <c r="S44" s="80">
        <f ca="1">Операции!S162/(1+S$37)*S$37</f>
        <v>7722139.972881794</v>
      </c>
      <c r="T44" s="80">
        <f ca="1">Операции!T162/(1+T$37)*T$37</f>
        <v>7753084.141684969</v>
      </c>
      <c r="U44" s="80">
        <f ca="1">Операции!U162/(1+U$37)*U$37</f>
        <v>7785190.0569516039</v>
      </c>
      <c r="V44" s="80">
        <f ca="1">Операции!V162/(1+V$37)*V$37</f>
        <v>7817428.9244442545</v>
      </c>
      <c r="W44" s="80">
        <f ca="1">Операции!W162/(1+W$37)*W$37</f>
        <v>7848754.9352514064</v>
      </c>
      <c r="X44" s="80">
        <f ca="1">Операции!X162/(1+X$37)*X$37</f>
        <v>7881257.0281340182</v>
      </c>
      <c r="Y44" s="80">
        <f ca="1">Операции!Y162/(1+Y$37)*Y$37</f>
        <v>7912838.8109968305</v>
      </c>
      <c r="Z44" s="80">
        <f ca="1">Операции!Z162/(1+Z$37)*Z$37</f>
        <v>7945606.2784641972</v>
      </c>
      <c r="AA44" s="80">
        <f ca="1">Операции!AA162/(1+AA$37)*AA$37</f>
        <v>7978599.770223625</v>
      </c>
      <c r="AB44" s="80">
        <f ca="1">Операции!AB162/(1+AB$37)*AB$37</f>
        <v>8008518.0845199591</v>
      </c>
      <c r="AC44" s="80">
        <f ca="1">Операции!AC162/(1+AC$37)*AC$37</f>
        <v>8041772.8125000019</v>
      </c>
      <c r="AD44" s="80">
        <f ca="1">Операции!AD162/(1+AD$37)*AD$37</f>
        <v>8898425.4885259978</v>
      </c>
      <c r="AE44" s="80">
        <f ca="1">Операции!AE162/(1+AE$37)*AE$37</f>
        <v>9166407.5546847191</v>
      </c>
      <c r="AF44" s="80">
        <f ca="1">Операции!AF162/(1+AF$37)*AF$37</f>
        <v>9452137.2589215022</v>
      </c>
      <c r="AG44" s="80">
        <f ca="1">Операции!AG162/(1+AG$37)*AG$37</f>
        <v>9779056.0435293149</v>
      </c>
      <c r="AH44" s="80">
        <f ca="1">Операции!AH162/(1+AH$37)*AH$37</f>
        <v>10143414.556297645</v>
      </c>
      <c r="AI44" s="80">
        <f ca="1">Операции!AI162/(1+AI$37)*AI$37</f>
        <v>10537552.309379697</v>
      </c>
      <c r="AJ44" s="80">
        <f ca="1">Операции!AJ162/(1+AJ$37)*AJ$37</f>
        <v>10994908.553710476</v>
      </c>
      <c r="AK44" s="80">
        <f ca="1">Операции!AK162/(1+AK$37)*AK$37</f>
        <v>11494044.857385281</v>
      </c>
      <c r="AL44" s="80">
        <f ca="1">Операции!AL162/(1+AL$37)*AL$37</f>
        <v>12078158.459482817</v>
      </c>
      <c r="AM44" s="80">
        <f ca="1">Операции!AM162/(1+AM$37)*AM$37</f>
        <v>12743619.724098552</v>
      </c>
      <c r="AN44" s="80">
        <f ca="1">Операции!AN162/(1+AN$37)*AN$37</f>
        <v>13426338.476653554</v>
      </c>
      <c r="AO44" s="80">
        <f ca="1">Операции!AO162/(1+AO$37)*AO$37</f>
        <v>14287893.523408897</v>
      </c>
      <c r="AP44" s="80">
        <f ca="1">Операции!AP162/(1+AP$37)*AP$37</f>
        <v>14555429.837972531</v>
      </c>
      <c r="AQ44" s="80">
        <f ca="1">Операции!AQ162/(1+AQ$37)*AQ$37</f>
        <v>14846903.971327279</v>
      </c>
      <c r="AR44" s="80">
        <f ca="1">Операции!AR162/(1+AR$37)*AR$37</f>
        <v>15144425.107211519</v>
      </c>
      <c r="AS44" s="80">
        <f ca="1">Операции!AS162/(1+AS$37)*AS$37</f>
        <v>15468843.829541534</v>
      </c>
      <c r="AT44" s="80">
        <f ca="1">Операции!AT162/(1+AT$37)*AT$37</f>
        <v>15811620.179937758</v>
      </c>
      <c r="AU44" s="80">
        <f ca="1">Операции!AU162/(1+AU$37)*AU$37</f>
        <v>16161931.46269672</v>
      </c>
      <c r="AV44" s="80">
        <f ca="1">Операции!AV162/(1+AV$37)*AV$37</f>
        <v>16544356.355532391</v>
      </c>
      <c r="AW44" s="80">
        <f ca="1">Операции!AW162/(1+AW$37)*AW$37</f>
        <v>16935469.415217079</v>
      </c>
      <c r="AX44" s="80">
        <f ca="1">Операции!AX162/(1+AX$37)*AX$37</f>
        <v>17362731.002614733</v>
      </c>
      <c r="AY44" s="80">
        <f ca="1">Операции!AY162/(1+AY$37)*AY$37</f>
        <v>17814982.603745941</v>
      </c>
      <c r="AZ44" s="80">
        <f ca="1">Операции!AZ162/(1+AZ$37)*AZ$37</f>
        <v>18246287.61003077</v>
      </c>
      <c r="BA44" s="80">
        <f ca="1">Операции!BA162/(1+BA$37)*BA$37</f>
        <v>18750646.404928051</v>
      </c>
      <c r="BB44" s="80">
        <f ca="1">Операции!BB162/(1+BB$37)*BB$37</f>
        <v>18825990.287788082</v>
      </c>
      <c r="BC44" s="80">
        <f ca="1">Операции!BC162/(1+BC$37)*BC$37</f>
        <v>18904163.700068377</v>
      </c>
      <c r="BD44" s="80">
        <f ca="1">Операции!BD162/(1+BD$37)*BD$37</f>
        <v>18980124.446414199</v>
      </c>
      <c r="BE44" s="80">
        <f ca="1">Операции!BE162/(1+BE$37)*BE$37</f>
        <v>19058937.888405781</v>
      </c>
      <c r="BF44" s="80">
        <f ca="1">Операции!BF162/(1+BF$37)*BF$37</f>
        <v>19138078.596883744</v>
      </c>
      <c r="BG44" s="80">
        <f ca="1">Операции!BG162/(1+BG$37)*BG$37</f>
        <v>19214979.260510508</v>
      </c>
      <c r="BH44" s="80">
        <f ca="1">Операции!BH162/(1+BH$37)*BH$37</f>
        <v>19294767.918250524</v>
      </c>
      <c r="BI44" s="80">
        <f ca="1">Операции!BI162/(1+BI$37)*BI$37</f>
        <v>19372298.191204853</v>
      </c>
      <c r="BJ44" s="80">
        <f ca="1">Операции!BJ162/(1+BJ$37)*BJ$37</f>
        <v>19452740.103166323</v>
      </c>
      <c r="BK44" s="80">
        <f ca="1">Операции!BK162/(1+BK$37)*BK$37</f>
        <v>19533294.888080645</v>
      </c>
      <c r="BL44" s="80">
        <f ca="1">Операции!BL162/(1+BL$37)*BL$37</f>
        <v>19608954.556850947</v>
      </c>
      <c r="BM44" s="80">
        <f ca="1">Операции!BM162/(1+BM$37)*BM$37</f>
        <v>19690156.23375326</v>
      </c>
      <c r="BN44" s="80">
        <f ca="1">Операции!BN162/(1+BN$37)*BN$37</f>
        <v>19769058.65204636</v>
      </c>
      <c r="BO44" s="80">
        <f ca="1">Операции!BO162/(1+BO$37)*BO$37</f>
        <v>19850923.328139734</v>
      </c>
      <c r="BP44" s="80">
        <f ca="1">Операции!BP162/(1+BP$37)*BP$37</f>
        <v>19930469.972531322</v>
      </c>
      <c r="BQ44" s="80">
        <f ca="1">Операции!BQ162/(1+BQ$37)*BQ$37</f>
        <v>20013003.061102089</v>
      </c>
      <c r="BR44" s="80">
        <f ca="1">Операции!BR162/(1+BR$37)*BR$37</f>
        <v>20095877.92338508</v>
      </c>
      <c r="BS44" s="80">
        <f ca="1">Операции!BS162/(1+BS$37)*BS$37</f>
        <v>20176406.150132209</v>
      </c>
      <c r="BT44" s="80">
        <f ca="1">Операции!BT162/(1+BT$37)*BT$37</f>
        <v>20259957.672907323</v>
      </c>
      <c r="BU44" s="80">
        <f ca="1">Операции!BU162/(1+BU$37)*BU$37</f>
        <v>20341143.400228675</v>
      </c>
      <c r="BV44" s="80">
        <f ca="1">Операции!BV162/(1+BV$37)*BV$37</f>
        <v>20425377.108324647</v>
      </c>
      <c r="BW44" s="80">
        <f ca="1">Операции!BW162/(1+BW$37)*BW$37</f>
        <v>20510191.845890149</v>
      </c>
      <c r="BX44" s="80">
        <f ca="1">Операции!BX162/(1+BX$37)*BX$37</f>
        <v>20587101.376834858</v>
      </c>
      <c r="BY44" s="80">
        <f ca="1">Операции!BY162/(1+BY$37)*BY$37</f>
        <v>20672587.661433198</v>
      </c>
      <c r="BZ44" s="80">
        <f ca="1">Операции!BZ162/(1+BZ$37)*BZ$37</f>
        <v>20755654.292286385</v>
      </c>
      <c r="CA44" s="80">
        <f ca="1">Операции!CA162/(1+CA$37)*CA$37</f>
        <v>20841840.47932541</v>
      </c>
      <c r="CB44" s="80">
        <f ca="1">Операции!CB162/(1+CB$37)*CB$37</f>
        <v>20925587.202171676</v>
      </c>
      <c r="CC44" s="80">
        <f ca="1">Операции!CC162/(1+CC$37)*CC$37</f>
        <v>21012479.0219674</v>
      </c>
      <c r="CD44" s="80">
        <f ca="1">Операции!CD162/(1+CD$37)*CD$37</f>
        <v>21099731.653064355</v>
      </c>
      <c r="CE44" s="80">
        <f ca="1">Операции!CE162/(1+CE$37)*CE$37</f>
        <v>21184514.63471286</v>
      </c>
      <c r="CF44" s="80">
        <f ca="1">Операции!CF162/(1+CF$37)*CF$37</f>
        <v>21272481.629871219</v>
      </c>
      <c r="CG44" s="80">
        <f ca="1">Операции!CG162/(1+CG$37)*CG$37</f>
        <v>21357958.755803376</v>
      </c>
      <c r="CH44" s="80">
        <f ca="1">Операции!CH162/(1+CH$37)*CH$37</f>
        <v>21446645.963740896</v>
      </c>
      <c r="CI44" s="80">
        <f ca="1">Операции!CI162/(1+CI$37)*CI$37</f>
        <v>21535701.438184679</v>
      </c>
      <c r="CJ44" s="80">
        <f ca="1">Операции!CJ162/(1+CJ$37)*CJ$37</f>
        <v>21616456.445676625</v>
      </c>
      <c r="CK44" s="80">
        <f ca="1">Операции!CK162/(1+CK$37)*CK$37</f>
        <v>21706217.044504877</v>
      </c>
    </row>
    <row r="45" spans="2:89">
      <c r="B45" s="77" t="s">
        <v>63</v>
      </c>
      <c r="C45" s="78"/>
      <c r="D45" s="98">
        <f t="shared" ref="D45:D47" ca="1" si="12">SUM(F45:CK45)</f>
        <v>508650334.07239431</v>
      </c>
      <c r="E45" s="79"/>
      <c r="F45" s="80">
        <f ca="1">SUM(Операции!F245,Операции!F279)/(1+F$37)*F$37</f>
        <v>0</v>
      </c>
      <c r="G45" s="80">
        <f ca="1">SUM(Операции!G245,Операции!G279)/(1+G$37)*G$37</f>
        <v>0</v>
      </c>
      <c r="H45" s="80">
        <f ca="1">SUM(Операции!H245,Операции!H279)/(1+H$37)*H$37</f>
        <v>0</v>
      </c>
      <c r="I45" s="80">
        <f ca="1">SUM(Операции!I245,Операции!I279)/(1+I$37)*I$37</f>
        <v>0</v>
      </c>
      <c r="J45" s="80">
        <f ca="1">SUM(Операции!J245,Операции!J279)/(1+J$37)*J$37</f>
        <v>0</v>
      </c>
      <c r="K45" s="80">
        <f ca="1">SUM(Операции!K245,Операции!K279)/(1+K$37)*K$37</f>
        <v>0</v>
      </c>
      <c r="L45" s="80">
        <f ca="1">SUM(Операции!L245,Операции!L279)/(1+L$37)*L$37</f>
        <v>0</v>
      </c>
      <c r="M45" s="80">
        <f ca="1">SUM(Операции!M245,Операции!M279)/(1+M$37)*M$37</f>
        <v>0</v>
      </c>
      <c r="N45" s="80">
        <f ca="1">SUM(Операции!N245,Операции!N279)/(1+N$37)*N$37</f>
        <v>0</v>
      </c>
      <c r="O45" s="80">
        <f ca="1">SUM(Операции!O245,Операции!O279)/(1+O$37)*O$37</f>
        <v>0</v>
      </c>
      <c r="P45" s="80">
        <f ca="1">SUM(Операции!P245,Операции!P279)/(1+P$37)*P$37</f>
        <v>0</v>
      </c>
      <c r="Q45" s="80">
        <f ca="1">SUM(Операции!Q245,Операции!Q279)/(1+Q$37)*Q$37</f>
        <v>0</v>
      </c>
      <c r="R45" s="80">
        <f ca="1">SUM(Операции!R245,Операции!R279)/(1+R$37)*R$37</f>
        <v>4527147.9630810563</v>
      </c>
      <c r="S45" s="80">
        <f ca="1">SUM(Операции!S245,Операции!S279)/(1+S$37)*S$37</f>
        <v>4546570.7745314185</v>
      </c>
      <c r="T45" s="80">
        <f ca="1">SUM(Операции!T245,Операции!T279)/(1+T$37)*T$37</f>
        <v>4565446.4022754552</v>
      </c>
      <c r="U45" s="80">
        <f ca="1">SUM(Операции!U245,Операции!U279)/(1+U$37)*U$37</f>
        <v>4585033.5697050123</v>
      </c>
      <c r="V45" s="80">
        <f ca="1">SUM(Операции!V245,Операции!V279)/(1+V$37)*V$37</f>
        <v>4604704.7946874639</v>
      </c>
      <c r="W45" s="80">
        <f ca="1">SUM(Операции!W245,Операции!W279)/(1+W$37)*W$37</f>
        <v>4623821.8378526308</v>
      </c>
      <c r="X45" s="80">
        <f ca="1">SUM(Операции!X245,Операции!X279)/(1+X$37)*X$37</f>
        <v>4643659.5214093802</v>
      </c>
      <c r="Y45" s="80">
        <f ca="1">SUM(Операции!Y245,Операции!Y279)/(1+Y$37)*Y$37</f>
        <v>4662938.3338102046</v>
      </c>
      <c r="Z45" s="80">
        <f ca="1">SUM(Операции!Z245,Операции!Z279)/(1+Z$37)*Z$37</f>
        <v>4682943.8848653352</v>
      </c>
      <c r="AA45" s="80">
        <f ca="1">SUM(Операции!AA245,Операции!AA279)/(1+AA$37)*AA$37</f>
        <v>4703090.4526041904</v>
      </c>
      <c r="AB45" s="80">
        <f ca="1">SUM(Операции!AB245,Операции!AB279)/(1+AB$37)*AB$37</f>
        <v>4721361.8593238732</v>
      </c>
      <c r="AC45" s="80">
        <f ca="1">SUM(Операции!AC245,Операции!AC279)/(1+AC$37)*AC$37</f>
        <v>4741673.7500490034</v>
      </c>
      <c r="AD45" s="80">
        <f ca="1">SUM(Операции!AD245,Операции!AD279)/(1+AD$37)*AD$37</f>
        <v>4910262.031584423</v>
      </c>
      <c r="AE45" s="80">
        <f ca="1">SUM(Операции!AE245,Операции!AE279)/(1+AE$37)*AE$37</f>
        <v>5057914.0281189959</v>
      </c>
      <c r="AF45" s="80">
        <f ca="1">SUM(Операции!AF245,Операции!AF279)/(1+AF$37)*AF$37</f>
        <v>5207552.9867714038</v>
      </c>
      <c r="AG45" s="80">
        <f ca="1">SUM(Операции!AG245,Операции!AG279)/(1+AG$37)*AG$37</f>
        <v>5369694.1371667199</v>
      </c>
      <c r="AH45" s="80">
        <f ca="1">SUM(Операции!AH245,Операции!AH279)/(1+AH$37)*AH$37</f>
        <v>5540083.0576172685</v>
      </c>
      <c r="AI45" s="80">
        <f ca="1">SUM(Операции!AI245,Операции!AI279)/(1+AI$37)*AI$37</f>
        <v>5713476.8394336514</v>
      </c>
      <c r="AJ45" s="80">
        <f ca="1">SUM(Операции!AJ245,Операции!AJ279)/(1+AJ$37)*AJ$37</f>
        <v>5902185.1169455545</v>
      </c>
      <c r="AK45" s="80">
        <f ca="1">SUM(Операции!AK245,Операции!AK279)/(1+AK$37)*AK$37</f>
        <v>6094838.4371962762</v>
      </c>
      <c r="AL45" s="80">
        <f ca="1">SUM(Операции!AL245,Операции!AL279)/(1+AL$37)*AL$37</f>
        <v>6305226.4893108271</v>
      </c>
      <c r="AM45" s="80">
        <f ca="1">SUM(Операции!AM245,Операции!AM279)/(1+AM$37)*AM$37</f>
        <v>6528198.3886092808</v>
      </c>
      <c r="AN45" s="80">
        <f ca="1">SUM(Операции!AN245,Операции!AN279)/(1+AN$37)*AN$37</f>
        <v>6741438.0520789642</v>
      </c>
      <c r="AO45" s="80">
        <f ca="1">SUM(Операции!AO245,Операции!AO279)/(1+AO$37)*AO$37</f>
        <v>6991930.1807296891</v>
      </c>
      <c r="AP45" s="80">
        <f ca="1">SUM(Операции!AP245,Операции!AP279)/(1+AP$37)*AP$37</f>
        <v>7033433.2583138514</v>
      </c>
      <c r="AQ45" s="80">
        <f ca="1">SUM(Операции!AQ245,Операции!AQ279)/(1+AQ$37)*AQ$37</f>
        <v>7077321.5185585041</v>
      </c>
      <c r="AR45" s="80">
        <f ca="1">SUM(Операции!AR245,Операции!AR279)/(1+AR$37)*AR$37</f>
        <v>7120818.1498024538</v>
      </c>
      <c r="AS45" s="80">
        <f ca="1">SUM(Операции!AS245,Операции!AS279)/(1+AS$37)*AS$37</f>
        <v>7166883.6931295237</v>
      </c>
      <c r="AT45" s="80">
        <f ca="1">SUM(Операции!AT245,Операции!AT279)/(1+AT$37)*AT$37</f>
        <v>7214152.3292502407</v>
      </c>
      <c r="AU45" s="80">
        <f ca="1">SUM(Операции!AU245,Операции!AU279)/(1+AU$37)*AU$37</f>
        <v>7261108.2352394015</v>
      </c>
      <c r="AV45" s="80">
        <f ca="1">SUM(Операции!AV245,Операции!AV279)/(1+AV$37)*AV$37</f>
        <v>7310954.9990229383</v>
      </c>
      <c r="AW45" s="80">
        <f ca="1">SUM(Операции!AW245,Операции!AW279)/(1+AW$37)*AW$37</f>
        <v>7360551.2253936492</v>
      </c>
      <c r="AX45" s="80">
        <f ca="1">SUM(Операции!AX245,Операции!AX279)/(1+AX$37)*AX$37</f>
        <v>7413286.1459657615</v>
      </c>
      <c r="AY45" s="80">
        <f ca="1">SUM(Операции!AY245,Операции!AY279)/(1+AY$37)*AY$37</f>
        <v>7467620.4903490711</v>
      </c>
      <c r="AZ45" s="80">
        <f ca="1">SUM(Операции!AZ245,Операции!AZ279)/(1+AZ$37)*AZ$37</f>
        <v>7518151.4576122975</v>
      </c>
      <c r="BA45" s="80">
        <f ca="1">SUM(Операции!BA245,Операции!BA279)/(1+BA$37)*BA$37</f>
        <v>7575801.338663891</v>
      </c>
      <c r="BB45" s="80">
        <f ca="1">SUM(Операции!BB245,Операции!BB279)/(1+BB$37)*BB$37</f>
        <v>7607368.8576666908</v>
      </c>
      <c r="BC45" s="80">
        <f ca="1">SUM(Операции!BC245,Операции!BC279)/(1+BC$37)*BC$37</f>
        <v>7640126.8476255648</v>
      </c>
      <c r="BD45" s="80">
        <f ca="1">SUM(Операции!BD245,Операции!BD279)/(1+BD$37)*BD$37</f>
        <v>7671962.4536085641</v>
      </c>
      <c r="BE45" s="80">
        <f ca="1">SUM(Операции!BE245,Операции!BE279)/(1+BE$37)*BE$37</f>
        <v>7704998.6408137651</v>
      </c>
      <c r="BF45" s="80">
        <f ca="1">SUM(Операции!BF245,Операции!BF279)/(1+BF$37)*BF$37</f>
        <v>7738177.1112595145</v>
      </c>
      <c r="BG45" s="80">
        <f ca="1">SUM(Операции!BG245,Операции!BG279)/(1+BG$37)*BG$37</f>
        <v>7770421.3583303466</v>
      </c>
      <c r="BH45" s="80">
        <f ca="1">SUM(Операции!BH245,Операции!BH279)/(1+BH$37)*BH$37</f>
        <v>7803881.5975580039</v>
      </c>
      <c r="BI45" s="80">
        <f ca="1">SUM(Операции!BI245,Операции!BI279)/(1+BI$37)*BI$37</f>
        <v>7836399.6796959387</v>
      </c>
      <c r="BJ45" s="80">
        <f ca="1">SUM(Операции!BJ245,Операции!BJ279)/(1+BJ$37)*BJ$37</f>
        <v>7870144.0810362063</v>
      </c>
      <c r="BK45" s="80">
        <f ca="1">SUM(Операции!BK245,Операции!BK279)/(1+BK$37)*BK$37</f>
        <v>7903941.0228613885</v>
      </c>
      <c r="BL45" s="80">
        <f ca="1">SUM(Операции!BL245,Операции!BL279)/(1+BL$37)*BL$37</f>
        <v>7935688.9206817215</v>
      </c>
      <c r="BM45" s="80">
        <f ca="1">SUM(Операции!BM245,Операции!BM279)/(1+BM$37)*BM$37</f>
        <v>7969767.3853020985</v>
      </c>
      <c r="BN45" s="80">
        <f ca="1">SUM(Операции!BN245,Операции!BN279)/(1+BN$37)*BN$37</f>
        <v>8002885.9030292695</v>
      </c>
      <c r="BO45" s="80">
        <f ca="1">SUM(Операции!BO245,Операции!BO279)/(1+BO$37)*BO$37</f>
        <v>8037252.9869963592</v>
      </c>
      <c r="BP45" s="80">
        <f ca="1">SUM(Операции!BP245,Операции!BP279)/(1+BP$37)*BP$37</f>
        <v>8070651.9942296445</v>
      </c>
      <c r="BQ45" s="80">
        <f ca="1">SUM(Операции!BQ245,Операции!BQ279)/(1+BQ$37)*BQ$37</f>
        <v>8105310.1423470993</v>
      </c>
      <c r="BR45" s="80">
        <f ca="1">SUM(Операции!BR245,Операции!BR279)/(1+BR$37)*BR$37</f>
        <v>8140117.1518637836</v>
      </c>
      <c r="BS45" s="80">
        <f ca="1">SUM(Операции!BS245,Операции!BS279)/(1+BS$37)*BS$37</f>
        <v>8173943.6928101601</v>
      </c>
      <c r="BT45" s="80">
        <f ca="1">SUM(Операции!BT245,Операции!BT279)/(1+BT$37)*BT$37</f>
        <v>8209045.4929540949</v>
      </c>
      <c r="BU45" s="80">
        <f ca="1">SUM(Операции!BU245,Операции!BU279)/(1+BU$37)*BU$37</f>
        <v>8243158.5208581388</v>
      </c>
      <c r="BV45" s="80">
        <f ca="1">SUM(Операции!BV245,Операции!BV279)/(1+BV$37)*BV$37</f>
        <v>8278557.6087159961</v>
      </c>
      <c r="BW45" s="80">
        <f ca="1">SUM(Операции!BW245,Операции!BW279)/(1+BW$37)*BW$37</f>
        <v>8314206.3507570866</v>
      </c>
      <c r="BX45" s="80">
        <f ca="1">SUM(Операции!BX245,Операции!BX279)/(1+BX$37)*BX$37</f>
        <v>8346537.1647047028</v>
      </c>
      <c r="BY45" s="80">
        <f ca="1">SUM(Операции!BY245,Операции!BY279)/(1+BY$37)*BY$37</f>
        <v>8382478.691073725</v>
      </c>
      <c r="BZ45" s="80">
        <f ca="1">SUM(Операции!BZ245,Операции!BZ279)/(1+BZ$37)*BZ$37</f>
        <v>8417408.1952432506</v>
      </c>
      <c r="CA45" s="80">
        <f ca="1">SUM(Операции!CA245,Операции!CA279)/(1+CA$37)*CA$37</f>
        <v>8453654.9597903993</v>
      </c>
      <c r="CB45" s="80">
        <f ca="1">SUM(Операции!CB245,Операции!CB279)/(1+CB$37)*CB$37</f>
        <v>8488881.1076147482</v>
      </c>
      <c r="CC45" s="80">
        <f ca="1">SUM(Операции!CC245,Операции!CC279)/(1+CC$37)*CC$37</f>
        <v>8525435.703050267</v>
      </c>
      <c r="CD45" s="80">
        <f ca="1">SUM(Операции!CD245,Операции!CD279)/(1+CD$37)*CD$37</f>
        <v>8562147.7377890199</v>
      </c>
      <c r="CE45" s="80">
        <f ca="1">SUM(Операции!CE245,Операции!CE279)/(1+CE$37)*CE$37</f>
        <v>8597826.0552990232</v>
      </c>
      <c r="CF45" s="80">
        <f ca="1">SUM(Операции!CF245,Операции!CF279)/(1+CF$37)*CF$37</f>
        <v>8634849.872963652</v>
      </c>
      <c r="CG45" s="80">
        <f ca="1">SUM(Операции!CG245,Операции!CG279)/(1+CG$37)*CG$37</f>
        <v>8670831.1946013253</v>
      </c>
      <c r="CH45" s="80">
        <f ca="1">SUM(Операции!CH245,Операции!CH279)/(1+CH$37)*CH$37</f>
        <v>8708169.4435020369</v>
      </c>
      <c r="CI45" s="80">
        <f ca="1">SUM(Операции!CI245,Операции!CI279)/(1+CI$37)*CI$37</f>
        <v>8745668.5074398518</v>
      </c>
      <c r="CJ45" s="80">
        <f ca="1">SUM(Операции!CJ245,Операции!CJ279)/(1+CJ$37)*CJ$37</f>
        <v>8779677.4298205227</v>
      </c>
      <c r="CK45" s="80">
        <f ca="1">SUM(Операции!CK245,Операции!CK279)/(1+CK$37)*CK$37</f>
        <v>8817484.4774407949</v>
      </c>
    </row>
    <row r="46" spans="2:89">
      <c r="B46" s="77" t="s">
        <v>64</v>
      </c>
      <c r="C46" s="78"/>
      <c r="D46" s="98">
        <f t="shared" ca="1" si="12"/>
        <v>105454545.45454547</v>
      </c>
      <c r="E46" s="79"/>
      <c r="F46" s="80">
        <f ca="1">Инвестиции!F72/(1+F$37)*F$37</f>
        <v>5976363.6363636367</v>
      </c>
      <c r="G46" s="80">
        <f ca="1">Инвестиции!G72/(1+G$37)*G$37</f>
        <v>5976363.6363636367</v>
      </c>
      <c r="H46" s="80">
        <f ca="1">Инвестиции!H72/(1+H$37)*H$37</f>
        <v>5570000</v>
      </c>
      <c r="I46" s="80">
        <f ca="1">Инвестиции!I72/(1+I$37)*I$37</f>
        <v>13475454.545454545</v>
      </c>
      <c r="J46" s="80">
        <f ca="1">Инвестиции!J72/(1+J$37)*J$37</f>
        <v>13475454.545454545</v>
      </c>
      <c r="K46" s="80">
        <f ca="1">Инвестиции!K72/(1+K$37)*K$37</f>
        <v>13081818.181818182</v>
      </c>
      <c r="L46" s="80">
        <f ca="1">Инвестиции!L72/(1+L$37)*L$37</f>
        <v>8563636.3636363633</v>
      </c>
      <c r="M46" s="80">
        <f ca="1">Инвестиции!M72/(1+M$37)*M$37</f>
        <v>9081818.1818181816</v>
      </c>
      <c r="N46" s="80">
        <f ca="1">Инвестиции!N72/(1+N$37)*N$37</f>
        <v>9490909.0909090918</v>
      </c>
      <c r="O46" s="80">
        <f ca="1">Инвестиции!O72/(1+O$37)*O$37</f>
        <v>6141818.1818181816</v>
      </c>
      <c r="P46" s="80">
        <f ca="1">Инвестиции!P72/(1+P$37)*P$37</f>
        <v>6784545.4545454551</v>
      </c>
      <c r="Q46" s="80">
        <f ca="1">Инвестиции!Q72/(1+Q$37)*Q$37</f>
        <v>7836363.6363636367</v>
      </c>
      <c r="R46" s="80">
        <f ca="1">Инвестиции!R72/(1+R$37)*R$37</f>
        <v>0</v>
      </c>
      <c r="S46" s="80">
        <f ca="1">Инвестиции!S72/(1+S$37)*S$37</f>
        <v>0</v>
      </c>
      <c r="T46" s="80">
        <f ca="1">Инвестиции!T72/(1+T$37)*T$37</f>
        <v>0</v>
      </c>
      <c r="U46" s="80">
        <f ca="1">Инвестиции!U72/(1+U$37)*U$37</f>
        <v>0</v>
      </c>
      <c r="V46" s="80">
        <f ca="1">Инвестиции!V72/(1+V$37)*V$37</f>
        <v>0</v>
      </c>
      <c r="W46" s="80">
        <f ca="1">Инвестиции!W72/(1+W$37)*W$37</f>
        <v>0</v>
      </c>
      <c r="X46" s="80">
        <f ca="1">Инвестиции!X72/(1+X$37)*X$37</f>
        <v>0</v>
      </c>
      <c r="Y46" s="80">
        <f ca="1">Инвестиции!Y72/(1+Y$37)*Y$37</f>
        <v>0</v>
      </c>
      <c r="Z46" s="80">
        <f ca="1">Инвестиции!Z72/(1+Z$37)*Z$37</f>
        <v>0</v>
      </c>
      <c r="AA46" s="80">
        <f ca="1">Инвестиции!AA72/(1+AA$37)*AA$37</f>
        <v>0</v>
      </c>
      <c r="AB46" s="80">
        <f ca="1">Инвестиции!AB72/(1+AB$37)*AB$37</f>
        <v>0</v>
      </c>
      <c r="AC46" s="80">
        <f ca="1">Инвестиции!AC72/(1+AC$37)*AC$37</f>
        <v>0</v>
      </c>
      <c r="AD46" s="80">
        <f ca="1">Инвестиции!AD72/(1+AD$37)*AD$37</f>
        <v>0</v>
      </c>
      <c r="AE46" s="80">
        <f ca="1">Инвестиции!AE72/(1+AE$37)*AE$37</f>
        <v>0</v>
      </c>
      <c r="AF46" s="80">
        <f ca="1">Инвестиции!AF72/(1+AF$37)*AF$37</f>
        <v>0</v>
      </c>
      <c r="AG46" s="80">
        <f ca="1">Инвестиции!AG72/(1+AG$37)*AG$37</f>
        <v>0</v>
      </c>
      <c r="AH46" s="80">
        <f ca="1">Инвестиции!AH72/(1+AH$37)*AH$37</f>
        <v>0</v>
      </c>
      <c r="AI46" s="80">
        <f ca="1">Инвестиции!AI72/(1+AI$37)*AI$37</f>
        <v>0</v>
      </c>
      <c r="AJ46" s="80">
        <f ca="1">Инвестиции!AJ72/(1+AJ$37)*AJ$37</f>
        <v>0</v>
      </c>
      <c r="AK46" s="80">
        <f ca="1">Инвестиции!AK72/(1+AK$37)*AK$37</f>
        <v>0</v>
      </c>
      <c r="AL46" s="80">
        <f ca="1">Инвестиции!AL72/(1+AL$37)*AL$37</f>
        <v>0</v>
      </c>
      <c r="AM46" s="80">
        <f ca="1">Инвестиции!AM72/(1+AM$37)*AM$37</f>
        <v>0</v>
      </c>
      <c r="AN46" s="80">
        <f ca="1">Инвестиции!AN72/(1+AN$37)*AN$37</f>
        <v>0</v>
      </c>
      <c r="AO46" s="80">
        <f ca="1">Инвестиции!AO72/(1+AO$37)*AO$37</f>
        <v>0</v>
      </c>
      <c r="AP46" s="80">
        <f ca="1">Инвестиции!AP72/(1+AP$37)*AP$37</f>
        <v>0</v>
      </c>
      <c r="AQ46" s="80">
        <f ca="1">Инвестиции!AQ72/(1+AQ$37)*AQ$37</f>
        <v>0</v>
      </c>
      <c r="AR46" s="80">
        <f ca="1">Инвестиции!AR72/(1+AR$37)*AR$37</f>
        <v>0</v>
      </c>
      <c r="AS46" s="80">
        <f ca="1">Инвестиции!AS72/(1+AS$37)*AS$37</f>
        <v>0</v>
      </c>
      <c r="AT46" s="80">
        <f ca="1">Инвестиции!AT72/(1+AT$37)*AT$37</f>
        <v>0</v>
      </c>
      <c r="AU46" s="80">
        <f ca="1">Инвестиции!AU72/(1+AU$37)*AU$37</f>
        <v>0</v>
      </c>
      <c r="AV46" s="80">
        <f ca="1">Инвестиции!AV72/(1+AV$37)*AV$37</f>
        <v>0</v>
      </c>
      <c r="AW46" s="80">
        <f ca="1">Инвестиции!AW72/(1+AW$37)*AW$37</f>
        <v>0</v>
      </c>
      <c r="AX46" s="80">
        <f ca="1">Инвестиции!AX72/(1+AX$37)*AX$37</f>
        <v>0</v>
      </c>
      <c r="AY46" s="80">
        <f ca="1">Инвестиции!AY72/(1+AY$37)*AY$37</f>
        <v>0</v>
      </c>
      <c r="AZ46" s="80">
        <f ca="1">Инвестиции!AZ72/(1+AZ$37)*AZ$37</f>
        <v>0</v>
      </c>
      <c r="BA46" s="80">
        <f ca="1">Инвестиции!BA72/(1+BA$37)*BA$37</f>
        <v>0</v>
      </c>
      <c r="BB46" s="80">
        <f ca="1">Инвестиции!BB72/(1+BB$37)*BB$37</f>
        <v>0</v>
      </c>
      <c r="BC46" s="80">
        <f ca="1">Инвестиции!BC72/(1+BC$37)*BC$37</f>
        <v>0</v>
      </c>
      <c r="BD46" s="80">
        <f ca="1">Инвестиции!BD72/(1+BD$37)*BD$37</f>
        <v>0</v>
      </c>
      <c r="BE46" s="80">
        <f ca="1">Инвестиции!BE72/(1+BE$37)*BE$37</f>
        <v>0</v>
      </c>
      <c r="BF46" s="80">
        <f ca="1">Инвестиции!BF72/(1+BF$37)*BF$37</f>
        <v>0</v>
      </c>
      <c r="BG46" s="80">
        <f ca="1">Инвестиции!BG72/(1+BG$37)*BG$37</f>
        <v>0</v>
      </c>
      <c r="BH46" s="80">
        <f ca="1">Инвестиции!BH72/(1+BH$37)*BH$37</f>
        <v>0</v>
      </c>
      <c r="BI46" s="80">
        <f ca="1">Инвестиции!BI72/(1+BI$37)*BI$37</f>
        <v>0</v>
      </c>
      <c r="BJ46" s="80">
        <f ca="1">Инвестиции!BJ72/(1+BJ$37)*BJ$37</f>
        <v>0</v>
      </c>
      <c r="BK46" s="80">
        <f ca="1">Инвестиции!BK72/(1+BK$37)*BK$37</f>
        <v>0</v>
      </c>
      <c r="BL46" s="80">
        <f ca="1">Инвестиции!BL72/(1+BL$37)*BL$37</f>
        <v>0</v>
      </c>
      <c r="BM46" s="80">
        <f ca="1">Инвестиции!BM72/(1+BM$37)*BM$37</f>
        <v>0</v>
      </c>
      <c r="BN46" s="80">
        <f ca="1">Инвестиции!BN72/(1+BN$37)*BN$37</f>
        <v>0</v>
      </c>
      <c r="BO46" s="80">
        <f ca="1">Инвестиции!BO72/(1+BO$37)*BO$37</f>
        <v>0</v>
      </c>
      <c r="BP46" s="80">
        <f ca="1">Инвестиции!BP72/(1+BP$37)*BP$37</f>
        <v>0</v>
      </c>
      <c r="BQ46" s="80">
        <f ca="1">Инвестиции!BQ72/(1+BQ$37)*BQ$37</f>
        <v>0</v>
      </c>
      <c r="BR46" s="80">
        <f ca="1">Инвестиции!BR72/(1+BR$37)*BR$37</f>
        <v>0</v>
      </c>
      <c r="BS46" s="80">
        <f ca="1">Инвестиции!BS72/(1+BS$37)*BS$37</f>
        <v>0</v>
      </c>
      <c r="BT46" s="80">
        <f ca="1">Инвестиции!BT72/(1+BT$37)*BT$37</f>
        <v>0</v>
      </c>
      <c r="BU46" s="80">
        <f ca="1">Инвестиции!BU72/(1+BU$37)*BU$37</f>
        <v>0</v>
      </c>
      <c r="BV46" s="80">
        <f ca="1">Инвестиции!BV72/(1+BV$37)*BV$37</f>
        <v>0</v>
      </c>
      <c r="BW46" s="80">
        <f ca="1">Инвестиции!BW72/(1+BW$37)*BW$37</f>
        <v>0</v>
      </c>
      <c r="BX46" s="80">
        <f ca="1">Инвестиции!BX72/(1+BX$37)*BX$37</f>
        <v>0</v>
      </c>
      <c r="BY46" s="80">
        <f ca="1">Инвестиции!BY72/(1+BY$37)*BY$37</f>
        <v>0</v>
      </c>
      <c r="BZ46" s="80">
        <f ca="1">Инвестиции!BZ72/(1+BZ$37)*BZ$37</f>
        <v>0</v>
      </c>
      <c r="CA46" s="80">
        <f ca="1">Инвестиции!CA72/(1+CA$37)*CA$37</f>
        <v>0</v>
      </c>
      <c r="CB46" s="80">
        <f ca="1">Инвестиции!CB72/(1+CB$37)*CB$37</f>
        <v>0</v>
      </c>
      <c r="CC46" s="80">
        <f ca="1">Инвестиции!CC72/(1+CC$37)*CC$37</f>
        <v>0</v>
      </c>
      <c r="CD46" s="80">
        <f ca="1">Инвестиции!CD72/(1+CD$37)*CD$37</f>
        <v>0</v>
      </c>
      <c r="CE46" s="80">
        <f ca="1">Инвестиции!CE72/(1+CE$37)*CE$37</f>
        <v>0</v>
      </c>
      <c r="CF46" s="80">
        <f ca="1">Инвестиции!CF72/(1+CF$37)*CF$37</f>
        <v>0</v>
      </c>
      <c r="CG46" s="80">
        <f ca="1">Инвестиции!CG72/(1+CG$37)*CG$37</f>
        <v>0</v>
      </c>
      <c r="CH46" s="80">
        <f ca="1">Инвестиции!CH72/(1+CH$37)*CH$37</f>
        <v>0</v>
      </c>
      <c r="CI46" s="80">
        <f ca="1">Инвестиции!CI72/(1+CI$37)*CI$37</f>
        <v>0</v>
      </c>
      <c r="CJ46" s="80">
        <f ca="1">Инвестиции!CJ72/(1+CJ$37)*CJ$37</f>
        <v>0</v>
      </c>
      <c r="CK46" s="80">
        <f ca="1">Инвестиции!CK72/(1+CK$37)*CK$37</f>
        <v>0</v>
      </c>
    </row>
    <row r="47" spans="2:89">
      <c r="B47" s="77" t="s">
        <v>535</v>
      </c>
      <c r="C47" s="78"/>
      <c r="D47" s="98">
        <f t="shared" ca="1" si="12"/>
        <v>93642.061385559311</v>
      </c>
      <c r="E47" s="79"/>
      <c r="F47" s="80">
        <f ca="1">Инвестиции!F133/(1+F$37)*F$37</f>
        <v>0</v>
      </c>
      <c r="G47" s="80">
        <f ca="1">Инвестиции!G133/(1+G$37)*G$37</f>
        <v>0</v>
      </c>
      <c r="H47" s="80">
        <f ca="1">Инвестиции!H133/(1+H$37)*H$37</f>
        <v>0</v>
      </c>
      <c r="I47" s="80">
        <f ca="1">Инвестиции!I133/(1+I$37)*I$37</f>
        <v>0</v>
      </c>
      <c r="J47" s="80">
        <f ca="1">Инвестиции!J133/(1+J$37)*J$37</f>
        <v>0</v>
      </c>
      <c r="K47" s="80">
        <f ca="1">Инвестиции!K133/(1+K$37)*K$37</f>
        <v>0</v>
      </c>
      <c r="L47" s="80">
        <f ca="1">Инвестиции!L133/(1+L$37)*L$37</f>
        <v>0</v>
      </c>
      <c r="M47" s="80">
        <f ca="1">Инвестиции!M133/(1+M$37)*M$37</f>
        <v>0</v>
      </c>
      <c r="N47" s="80">
        <f ca="1">Инвестиции!N133/(1+N$37)*N$37</f>
        <v>0</v>
      </c>
      <c r="O47" s="80">
        <f ca="1">Инвестиции!O133/(1+O$37)*O$37</f>
        <v>0</v>
      </c>
      <c r="P47" s="80">
        <f ca="1">Инвестиции!P133/(1+P$37)*P$37</f>
        <v>0</v>
      </c>
      <c r="Q47" s="80">
        <f ca="1">Инвестиции!Q133/(1+Q$37)*Q$37</f>
        <v>93642.061385559311</v>
      </c>
      <c r="R47" s="80">
        <f ca="1">Инвестиции!R133/(1+R$37)*R$37</f>
        <v>0</v>
      </c>
      <c r="S47" s="80">
        <f ca="1">Инвестиции!S133/(1+S$37)*S$37</f>
        <v>0</v>
      </c>
      <c r="T47" s="80">
        <f ca="1">Инвестиции!T133/(1+T$37)*T$37</f>
        <v>0</v>
      </c>
      <c r="U47" s="80">
        <f ca="1">Инвестиции!U133/(1+U$37)*U$37</f>
        <v>0</v>
      </c>
      <c r="V47" s="80">
        <f ca="1">Инвестиции!V133/(1+V$37)*V$37</f>
        <v>0</v>
      </c>
      <c r="W47" s="80">
        <f ca="1">Инвестиции!W133/(1+W$37)*W$37</f>
        <v>0</v>
      </c>
      <c r="X47" s="80">
        <f ca="1">Инвестиции!X133/(1+X$37)*X$37</f>
        <v>0</v>
      </c>
      <c r="Y47" s="80">
        <f ca="1">Инвестиции!Y133/(1+Y$37)*Y$37</f>
        <v>0</v>
      </c>
      <c r="Z47" s="80">
        <f ca="1">Инвестиции!Z133/(1+Z$37)*Z$37</f>
        <v>0</v>
      </c>
      <c r="AA47" s="80">
        <f ca="1">Инвестиции!AA133/(1+AA$37)*AA$37</f>
        <v>0</v>
      </c>
      <c r="AB47" s="80">
        <f ca="1">Инвестиции!AB133/(1+AB$37)*AB$37</f>
        <v>0</v>
      </c>
      <c r="AC47" s="80">
        <f ca="1">Инвестиции!AC133/(1+AC$37)*AC$37</f>
        <v>0</v>
      </c>
      <c r="AD47" s="80">
        <f ca="1">Инвестиции!AD133/(1+AD$37)*AD$37</f>
        <v>0</v>
      </c>
      <c r="AE47" s="80">
        <f ca="1">Инвестиции!AE133/(1+AE$37)*AE$37</f>
        <v>0</v>
      </c>
      <c r="AF47" s="80">
        <f ca="1">Инвестиции!AF133/(1+AF$37)*AF$37</f>
        <v>0</v>
      </c>
      <c r="AG47" s="80">
        <f ca="1">Инвестиции!AG133/(1+AG$37)*AG$37</f>
        <v>0</v>
      </c>
      <c r="AH47" s="80">
        <f ca="1">Инвестиции!AH133/(1+AH$37)*AH$37</f>
        <v>0</v>
      </c>
      <c r="AI47" s="80">
        <f ca="1">Инвестиции!AI133/(1+AI$37)*AI$37</f>
        <v>0</v>
      </c>
      <c r="AJ47" s="80">
        <f ca="1">Инвестиции!AJ133/(1+AJ$37)*AJ$37</f>
        <v>0</v>
      </c>
      <c r="AK47" s="80">
        <f ca="1">Инвестиции!AK133/(1+AK$37)*AK$37</f>
        <v>0</v>
      </c>
      <c r="AL47" s="80">
        <f ca="1">Инвестиции!AL133/(1+AL$37)*AL$37</f>
        <v>0</v>
      </c>
      <c r="AM47" s="80">
        <f ca="1">Инвестиции!AM133/(1+AM$37)*AM$37</f>
        <v>0</v>
      </c>
      <c r="AN47" s="80">
        <f ca="1">Инвестиции!AN133/(1+AN$37)*AN$37</f>
        <v>0</v>
      </c>
      <c r="AO47" s="80">
        <f ca="1">Инвестиции!AO133/(1+AO$37)*AO$37</f>
        <v>0</v>
      </c>
      <c r="AP47" s="80">
        <f ca="1">Инвестиции!AP133/(1+AP$37)*AP$37</f>
        <v>0</v>
      </c>
      <c r="AQ47" s="80">
        <f ca="1">Инвестиции!AQ133/(1+AQ$37)*AQ$37</f>
        <v>0</v>
      </c>
      <c r="AR47" s="80">
        <f ca="1">Инвестиции!AR133/(1+AR$37)*AR$37</f>
        <v>0</v>
      </c>
      <c r="AS47" s="80">
        <f ca="1">Инвестиции!AS133/(1+AS$37)*AS$37</f>
        <v>0</v>
      </c>
      <c r="AT47" s="80">
        <f ca="1">Инвестиции!AT133/(1+AT$37)*AT$37</f>
        <v>0</v>
      </c>
      <c r="AU47" s="80">
        <f ca="1">Инвестиции!AU133/(1+AU$37)*AU$37</f>
        <v>0</v>
      </c>
      <c r="AV47" s="80">
        <f ca="1">Инвестиции!AV133/(1+AV$37)*AV$37</f>
        <v>0</v>
      </c>
      <c r="AW47" s="80">
        <f ca="1">Инвестиции!AW133/(1+AW$37)*AW$37</f>
        <v>0</v>
      </c>
      <c r="AX47" s="80">
        <f ca="1">Инвестиции!AX133/(1+AX$37)*AX$37</f>
        <v>0</v>
      </c>
      <c r="AY47" s="80">
        <f ca="1">Инвестиции!AY133/(1+AY$37)*AY$37</f>
        <v>0</v>
      </c>
      <c r="AZ47" s="80">
        <f ca="1">Инвестиции!AZ133/(1+AZ$37)*AZ$37</f>
        <v>0</v>
      </c>
      <c r="BA47" s="80">
        <f ca="1">Инвестиции!BA133/(1+BA$37)*BA$37</f>
        <v>0</v>
      </c>
      <c r="BB47" s="80">
        <f ca="1">Инвестиции!BB133/(1+BB$37)*BB$37</f>
        <v>0</v>
      </c>
      <c r="BC47" s="80">
        <f ca="1">Инвестиции!BC133/(1+BC$37)*BC$37</f>
        <v>0</v>
      </c>
      <c r="BD47" s="80">
        <f ca="1">Инвестиции!BD133/(1+BD$37)*BD$37</f>
        <v>0</v>
      </c>
      <c r="BE47" s="80">
        <f ca="1">Инвестиции!BE133/(1+BE$37)*BE$37</f>
        <v>0</v>
      </c>
      <c r="BF47" s="80">
        <f ca="1">Инвестиции!BF133/(1+BF$37)*BF$37</f>
        <v>0</v>
      </c>
      <c r="BG47" s="80">
        <f ca="1">Инвестиции!BG133/(1+BG$37)*BG$37</f>
        <v>0</v>
      </c>
      <c r="BH47" s="80">
        <f ca="1">Инвестиции!BH133/(1+BH$37)*BH$37</f>
        <v>0</v>
      </c>
      <c r="BI47" s="80">
        <f ca="1">Инвестиции!BI133/(1+BI$37)*BI$37</f>
        <v>0</v>
      </c>
      <c r="BJ47" s="80">
        <f ca="1">Инвестиции!BJ133/(1+BJ$37)*BJ$37</f>
        <v>0</v>
      </c>
      <c r="BK47" s="80">
        <f ca="1">Инвестиции!BK133/(1+BK$37)*BK$37</f>
        <v>0</v>
      </c>
      <c r="BL47" s="80">
        <f ca="1">Инвестиции!BL133/(1+BL$37)*BL$37</f>
        <v>0</v>
      </c>
      <c r="BM47" s="80">
        <f ca="1">Инвестиции!BM133/(1+BM$37)*BM$37</f>
        <v>0</v>
      </c>
      <c r="BN47" s="80">
        <f ca="1">Инвестиции!BN133/(1+BN$37)*BN$37</f>
        <v>0</v>
      </c>
      <c r="BO47" s="80">
        <f ca="1">Инвестиции!BO133/(1+BO$37)*BO$37</f>
        <v>0</v>
      </c>
      <c r="BP47" s="80">
        <f ca="1">Инвестиции!BP133/(1+BP$37)*BP$37</f>
        <v>0</v>
      </c>
      <c r="BQ47" s="80">
        <f ca="1">Инвестиции!BQ133/(1+BQ$37)*BQ$37</f>
        <v>0</v>
      </c>
      <c r="BR47" s="80">
        <f ca="1">Инвестиции!BR133/(1+BR$37)*BR$37</f>
        <v>0</v>
      </c>
      <c r="BS47" s="80">
        <f ca="1">Инвестиции!BS133/(1+BS$37)*BS$37</f>
        <v>0</v>
      </c>
      <c r="BT47" s="80">
        <f ca="1">Инвестиции!BT133/(1+BT$37)*BT$37</f>
        <v>0</v>
      </c>
      <c r="BU47" s="80">
        <f ca="1">Инвестиции!BU133/(1+BU$37)*BU$37</f>
        <v>0</v>
      </c>
      <c r="BV47" s="80">
        <f ca="1">Инвестиции!BV133/(1+BV$37)*BV$37</f>
        <v>0</v>
      </c>
      <c r="BW47" s="80">
        <f ca="1">Инвестиции!BW133/(1+BW$37)*BW$37</f>
        <v>0</v>
      </c>
      <c r="BX47" s="80">
        <f ca="1">Инвестиции!BX133/(1+BX$37)*BX$37</f>
        <v>0</v>
      </c>
      <c r="BY47" s="80">
        <f ca="1">Инвестиции!BY133/(1+BY$37)*BY$37</f>
        <v>0</v>
      </c>
      <c r="BZ47" s="80">
        <f ca="1">Инвестиции!BZ133/(1+BZ$37)*BZ$37</f>
        <v>0</v>
      </c>
      <c r="CA47" s="80">
        <f ca="1">Инвестиции!CA133/(1+CA$37)*CA$37</f>
        <v>0</v>
      </c>
      <c r="CB47" s="80">
        <f ca="1">Инвестиции!CB133/(1+CB$37)*CB$37</f>
        <v>0</v>
      </c>
      <c r="CC47" s="80">
        <f ca="1">Инвестиции!CC133/(1+CC$37)*CC$37</f>
        <v>0</v>
      </c>
      <c r="CD47" s="80">
        <f ca="1">Инвестиции!CD133/(1+CD$37)*CD$37</f>
        <v>0</v>
      </c>
      <c r="CE47" s="80">
        <f ca="1">Инвестиции!CE133/(1+CE$37)*CE$37</f>
        <v>0</v>
      </c>
      <c r="CF47" s="80">
        <f ca="1">Инвестиции!CF133/(1+CF$37)*CF$37</f>
        <v>0</v>
      </c>
      <c r="CG47" s="80">
        <f ca="1">Инвестиции!CG133/(1+CG$37)*CG$37</f>
        <v>0</v>
      </c>
      <c r="CH47" s="80">
        <f ca="1">Инвестиции!CH133/(1+CH$37)*CH$37</f>
        <v>0</v>
      </c>
      <c r="CI47" s="80">
        <f ca="1">Инвестиции!CI133/(1+CI$37)*CI$37</f>
        <v>0</v>
      </c>
      <c r="CJ47" s="80">
        <f ca="1">Инвестиции!CJ133/(1+CJ$37)*CJ$37</f>
        <v>0</v>
      </c>
      <c r="CK47" s="80">
        <f ca="1">Инвестиции!CK133/(1+CK$37)*CK$37</f>
        <v>0</v>
      </c>
    </row>
    <row r="48" spans="2:89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</row>
    <row r="49" spans="2:89" ht="18" thickBot="1">
      <c r="B49" s="100" t="str">
        <f>" Расчет НДС по месяцам, в "&amp;Ед_измерения_денег</f>
        <v xml:space="preserve"> Расчет НДС по месяцам, в  руб.</v>
      </c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</row>
    <row r="50" spans="2:89" ht="15.75" thickTop="1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</row>
    <row r="51" spans="2:89">
      <c r="B51" s="77" t="s">
        <v>65</v>
      </c>
      <c r="C51" s="78"/>
      <c r="D51" s="98">
        <f ca="1">SUM(F51:CK51)</f>
        <v>1153492922.2630031</v>
      </c>
      <c r="E51" s="79"/>
      <c r="F51" s="80">
        <f t="shared" ref="F51:AG51" ca="1" si="13">F44</f>
        <v>0</v>
      </c>
      <c r="G51" s="80">
        <f t="shared" ca="1" si="13"/>
        <v>0</v>
      </c>
      <c r="H51" s="80">
        <f t="shared" ca="1" si="13"/>
        <v>0</v>
      </c>
      <c r="I51" s="80">
        <f t="shared" ca="1" si="13"/>
        <v>0</v>
      </c>
      <c r="J51" s="80">
        <f t="shared" ca="1" si="13"/>
        <v>0</v>
      </c>
      <c r="K51" s="80">
        <f t="shared" ca="1" si="13"/>
        <v>0</v>
      </c>
      <c r="L51" s="80">
        <f t="shared" ca="1" si="13"/>
        <v>0</v>
      </c>
      <c r="M51" s="80">
        <f t="shared" ca="1" si="13"/>
        <v>0</v>
      </c>
      <c r="N51" s="80">
        <f t="shared" ca="1" si="13"/>
        <v>0</v>
      </c>
      <c r="O51" s="80">
        <f t="shared" ca="1" si="13"/>
        <v>0</v>
      </c>
      <c r="P51" s="80">
        <f t="shared" ca="1" si="13"/>
        <v>0</v>
      </c>
      <c r="Q51" s="80">
        <f t="shared" ca="1" si="13"/>
        <v>0</v>
      </c>
      <c r="R51" s="80">
        <f t="shared" ca="1" si="13"/>
        <v>7690294.0744730532</v>
      </c>
      <c r="S51" s="80">
        <f t="shared" ca="1" si="13"/>
        <v>7722139.972881794</v>
      </c>
      <c r="T51" s="80">
        <f t="shared" ca="1" si="13"/>
        <v>7753084.141684969</v>
      </c>
      <c r="U51" s="80">
        <f t="shared" ca="1" si="13"/>
        <v>7785190.0569516039</v>
      </c>
      <c r="V51" s="80">
        <f t="shared" ca="1" si="13"/>
        <v>7817428.9244442545</v>
      </c>
      <c r="W51" s="80">
        <f t="shared" ca="1" si="13"/>
        <v>7848754.9352514064</v>
      </c>
      <c r="X51" s="80">
        <f t="shared" ca="1" si="13"/>
        <v>7881257.0281340182</v>
      </c>
      <c r="Y51" s="80">
        <f t="shared" ca="1" si="13"/>
        <v>7912838.8109968305</v>
      </c>
      <c r="Z51" s="80">
        <f t="shared" ca="1" si="13"/>
        <v>7945606.2784641972</v>
      </c>
      <c r="AA51" s="80">
        <f t="shared" ca="1" si="13"/>
        <v>7978599.770223625</v>
      </c>
      <c r="AB51" s="80">
        <f t="shared" ca="1" si="13"/>
        <v>8008518.0845199591</v>
      </c>
      <c r="AC51" s="80">
        <f t="shared" ca="1" si="13"/>
        <v>8041772.8125000019</v>
      </c>
      <c r="AD51" s="80">
        <f t="shared" ca="1" si="13"/>
        <v>8898425.4885259978</v>
      </c>
      <c r="AE51" s="80">
        <f t="shared" ca="1" si="13"/>
        <v>9166407.5546847191</v>
      </c>
      <c r="AF51" s="80">
        <f t="shared" ca="1" si="13"/>
        <v>9452137.2589215022</v>
      </c>
      <c r="AG51" s="80">
        <f t="shared" ca="1" si="13"/>
        <v>9779056.0435293149</v>
      </c>
      <c r="AH51" s="80">
        <f t="shared" ref="AH51:BM51" ca="1" si="14">AH44</f>
        <v>10143414.556297645</v>
      </c>
      <c r="AI51" s="80">
        <f t="shared" ca="1" si="14"/>
        <v>10537552.309379697</v>
      </c>
      <c r="AJ51" s="80">
        <f t="shared" ca="1" si="14"/>
        <v>10994908.553710476</v>
      </c>
      <c r="AK51" s="80">
        <f t="shared" ca="1" si="14"/>
        <v>11494044.857385281</v>
      </c>
      <c r="AL51" s="80">
        <f t="shared" ca="1" si="14"/>
        <v>12078158.459482817</v>
      </c>
      <c r="AM51" s="80">
        <f t="shared" ca="1" si="14"/>
        <v>12743619.724098552</v>
      </c>
      <c r="AN51" s="80">
        <f t="shared" ca="1" si="14"/>
        <v>13426338.476653554</v>
      </c>
      <c r="AO51" s="80">
        <f t="shared" ca="1" si="14"/>
        <v>14287893.523408897</v>
      </c>
      <c r="AP51" s="80">
        <f t="shared" ca="1" si="14"/>
        <v>14555429.837972531</v>
      </c>
      <c r="AQ51" s="80">
        <f t="shared" ca="1" si="14"/>
        <v>14846903.971327279</v>
      </c>
      <c r="AR51" s="80">
        <f t="shared" ca="1" si="14"/>
        <v>15144425.107211519</v>
      </c>
      <c r="AS51" s="80">
        <f t="shared" ca="1" si="14"/>
        <v>15468843.829541534</v>
      </c>
      <c r="AT51" s="80">
        <f t="shared" ca="1" si="14"/>
        <v>15811620.179937758</v>
      </c>
      <c r="AU51" s="80">
        <f t="shared" ca="1" si="14"/>
        <v>16161931.46269672</v>
      </c>
      <c r="AV51" s="80">
        <f t="shared" ca="1" si="14"/>
        <v>16544356.355532391</v>
      </c>
      <c r="AW51" s="80">
        <f t="shared" ca="1" si="14"/>
        <v>16935469.415217079</v>
      </c>
      <c r="AX51" s="80">
        <f t="shared" ca="1" si="14"/>
        <v>17362731.002614733</v>
      </c>
      <c r="AY51" s="80">
        <f t="shared" ca="1" si="14"/>
        <v>17814982.603745941</v>
      </c>
      <c r="AZ51" s="80">
        <f t="shared" ca="1" si="14"/>
        <v>18246287.61003077</v>
      </c>
      <c r="BA51" s="80">
        <f t="shared" ca="1" si="14"/>
        <v>18750646.404928051</v>
      </c>
      <c r="BB51" s="80">
        <f t="shared" ca="1" si="14"/>
        <v>18825990.287788082</v>
      </c>
      <c r="BC51" s="80">
        <f t="shared" ca="1" si="14"/>
        <v>18904163.700068377</v>
      </c>
      <c r="BD51" s="80">
        <f t="shared" ca="1" si="14"/>
        <v>18980124.446414199</v>
      </c>
      <c r="BE51" s="80">
        <f t="shared" ca="1" si="14"/>
        <v>19058937.888405781</v>
      </c>
      <c r="BF51" s="80">
        <f t="shared" ca="1" si="14"/>
        <v>19138078.596883744</v>
      </c>
      <c r="BG51" s="80">
        <f t="shared" ca="1" si="14"/>
        <v>19214979.260510508</v>
      </c>
      <c r="BH51" s="80">
        <f t="shared" ca="1" si="14"/>
        <v>19294767.918250524</v>
      </c>
      <c r="BI51" s="80">
        <f t="shared" ca="1" si="14"/>
        <v>19372298.191204853</v>
      </c>
      <c r="BJ51" s="80">
        <f t="shared" ca="1" si="14"/>
        <v>19452740.103166323</v>
      </c>
      <c r="BK51" s="80">
        <f t="shared" ca="1" si="14"/>
        <v>19533294.888080645</v>
      </c>
      <c r="BL51" s="80">
        <f t="shared" ca="1" si="14"/>
        <v>19608954.556850947</v>
      </c>
      <c r="BM51" s="80">
        <f t="shared" ca="1" si="14"/>
        <v>19690156.23375326</v>
      </c>
      <c r="BN51" s="80">
        <f t="shared" ref="BN51:CK51" ca="1" si="15">BN44</f>
        <v>19769058.65204636</v>
      </c>
      <c r="BO51" s="80">
        <f t="shared" ca="1" si="15"/>
        <v>19850923.328139734</v>
      </c>
      <c r="BP51" s="80">
        <f t="shared" ca="1" si="15"/>
        <v>19930469.972531322</v>
      </c>
      <c r="BQ51" s="80">
        <f t="shared" ca="1" si="15"/>
        <v>20013003.061102089</v>
      </c>
      <c r="BR51" s="80">
        <f t="shared" ca="1" si="15"/>
        <v>20095877.92338508</v>
      </c>
      <c r="BS51" s="80">
        <f t="shared" ca="1" si="15"/>
        <v>20176406.150132209</v>
      </c>
      <c r="BT51" s="80">
        <f t="shared" ca="1" si="15"/>
        <v>20259957.672907323</v>
      </c>
      <c r="BU51" s="80">
        <f t="shared" ca="1" si="15"/>
        <v>20341143.400228675</v>
      </c>
      <c r="BV51" s="80">
        <f t="shared" ca="1" si="15"/>
        <v>20425377.108324647</v>
      </c>
      <c r="BW51" s="80">
        <f t="shared" ca="1" si="15"/>
        <v>20510191.845890149</v>
      </c>
      <c r="BX51" s="80">
        <f t="shared" ca="1" si="15"/>
        <v>20587101.376834858</v>
      </c>
      <c r="BY51" s="80">
        <f t="shared" ca="1" si="15"/>
        <v>20672587.661433198</v>
      </c>
      <c r="BZ51" s="80">
        <f t="shared" ca="1" si="15"/>
        <v>20755654.292286385</v>
      </c>
      <c r="CA51" s="80">
        <f t="shared" ca="1" si="15"/>
        <v>20841840.47932541</v>
      </c>
      <c r="CB51" s="80">
        <f t="shared" ca="1" si="15"/>
        <v>20925587.202171676</v>
      </c>
      <c r="CC51" s="80">
        <f t="shared" ca="1" si="15"/>
        <v>21012479.0219674</v>
      </c>
      <c r="CD51" s="80">
        <f t="shared" ca="1" si="15"/>
        <v>21099731.653064355</v>
      </c>
      <c r="CE51" s="80">
        <f t="shared" ca="1" si="15"/>
        <v>21184514.63471286</v>
      </c>
      <c r="CF51" s="80">
        <f t="shared" ca="1" si="15"/>
        <v>21272481.629871219</v>
      </c>
      <c r="CG51" s="80">
        <f t="shared" ca="1" si="15"/>
        <v>21357958.755803376</v>
      </c>
      <c r="CH51" s="80">
        <f t="shared" ca="1" si="15"/>
        <v>21446645.963740896</v>
      </c>
      <c r="CI51" s="80">
        <f t="shared" ca="1" si="15"/>
        <v>21535701.438184679</v>
      </c>
      <c r="CJ51" s="80">
        <f t="shared" ca="1" si="15"/>
        <v>21616456.445676625</v>
      </c>
      <c r="CK51" s="80">
        <f t="shared" ca="1" si="15"/>
        <v>21706217.044504877</v>
      </c>
    </row>
    <row r="52" spans="2:89" ht="15.75" thickBot="1">
      <c r="B52" s="45" t="s">
        <v>169</v>
      </c>
      <c r="C52" s="46"/>
      <c r="D52" s="47">
        <f ca="1">SUM(F52:CK52)</f>
        <v>-614198521.58832562</v>
      </c>
      <c r="E52" s="48"/>
      <c r="F52" s="49">
        <f t="shared" ref="F52:AG52" ca="1" si="16">-SUM(F45:F47)</f>
        <v>-5976363.6363636367</v>
      </c>
      <c r="G52" s="49">
        <f t="shared" ca="1" si="16"/>
        <v>-5976363.6363636367</v>
      </c>
      <c r="H52" s="49">
        <f t="shared" ca="1" si="16"/>
        <v>-5570000</v>
      </c>
      <c r="I52" s="49">
        <f t="shared" ca="1" si="16"/>
        <v>-13475454.545454545</v>
      </c>
      <c r="J52" s="49">
        <f t="shared" ca="1" si="16"/>
        <v>-13475454.545454545</v>
      </c>
      <c r="K52" s="49">
        <f t="shared" ca="1" si="16"/>
        <v>-13081818.181818182</v>
      </c>
      <c r="L52" s="49">
        <f t="shared" ca="1" si="16"/>
        <v>-8563636.3636363633</v>
      </c>
      <c r="M52" s="49">
        <f t="shared" ca="1" si="16"/>
        <v>-9081818.1818181816</v>
      </c>
      <c r="N52" s="49">
        <f t="shared" ca="1" si="16"/>
        <v>-9490909.0909090918</v>
      </c>
      <c r="O52" s="49">
        <f t="shared" ca="1" si="16"/>
        <v>-6141818.1818181816</v>
      </c>
      <c r="P52" s="49">
        <f t="shared" ca="1" si="16"/>
        <v>-6784545.4545454551</v>
      </c>
      <c r="Q52" s="49">
        <f t="shared" ca="1" si="16"/>
        <v>-7930005.6977491956</v>
      </c>
      <c r="R52" s="49">
        <f t="shared" ca="1" si="16"/>
        <v>-4527147.9630810563</v>
      </c>
      <c r="S52" s="49">
        <f t="shared" ca="1" si="16"/>
        <v>-4546570.7745314185</v>
      </c>
      <c r="T52" s="49">
        <f t="shared" ca="1" si="16"/>
        <v>-4565446.4022754552</v>
      </c>
      <c r="U52" s="49">
        <f t="shared" ca="1" si="16"/>
        <v>-4585033.5697050123</v>
      </c>
      <c r="V52" s="49">
        <f t="shared" ca="1" si="16"/>
        <v>-4604704.7946874639</v>
      </c>
      <c r="W52" s="49">
        <f t="shared" ca="1" si="16"/>
        <v>-4623821.8378526308</v>
      </c>
      <c r="X52" s="49">
        <f t="shared" ca="1" si="16"/>
        <v>-4643659.5214093802</v>
      </c>
      <c r="Y52" s="49">
        <f t="shared" ca="1" si="16"/>
        <v>-4662938.3338102046</v>
      </c>
      <c r="Z52" s="49">
        <f t="shared" ca="1" si="16"/>
        <v>-4682943.8848653352</v>
      </c>
      <c r="AA52" s="49">
        <f t="shared" ca="1" si="16"/>
        <v>-4703090.4526041904</v>
      </c>
      <c r="AB52" s="49">
        <f t="shared" ca="1" si="16"/>
        <v>-4721361.8593238732</v>
      </c>
      <c r="AC52" s="49">
        <f t="shared" ca="1" si="16"/>
        <v>-4741673.7500490034</v>
      </c>
      <c r="AD52" s="49">
        <f t="shared" ca="1" si="16"/>
        <v>-4910262.031584423</v>
      </c>
      <c r="AE52" s="49">
        <f t="shared" ca="1" si="16"/>
        <v>-5057914.0281189959</v>
      </c>
      <c r="AF52" s="49">
        <f t="shared" ca="1" si="16"/>
        <v>-5207552.9867714038</v>
      </c>
      <c r="AG52" s="49">
        <f t="shared" ca="1" si="16"/>
        <v>-5369694.1371667199</v>
      </c>
      <c r="AH52" s="49">
        <f t="shared" ref="AH52:BM52" ca="1" si="17">-SUM(AH45:AH47)</f>
        <v>-5540083.0576172685</v>
      </c>
      <c r="AI52" s="49">
        <f t="shared" ca="1" si="17"/>
        <v>-5713476.8394336514</v>
      </c>
      <c r="AJ52" s="49">
        <f t="shared" ca="1" si="17"/>
        <v>-5902185.1169455545</v>
      </c>
      <c r="AK52" s="49">
        <f t="shared" ca="1" si="17"/>
        <v>-6094838.4371962762</v>
      </c>
      <c r="AL52" s="49">
        <f t="shared" ca="1" si="17"/>
        <v>-6305226.4893108271</v>
      </c>
      <c r="AM52" s="49">
        <f t="shared" ca="1" si="17"/>
        <v>-6528198.3886092808</v>
      </c>
      <c r="AN52" s="49">
        <f t="shared" ca="1" si="17"/>
        <v>-6741438.0520789642</v>
      </c>
      <c r="AO52" s="49">
        <f t="shared" ca="1" si="17"/>
        <v>-6991930.1807296891</v>
      </c>
      <c r="AP52" s="49">
        <f t="shared" ca="1" si="17"/>
        <v>-7033433.2583138514</v>
      </c>
      <c r="AQ52" s="49">
        <f t="shared" ca="1" si="17"/>
        <v>-7077321.5185585041</v>
      </c>
      <c r="AR52" s="49">
        <f t="shared" ca="1" si="17"/>
        <v>-7120818.1498024538</v>
      </c>
      <c r="AS52" s="49">
        <f t="shared" ca="1" si="17"/>
        <v>-7166883.6931295237</v>
      </c>
      <c r="AT52" s="49">
        <f t="shared" ca="1" si="17"/>
        <v>-7214152.3292502407</v>
      </c>
      <c r="AU52" s="49">
        <f t="shared" ca="1" si="17"/>
        <v>-7261108.2352394015</v>
      </c>
      <c r="AV52" s="49">
        <f t="shared" ca="1" si="17"/>
        <v>-7310954.9990229383</v>
      </c>
      <c r="AW52" s="49">
        <f t="shared" ca="1" si="17"/>
        <v>-7360551.2253936492</v>
      </c>
      <c r="AX52" s="49">
        <f t="shared" ca="1" si="17"/>
        <v>-7413286.1459657615</v>
      </c>
      <c r="AY52" s="49">
        <f t="shared" ca="1" si="17"/>
        <v>-7467620.4903490711</v>
      </c>
      <c r="AZ52" s="49">
        <f t="shared" ca="1" si="17"/>
        <v>-7518151.4576122975</v>
      </c>
      <c r="BA52" s="49">
        <f t="shared" ca="1" si="17"/>
        <v>-7575801.338663891</v>
      </c>
      <c r="BB52" s="49">
        <f t="shared" ca="1" si="17"/>
        <v>-7607368.8576666908</v>
      </c>
      <c r="BC52" s="49">
        <f t="shared" ca="1" si="17"/>
        <v>-7640126.8476255648</v>
      </c>
      <c r="BD52" s="49">
        <f t="shared" ca="1" si="17"/>
        <v>-7671962.4536085641</v>
      </c>
      <c r="BE52" s="49">
        <f t="shared" ca="1" si="17"/>
        <v>-7704998.6408137651</v>
      </c>
      <c r="BF52" s="49">
        <f t="shared" ca="1" si="17"/>
        <v>-7738177.1112595145</v>
      </c>
      <c r="BG52" s="49">
        <f t="shared" ca="1" si="17"/>
        <v>-7770421.3583303466</v>
      </c>
      <c r="BH52" s="49">
        <f t="shared" ca="1" si="17"/>
        <v>-7803881.5975580039</v>
      </c>
      <c r="BI52" s="49">
        <f t="shared" ca="1" si="17"/>
        <v>-7836399.6796959387</v>
      </c>
      <c r="BJ52" s="49">
        <f t="shared" ca="1" si="17"/>
        <v>-7870144.0810362063</v>
      </c>
      <c r="BK52" s="49">
        <f t="shared" ca="1" si="17"/>
        <v>-7903941.0228613885</v>
      </c>
      <c r="BL52" s="49">
        <f t="shared" ca="1" si="17"/>
        <v>-7935688.9206817215</v>
      </c>
      <c r="BM52" s="49">
        <f t="shared" ca="1" si="17"/>
        <v>-7969767.3853020985</v>
      </c>
      <c r="BN52" s="49">
        <f t="shared" ref="BN52:CK52" ca="1" si="18">-SUM(BN45:BN47)</f>
        <v>-8002885.9030292695</v>
      </c>
      <c r="BO52" s="49">
        <f t="shared" ca="1" si="18"/>
        <v>-8037252.9869963592</v>
      </c>
      <c r="BP52" s="49">
        <f t="shared" ca="1" si="18"/>
        <v>-8070651.9942296445</v>
      </c>
      <c r="BQ52" s="49">
        <f t="shared" ca="1" si="18"/>
        <v>-8105310.1423470993</v>
      </c>
      <c r="BR52" s="49">
        <f t="shared" ca="1" si="18"/>
        <v>-8140117.1518637836</v>
      </c>
      <c r="BS52" s="49">
        <f t="shared" ca="1" si="18"/>
        <v>-8173943.6928101601</v>
      </c>
      <c r="BT52" s="49">
        <f t="shared" ca="1" si="18"/>
        <v>-8209045.4929540949</v>
      </c>
      <c r="BU52" s="49">
        <f t="shared" ca="1" si="18"/>
        <v>-8243158.5208581388</v>
      </c>
      <c r="BV52" s="49">
        <f t="shared" ca="1" si="18"/>
        <v>-8278557.6087159961</v>
      </c>
      <c r="BW52" s="49">
        <f t="shared" ca="1" si="18"/>
        <v>-8314206.3507570866</v>
      </c>
      <c r="BX52" s="49">
        <f t="shared" ca="1" si="18"/>
        <v>-8346537.1647047028</v>
      </c>
      <c r="BY52" s="49">
        <f t="shared" ca="1" si="18"/>
        <v>-8382478.691073725</v>
      </c>
      <c r="BZ52" s="49">
        <f t="shared" ca="1" si="18"/>
        <v>-8417408.1952432506</v>
      </c>
      <c r="CA52" s="49">
        <f t="shared" ca="1" si="18"/>
        <v>-8453654.9597903993</v>
      </c>
      <c r="CB52" s="49">
        <f t="shared" ca="1" si="18"/>
        <v>-8488881.1076147482</v>
      </c>
      <c r="CC52" s="49">
        <f t="shared" ca="1" si="18"/>
        <v>-8525435.703050267</v>
      </c>
      <c r="CD52" s="49">
        <f t="shared" ca="1" si="18"/>
        <v>-8562147.7377890199</v>
      </c>
      <c r="CE52" s="49">
        <f t="shared" ca="1" si="18"/>
        <v>-8597826.0552990232</v>
      </c>
      <c r="CF52" s="49">
        <f t="shared" ca="1" si="18"/>
        <v>-8634849.872963652</v>
      </c>
      <c r="CG52" s="49">
        <f t="shared" ca="1" si="18"/>
        <v>-8670831.1946013253</v>
      </c>
      <c r="CH52" s="49">
        <f t="shared" ca="1" si="18"/>
        <v>-8708169.4435020369</v>
      </c>
      <c r="CI52" s="49">
        <f t="shared" ca="1" si="18"/>
        <v>-8745668.5074398518</v>
      </c>
      <c r="CJ52" s="49">
        <f t="shared" ca="1" si="18"/>
        <v>-8779677.4298205227</v>
      </c>
      <c r="CK52" s="49">
        <f t="shared" ca="1" si="18"/>
        <v>-8817484.4774407949</v>
      </c>
    </row>
    <row r="53" spans="2:89" ht="15.75" thickTop="1">
      <c r="B53" s="50" t="s">
        <v>222</v>
      </c>
      <c r="C53" s="51"/>
      <c r="D53" s="52">
        <f ca="1">SUM(D51:D52)</f>
        <v>539294400.67467749</v>
      </c>
      <c r="E53" s="53"/>
      <c r="F53" s="54">
        <f t="shared" ref="F53:AF53" ca="1" si="19">SUM(F51:F52)</f>
        <v>-5976363.6363636367</v>
      </c>
      <c r="G53" s="54">
        <f t="shared" ca="1" si="19"/>
        <v>-5976363.6363636367</v>
      </c>
      <c r="H53" s="54">
        <f t="shared" ca="1" si="19"/>
        <v>-5570000</v>
      </c>
      <c r="I53" s="54">
        <f t="shared" ca="1" si="19"/>
        <v>-13475454.545454545</v>
      </c>
      <c r="J53" s="54">
        <f t="shared" ca="1" si="19"/>
        <v>-13475454.545454545</v>
      </c>
      <c r="K53" s="54">
        <f t="shared" ca="1" si="19"/>
        <v>-13081818.181818182</v>
      </c>
      <c r="L53" s="54">
        <f t="shared" ca="1" si="19"/>
        <v>-8563636.3636363633</v>
      </c>
      <c r="M53" s="54">
        <f t="shared" ca="1" si="19"/>
        <v>-9081818.1818181816</v>
      </c>
      <c r="N53" s="54">
        <f t="shared" ca="1" si="19"/>
        <v>-9490909.0909090918</v>
      </c>
      <c r="O53" s="54">
        <f t="shared" ca="1" si="19"/>
        <v>-6141818.1818181816</v>
      </c>
      <c r="P53" s="54">
        <f t="shared" ca="1" si="19"/>
        <v>-6784545.4545454551</v>
      </c>
      <c r="Q53" s="54">
        <f t="shared" ca="1" si="19"/>
        <v>-7930005.6977491956</v>
      </c>
      <c r="R53" s="54">
        <f t="shared" ca="1" si="19"/>
        <v>3163146.111391997</v>
      </c>
      <c r="S53" s="54">
        <f t="shared" ca="1" si="19"/>
        <v>3175569.1983503755</v>
      </c>
      <c r="T53" s="54">
        <f t="shared" ca="1" si="19"/>
        <v>3187637.7394095138</v>
      </c>
      <c r="U53" s="54">
        <f t="shared" ca="1" si="19"/>
        <v>3200156.4872465916</v>
      </c>
      <c r="V53" s="54">
        <f t="shared" ca="1" si="19"/>
        <v>3212724.1297567906</v>
      </c>
      <c r="W53" s="54">
        <f t="shared" ca="1" si="19"/>
        <v>3224933.0973987756</v>
      </c>
      <c r="X53" s="54">
        <f t="shared" ca="1" si="19"/>
        <v>3237597.5067246379</v>
      </c>
      <c r="Y53" s="54">
        <f t="shared" ca="1" si="19"/>
        <v>3249900.4771866258</v>
      </c>
      <c r="Z53" s="54">
        <f t="shared" ca="1" si="19"/>
        <v>3262662.393598862</v>
      </c>
      <c r="AA53" s="54">
        <f t="shared" ca="1" si="19"/>
        <v>3275509.3176194346</v>
      </c>
      <c r="AB53" s="54">
        <f t="shared" ca="1" si="19"/>
        <v>3287156.2251960859</v>
      </c>
      <c r="AC53" s="54">
        <f t="shared" ca="1" si="19"/>
        <v>3300099.0624509985</v>
      </c>
      <c r="AD53" s="54">
        <f t="shared" ca="1" si="19"/>
        <v>3988163.4569415748</v>
      </c>
      <c r="AE53" s="54">
        <f t="shared" ca="1" si="19"/>
        <v>4108493.5265657231</v>
      </c>
      <c r="AF53" s="54">
        <f t="shared" ca="1" si="19"/>
        <v>4244584.2721500983</v>
      </c>
      <c r="AG53" s="54">
        <f t="shared" ref="AG53:BM53" ca="1" si="20">SUM(AG51:AG52)</f>
        <v>4409361.906362595</v>
      </c>
      <c r="AH53" s="54">
        <f t="shared" ca="1" si="20"/>
        <v>4603331.4986803764</v>
      </c>
      <c r="AI53" s="54">
        <f t="shared" ca="1" si="20"/>
        <v>4824075.4699460454</v>
      </c>
      <c r="AJ53" s="54">
        <f t="shared" ca="1" si="20"/>
        <v>5092723.4367649211</v>
      </c>
      <c r="AK53" s="54">
        <f t="shared" ca="1" si="20"/>
        <v>5399206.4201890053</v>
      </c>
      <c r="AL53" s="54">
        <f t="shared" ca="1" si="20"/>
        <v>5772931.9701719899</v>
      </c>
      <c r="AM53" s="54">
        <f t="shared" ca="1" si="20"/>
        <v>6215421.3354892712</v>
      </c>
      <c r="AN53" s="54">
        <f t="shared" ca="1" si="20"/>
        <v>6684900.4245745894</v>
      </c>
      <c r="AO53" s="54">
        <f t="shared" ca="1" si="20"/>
        <v>7295963.3426792081</v>
      </c>
      <c r="AP53" s="54">
        <f t="shared" ca="1" si="20"/>
        <v>7521996.5796586797</v>
      </c>
      <c r="AQ53" s="54">
        <f t="shared" ca="1" si="20"/>
        <v>7769582.4527687747</v>
      </c>
      <c r="AR53" s="54">
        <f t="shared" ca="1" si="20"/>
        <v>8023606.9574090652</v>
      </c>
      <c r="AS53" s="54">
        <f t="shared" ca="1" si="20"/>
        <v>8301960.1364120105</v>
      </c>
      <c r="AT53" s="54">
        <f t="shared" ca="1" si="20"/>
        <v>8597467.8506875169</v>
      </c>
      <c r="AU53" s="54">
        <f t="shared" ca="1" si="20"/>
        <v>8900823.2274573185</v>
      </c>
      <c r="AV53" s="54">
        <f t="shared" ca="1" si="20"/>
        <v>9233401.3565094527</v>
      </c>
      <c r="AW53" s="54">
        <f t="shared" ca="1" si="20"/>
        <v>9574918.18982343</v>
      </c>
      <c r="AX53" s="54">
        <f t="shared" ca="1" si="20"/>
        <v>9949444.8566489704</v>
      </c>
      <c r="AY53" s="54">
        <f t="shared" ca="1" si="20"/>
        <v>10347362.11339687</v>
      </c>
      <c r="AZ53" s="54">
        <f t="shared" ca="1" si="20"/>
        <v>10728136.152418472</v>
      </c>
      <c r="BA53" s="54">
        <f t="shared" ca="1" si="20"/>
        <v>11174845.06626416</v>
      </c>
      <c r="BB53" s="54">
        <f t="shared" ca="1" si="20"/>
        <v>11218621.430121392</v>
      </c>
      <c r="BC53" s="54">
        <f t="shared" ca="1" si="20"/>
        <v>11264036.852442812</v>
      </c>
      <c r="BD53" s="54">
        <f t="shared" ca="1" si="20"/>
        <v>11308161.992805634</v>
      </c>
      <c r="BE53" s="54">
        <f t="shared" ca="1" si="20"/>
        <v>11353939.247592017</v>
      </c>
      <c r="BF53" s="54">
        <f t="shared" ca="1" si="20"/>
        <v>11399901.48562423</v>
      </c>
      <c r="BG53" s="54">
        <f t="shared" ca="1" si="20"/>
        <v>11444557.902180161</v>
      </c>
      <c r="BH53" s="54">
        <f t="shared" ca="1" si="20"/>
        <v>11490886.320692521</v>
      </c>
      <c r="BI53" s="54">
        <f t="shared" ca="1" si="20"/>
        <v>11535898.511508916</v>
      </c>
      <c r="BJ53" s="54">
        <f t="shared" ca="1" si="20"/>
        <v>11582596.022130117</v>
      </c>
      <c r="BK53" s="54">
        <f t="shared" ca="1" si="20"/>
        <v>11629353.865219258</v>
      </c>
      <c r="BL53" s="54">
        <f t="shared" ca="1" si="20"/>
        <v>11673265.636169225</v>
      </c>
      <c r="BM53" s="54">
        <f t="shared" ca="1" si="20"/>
        <v>11720388.848451162</v>
      </c>
      <c r="BN53" s="54">
        <f t="shared" ref="BN53:CK53" ca="1" si="21">SUM(BN51:BN52)</f>
        <v>11766172.74901709</v>
      </c>
      <c r="BO53" s="54">
        <f t="shared" ca="1" si="21"/>
        <v>11813670.341143373</v>
      </c>
      <c r="BP53" s="54">
        <f t="shared" ca="1" si="21"/>
        <v>11859817.978301678</v>
      </c>
      <c r="BQ53" s="54">
        <f t="shared" ca="1" si="21"/>
        <v>11907692.918754989</v>
      </c>
      <c r="BR53" s="54">
        <f t="shared" ca="1" si="21"/>
        <v>11955760.771521296</v>
      </c>
      <c r="BS53" s="54">
        <f t="shared" ca="1" si="21"/>
        <v>12002462.45732205</v>
      </c>
      <c r="BT53" s="54">
        <f t="shared" ca="1" si="21"/>
        <v>12050912.179953229</v>
      </c>
      <c r="BU53" s="54">
        <f t="shared" ca="1" si="21"/>
        <v>12097984.879370537</v>
      </c>
      <c r="BV53" s="54">
        <f t="shared" ca="1" si="21"/>
        <v>12146819.499608651</v>
      </c>
      <c r="BW53" s="54">
        <f t="shared" ca="1" si="21"/>
        <v>12195985.495133063</v>
      </c>
      <c r="BX53" s="54">
        <f t="shared" ca="1" si="21"/>
        <v>12240564.212130155</v>
      </c>
      <c r="BY53" s="54">
        <f t="shared" ca="1" si="21"/>
        <v>12290108.970359473</v>
      </c>
      <c r="BZ53" s="54">
        <f t="shared" ca="1" si="21"/>
        <v>12338246.097043134</v>
      </c>
      <c r="CA53" s="54">
        <f t="shared" ca="1" si="21"/>
        <v>12388185.519535011</v>
      </c>
      <c r="CB53" s="54">
        <f t="shared" ca="1" si="21"/>
        <v>12436706.094556928</v>
      </c>
      <c r="CC53" s="54">
        <f t="shared" ca="1" si="21"/>
        <v>12487043.318917133</v>
      </c>
      <c r="CD53" s="54">
        <f t="shared" ca="1" si="21"/>
        <v>12537583.915275335</v>
      </c>
      <c r="CE53" s="54">
        <f t="shared" ca="1" si="21"/>
        <v>12586688.579413837</v>
      </c>
      <c r="CF53" s="54">
        <f t="shared" ca="1" si="21"/>
        <v>12637631.756907567</v>
      </c>
      <c r="CG53" s="54">
        <f t="shared" ca="1" si="21"/>
        <v>12687127.561202051</v>
      </c>
      <c r="CH53" s="54">
        <f t="shared" ca="1" si="21"/>
        <v>12738476.52023886</v>
      </c>
      <c r="CI53" s="54">
        <f t="shared" ca="1" si="21"/>
        <v>12790032.930744827</v>
      </c>
      <c r="CJ53" s="54">
        <f t="shared" ca="1" si="21"/>
        <v>12836779.015856102</v>
      </c>
      <c r="CK53" s="54">
        <f t="shared" ca="1" si="21"/>
        <v>12888732.567064082</v>
      </c>
    </row>
    <row r="54" spans="2:89">
      <c r="B54" s="14"/>
      <c r="C54" s="14"/>
      <c r="D54" s="14"/>
      <c r="E54" s="14"/>
      <c r="F54" s="14"/>
      <c r="G54" s="149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</row>
    <row r="55" spans="2:89" ht="18" thickBot="1">
      <c r="B55" s="100" t="str">
        <f>"Резерв по НДС до квартальной даты, в "&amp;Ед_измерения_денег</f>
        <v>Резерв по НДС до квартальной даты, в  руб.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</row>
    <row r="56" spans="2:89" ht="15.75" thickTop="1">
      <c r="B56" s="14"/>
      <c r="C56" s="14"/>
      <c r="D56" s="14"/>
      <c r="E56" s="14"/>
      <c r="F56" s="14"/>
      <c r="G56" s="149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</row>
    <row r="57" spans="2:89">
      <c r="B57" s="77" t="s">
        <v>57</v>
      </c>
      <c r="C57" s="78"/>
      <c r="D57" s="98">
        <v>0</v>
      </c>
      <c r="E57" s="79"/>
      <c r="F57" s="80">
        <f>E60</f>
        <v>0</v>
      </c>
      <c r="G57" s="80">
        <f t="shared" ref="G57:AG57" ca="1" si="22">F60</f>
        <v>-5976363.6363636367</v>
      </c>
      <c r="H57" s="80">
        <f t="shared" ca="1" si="22"/>
        <v>-11952727.272727273</v>
      </c>
      <c r="I57" s="80">
        <f t="shared" ca="1" si="22"/>
        <v>0</v>
      </c>
      <c r="J57" s="80">
        <f t="shared" ca="1" si="22"/>
        <v>-13475454.545454545</v>
      </c>
      <c r="K57" s="80">
        <f t="shared" ca="1" si="22"/>
        <v>-26950909.09090909</v>
      </c>
      <c r="L57" s="80">
        <f t="shared" ca="1" si="22"/>
        <v>0</v>
      </c>
      <c r="M57" s="80">
        <f t="shared" ca="1" si="22"/>
        <v>-8563636.3636363633</v>
      </c>
      <c r="N57" s="80">
        <f t="shared" ca="1" si="22"/>
        <v>-17645454.545454547</v>
      </c>
      <c r="O57" s="80">
        <f t="shared" ca="1" si="22"/>
        <v>0</v>
      </c>
      <c r="P57" s="80">
        <f t="shared" ca="1" si="22"/>
        <v>-6141818.1818181816</v>
      </c>
      <c r="Q57" s="80">
        <f t="shared" ca="1" si="22"/>
        <v>-12926363.636363637</v>
      </c>
      <c r="R57" s="80">
        <f t="shared" ca="1" si="22"/>
        <v>0</v>
      </c>
      <c r="S57" s="80">
        <f t="shared" ca="1" si="22"/>
        <v>3163146.111391997</v>
      </c>
      <c r="T57" s="80">
        <f t="shared" ca="1" si="22"/>
        <v>6338715.3097423725</v>
      </c>
      <c r="U57" s="80">
        <f t="shared" ca="1" si="22"/>
        <v>0</v>
      </c>
      <c r="V57" s="80">
        <f t="shared" ca="1" si="22"/>
        <v>3200156.4872465916</v>
      </c>
      <c r="W57" s="80">
        <f t="shared" ca="1" si="22"/>
        <v>6412880.6170033822</v>
      </c>
      <c r="X57" s="80">
        <f t="shared" ca="1" si="22"/>
        <v>0</v>
      </c>
      <c r="Y57" s="80">
        <f t="shared" ca="1" si="22"/>
        <v>3237597.5067246379</v>
      </c>
      <c r="Z57" s="80">
        <f t="shared" ca="1" si="22"/>
        <v>6487497.9839112638</v>
      </c>
      <c r="AA57" s="80">
        <f t="shared" ca="1" si="22"/>
        <v>0</v>
      </c>
      <c r="AB57" s="80">
        <f t="shared" ca="1" si="22"/>
        <v>3275509.3176194346</v>
      </c>
      <c r="AC57" s="80">
        <f t="shared" ca="1" si="22"/>
        <v>6562665.5428155204</v>
      </c>
      <c r="AD57" s="80">
        <f t="shared" ca="1" si="22"/>
        <v>0</v>
      </c>
      <c r="AE57" s="80">
        <f t="shared" ca="1" si="22"/>
        <v>3988163.4569415748</v>
      </c>
      <c r="AF57" s="80">
        <f t="shared" ca="1" si="22"/>
        <v>8096656.9835072979</v>
      </c>
      <c r="AG57" s="80">
        <f t="shared" ca="1" si="22"/>
        <v>0</v>
      </c>
      <c r="AH57" s="80">
        <f t="shared" ref="AH57:BM57" ca="1" si="23">AG60</f>
        <v>4409361.906362595</v>
      </c>
      <c r="AI57" s="80">
        <f t="shared" ca="1" si="23"/>
        <v>9012693.4050429724</v>
      </c>
      <c r="AJ57" s="80">
        <f t="shared" ca="1" si="23"/>
        <v>0</v>
      </c>
      <c r="AK57" s="80">
        <f t="shared" ca="1" si="23"/>
        <v>5092723.4367649211</v>
      </c>
      <c r="AL57" s="80">
        <f t="shared" ca="1" si="23"/>
        <v>10491929.856953926</v>
      </c>
      <c r="AM57" s="80">
        <f t="shared" ca="1" si="23"/>
        <v>0</v>
      </c>
      <c r="AN57" s="80">
        <f t="shared" ca="1" si="23"/>
        <v>6215421.3354892712</v>
      </c>
      <c r="AO57" s="80">
        <f t="shared" ca="1" si="23"/>
        <v>12900321.760063861</v>
      </c>
      <c r="AP57" s="80">
        <f t="shared" ca="1" si="23"/>
        <v>0</v>
      </c>
      <c r="AQ57" s="80">
        <f t="shared" ca="1" si="23"/>
        <v>7521996.5796586797</v>
      </c>
      <c r="AR57" s="80">
        <f t="shared" ca="1" si="23"/>
        <v>15291579.032427454</v>
      </c>
      <c r="AS57" s="80">
        <f t="shared" ca="1" si="23"/>
        <v>0</v>
      </c>
      <c r="AT57" s="80">
        <f t="shared" ca="1" si="23"/>
        <v>8301960.1364120105</v>
      </c>
      <c r="AU57" s="80">
        <f t="shared" ca="1" si="23"/>
        <v>16899427.987099528</v>
      </c>
      <c r="AV57" s="80">
        <f t="shared" ca="1" si="23"/>
        <v>0</v>
      </c>
      <c r="AW57" s="80">
        <f t="shared" ca="1" si="23"/>
        <v>9233401.3565094527</v>
      </c>
      <c r="AX57" s="80">
        <f t="shared" ca="1" si="23"/>
        <v>18808319.546332881</v>
      </c>
      <c r="AY57" s="80">
        <f t="shared" ca="1" si="23"/>
        <v>0</v>
      </c>
      <c r="AZ57" s="80">
        <f t="shared" ca="1" si="23"/>
        <v>10347362.11339687</v>
      </c>
      <c r="BA57" s="80">
        <f t="shared" ca="1" si="23"/>
        <v>21075498.26581534</v>
      </c>
      <c r="BB57" s="80">
        <f t="shared" ca="1" si="23"/>
        <v>0</v>
      </c>
      <c r="BC57" s="80">
        <f t="shared" ca="1" si="23"/>
        <v>11218621.430121392</v>
      </c>
      <c r="BD57" s="80">
        <f t="shared" ca="1" si="23"/>
        <v>22482658.282564204</v>
      </c>
      <c r="BE57" s="80">
        <f t="shared" ca="1" si="23"/>
        <v>0</v>
      </c>
      <c r="BF57" s="80">
        <f t="shared" ca="1" si="23"/>
        <v>11353939.247592017</v>
      </c>
      <c r="BG57" s="80">
        <f t="shared" ca="1" si="23"/>
        <v>22753840.733216248</v>
      </c>
      <c r="BH57" s="80">
        <f t="shared" ca="1" si="23"/>
        <v>0</v>
      </c>
      <c r="BI57" s="80">
        <f t="shared" ca="1" si="23"/>
        <v>11490886.320692521</v>
      </c>
      <c r="BJ57" s="80">
        <f t="shared" ca="1" si="23"/>
        <v>23026784.832201436</v>
      </c>
      <c r="BK57" s="80">
        <f t="shared" ca="1" si="23"/>
        <v>0</v>
      </c>
      <c r="BL57" s="80">
        <f t="shared" ca="1" si="23"/>
        <v>11629353.865219258</v>
      </c>
      <c r="BM57" s="80">
        <f t="shared" ca="1" si="23"/>
        <v>23302619.501388483</v>
      </c>
      <c r="BN57" s="80">
        <f t="shared" ref="BN57" ca="1" si="24">BM60</f>
        <v>0</v>
      </c>
      <c r="BO57" s="80">
        <f t="shared" ref="BO57" ca="1" si="25">BN60</f>
        <v>11766172.74901709</v>
      </c>
      <c r="BP57" s="80">
        <f t="shared" ref="BP57" ca="1" si="26">BO60</f>
        <v>23579843.090160463</v>
      </c>
      <c r="BQ57" s="80">
        <f t="shared" ref="BQ57" ca="1" si="27">BP60</f>
        <v>0</v>
      </c>
      <c r="BR57" s="80">
        <f t="shared" ref="BR57" ca="1" si="28">BQ60</f>
        <v>11907692.918754989</v>
      </c>
      <c r="BS57" s="80">
        <f t="shared" ref="BS57" ca="1" si="29">BR60</f>
        <v>23863453.690276287</v>
      </c>
      <c r="BT57" s="80">
        <f t="shared" ref="BT57" ca="1" si="30">BS60</f>
        <v>0</v>
      </c>
      <c r="BU57" s="80">
        <f t="shared" ref="BU57" ca="1" si="31">BT60</f>
        <v>12050912.179953229</v>
      </c>
      <c r="BV57" s="80">
        <f t="shared" ref="BV57" ca="1" si="32">BU60</f>
        <v>24148897.059323765</v>
      </c>
      <c r="BW57" s="80">
        <f t="shared" ref="BW57" ca="1" si="33">BV60</f>
        <v>0</v>
      </c>
      <c r="BX57" s="80">
        <f t="shared" ref="BX57" ca="1" si="34">BW60</f>
        <v>12195985.495133063</v>
      </c>
      <c r="BY57" s="80">
        <f t="shared" ref="BY57" ca="1" si="35">BX60</f>
        <v>24436549.707263216</v>
      </c>
      <c r="BZ57" s="80">
        <f t="shared" ref="BZ57" ca="1" si="36">BY60</f>
        <v>0</v>
      </c>
      <c r="CA57" s="80">
        <f t="shared" ref="CA57" ca="1" si="37">BZ60</f>
        <v>12338246.097043134</v>
      </c>
      <c r="CB57" s="80">
        <f t="shared" ref="CB57" ca="1" si="38">CA60</f>
        <v>24726431.616578147</v>
      </c>
      <c r="CC57" s="80">
        <f t="shared" ref="CC57" ca="1" si="39">CB60</f>
        <v>0</v>
      </c>
      <c r="CD57" s="80">
        <f t="shared" ref="CD57" ca="1" si="40">CC60</f>
        <v>12487043.318917133</v>
      </c>
      <c r="CE57" s="80">
        <f t="shared" ref="CE57" ca="1" si="41">CD60</f>
        <v>25024627.234192468</v>
      </c>
      <c r="CF57" s="80">
        <f t="shared" ref="CF57" ca="1" si="42">CE60</f>
        <v>0</v>
      </c>
      <c r="CG57" s="80">
        <f t="shared" ref="CG57" ca="1" si="43">CF60</f>
        <v>12637631.756907567</v>
      </c>
      <c r="CH57" s="80">
        <f t="shared" ref="CH57" ca="1" si="44">CG60</f>
        <v>25324759.318109617</v>
      </c>
      <c r="CI57" s="80">
        <f t="shared" ref="CI57" ca="1" si="45">CH60</f>
        <v>0</v>
      </c>
      <c r="CJ57" s="80">
        <f t="shared" ref="CJ57" ca="1" si="46">CI60</f>
        <v>12790032.930744827</v>
      </c>
      <c r="CK57" s="80">
        <f t="shared" ref="CK57" ca="1" si="47">CJ60</f>
        <v>25626811.946600929</v>
      </c>
    </row>
    <row r="58" spans="2:89">
      <c r="B58" s="77" t="s">
        <v>230</v>
      </c>
      <c r="C58" s="78"/>
      <c r="D58" s="98">
        <f ca="1">SUM(F58:CK58)</f>
        <v>539294400.67467761</v>
      </c>
      <c r="E58" s="79"/>
      <c r="F58" s="80">
        <f ca="1">F53</f>
        <v>-5976363.6363636367</v>
      </c>
      <c r="G58" s="80">
        <f t="shared" ref="G58:AG58" ca="1" si="48">G53</f>
        <v>-5976363.6363636367</v>
      </c>
      <c r="H58" s="80">
        <f t="shared" ca="1" si="48"/>
        <v>-5570000</v>
      </c>
      <c r="I58" s="80">
        <f t="shared" ca="1" si="48"/>
        <v>-13475454.545454545</v>
      </c>
      <c r="J58" s="80">
        <f t="shared" ca="1" si="48"/>
        <v>-13475454.545454545</v>
      </c>
      <c r="K58" s="80">
        <f t="shared" ca="1" si="48"/>
        <v>-13081818.181818182</v>
      </c>
      <c r="L58" s="80">
        <f t="shared" ca="1" si="48"/>
        <v>-8563636.3636363633</v>
      </c>
      <c r="M58" s="80">
        <f t="shared" ca="1" si="48"/>
        <v>-9081818.1818181816</v>
      </c>
      <c r="N58" s="80">
        <f t="shared" ca="1" si="48"/>
        <v>-9490909.0909090918</v>
      </c>
      <c r="O58" s="80">
        <f t="shared" ca="1" si="48"/>
        <v>-6141818.1818181816</v>
      </c>
      <c r="P58" s="80">
        <f t="shared" ca="1" si="48"/>
        <v>-6784545.4545454551</v>
      </c>
      <c r="Q58" s="80">
        <f t="shared" ca="1" si="48"/>
        <v>-7930005.6977491956</v>
      </c>
      <c r="R58" s="80">
        <f t="shared" ca="1" si="48"/>
        <v>3163146.111391997</v>
      </c>
      <c r="S58" s="80">
        <f t="shared" ca="1" si="48"/>
        <v>3175569.1983503755</v>
      </c>
      <c r="T58" s="80">
        <f t="shared" ca="1" si="48"/>
        <v>3187637.7394095138</v>
      </c>
      <c r="U58" s="80">
        <f t="shared" ca="1" si="48"/>
        <v>3200156.4872465916</v>
      </c>
      <c r="V58" s="80">
        <f t="shared" ca="1" si="48"/>
        <v>3212724.1297567906</v>
      </c>
      <c r="W58" s="80">
        <f t="shared" ca="1" si="48"/>
        <v>3224933.0973987756</v>
      </c>
      <c r="X58" s="80">
        <f t="shared" ca="1" si="48"/>
        <v>3237597.5067246379</v>
      </c>
      <c r="Y58" s="80">
        <f t="shared" ca="1" si="48"/>
        <v>3249900.4771866258</v>
      </c>
      <c r="Z58" s="80">
        <f t="shared" ca="1" si="48"/>
        <v>3262662.393598862</v>
      </c>
      <c r="AA58" s="80">
        <f t="shared" ca="1" si="48"/>
        <v>3275509.3176194346</v>
      </c>
      <c r="AB58" s="80">
        <f t="shared" ca="1" si="48"/>
        <v>3287156.2251960859</v>
      </c>
      <c r="AC58" s="80">
        <f t="shared" ca="1" si="48"/>
        <v>3300099.0624509985</v>
      </c>
      <c r="AD58" s="80">
        <f t="shared" ca="1" si="48"/>
        <v>3988163.4569415748</v>
      </c>
      <c r="AE58" s="80">
        <f t="shared" ca="1" si="48"/>
        <v>4108493.5265657231</v>
      </c>
      <c r="AF58" s="80">
        <f t="shared" ca="1" si="48"/>
        <v>4244584.2721500983</v>
      </c>
      <c r="AG58" s="80">
        <f t="shared" ca="1" si="48"/>
        <v>4409361.906362595</v>
      </c>
      <c r="AH58" s="80">
        <f t="shared" ref="AH58:BM58" ca="1" si="49">AH53</f>
        <v>4603331.4986803764</v>
      </c>
      <c r="AI58" s="80">
        <f t="shared" ca="1" si="49"/>
        <v>4824075.4699460454</v>
      </c>
      <c r="AJ58" s="80">
        <f t="shared" ca="1" si="49"/>
        <v>5092723.4367649211</v>
      </c>
      <c r="AK58" s="80">
        <f t="shared" ca="1" si="49"/>
        <v>5399206.4201890053</v>
      </c>
      <c r="AL58" s="80">
        <f t="shared" ca="1" si="49"/>
        <v>5772931.9701719899</v>
      </c>
      <c r="AM58" s="80">
        <f t="shared" ca="1" si="49"/>
        <v>6215421.3354892712</v>
      </c>
      <c r="AN58" s="80">
        <f t="shared" ca="1" si="49"/>
        <v>6684900.4245745894</v>
      </c>
      <c r="AO58" s="80">
        <f t="shared" ca="1" si="49"/>
        <v>7295963.3426792081</v>
      </c>
      <c r="AP58" s="80">
        <f t="shared" ca="1" si="49"/>
        <v>7521996.5796586797</v>
      </c>
      <c r="AQ58" s="80">
        <f t="shared" ca="1" si="49"/>
        <v>7769582.4527687747</v>
      </c>
      <c r="AR58" s="80">
        <f t="shared" ca="1" si="49"/>
        <v>8023606.9574090652</v>
      </c>
      <c r="AS58" s="80">
        <f t="shared" ca="1" si="49"/>
        <v>8301960.1364120105</v>
      </c>
      <c r="AT58" s="80">
        <f t="shared" ca="1" si="49"/>
        <v>8597467.8506875169</v>
      </c>
      <c r="AU58" s="80">
        <f t="shared" ca="1" si="49"/>
        <v>8900823.2274573185</v>
      </c>
      <c r="AV58" s="80">
        <f t="shared" ca="1" si="49"/>
        <v>9233401.3565094527</v>
      </c>
      <c r="AW58" s="80">
        <f t="shared" ca="1" si="49"/>
        <v>9574918.18982343</v>
      </c>
      <c r="AX58" s="80">
        <f t="shared" ca="1" si="49"/>
        <v>9949444.8566489704</v>
      </c>
      <c r="AY58" s="80">
        <f t="shared" ca="1" si="49"/>
        <v>10347362.11339687</v>
      </c>
      <c r="AZ58" s="80">
        <f t="shared" ca="1" si="49"/>
        <v>10728136.152418472</v>
      </c>
      <c r="BA58" s="80">
        <f t="shared" ca="1" si="49"/>
        <v>11174845.06626416</v>
      </c>
      <c r="BB58" s="80">
        <f t="shared" ca="1" si="49"/>
        <v>11218621.430121392</v>
      </c>
      <c r="BC58" s="80">
        <f t="shared" ca="1" si="49"/>
        <v>11264036.852442812</v>
      </c>
      <c r="BD58" s="80">
        <f t="shared" ca="1" si="49"/>
        <v>11308161.992805634</v>
      </c>
      <c r="BE58" s="80">
        <f t="shared" ca="1" si="49"/>
        <v>11353939.247592017</v>
      </c>
      <c r="BF58" s="80">
        <f t="shared" ca="1" si="49"/>
        <v>11399901.48562423</v>
      </c>
      <c r="BG58" s="80">
        <f t="shared" ca="1" si="49"/>
        <v>11444557.902180161</v>
      </c>
      <c r="BH58" s="80">
        <f t="shared" ca="1" si="49"/>
        <v>11490886.320692521</v>
      </c>
      <c r="BI58" s="80">
        <f t="shared" ca="1" si="49"/>
        <v>11535898.511508916</v>
      </c>
      <c r="BJ58" s="80">
        <f t="shared" ca="1" si="49"/>
        <v>11582596.022130117</v>
      </c>
      <c r="BK58" s="80">
        <f t="shared" ca="1" si="49"/>
        <v>11629353.865219258</v>
      </c>
      <c r="BL58" s="80">
        <f t="shared" ca="1" si="49"/>
        <v>11673265.636169225</v>
      </c>
      <c r="BM58" s="80">
        <f t="shared" ca="1" si="49"/>
        <v>11720388.848451162</v>
      </c>
      <c r="BN58" s="80">
        <f t="shared" ref="BN58:CK58" ca="1" si="50">BN53</f>
        <v>11766172.74901709</v>
      </c>
      <c r="BO58" s="80">
        <f t="shared" ca="1" si="50"/>
        <v>11813670.341143373</v>
      </c>
      <c r="BP58" s="80">
        <f t="shared" ca="1" si="50"/>
        <v>11859817.978301678</v>
      </c>
      <c r="BQ58" s="80">
        <f t="shared" ca="1" si="50"/>
        <v>11907692.918754989</v>
      </c>
      <c r="BR58" s="80">
        <f t="shared" ca="1" si="50"/>
        <v>11955760.771521296</v>
      </c>
      <c r="BS58" s="80">
        <f t="shared" ca="1" si="50"/>
        <v>12002462.45732205</v>
      </c>
      <c r="BT58" s="80">
        <f t="shared" ca="1" si="50"/>
        <v>12050912.179953229</v>
      </c>
      <c r="BU58" s="80">
        <f t="shared" ca="1" si="50"/>
        <v>12097984.879370537</v>
      </c>
      <c r="BV58" s="80">
        <f t="shared" ca="1" si="50"/>
        <v>12146819.499608651</v>
      </c>
      <c r="BW58" s="80">
        <f t="shared" ca="1" si="50"/>
        <v>12195985.495133063</v>
      </c>
      <c r="BX58" s="80">
        <f t="shared" ca="1" si="50"/>
        <v>12240564.212130155</v>
      </c>
      <c r="BY58" s="80">
        <f t="shared" ca="1" si="50"/>
        <v>12290108.970359473</v>
      </c>
      <c r="BZ58" s="80">
        <f t="shared" ca="1" si="50"/>
        <v>12338246.097043134</v>
      </c>
      <c r="CA58" s="80">
        <f t="shared" ca="1" si="50"/>
        <v>12388185.519535011</v>
      </c>
      <c r="CB58" s="80">
        <f t="shared" ca="1" si="50"/>
        <v>12436706.094556928</v>
      </c>
      <c r="CC58" s="80">
        <f t="shared" ca="1" si="50"/>
        <v>12487043.318917133</v>
      </c>
      <c r="CD58" s="80">
        <f t="shared" ca="1" si="50"/>
        <v>12537583.915275335</v>
      </c>
      <c r="CE58" s="80">
        <f t="shared" ca="1" si="50"/>
        <v>12586688.579413837</v>
      </c>
      <c r="CF58" s="80">
        <f t="shared" ca="1" si="50"/>
        <v>12637631.756907567</v>
      </c>
      <c r="CG58" s="80">
        <f t="shared" ca="1" si="50"/>
        <v>12687127.561202051</v>
      </c>
      <c r="CH58" s="80">
        <f t="shared" ca="1" si="50"/>
        <v>12738476.52023886</v>
      </c>
      <c r="CI58" s="80">
        <f t="shared" ca="1" si="50"/>
        <v>12790032.930744827</v>
      </c>
      <c r="CJ58" s="80">
        <f t="shared" ca="1" si="50"/>
        <v>12836779.015856102</v>
      </c>
      <c r="CK58" s="80">
        <f t="shared" ca="1" si="50"/>
        <v>12888732.567064082</v>
      </c>
    </row>
    <row r="59" spans="2:89" ht="15.75" thickBot="1">
      <c r="B59" s="45" t="s">
        <v>231</v>
      </c>
      <c r="C59" s="46"/>
      <c r="D59" s="98">
        <f ca="1">SUM(F59:CK59)</f>
        <v>-539294400.67467761</v>
      </c>
      <c r="E59" s="48"/>
      <c r="F59" s="49">
        <f ca="1">-F68</f>
        <v>0</v>
      </c>
      <c r="G59" s="49">
        <f t="shared" ref="G59:AG59" ca="1" si="51">-G68</f>
        <v>0</v>
      </c>
      <c r="H59" s="49">
        <f t="shared" ca="1" si="51"/>
        <v>17522727.272727273</v>
      </c>
      <c r="I59" s="49">
        <f t="shared" ca="1" si="51"/>
        <v>0</v>
      </c>
      <c r="J59" s="49">
        <f t="shared" ca="1" si="51"/>
        <v>0</v>
      </c>
      <c r="K59" s="49">
        <f t="shared" ca="1" si="51"/>
        <v>40032727.272727273</v>
      </c>
      <c r="L59" s="49">
        <f t="shared" ca="1" si="51"/>
        <v>0</v>
      </c>
      <c r="M59" s="49">
        <f t="shared" ca="1" si="51"/>
        <v>0</v>
      </c>
      <c r="N59" s="49">
        <f t="shared" ca="1" si="51"/>
        <v>27136363.63636364</v>
      </c>
      <c r="O59" s="49">
        <f t="shared" ca="1" si="51"/>
        <v>0</v>
      </c>
      <c r="P59" s="49">
        <f t="shared" ca="1" si="51"/>
        <v>0</v>
      </c>
      <c r="Q59" s="49">
        <f t="shared" ca="1" si="51"/>
        <v>20856369.33411283</v>
      </c>
      <c r="R59" s="49">
        <f t="shared" ca="1" si="51"/>
        <v>0</v>
      </c>
      <c r="S59" s="49">
        <f t="shared" ca="1" si="51"/>
        <v>0</v>
      </c>
      <c r="T59" s="49">
        <f t="shared" ca="1" si="51"/>
        <v>-9526353.0491518863</v>
      </c>
      <c r="U59" s="49">
        <f t="shared" ca="1" si="51"/>
        <v>0</v>
      </c>
      <c r="V59" s="49">
        <f t="shared" ca="1" si="51"/>
        <v>0</v>
      </c>
      <c r="W59" s="49">
        <f t="shared" ca="1" si="51"/>
        <v>-9637813.7144021597</v>
      </c>
      <c r="X59" s="49">
        <f t="shared" ca="1" si="51"/>
        <v>0</v>
      </c>
      <c r="Y59" s="49">
        <f t="shared" ca="1" si="51"/>
        <v>0</v>
      </c>
      <c r="Z59" s="49">
        <f t="shared" ca="1" si="51"/>
        <v>-9750160.3775101267</v>
      </c>
      <c r="AA59" s="49">
        <f t="shared" ca="1" si="51"/>
        <v>0</v>
      </c>
      <c r="AB59" s="49">
        <f t="shared" ca="1" si="51"/>
        <v>0</v>
      </c>
      <c r="AC59" s="49">
        <f t="shared" ca="1" si="51"/>
        <v>-9862764.6052665189</v>
      </c>
      <c r="AD59" s="49">
        <f t="shared" ca="1" si="51"/>
        <v>0</v>
      </c>
      <c r="AE59" s="49">
        <f t="shared" ca="1" si="51"/>
        <v>0</v>
      </c>
      <c r="AF59" s="49">
        <f t="shared" ca="1" si="51"/>
        <v>-12341241.255657397</v>
      </c>
      <c r="AG59" s="49">
        <f t="shared" ca="1" si="51"/>
        <v>0</v>
      </c>
      <c r="AH59" s="49">
        <f t="shared" ref="AH59:BM59" ca="1" si="52">-AH68</f>
        <v>0</v>
      </c>
      <c r="AI59" s="49">
        <f t="shared" ca="1" si="52"/>
        <v>-13836768.874989018</v>
      </c>
      <c r="AJ59" s="49">
        <f t="shared" ca="1" si="52"/>
        <v>0</v>
      </c>
      <c r="AK59" s="49">
        <f t="shared" ca="1" si="52"/>
        <v>0</v>
      </c>
      <c r="AL59" s="49">
        <f t="shared" ca="1" si="52"/>
        <v>-16264861.827125914</v>
      </c>
      <c r="AM59" s="49">
        <f t="shared" ca="1" si="52"/>
        <v>0</v>
      </c>
      <c r="AN59" s="49">
        <f t="shared" ca="1" si="52"/>
        <v>0</v>
      </c>
      <c r="AO59" s="49">
        <f t="shared" ca="1" si="52"/>
        <v>-20196285.102743067</v>
      </c>
      <c r="AP59" s="49">
        <f t="shared" ca="1" si="52"/>
        <v>0</v>
      </c>
      <c r="AQ59" s="49">
        <f t="shared" ca="1" si="52"/>
        <v>0</v>
      </c>
      <c r="AR59" s="49">
        <f t="shared" ca="1" si="52"/>
        <v>-23315185.989836518</v>
      </c>
      <c r="AS59" s="49">
        <f t="shared" ca="1" si="52"/>
        <v>0</v>
      </c>
      <c r="AT59" s="49">
        <f t="shared" ca="1" si="52"/>
        <v>0</v>
      </c>
      <c r="AU59" s="49">
        <f t="shared" ca="1" si="52"/>
        <v>-25800251.21455685</v>
      </c>
      <c r="AV59" s="49">
        <f t="shared" ca="1" si="52"/>
        <v>0</v>
      </c>
      <c r="AW59" s="49">
        <f t="shared" ca="1" si="52"/>
        <v>0</v>
      </c>
      <c r="AX59" s="49">
        <f t="shared" ca="1" si="52"/>
        <v>-28757764.402981851</v>
      </c>
      <c r="AY59" s="49">
        <f t="shared" ca="1" si="52"/>
        <v>0</v>
      </c>
      <c r="AZ59" s="49">
        <f t="shared" ca="1" si="52"/>
        <v>0</v>
      </c>
      <c r="BA59" s="49">
        <f t="shared" ca="1" si="52"/>
        <v>-32250343.3320795</v>
      </c>
      <c r="BB59" s="49">
        <f t="shared" ca="1" si="52"/>
        <v>0</v>
      </c>
      <c r="BC59" s="49">
        <f t="shared" ca="1" si="52"/>
        <v>0</v>
      </c>
      <c r="BD59" s="49">
        <f t="shared" ca="1" si="52"/>
        <v>-33790820.275369845</v>
      </c>
      <c r="BE59" s="49">
        <f t="shared" ca="1" si="52"/>
        <v>0</v>
      </c>
      <c r="BF59" s="49">
        <f t="shared" ca="1" si="52"/>
        <v>0</v>
      </c>
      <c r="BG59" s="49">
        <f t="shared" ca="1" si="52"/>
        <v>-34198398.635396406</v>
      </c>
      <c r="BH59" s="49">
        <f t="shared" ca="1" si="52"/>
        <v>0</v>
      </c>
      <c r="BI59" s="49">
        <f t="shared" ca="1" si="52"/>
        <v>0</v>
      </c>
      <c r="BJ59" s="49">
        <f t="shared" ca="1" si="52"/>
        <v>-34609380.854331553</v>
      </c>
      <c r="BK59" s="49">
        <f t="shared" ca="1" si="52"/>
        <v>0</v>
      </c>
      <c r="BL59" s="49">
        <f t="shared" ca="1" si="52"/>
        <v>0</v>
      </c>
      <c r="BM59" s="49">
        <f t="shared" ca="1" si="52"/>
        <v>-35023008.34983965</v>
      </c>
      <c r="BN59" s="49">
        <f t="shared" ref="BN59:CK59" ca="1" si="53">-BN68</f>
        <v>0</v>
      </c>
      <c r="BO59" s="49">
        <f t="shared" ca="1" si="53"/>
        <v>0</v>
      </c>
      <c r="BP59" s="49">
        <f t="shared" ca="1" si="53"/>
        <v>-35439661.068462133</v>
      </c>
      <c r="BQ59" s="49">
        <f t="shared" ca="1" si="53"/>
        <v>0</v>
      </c>
      <c r="BR59" s="49">
        <f t="shared" ca="1" si="53"/>
        <v>0</v>
      </c>
      <c r="BS59" s="49">
        <f t="shared" ca="1" si="53"/>
        <v>-35865916.147598334</v>
      </c>
      <c r="BT59" s="49">
        <f t="shared" ca="1" si="53"/>
        <v>0</v>
      </c>
      <c r="BU59" s="49">
        <f t="shared" ca="1" si="53"/>
        <v>0</v>
      </c>
      <c r="BV59" s="49">
        <f t="shared" ca="1" si="53"/>
        <v>-36295716.558932424</v>
      </c>
      <c r="BW59" s="49">
        <f t="shared" ca="1" si="53"/>
        <v>0</v>
      </c>
      <c r="BX59" s="49">
        <f t="shared" ca="1" si="53"/>
        <v>0</v>
      </c>
      <c r="BY59" s="49">
        <f t="shared" ca="1" si="53"/>
        <v>-36726658.677622691</v>
      </c>
      <c r="BZ59" s="49">
        <f t="shared" ca="1" si="53"/>
        <v>0</v>
      </c>
      <c r="CA59" s="49">
        <f t="shared" ca="1" si="53"/>
        <v>0</v>
      </c>
      <c r="CB59" s="49">
        <f t="shared" ca="1" si="53"/>
        <v>-37163137.711135074</v>
      </c>
      <c r="CC59" s="49">
        <f t="shared" ca="1" si="53"/>
        <v>0</v>
      </c>
      <c r="CD59" s="49">
        <f t="shared" ca="1" si="53"/>
        <v>0</v>
      </c>
      <c r="CE59" s="49">
        <f t="shared" ca="1" si="53"/>
        <v>-37611315.813606299</v>
      </c>
      <c r="CF59" s="49">
        <f t="shared" ca="1" si="53"/>
        <v>0</v>
      </c>
      <c r="CG59" s="49">
        <f t="shared" ca="1" si="53"/>
        <v>0</v>
      </c>
      <c r="CH59" s="49">
        <f t="shared" ca="1" si="53"/>
        <v>-38063235.838348478</v>
      </c>
      <c r="CI59" s="49">
        <f t="shared" ca="1" si="53"/>
        <v>0</v>
      </c>
      <c r="CJ59" s="49">
        <f t="shared" ca="1" si="53"/>
        <v>0</v>
      </c>
      <c r="CK59" s="49">
        <f t="shared" ca="1" si="53"/>
        <v>-38515544.513665013</v>
      </c>
    </row>
    <row r="60" spans="2:89" ht="15.75" thickTop="1">
      <c r="B60" s="50" t="s">
        <v>58</v>
      </c>
      <c r="C60" s="51"/>
      <c r="D60" s="52">
        <f ca="1">SUM(D57:D59)</f>
        <v>0</v>
      </c>
      <c r="E60" s="53"/>
      <c r="F60" s="54">
        <f ca="1">SUM(F57:F59)</f>
        <v>-5976363.6363636367</v>
      </c>
      <c r="G60" s="54">
        <f t="shared" ref="G60:AG60" ca="1" si="54">SUM(G57:G59)</f>
        <v>-11952727.272727273</v>
      </c>
      <c r="H60" s="54">
        <f t="shared" ca="1" si="54"/>
        <v>0</v>
      </c>
      <c r="I60" s="54">
        <f t="shared" ca="1" si="54"/>
        <v>-13475454.545454545</v>
      </c>
      <c r="J60" s="54">
        <f t="shared" ca="1" si="54"/>
        <v>-26950909.09090909</v>
      </c>
      <c r="K60" s="54">
        <f t="shared" ca="1" si="54"/>
        <v>0</v>
      </c>
      <c r="L60" s="54">
        <f t="shared" ca="1" si="54"/>
        <v>-8563636.3636363633</v>
      </c>
      <c r="M60" s="54">
        <f t="shared" ca="1" si="54"/>
        <v>-17645454.545454547</v>
      </c>
      <c r="N60" s="54">
        <f t="shared" ca="1" si="54"/>
        <v>0</v>
      </c>
      <c r="O60" s="54">
        <f t="shared" ca="1" si="54"/>
        <v>-6141818.1818181816</v>
      </c>
      <c r="P60" s="54">
        <f t="shared" ca="1" si="54"/>
        <v>-12926363.636363637</v>
      </c>
      <c r="Q60" s="54">
        <f t="shared" ca="1" si="54"/>
        <v>0</v>
      </c>
      <c r="R60" s="54">
        <f t="shared" ca="1" si="54"/>
        <v>3163146.111391997</v>
      </c>
      <c r="S60" s="54">
        <f t="shared" ca="1" si="54"/>
        <v>6338715.3097423725</v>
      </c>
      <c r="T60" s="54">
        <f t="shared" ca="1" si="54"/>
        <v>0</v>
      </c>
      <c r="U60" s="54">
        <f t="shared" ca="1" si="54"/>
        <v>3200156.4872465916</v>
      </c>
      <c r="V60" s="54">
        <f t="shared" ca="1" si="54"/>
        <v>6412880.6170033822</v>
      </c>
      <c r="W60" s="54">
        <f t="shared" ca="1" si="54"/>
        <v>0</v>
      </c>
      <c r="X60" s="54">
        <f t="shared" ca="1" si="54"/>
        <v>3237597.5067246379</v>
      </c>
      <c r="Y60" s="54">
        <f t="shared" ca="1" si="54"/>
        <v>6487497.9839112638</v>
      </c>
      <c r="Z60" s="54">
        <f t="shared" ca="1" si="54"/>
        <v>0</v>
      </c>
      <c r="AA60" s="54">
        <f t="shared" ca="1" si="54"/>
        <v>3275509.3176194346</v>
      </c>
      <c r="AB60" s="54">
        <f t="shared" ca="1" si="54"/>
        <v>6562665.5428155204</v>
      </c>
      <c r="AC60" s="54">
        <f t="shared" ca="1" si="54"/>
        <v>0</v>
      </c>
      <c r="AD60" s="54">
        <f t="shared" ca="1" si="54"/>
        <v>3988163.4569415748</v>
      </c>
      <c r="AE60" s="54">
        <f t="shared" ca="1" si="54"/>
        <v>8096656.9835072979</v>
      </c>
      <c r="AF60" s="54">
        <f t="shared" ca="1" si="54"/>
        <v>0</v>
      </c>
      <c r="AG60" s="54">
        <f t="shared" ca="1" si="54"/>
        <v>4409361.906362595</v>
      </c>
      <c r="AH60" s="54">
        <f t="shared" ref="AH60:BM60" ca="1" si="55">SUM(AH57:AH59)</f>
        <v>9012693.4050429724</v>
      </c>
      <c r="AI60" s="54">
        <f t="shared" ca="1" si="55"/>
        <v>0</v>
      </c>
      <c r="AJ60" s="54">
        <f t="shared" ca="1" si="55"/>
        <v>5092723.4367649211</v>
      </c>
      <c r="AK60" s="54">
        <f t="shared" ca="1" si="55"/>
        <v>10491929.856953926</v>
      </c>
      <c r="AL60" s="54">
        <f t="shared" ca="1" si="55"/>
        <v>0</v>
      </c>
      <c r="AM60" s="54">
        <f t="shared" ca="1" si="55"/>
        <v>6215421.3354892712</v>
      </c>
      <c r="AN60" s="54">
        <f t="shared" ca="1" si="55"/>
        <v>12900321.760063861</v>
      </c>
      <c r="AO60" s="54">
        <f t="shared" ca="1" si="55"/>
        <v>0</v>
      </c>
      <c r="AP60" s="54">
        <f t="shared" ca="1" si="55"/>
        <v>7521996.5796586797</v>
      </c>
      <c r="AQ60" s="54">
        <f t="shared" ca="1" si="55"/>
        <v>15291579.032427454</v>
      </c>
      <c r="AR60" s="54">
        <f t="shared" ca="1" si="55"/>
        <v>0</v>
      </c>
      <c r="AS60" s="54">
        <f t="shared" ca="1" si="55"/>
        <v>8301960.1364120105</v>
      </c>
      <c r="AT60" s="54">
        <f t="shared" ca="1" si="55"/>
        <v>16899427.987099528</v>
      </c>
      <c r="AU60" s="54">
        <f t="shared" ca="1" si="55"/>
        <v>0</v>
      </c>
      <c r="AV60" s="54">
        <f t="shared" ca="1" si="55"/>
        <v>9233401.3565094527</v>
      </c>
      <c r="AW60" s="54">
        <f t="shared" ca="1" si="55"/>
        <v>18808319.546332881</v>
      </c>
      <c r="AX60" s="54">
        <f t="shared" ca="1" si="55"/>
        <v>0</v>
      </c>
      <c r="AY60" s="54">
        <f t="shared" ca="1" si="55"/>
        <v>10347362.11339687</v>
      </c>
      <c r="AZ60" s="54">
        <f t="shared" ca="1" si="55"/>
        <v>21075498.26581534</v>
      </c>
      <c r="BA60" s="54">
        <f t="shared" ca="1" si="55"/>
        <v>0</v>
      </c>
      <c r="BB60" s="54">
        <f t="shared" ca="1" si="55"/>
        <v>11218621.430121392</v>
      </c>
      <c r="BC60" s="54">
        <f t="shared" ca="1" si="55"/>
        <v>22482658.282564204</v>
      </c>
      <c r="BD60" s="54">
        <f t="shared" ca="1" si="55"/>
        <v>0</v>
      </c>
      <c r="BE60" s="54">
        <f t="shared" ca="1" si="55"/>
        <v>11353939.247592017</v>
      </c>
      <c r="BF60" s="54">
        <f t="shared" ca="1" si="55"/>
        <v>22753840.733216248</v>
      </c>
      <c r="BG60" s="54">
        <f t="shared" ca="1" si="55"/>
        <v>0</v>
      </c>
      <c r="BH60" s="54">
        <f t="shared" ca="1" si="55"/>
        <v>11490886.320692521</v>
      </c>
      <c r="BI60" s="54">
        <f t="shared" ca="1" si="55"/>
        <v>23026784.832201436</v>
      </c>
      <c r="BJ60" s="54">
        <f t="shared" ca="1" si="55"/>
        <v>0</v>
      </c>
      <c r="BK60" s="54">
        <f t="shared" ca="1" si="55"/>
        <v>11629353.865219258</v>
      </c>
      <c r="BL60" s="54">
        <f t="shared" ca="1" si="55"/>
        <v>23302619.501388483</v>
      </c>
      <c r="BM60" s="54">
        <f t="shared" ca="1" si="55"/>
        <v>0</v>
      </c>
      <c r="BN60" s="54">
        <f t="shared" ref="BN60:CK60" ca="1" si="56">SUM(BN57:BN59)</f>
        <v>11766172.74901709</v>
      </c>
      <c r="BO60" s="54">
        <f t="shared" ca="1" si="56"/>
        <v>23579843.090160463</v>
      </c>
      <c r="BP60" s="54">
        <f t="shared" ca="1" si="56"/>
        <v>0</v>
      </c>
      <c r="BQ60" s="54">
        <f t="shared" ca="1" si="56"/>
        <v>11907692.918754989</v>
      </c>
      <c r="BR60" s="54">
        <f t="shared" ca="1" si="56"/>
        <v>23863453.690276287</v>
      </c>
      <c r="BS60" s="54">
        <f t="shared" ca="1" si="56"/>
        <v>0</v>
      </c>
      <c r="BT60" s="54">
        <f t="shared" ca="1" si="56"/>
        <v>12050912.179953229</v>
      </c>
      <c r="BU60" s="54">
        <f t="shared" ca="1" si="56"/>
        <v>24148897.059323765</v>
      </c>
      <c r="BV60" s="54">
        <f t="shared" ca="1" si="56"/>
        <v>0</v>
      </c>
      <c r="BW60" s="54">
        <f t="shared" ca="1" si="56"/>
        <v>12195985.495133063</v>
      </c>
      <c r="BX60" s="54">
        <f t="shared" ca="1" si="56"/>
        <v>24436549.707263216</v>
      </c>
      <c r="BY60" s="54">
        <f t="shared" ca="1" si="56"/>
        <v>0</v>
      </c>
      <c r="BZ60" s="54">
        <f t="shared" ca="1" si="56"/>
        <v>12338246.097043134</v>
      </c>
      <c r="CA60" s="54">
        <f t="shared" ca="1" si="56"/>
        <v>24726431.616578147</v>
      </c>
      <c r="CB60" s="54">
        <f t="shared" ca="1" si="56"/>
        <v>0</v>
      </c>
      <c r="CC60" s="54">
        <f t="shared" ca="1" si="56"/>
        <v>12487043.318917133</v>
      </c>
      <c r="CD60" s="54">
        <f t="shared" ca="1" si="56"/>
        <v>25024627.234192468</v>
      </c>
      <c r="CE60" s="54">
        <f t="shared" ca="1" si="56"/>
        <v>0</v>
      </c>
      <c r="CF60" s="54">
        <f t="shared" ca="1" si="56"/>
        <v>12637631.756907567</v>
      </c>
      <c r="CG60" s="54">
        <f t="shared" ca="1" si="56"/>
        <v>25324759.318109617</v>
      </c>
      <c r="CH60" s="54">
        <f t="shared" ca="1" si="56"/>
        <v>0</v>
      </c>
      <c r="CI60" s="54">
        <f t="shared" ca="1" si="56"/>
        <v>12790032.930744827</v>
      </c>
      <c r="CJ60" s="54">
        <f t="shared" ca="1" si="56"/>
        <v>25626811.946600929</v>
      </c>
      <c r="CK60" s="54">
        <f t="shared" ca="1" si="56"/>
        <v>0</v>
      </c>
    </row>
    <row r="61" spans="2:89">
      <c r="B61" s="14"/>
      <c r="C61" s="14"/>
      <c r="D61" s="14"/>
      <c r="E61" s="14"/>
      <c r="F61" s="14"/>
      <c r="G61" s="149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</row>
    <row r="62" spans="2:89" ht="18" thickBot="1">
      <c r="B62" s="100" t="str">
        <f>"Расчет НДС по кварталам, в "&amp;Ед_измерения_денег</f>
        <v>Расчет НДС по кварталам, в  руб.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</row>
    <row r="63" spans="2:89" ht="15.75" thickTop="1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</row>
    <row r="64" spans="2:89">
      <c r="B64" s="145" t="s">
        <v>220</v>
      </c>
      <c r="C64" s="146"/>
      <c r="D64" s="146"/>
      <c r="E64" s="146"/>
      <c r="F64" s="29">
        <f>IF(F$25=3,1,0)</f>
        <v>0</v>
      </c>
      <c r="G64" s="29">
        <f t="shared" ref="G64:BR64" si="57">IF(G$25=3,1,0)</f>
        <v>0</v>
      </c>
      <c r="H64" s="29">
        <f t="shared" si="57"/>
        <v>1</v>
      </c>
      <c r="I64" s="29">
        <f t="shared" si="57"/>
        <v>0</v>
      </c>
      <c r="J64" s="29">
        <f t="shared" si="57"/>
        <v>0</v>
      </c>
      <c r="K64" s="29">
        <f t="shared" si="57"/>
        <v>1</v>
      </c>
      <c r="L64" s="29">
        <f t="shared" si="57"/>
        <v>0</v>
      </c>
      <c r="M64" s="29">
        <f t="shared" si="57"/>
        <v>0</v>
      </c>
      <c r="N64" s="29">
        <f t="shared" si="57"/>
        <v>1</v>
      </c>
      <c r="O64" s="29">
        <f t="shared" si="57"/>
        <v>0</v>
      </c>
      <c r="P64" s="29">
        <f t="shared" si="57"/>
        <v>0</v>
      </c>
      <c r="Q64" s="29">
        <f t="shared" si="57"/>
        <v>1</v>
      </c>
      <c r="R64" s="29">
        <f t="shared" si="57"/>
        <v>0</v>
      </c>
      <c r="S64" s="29">
        <f t="shared" si="57"/>
        <v>0</v>
      </c>
      <c r="T64" s="29">
        <f t="shared" si="57"/>
        <v>1</v>
      </c>
      <c r="U64" s="29">
        <f t="shared" si="57"/>
        <v>0</v>
      </c>
      <c r="V64" s="29">
        <f t="shared" si="57"/>
        <v>0</v>
      </c>
      <c r="W64" s="29">
        <f t="shared" si="57"/>
        <v>1</v>
      </c>
      <c r="X64" s="29">
        <f t="shared" si="57"/>
        <v>0</v>
      </c>
      <c r="Y64" s="29">
        <f t="shared" si="57"/>
        <v>0</v>
      </c>
      <c r="Z64" s="29">
        <f t="shared" si="57"/>
        <v>1</v>
      </c>
      <c r="AA64" s="29">
        <f t="shared" si="57"/>
        <v>0</v>
      </c>
      <c r="AB64" s="29">
        <f t="shared" si="57"/>
        <v>0</v>
      </c>
      <c r="AC64" s="29">
        <f t="shared" si="57"/>
        <v>1</v>
      </c>
      <c r="AD64" s="29">
        <f t="shared" si="57"/>
        <v>0</v>
      </c>
      <c r="AE64" s="29">
        <f t="shared" si="57"/>
        <v>0</v>
      </c>
      <c r="AF64" s="29">
        <f t="shared" si="57"/>
        <v>1</v>
      </c>
      <c r="AG64" s="29">
        <f t="shared" si="57"/>
        <v>0</v>
      </c>
      <c r="AH64" s="29">
        <f t="shared" si="57"/>
        <v>0</v>
      </c>
      <c r="AI64" s="29">
        <f t="shared" si="57"/>
        <v>1</v>
      </c>
      <c r="AJ64" s="29">
        <f t="shared" si="57"/>
        <v>0</v>
      </c>
      <c r="AK64" s="29">
        <f t="shared" si="57"/>
        <v>0</v>
      </c>
      <c r="AL64" s="29">
        <f t="shared" si="57"/>
        <v>1</v>
      </c>
      <c r="AM64" s="29">
        <f t="shared" si="57"/>
        <v>0</v>
      </c>
      <c r="AN64" s="29">
        <f t="shared" si="57"/>
        <v>0</v>
      </c>
      <c r="AO64" s="29">
        <f t="shared" si="57"/>
        <v>1</v>
      </c>
      <c r="AP64" s="29">
        <f t="shared" si="57"/>
        <v>0</v>
      </c>
      <c r="AQ64" s="29">
        <f t="shared" si="57"/>
        <v>0</v>
      </c>
      <c r="AR64" s="29">
        <f t="shared" si="57"/>
        <v>1</v>
      </c>
      <c r="AS64" s="29">
        <f t="shared" si="57"/>
        <v>0</v>
      </c>
      <c r="AT64" s="29">
        <f t="shared" si="57"/>
        <v>0</v>
      </c>
      <c r="AU64" s="29">
        <f t="shared" si="57"/>
        <v>1</v>
      </c>
      <c r="AV64" s="29">
        <f t="shared" si="57"/>
        <v>0</v>
      </c>
      <c r="AW64" s="29">
        <f t="shared" si="57"/>
        <v>0</v>
      </c>
      <c r="AX64" s="29">
        <f t="shared" si="57"/>
        <v>1</v>
      </c>
      <c r="AY64" s="29">
        <f t="shared" si="57"/>
        <v>0</v>
      </c>
      <c r="AZ64" s="29">
        <f t="shared" si="57"/>
        <v>0</v>
      </c>
      <c r="BA64" s="29">
        <f t="shared" si="57"/>
        <v>1</v>
      </c>
      <c r="BB64" s="29">
        <f t="shared" si="57"/>
        <v>0</v>
      </c>
      <c r="BC64" s="29">
        <f t="shared" si="57"/>
        <v>0</v>
      </c>
      <c r="BD64" s="29">
        <f t="shared" si="57"/>
        <v>1</v>
      </c>
      <c r="BE64" s="29">
        <f t="shared" si="57"/>
        <v>0</v>
      </c>
      <c r="BF64" s="29">
        <f t="shared" si="57"/>
        <v>0</v>
      </c>
      <c r="BG64" s="29">
        <f t="shared" si="57"/>
        <v>1</v>
      </c>
      <c r="BH64" s="29">
        <f t="shared" si="57"/>
        <v>0</v>
      </c>
      <c r="BI64" s="29">
        <f t="shared" si="57"/>
        <v>0</v>
      </c>
      <c r="BJ64" s="29">
        <f t="shared" si="57"/>
        <v>1</v>
      </c>
      <c r="BK64" s="29">
        <f t="shared" si="57"/>
        <v>0</v>
      </c>
      <c r="BL64" s="29">
        <f t="shared" si="57"/>
        <v>0</v>
      </c>
      <c r="BM64" s="167">
        <f t="shared" si="57"/>
        <v>1</v>
      </c>
      <c r="BN64" s="167">
        <f t="shared" si="57"/>
        <v>0</v>
      </c>
      <c r="BO64" s="167">
        <f t="shared" si="57"/>
        <v>0</v>
      </c>
      <c r="BP64" s="167">
        <f t="shared" si="57"/>
        <v>1</v>
      </c>
      <c r="BQ64" s="167">
        <f t="shared" si="57"/>
        <v>0</v>
      </c>
      <c r="BR64" s="167">
        <f t="shared" si="57"/>
        <v>0</v>
      </c>
      <c r="BS64" s="167">
        <f t="shared" ref="BS64:CK64" si="58">IF(BS$25=3,1,0)</f>
        <v>1</v>
      </c>
      <c r="BT64" s="167">
        <f t="shared" si="58"/>
        <v>0</v>
      </c>
      <c r="BU64" s="167">
        <f t="shared" si="58"/>
        <v>0</v>
      </c>
      <c r="BV64" s="167">
        <f t="shared" si="58"/>
        <v>1</v>
      </c>
      <c r="BW64" s="167">
        <f t="shared" si="58"/>
        <v>0</v>
      </c>
      <c r="BX64" s="167">
        <f t="shared" si="58"/>
        <v>0</v>
      </c>
      <c r="BY64" s="167">
        <f t="shared" si="58"/>
        <v>1</v>
      </c>
      <c r="BZ64" s="167">
        <f t="shared" si="58"/>
        <v>0</v>
      </c>
      <c r="CA64" s="167">
        <f t="shared" si="58"/>
        <v>0</v>
      </c>
      <c r="CB64" s="167">
        <f t="shared" si="58"/>
        <v>1</v>
      </c>
      <c r="CC64" s="167">
        <f t="shared" si="58"/>
        <v>0</v>
      </c>
      <c r="CD64" s="167">
        <f t="shared" si="58"/>
        <v>0</v>
      </c>
      <c r="CE64" s="167">
        <f t="shared" si="58"/>
        <v>1</v>
      </c>
      <c r="CF64" s="167">
        <f t="shared" si="58"/>
        <v>0</v>
      </c>
      <c r="CG64" s="167">
        <f t="shared" si="58"/>
        <v>0</v>
      </c>
      <c r="CH64" s="167">
        <f t="shared" si="58"/>
        <v>1</v>
      </c>
      <c r="CI64" s="167">
        <f t="shared" si="58"/>
        <v>0</v>
      </c>
      <c r="CJ64" s="167">
        <f t="shared" si="58"/>
        <v>0</v>
      </c>
      <c r="CK64" s="167">
        <f t="shared" si="58"/>
        <v>1</v>
      </c>
    </row>
    <row r="65" spans="2:89">
      <c r="B65" s="14"/>
      <c r="C65" s="14"/>
      <c r="D65" s="14"/>
      <c r="E65" s="14"/>
      <c r="F65" s="14"/>
      <c r="G65" s="149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</row>
    <row r="66" spans="2:89">
      <c r="B66" s="77" t="s">
        <v>65</v>
      </c>
      <c r="C66" s="78"/>
      <c r="D66" s="98">
        <f ca="1">SUM(F66:CK66)</f>
        <v>1153492922.2630031</v>
      </c>
      <c r="E66" s="79"/>
      <c r="F66" s="80">
        <f t="shared" ref="F66:AK66" ca="1" si="59">SUM(OFFSET(F51,,-MIN(F$27,Мес_в_кв)+1,1,MIN(F$27,Мес_в_кв)))*F$64</f>
        <v>0</v>
      </c>
      <c r="G66" s="80">
        <f t="shared" ca="1" si="59"/>
        <v>0</v>
      </c>
      <c r="H66" s="80">
        <f t="shared" ca="1" si="59"/>
        <v>0</v>
      </c>
      <c r="I66" s="80">
        <f t="shared" ca="1" si="59"/>
        <v>0</v>
      </c>
      <c r="J66" s="80">
        <f t="shared" ca="1" si="59"/>
        <v>0</v>
      </c>
      <c r="K66" s="80">
        <f t="shared" ca="1" si="59"/>
        <v>0</v>
      </c>
      <c r="L66" s="80">
        <f t="shared" ca="1" si="59"/>
        <v>0</v>
      </c>
      <c r="M66" s="80">
        <f t="shared" ca="1" si="59"/>
        <v>0</v>
      </c>
      <c r="N66" s="80">
        <f t="shared" ca="1" si="59"/>
        <v>0</v>
      </c>
      <c r="O66" s="80">
        <f t="shared" ca="1" si="59"/>
        <v>0</v>
      </c>
      <c r="P66" s="80">
        <f t="shared" ca="1" si="59"/>
        <v>0</v>
      </c>
      <c r="Q66" s="80">
        <f t="shared" ca="1" si="59"/>
        <v>0</v>
      </c>
      <c r="R66" s="80">
        <f t="shared" ca="1" si="59"/>
        <v>0</v>
      </c>
      <c r="S66" s="80">
        <f t="shared" ca="1" si="59"/>
        <v>0</v>
      </c>
      <c r="T66" s="80">
        <f t="shared" ca="1" si="59"/>
        <v>23165518.189039815</v>
      </c>
      <c r="U66" s="80">
        <f t="shared" ca="1" si="59"/>
        <v>0</v>
      </c>
      <c r="V66" s="80">
        <f t="shared" ca="1" si="59"/>
        <v>0</v>
      </c>
      <c r="W66" s="80">
        <f t="shared" ca="1" si="59"/>
        <v>23451373.916647267</v>
      </c>
      <c r="X66" s="80">
        <f t="shared" ca="1" si="59"/>
        <v>0</v>
      </c>
      <c r="Y66" s="80">
        <f t="shared" ca="1" si="59"/>
        <v>0</v>
      </c>
      <c r="Z66" s="80">
        <f t="shared" ca="1" si="59"/>
        <v>23739702.117595047</v>
      </c>
      <c r="AA66" s="80">
        <f t="shared" ca="1" si="59"/>
        <v>0</v>
      </c>
      <c r="AB66" s="80">
        <f t="shared" ca="1" si="59"/>
        <v>0</v>
      </c>
      <c r="AC66" s="80">
        <f t="shared" ca="1" si="59"/>
        <v>24028890.667243585</v>
      </c>
      <c r="AD66" s="80">
        <f t="shared" ca="1" si="59"/>
        <v>0</v>
      </c>
      <c r="AE66" s="80">
        <f t="shared" ca="1" si="59"/>
        <v>0</v>
      </c>
      <c r="AF66" s="80">
        <f t="shared" ca="1" si="59"/>
        <v>27516970.302132219</v>
      </c>
      <c r="AG66" s="80">
        <f t="shared" ca="1" si="59"/>
        <v>0</v>
      </c>
      <c r="AH66" s="80">
        <f t="shared" ca="1" si="59"/>
        <v>0</v>
      </c>
      <c r="AI66" s="80">
        <f t="shared" ca="1" si="59"/>
        <v>30460022.909206659</v>
      </c>
      <c r="AJ66" s="80">
        <f t="shared" ca="1" si="59"/>
        <v>0</v>
      </c>
      <c r="AK66" s="80">
        <f t="shared" ca="1" si="59"/>
        <v>0</v>
      </c>
      <c r="AL66" s="80">
        <f t="shared" ref="AL66:BM66" ca="1" si="60">SUM(OFFSET(AL51,,-MIN(AL$27,Мес_в_кв)+1,1,MIN(AL$27,Мес_в_кв)))*AL$64</f>
        <v>34567111.870578572</v>
      </c>
      <c r="AM66" s="80">
        <f t="shared" ca="1" si="60"/>
        <v>0</v>
      </c>
      <c r="AN66" s="80">
        <f t="shared" ca="1" si="60"/>
        <v>0</v>
      </c>
      <c r="AO66" s="80">
        <f t="shared" ca="1" si="60"/>
        <v>40457851.724160999</v>
      </c>
      <c r="AP66" s="80">
        <f t="shared" ca="1" si="60"/>
        <v>0</v>
      </c>
      <c r="AQ66" s="80">
        <f t="shared" ca="1" si="60"/>
        <v>0</v>
      </c>
      <c r="AR66" s="80">
        <f t="shared" ca="1" si="60"/>
        <v>44546758.916511327</v>
      </c>
      <c r="AS66" s="80">
        <f t="shared" ca="1" si="60"/>
        <v>0</v>
      </c>
      <c r="AT66" s="80">
        <f t="shared" ca="1" si="60"/>
        <v>0</v>
      </c>
      <c r="AU66" s="80">
        <f t="shared" ca="1" si="60"/>
        <v>47442395.472176015</v>
      </c>
      <c r="AV66" s="80">
        <f t="shared" ca="1" si="60"/>
        <v>0</v>
      </c>
      <c r="AW66" s="80">
        <f t="shared" ca="1" si="60"/>
        <v>0</v>
      </c>
      <c r="AX66" s="80">
        <f t="shared" ca="1" si="60"/>
        <v>50842556.773364201</v>
      </c>
      <c r="AY66" s="80">
        <f t="shared" ca="1" si="60"/>
        <v>0</v>
      </c>
      <c r="AZ66" s="80">
        <f t="shared" ca="1" si="60"/>
        <v>0</v>
      </c>
      <c r="BA66" s="80">
        <f t="shared" ca="1" si="60"/>
        <v>54811916.618704759</v>
      </c>
      <c r="BB66" s="80">
        <f t="shared" ca="1" si="60"/>
        <v>0</v>
      </c>
      <c r="BC66" s="80">
        <f t="shared" ca="1" si="60"/>
        <v>0</v>
      </c>
      <c r="BD66" s="80">
        <f t="shared" ca="1" si="60"/>
        <v>56710278.434270665</v>
      </c>
      <c r="BE66" s="80">
        <f t="shared" ca="1" si="60"/>
        <v>0</v>
      </c>
      <c r="BF66" s="80">
        <f t="shared" ca="1" si="60"/>
        <v>0</v>
      </c>
      <c r="BG66" s="80">
        <f t="shared" ca="1" si="60"/>
        <v>57411995.745800033</v>
      </c>
      <c r="BH66" s="80">
        <f t="shared" ca="1" si="60"/>
        <v>0</v>
      </c>
      <c r="BI66" s="80">
        <f t="shared" ca="1" si="60"/>
        <v>0</v>
      </c>
      <c r="BJ66" s="80">
        <f t="shared" ca="1" si="60"/>
        <v>58119806.212621704</v>
      </c>
      <c r="BK66" s="80">
        <f t="shared" ca="1" si="60"/>
        <v>0</v>
      </c>
      <c r="BL66" s="80">
        <f t="shared" ca="1" si="60"/>
        <v>0</v>
      </c>
      <c r="BM66" s="80">
        <f t="shared" ca="1" si="60"/>
        <v>58832405.67868486</v>
      </c>
      <c r="BN66" s="80">
        <f t="shared" ref="BN66:CK66" ca="1" si="61">SUM(OFFSET(BN51,,-MIN(BN$27,Мес_в_кв)+1,1,MIN(BN$27,Мес_в_кв)))*BN$64</f>
        <v>0</v>
      </c>
      <c r="BO66" s="80">
        <f t="shared" ca="1" si="61"/>
        <v>0</v>
      </c>
      <c r="BP66" s="80">
        <f t="shared" ca="1" si="61"/>
        <v>59550451.952717409</v>
      </c>
      <c r="BQ66" s="80">
        <f t="shared" ca="1" si="61"/>
        <v>0</v>
      </c>
      <c r="BR66" s="80">
        <f t="shared" ca="1" si="61"/>
        <v>0</v>
      </c>
      <c r="BS66" s="80">
        <f t="shared" ca="1" si="61"/>
        <v>60285287.134619378</v>
      </c>
      <c r="BT66" s="80">
        <f t="shared" ca="1" si="61"/>
        <v>0</v>
      </c>
      <c r="BU66" s="80">
        <f t="shared" ca="1" si="61"/>
        <v>0</v>
      </c>
      <c r="BV66" s="80">
        <f t="shared" ca="1" si="61"/>
        <v>61026478.181460649</v>
      </c>
      <c r="BW66" s="80">
        <f t="shared" ca="1" si="61"/>
        <v>0</v>
      </c>
      <c r="BX66" s="80">
        <f t="shared" ca="1" si="61"/>
        <v>0</v>
      </c>
      <c r="BY66" s="80">
        <f t="shared" ca="1" si="61"/>
        <v>61769880.884158202</v>
      </c>
      <c r="BZ66" s="80">
        <f t="shared" ca="1" si="61"/>
        <v>0</v>
      </c>
      <c r="CA66" s="80">
        <f t="shared" ca="1" si="61"/>
        <v>0</v>
      </c>
      <c r="CB66" s="80">
        <f t="shared" ca="1" si="61"/>
        <v>62523081.973783471</v>
      </c>
      <c r="CC66" s="80">
        <f t="shared" ca="1" si="61"/>
        <v>0</v>
      </c>
      <c r="CD66" s="80">
        <f t="shared" ca="1" si="61"/>
        <v>0</v>
      </c>
      <c r="CE66" s="80">
        <f t="shared" ca="1" si="61"/>
        <v>63296725.309744611</v>
      </c>
      <c r="CF66" s="80">
        <f t="shared" ca="1" si="61"/>
        <v>0</v>
      </c>
      <c r="CG66" s="80">
        <f t="shared" ca="1" si="61"/>
        <v>0</v>
      </c>
      <c r="CH66" s="80">
        <f t="shared" ca="1" si="61"/>
        <v>64077086.349415496</v>
      </c>
      <c r="CI66" s="80">
        <f t="shared" ca="1" si="61"/>
        <v>0</v>
      </c>
      <c r="CJ66" s="80">
        <f t="shared" ca="1" si="61"/>
        <v>0</v>
      </c>
      <c r="CK66" s="80">
        <f t="shared" ca="1" si="61"/>
        <v>64858374.928366184</v>
      </c>
    </row>
    <row r="67" spans="2:89" ht="15.75" thickBot="1">
      <c r="B67" s="45" t="s">
        <v>169</v>
      </c>
      <c r="C67" s="46"/>
      <c r="D67" s="47">
        <f ca="1">SUM(F67:CK67)</f>
        <v>-614198521.5883255</v>
      </c>
      <c r="E67" s="48"/>
      <c r="F67" s="49">
        <f t="shared" ref="F67:AK67" ca="1" si="62">SUM(OFFSET(F52,,-MIN(F$27,Мес_в_кв)+1,1,MIN(F$27,Мес_в_кв)))*F$64</f>
        <v>0</v>
      </c>
      <c r="G67" s="49">
        <f t="shared" ca="1" si="62"/>
        <v>0</v>
      </c>
      <c r="H67" s="49">
        <f t="shared" ca="1" si="62"/>
        <v>-17522727.272727273</v>
      </c>
      <c r="I67" s="49">
        <f t="shared" ca="1" si="62"/>
        <v>0</v>
      </c>
      <c r="J67" s="49">
        <f t="shared" ca="1" si="62"/>
        <v>0</v>
      </c>
      <c r="K67" s="49">
        <f t="shared" ca="1" si="62"/>
        <v>-40032727.272727273</v>
      </c>
      <c r="L67" s="49">
        <f t="shared" ca="1" si="62"/>
        <v>0</v>
      </c>
      <c r="M67" s="49">
        <f t="shared" ca="1" si="62"/>
        <v>0</v>
      </c>
      <c r="N67" s="49">
        <f t="shared" ca="1" si="62"/>
        <v>-27136363.63636364</v>
      </c>
      <c r="O67" s="49">
        <f t="shared" ca="1" si="62"/>
        <v>0</v>
      </c>
      <c r="P67" s="49">
        <f t="shared" ca="1" si="62"/>
        <v>0</v>
      </c>
      <c r="Q67" s="49">
        <f t="shared" ca="1" si="62"/>
        <v>-20856369.33411283</v>
      </c>
      <c r="R67" s="49">
        <f t="shared" ca="1" si="62"/>
        <v>0</v>
      </c>
      <c r="S67" s="49">
        <f t="shared" ca="1" si="62"/>
        <v>0</v>
      </c>
      <c r="T67" s="49">
        <f t="shared" ca="1" si="62"/>
        <v>-13639165.139887929</v>
      </c>
      <c r="U67" s="49">
        <f t="shared" ca="1" si="62"/>
        <v>0</v>
      </c>
      <c r="V67" s="49">
        <f t="shared" ca="1" si="62"/>
        <v>0</v>
      </c>
      <c r="W67" s="49">
        <f t="shared" ca="1" si="62"/>
        <v>-13813560.202245107</v>
      </c>
      <c r="X67" s="49">
        <f t="shared" ca="1" si="62"/>
        <v>0</v>
      </c>
      <c r="Y67" s="49">
        <f t="shared" ca="1" si="62"/>
        <v>0</v>
      </c>
      <c r="Z67" s="49">
        <f t="shared" ca="1" si="62"/>
        <v>-13989541.74008492</v>
      </c>
      <c r="AA67" s="49">
        <f t="shared" ca="1" si="62"/>
        <v>0</v>
      </c>
      <c r="AB67" s="49">
        <f t="shared" ca="1" si="62"/>
        <v>0</v>
      </c>
      <c r="AC67" s="49">
        <f t="shared" ca="1" si="62"/>
        <v>-14166126.061977066</v>
      </c>
      <c r="AD67" s="49">
        <f t="shared" ca="1" si="62"/>
        <v>0</v>
      </c>
      <c r="AE67" s="49">
        <f t="shared" ca="1" si="62"/>
        <v>0</v>
      </c>
      <c r="AF67" s="49">
        <f t="shared" ca="1" si="62"/>
        <v>-15175729.046474822</v>
      </c>
      <c r="AG67" s="49">
        <f t="shared" ca="1" si="62"/>
        <v>0</v>
      </c>
      <c r="AH67" s="49">
        <f t="shared" ca="1" si="62"/>
        <v>0</v>
      </c>
      <c r="AI67" s="49">
        <f t="shared" ca="1" si="62"/>
        <v>-16623254.034217641</v>
      </c>
      <c r="AJ67" s="49">
        <f t="shared" ca="1" si="62"/>
        <v>0</v>
      </c>
      <c r="AK67" s="49">
        <f t="shared" ca="1" si="62"/>
        <v>0</v>
      </c>
      <c r="AL67" s="49">
        <f t="shared" ref="AL67:BM67" ca="1" si="63">SUM(OFFSET(AL52,,-MIN(AL$27,Мес_в_кв)+1,1,MIN(AL$27,Мес_в_кв)))*AL$64</f>
        <v>-18302250.043452658</v>
      </c>
      <c r="AM67" s="49">
        <f t="shared" ca="1" si="63"/>
        <v>0</v>
      </c>
      <c r="AN67" s="49">
        <f t="shared" ca="1" si="63"/>
        <v>0</v>
      </c>
      <c r="AO67" s="49">
        <f t="shared" ca="1" si="63"/>
        <v>-20261566.621417932</v>
      </c>
      <c r="AP67" s="49">
        <f t="shared" ca="1" si="63"/>
        <v>0</v>
      </c>
      <c r="AQ67" s="49">
        <f t="shared" ca="1" si="63"/>
        <v>0</v>
      </c>
      <c r="AR67" s="49">
        <f t="shared" ca="1" si="63"/>
        <v>-21231572.926674809</v>
      </c>
      <c r="AS67" s="49">
        <f t="shared" ca="1" si="63"/>
        <v>0</v>
      </c>
      <c r="AT67" s="49">
        <f t="shared" ca="1" si="63"/>
        <v>0</v>
      </c>
      <c r="AU67" s="49">
        <f t="shared" ca="1" si="63"/>
        <v>-21642144.257619165</v>
      </c>
      <c r="AV67" s="49">
        <f t="shared" ca="1" si="63"/>
        <v>0</v>
      </c>
      <c r="AW67" s="49">
        <f t="shared" ca="1" si="63"/>
        <v>0</v>
      </c>
      <c r="AX67" s="49">
        <f t="shared" ca="1" si="63"/>
        <v>-22084792.37038235</v>
      </c>
      <c r="AY67" s="49">
        <f t="shared" ca="1" si="63"/>
        <v>0</v>
      </c>
      <c r="AZ67" s="49">
        <f t="shared" ca="1" si="63"/>
        <v>0</v>
      </c>
      <c r="BA67" s="49">
        <f t="shared" ca="1" si="63"/>
        <v>-22561573.286625259</v>
      </c>
      <c r="BB67" s="49">
        <f t="shared" ca="1" si="63"/>
        <v>0</v>
      </c>
      <c r="BC67" s="49">
        <f t="shared" ca="1" si="63"/>
        <v>0</v>
      </c>
      <c r="BD67" s="49">
        <f t="shared" ca="1" si="63"/>
        <v>-22919458.15890082</v>
      </c>
      <c r="BE67" s="49">
        <f t="shared" ca="1" si="63"/>
        <v>0</v>
      </c>
      <c r="BF67" s="49">
        <f t="shared" ca="1" si="63"/>
        <v>0</v>
      </c>
      <c r="BG67" s="49">
        <f t="shared" ca="1" si="63"/>
        <v>-23213597.110403627</v>
      </c>
      <c r="BH67" s="49">
        <f t="shared" ca="1" si="63"/>
        <v>0</v>
      </c>
      <c r="BI67" s="49">
        <f t="shared" ca="1" si="63"/>
        <v>0</v>
      </c>
      <c r="BJ67" s="49">
        <f t="shared" ca="1" si="63"/>
        <v>-23510425.358290151</v>
      </c>
      <c r="BK67" s="49">
        <f t="shared" ca="1" si="63"/>
        <v>0</v>
      </c>
      <c r="BL67" s="49">
        <f t="shared" ca="1" si="63"/>
        <v>0</v>
      </c>
      <c r="BM67" s="49">
        <f t="shared" ca="1" si="63"/>
        <v>-23809397.32884521</v>
      </c>
      <c r="BN67" s="49">
        <f t="shared" ref="BN67:CK67" ca="1" si="64">SUM(OFFSET(BN52,,-MIN(BN$27,Мес_в_кв)+1,1,MIN(BN$27,Мес_в_кв)))*BN$64</f>
        <v>0</v>
      </c>
      <c r="BO67" s="49">
        <f t="shared" ca="1" si="64"/>
        <v>0</v>
      </c>
      <c r="BP67" s="49">
        <f t="shared" ca="1" si="64"/>
        <v>-24110790.884255275</v>
      </c>
      <c r="BQ67" s="49">
        <f t="shared" ca="1" si="64"/>
        <v>0</v>
      </c>
      <c r="BR67" s="49">
        <f t="shared" ca="1" si="64"/>
        <v>0</v>
      </c>
      <c r="BS67" s="49">
        <f t="shared" ca="1" si="64"/>
        <v>-24419370.987021044</v>
      </c>
      <c r="BT67" s="49">
        <f t="shared" ca="1" si="64"/>
        <v>0</v>
      </c>
      <c r="BU67" s="49">
        <f t="shared" ca="1" si="64"/>
        <v>0</v>
      </c>
      <c r="BV67" s="49">
        <f t="shared" ca="1" si="64"/>
        <v>-24730761.622528229</v>
      </c>
      <c r="BW67" s="49">
        <f t="shared" ca="1" si="64"/>
        <v>0</v>
      </c>
      <c r="BX67" s="49">
        <f t="shared" ca="1" si="64"/>
        <v>0</v>
      </c>
      <c r="BY67" s="49">
        <f t="shared" ca="1" si="64"/>
        <v>-25043222.206535514</v>
      </c>
      <c r="BZ67" s="49">
        <f t="shared" ca="1" si="64"/>
        <v>0</v>
      </c>
      <c r="CA67" s="49">
        <f t="shared" ca="1" si="64"/>
        <v>0</v>
      </c>
      <c r="CB67" s="49">
        <f t="shared" ca="1" si="64"/>
        <v>-25359944.262648396</v>
      </c>
      <c r="CC67" s="49">
        <f t="shared" ca="1" si="64"/>
        <v>0</v>
      </c>
      <c r="CD67" s="49">
        <f t="shared" ca="1" si="64"/>
        <v>0</v>
      </c>
      <c r="CE67" s="49">
        <f t="shared" ca="1" si="64"/>
        <v>-25685409.496138312</v>
      </c>
      <c r="CF67" s="49">
        <f t="shared" ca="1" si="64"/>
        <v>0</v>
      </c>
      <c r="CG67" s="49">
        <f t="shared" ca="1" si="64"/>
        <v>0</v>
      </c>
      <c r="CH67" s="49">
        <f t="shared" ca="1" si="64"/>
        <v>-26013850.511067018</v>
      </c>
      <c r="CI67" s="49">
        <f t="shared" ca="1" si="64"/>
        <v>0</v>
      </c>
      <c r="CJ67" s="49">
        <f t="shared" ca="1" si="64"/>
        <v>0</v>
      </c>
      <c r="CK67" s="49">
        <f t="shared" ca="1" si="64"/>
        <v>-26342830.414701171</v>
      </c>
    </row>
    <row r="68" spans="2:89" ht="15.75" thickTop="1">
      <c r="B68" s="50" t="s">
        <v>222</v>
      </c>
      <c r="C68" s="51"/>
      <c r="D68" s="52">
        <f ca="1">SUM(D66:D67)</f>
        <v>539294400.67467761</v>
      </c>
      <c r="E68" s="53"/>
      <c r="F68" s="54">
        <f ca="1">SUM(F66:F67)</f>
        <v>0</v>
      </c>
      <c r="G68" s="54">
        <f t="shared" ref="G68:AG68" ca="1" si="65">SUM(G66:G67)</f>
        <v>0</v>
      </c>
      <c r="H68" s="54">
        <f t="shared" ca="1" si="65"/>
        <v>-17522727.272727273</v>
      </c>
      <c r="I68" s="54">
        <f t="shared" ca="1" si="65"/>
        <v>0</v>
      </c>
      <c r="J68" s="54">
        <f t="shared" ca="1" si="65"/>
        <v>0</v>
      </c>
      <c r="K68" s="54">
        <f t="shared" ca="1" si="65"/>
        <v>-40032727.272727273</v>
      </c>
      <c r="L68" s="54">
        <f t="shared" ca="1" si="65"/>
        <v>0</v>
      </c>
      <c r="M68" s="54">
        <f t="shared" ca="1" si="65"/>
        <v>0</v>
      </c>
      <c r="N68" s="54">
        <f t="shared" ca="1" si="65"/>
        <v>-27136363.63636364</v>
      </c>
      <c r="O68" s="54">
        <f t="shared" ca="1" si="65"/>
        <v>0</v>
      </c>
      <c r="P68" s="54">
        <f t="shared" ca="1" si="65"/>
        <v>0</v>
      </c>
      <c r="Q68" s="54">
        <f t="shared" ca="1" si="65"/>
        <v>-20856369.33411283</v>
      </c>
      <c r="R68" s="54">
        <f t="shared" ca="1" si="65"/>
        <v>0</v>
      </c>
      <c r="S68" s="54">
        <f t="shared" ca="1" si="65"/>
        <v>0</v>
      </c>
      <c r="T68" s="54">
        <f t="shared" ca="1" si="65"/>
        <v>9526353.0491518863</v>
      </c>
      <c r="U68" s="54">
        <f t="shared" ca="1" si="65"/>
        <v>0</v>
      </c>
      <c r="V68" s="54">
        <f t="shared" ca="1" si="65"/>
        <v>0</v>
      </c>
      <c r="W68" s="54">
        <f t="shared" ca="1" si="65"/>
        <v>9637813.7144021597</v>
      </c>
      <c r="X68" s="54">
        <f t="shared" ca="1" si="65"/>
        <v>0</v>
      </c>
      <c r="Y68" s="54">
        <f t="shared" ca="1" si="65"/>
        <v>0</v>
      </c>
      <c r="Z68" s="54">
        <f t="shared" ca="1" si="65"/>
        <v>9750160.3775101267</v>
      </c>
      <c r="AA68" s="54">
        <f t="shared" ca="1" si="65"/>
        <v>0</v>
      </c>
      <c r="AB68" s="54">
        <f t="shared" ca="1" si="65"/>
        <v>0</v>
      </c>
      <c r="AC68" s="54">
        <f t="shared" ca="1" si="65"/>
        <v>9862764.6052665189</v>
      </c>
      <c r="AD68" s="54">
        <f t="shared" ca="1" si="65"/>
        <v>0</v>
      </c>
      <c r="AE68" s="54">
        <f t="shared" ca="1" si="65"/>
        <v>0</v>
      </c>
      <c r="AF68" s="54">
        <f t="shared" ca="1" si="65"/>
        <v>12341241.255657397</v>
      </c>
      <c r="AG68" s="54">
        <f t="shared" ca="1" si="65"/>
        <v>0</v>
      </c>
      <c r="AH68" s="54">
        <f t="shared" ref="AH68:BM68" ca="1" si="66">SUM(AH66:AH67)</f>
        <v>0</v>
      </c>
      <c r="AI68" s="54">
        <f t="shared" ca="1" si="66"/>
        <v>13836768.874989018</v>
      </c>
      <c r="AJ68" s="54">
        <f t="shared" ca="1" si="66"/>
        <v>0</v>
      </c>
      <c r="AK68" s="54">
        <f t="shared" ca="1" si="66"/>
        <v>0</v>
      </c>
      <c r="AL68" s="54">
        <f t="shared" ca="1" si="66"/>
        <v>16264861.827125914</v>
      </c>
      <c r="AM68" s="54">
        <f t="shared" ca="1" si="66"/>
        <v>0</v>
      </c>
      <c r="AN68" s="54">
        <f t="shared" ca="1" si="66"/>
        <v>0</v>
      </c>
      <c r="AO68" s="54">
        <f t="shared" ca="1" si="66"/>
        <v>20196285.102743067</v>
      </c>
      <c r="AP68" s="54">
        <f t="shared" ca="1" si="66"/>
        <v>0</v>
      </c>
      <c r="AQ68" s="54">
        <f t="shared" ca="1" si="66"/>
        <v>0</v>
      </c>
      <c r="AR68" s="54">
        <f t="shared" ca="1" si="66"/>
        <v>23315185.989836518</v>
      </c>
      <c r="AS68" s="54">
        <f t="shared" ca="1" si="66"/>
        <v>0</v>
      </c>
      <c r="AT68" s="54">
        <f t="shared" ca="1" si="66"/>
        <v>0</v>
      </c>
      <c r="AU68" s="54">
        <f t="shared" ca="1" si="66"/>
        <v>25800251.21455685</v>
      </c>
      <c r="AV68" s="54">
        <f t="shared" ca="1" si="66"/>
        <v>0</v>
      </c>
      <c r="AW68" s="54">
        <f t="shared" ca="1" si="66"/>
        <v>0</v>
      </c>
      <c r="AX68" s="54">
        <f t="shared" ca="1" si="66"/>
        <v>28757764.402981851</v>
      </c>
      <c r="AY68" s="54">
        <f t="shared" ca="1" si="66"/>
        <v>0</v>
      </c>
      <c r="AZ68" s="54">
        <f t="shared" ca="1" si="66"/>
        <v>0</v>
      </c>
      <c r="BA68" s="54">
        <f t="shared" ca="1" si="66"/>
        <v>32250343.3320795</v>
      </c>
      <c r="BB68" s="54">
        <f t="shared" ca="1" si="66"/>
        <v>0</v>
      </c>
      <c r="BC68" s="54">
        <f t="shared" ca="1" si="66"/>
        <v>0</v>
      </c>
      <c r="BD68" s="54">
        <f t="shared" ca="1" si="66"/>
        <v>33790820.275369845</v>
      </c>
      <c r="BE68" s="54">
        <f t="shared" ca="1" si="66"/>
        <v>0</v>
      </c>
      <c r="BF68" s="54">
        <f t="shared" ca="1" si="66"/>
        <v>0</v>
      </c>
      <c r="BG68" s="54">
        <f t="shared" ca="1" si="66"/>
        <v>34198398.635396406</v>
      </c>
      <c r="BH68" s="54">
        <f t="shared" ca="1" si="66"/>
        <v>0</v>
      </c>
      <c r="BI68" s="54">
        <f t="shared" ca="1" si="66"/>
        <v>0</v>
      </c>
      <c r="BJ68" s="54">
        <f t="shared" ca="1" si="66"/>
        <v>34609380.854331553</v>
      </c>
      <c r="BK68" s="54">
        <f t="shared" ca="1" si="66"/>
        <v>0</v>
      </c>
      <c r="BL68" s="54">
        <f t="shared" ca="1" si="66"/>
        <v>0</v>
      </c>
      <c r="BM68" s="54">
        <f t="shared" ca="1" si="66"/>
        <v>35023008.34983965</v>
      </c>
      <c r="BN68" s="54">
        <f t="shared" ref="BN68:CK68" ca="1" si="67">SUM(BN66:BN67)</f>
        <v>0</v>
      </c>
      <c r="BO68" s="54">
        <f t="shared" ca="1" si="67"/>
        <v>0</v>
      </c>
      <c r="BP68" s="54">
        <f t="shared" ca="1" si="67"/>
        <v>35439661.068462133</v>
      </c>
      <c r="BQ68" s="54">
        <f t="shared" ca="1" si="67"/>
        <v>0</v>
      </c>
      <c r="BR68" s="54">
        <f t="shared" ca="1" si="67"/>
        <v>0</v>
      </c>
      <c r="BS68" s="54">
        <f t="shared" ca="1" si="67"/>
        <v>35865916.147598334</v>
      </c>
      <c r="BT68" s="54">
        <f t="shared" ca="1" si="67"/>
        <v>0</v>
      </c>
      <c r="BU68" s="54">
        <f t="shared" ca="1" si="67"/>
        <v>0</v>
      </c>
      <c r="BV68" s="54">
        <f t="shared" ca="1" si="67"/>
        <v>36295716.558932424</v>
      </c>
      <c r="BW68" s="54">
        <f t="shared" ca="1" si="67"/>
        <v>0</v>
      </c>
      <c r="BX68" s="54">
        <f t="shared" ca="1" si="67"/>
        <v>0</v>
      </c>
      <c r="BY68" s="54">
        <f t="shared" ca="1" si="67"/>
        <v>36726658.677622691</v>
      </c>
      <c r="BZ68" s="54">
        <f t="shared" ca="1" si="67"/>
        <v>0</v>
      </c>
      <c r="CA68" s="54">
        <f t="shared" ca="1" si="67"/>
        <v>0</v>
      </c>
      <c r="CB68" s="54">
        <f t="shared" ca="1" si="67"/>
        <v>37163137.711135074</v>
      </c>
      <c r="CC68" s="54">
        <f t="shared" ca="1" si="67"/>
        <v>0</v>
      </c>
      <c r="CD68" s="54">
        <f t="shared" ca="1" si="67"/>
        <v>0</v>
      </c>
      <c r="CE68" s="54">
        <f t="shared" ca="1" si="67"/>
        <v>37611315.813606299</v>
      </c>
      <c r="CF68" s="54">
        <f t="shared" ca="1" si="67"/>
        <v>0</v>
      </c>
      <c r="CG68" s="54">
        <f t="shared" ca="1" si="67"/>
        <v>0</v>
      </c>
      <c r="CH68" s="54">
        <f t="shared" ca="1" si="67"/>
        <v>38063235.838348478</v>
      </c>
      <c r="CI68" s="54">
        <f t="shared" ca="1" si="67"/>
        <v>0</v>
      </c>
      <c r="CJ68" s="54">
        <f t="shared" ca="1" si="67"/>
        <v>0</v>
      </c>
      <c r="CK68" s="54">
        <f t="shared" ca="1" si="67"/>
        <v>38515544.513665013</v>
      </c>
    </row>
    <row r="69" spans="2:89">
      <c r="B69" s="14"/>
      <c r="C69" s="14"/>
      <c r="D69" s="14"/>
      <c r="E69" s="14"/>
      <c r="F69" s="14"/>
      <c r="G69" s="149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</row>
    <row r="70" spans="2:89">
      <c r="B70" s="77" t="s">
        <v>57</v>
      </c>
      <c r="C70" s="78"/>
      <c r="D70" s="98">
        <v>0</v>
      </c>
      <c r="E70" s="79"/>
      <c r="F70" s="80">
        <f t="shared" ref="F70:AG70" si="68">E74</f>
        <v>0</v>
      </c>
      <c r="G70" s="80">
        <f t="shared" ca="1" si="68"/>
        <v>0</v>
      </c>
      <c r="H70" s="80">
        <f t="shared" ca="1" si="68"/>
        <v>0</v>
      </c>
      <c r="I70" s="80">
        <f t="shared" ca="1" si="68"/>
        <v>-17522727.272727273</v>
      </c>
      <c r="J70" s="80">
        <f t="shared" ca="1" si="68"/>
        <v>-17522727.272727273</v>
      </c>
      <c r="K70" s="80">
        <f t="shared" ca="1" si="68"/>
        <v>-17522727.272727273</v>
      </c>
      <c r="L70" s="80">
        <f t="shared" ca="1" si="68"/>
        <v>-57555454.545454547</v>
      </c>
      <c r="M70" s="80">
        <f t="shared" ca="1" si="68"/>
        <v>-57555454.545454547</v>
      </c>
      <c r="N70" s="80">
        <f t="shared" ca="1" si="68"/>
        <v>-57555454.545454547</v>
      </c>
      <c r="O70" s="80">
        <f t="shared" ca="1" si="68"/>
        <v>-84691818.181818187</v>
      </c>
      <c r="P70" s="80">
        <f t="shared" ca="1" si="68"/>
        <v>-84691818.181818187</v>
      </c>
      <c r="Q70" s="80">
        <f t="shared" ca="1" si="68"/>
        <v>-84691818.181818187</v>
      </c>
      <c r="R70" s="80">
        <f t="shared" ca="1" si="68"/>
        <v>-105548187.51593101</v>
      </c>
      <c r="S70" s="80">
        <f t="shared" ca="1" si="68"/>
        <v>0</v>
      </c>
      <c r="T70" s="80">
        <f t="shared" ca="1" si="68"/>
        <v>0</v>
      </c>
      <c r="U70" s="80">
        <f t="shared" ca="1" si="68"/>
        <v>9526353.0491518863</v>
      </c>
      <c r="V70" s="80">
        <f t="shared" ca="1" si="68"/>
        <v>6350902.0327679235</v>
      </c>
      <c r="W70" s="80">
        <f t="shared" ca="1" si="68"/>
        <v>3175451.0163839613</v>
      </c>
      <c r="X70" s="80">
        <f t="shared" ca="1" si="68"/>
        <v>9637813.7144021578</v>
      </c>
      <c r="Y70" s="80">
        <f t="shared" ca="1" si="68"/>
        <v>6425209.1429347713</v>
      </c>
      <c r="Z70" s="80">
        <f t="shared" ca="1" si="68"/>
        <v>3212604.5714673847</v>
      </c>
      <c r="AA70" s="80">
        <f t="shared" ca="1" si="68"/>
        <v>9750160.3775101248</v>
      </c>
      <c r="AB70" s="80">
        <f t="shared" ca="1" si="68"/>
        <v>6500106.9183400832</v>
      </c>
      <c r="AC70" s="80">
        <f t="shared" ca="1" si="68"/>
        <v>3250053.4591700411</v>
      </c>
      <c r="AD70" s="80">
        <f t="shared" ca="1" si="68"/>
        <v>9862764.6052665189</v>
      </c>
      <c r="AE70" s="80">
        <f t="shared" ca="1" si="68"/>
        <v>6575176.403511012</v>
      </c>
      <c r="AF70" s="80">
        <f t="shared" ca="1" si="68"/>
        <v>3287588.2017555055</v>
      </c>
      <c r="AG70" s="80">
        <f t="shared" ca="1" si="68"/>
        <v>12341241.255657395</v>
      </c>
      <c r="AH70" s="80">
        <f t="shared" ref="AH70:BM70" ca="1" si="69">AG74</f>
        <v>8227494.1704382636</v>
      </c>
      <c r="AI70" s="80">
        <f t="shared" ca="1" si="69"/>
        <v>4113747.0852191313</v>
      </c>
      <c r="AJ70" s="80">
        <f t="shared" ca="1" si="69"/>
        <v>13836768.874989016</v>
      </c>
      <c r="AK70" s="80">
        <f t="shared" ca="1" si="69"/>
        <v>9224512.58332601</v>
      </c>
      <c r="AL70" s="80">
        <f t="shared" ca="1" si="69"/>
        <v>4612256.2916630041</v>
      </c>
      <c r="AM70" s="80">
        <f t="shared" ca="1" si="69"/>
        <v>16264861.827125914</v>
      </c>
      <c r="AN70" s="80">
        <f t="shared" ca="1" si="69"/>
        <v>10843241.218083944</v>
      </c>
      <c r="AO70" s="80">
        <f t="shared" ca="1" si="69"/>
        <v>5421620.609041973</v>
      </c>
      <c r="AP70" s="80">
        <f t="shared" ca="1" si="69"/>
        <v>20196285.102743071</v>
      </c>
      <c r="AQ70" s="80">
        <f t="shared" ca="1" si="69"/>
        <v>13464190.068495382</v>
      </c>
      <c r="AR70" s="80">
        <f t="shared" ca="1" si="69"/>
        <v>6732095.0342476927</v>
      </c>
      <c r="AS70" s="80">
        <f t="shared" ca="1" si="69"/>
        <v>23315185.989836521</v>
      </c>
      <c r="AT70" s="80">
        <f t="shared" ca="1" si="69"/>
        <v>15543457.326557681</v>
      </c>
      <c r="AU70" s="80">
        <f t="shared" ca="1" si="69"/>
        <v>7771728.6632788414</v>
      </c>
      <c r="AV70" s="80">
        <f t="shared" ca="1" si="69"/>
        <v>25800251.21455685</v>
      </c>
      <c r="AW70" s="80">
        <f t="shared" ca="1" si="69"/>
        <v>17200167.476371236</v>
      </c>
      <c r="AX70" s="80">
        <f t="shared" ca="1" si="69"/>
        <v>8600083.7381856199</v>
      </c>
      <c r="AY70" s="80">
        <f t="shared" ca="1" si="69"/>
        <v>28757764.402981855</v>
      </c>
      <c r="AZ70" s="80">
        <f t="shared" ca="1" si="69"/>
        <v>19171842.935321238</v>
      </c>
      <c r="BA70" s="80">
        <f t="shared" ca="1" si="69"/>
        <v>9585921.4676606208</v>
      </c>
      <c r="BB70" s="80">
        <f t="shared" ca="1" si="69"/>
        <v>32250343.332079504</v>
      </c>
      <c r="BC70" s="80">
        <f t="shared" ca="1" si="69"/>
        <v>21500228.888053004</v>
      </c>
      <c r="BD70" s="80">
        <f t="shared" ca="1" si="69"/>
        <v>10750114.444026504</v>
      </c>
      <c r="BE70" s="80">
        <f t="shared" ca="1" si="69"/>
        <v>33790820.275369853</v>
      </c>
      <c r="BF70" s="80">
        <f t="shared" ca="1" si="69"/>
        <v>22527213.516913235</v>
      </c>
      <c r="BG70" s="80">
        <f t="shared" ca="1" si="69"/>
        <v>11263606.758456619</v>
      </c>
      <c r="BH70" s="80">
        <f t="shared" ca="1" si="69"/>
        <v>34198398.635396406</v>
      </c>
      <c r="BI70" s="80">
        <f t="shared" ca="1" si="69"/>
        <v>22798932.423597604</v>
      </c>
      <c r="BJ70" s="80">
        <f t="shared" ca="1" si="69"/>
        <v>11399466.211798802</v>
      </c>
      <c r="BK70" s="80">
        <f t="shared" ca="1" si="69"/>
        <v>34609380.854331553</v>
      </c>
      <c r="BL70" s="80">
        <f t="shared" ca="1" si="69"/>
        <v>23072920.569554366</v>
      </c>
      <c r="BM70" s="80">
        <f t="shared" ca="1" si="69"/>
        <v>11536460.284777181</v>
      </c>
      <c r="BN70" s="80">
        <f t="shared" ref="BN70" ca="1" si="70">BM74</f>
        <v>35023008.349839643</v>
      </c>
      <c r="BO70" s="80">
        <f t="shared" ref="BO70" ca="1" si="71">BN74</f>
        <v>23348672.233226426</v>
      </c>
      <c r="BP70" s="80">
        <f t="shared" ref="BP70" ca="1" si="72">BO74</f>
        <v>11674336.116613209</v>
      </c>
      <c r="BQ70" s="80">
        <f t="shared" ref="BQ70" ca="1" si="73">BP74</f>
        <v>35439661.068462126</v>
      </c>
      <c r="BR70" s="80">
        <f t="shared" ref="BR70" ca="1" si="74">BQ74</f>
        <v>23626440.712308079</v>
      </c>
      <c r="BS70" s="80">
        <f t="shared" ref="BS70" ca="1" si="75">BR74</f>
        <v>11813220.356154034</v>
      </c>
      <c r="BT70" s="80">
        <f t="shared" ref="BT70" ca="1" si="76">BS74</f>
        <v>35865916.147598319</v>
      </c>
      <c r="BU70" s="80">
        <f t="shared" ref="BU70" ca="1" si="77">BT74</f>
        <v>23910610.765065543</v>
      </c>
      <c r="BV70" s="80">
        <f t="shared" ref="BV70" ca="1" si="78">BU74</f>
        <v>11955305.382532766</v>
      </c>
      <c r="BW70" s="80">
        <f t="shared" ref="BW70" ca="1" si="79">BV74</f>
        <v>36295716.558932416</v>
      </c>
      <c r="BX70" s="80">
        <f t="shared" ref="BX70" ca="1" si="80">BW74</f>
        <v>24197144.372621611</v>
      </c>
      <c r="BY70" s="80">
        <f t="shared" ref="BY70" ca="1" si="81">BX74</f>
        <v>12098572.186310804</v>
      </c>
      <c r="BZ70" s="80">
        <f t="shared" ref="BZ70" ca="1" si="82">BY74</f>
        <v>36726658.677622691</v>
      </c>
      <c r="CA70" s="80">
        <f t="shared" ref="CA70" ca="1" si="83">BZ74</f>
        <v>24484439.118415125</v>
      </c>
      <c r="CB70" s="80">
        <f t="shared" ref="CB70" ca="1" si="84">CA74</f>
        <v>12242219.55920756</v>
      </c>
      <c r="CC70" s="80">
        <f t="shared" ref="CC70" ca="1" si="85">CB74</f>
        <v>37163137.711135067</v>
      </c>
      <c r="CD70" s="80">
        <f t="shared" ref="CD70" ca="1" si="86">CC74</f>
        <v>24775425.140756711</v>
      </c>
      <c r="CE70" s="80">
        <f t="shared" ref="CE70" ca="1" si="87">CD74</f>
        <v>12387712.570378354</v>
      </c>
      <c r="CF70" s="80">
        <f t="shared" ref="CF70" ca="1" si="88">CE74</f>
        <v>37611315.813606299</v>
      </c>
      <c r="CG70" s="80">
        <f t="shared" ref="CG70" ca="1" si="89">CF74</f>
        <v>25074210.542404197</v>
      </c>
      <c r="CH70" s="80">
        <f t="shared" ref="CH70" ca="1" si="90">CG74</f>
        <v>12537105.271202097</v>
      </c>
      <c r="CI70" s="80">
        <f t="shared" ref="CI70" ca="1" si="91">CH74</f>
        <v>38063235.838348471</v>
      </c>
      <c r="CJ70" s="80">
        <f t="shared" ref="CJ70" ca="1" si="92">CI74</f>
        <v>25375490.558898978</v>
      </c>
      <c r="CK70" s="80">
        <f t="shared" ref="CK70" ca="1" si="93">CJ74</f>
        <v>12687745.279449485</v>
      </c>
    </row>
    <row r="71" spans="2:89">
      <c r="B71" s="77" t="s">
        <v>222</v>
      </c>
      <c r="C71" s="78"/>
      <c r="D71" s="98">
        <f ca="1">SUM(F71:CK71)</f>
        <v>539294400.67467761</v>
      </c>
      <c r="E71" s="79"/>
      <c r="F71" s="80">
        <f ca="1">F68</f>
        <v>0</v>
      </c>
      <c r="G71" s="80">
        <f t="shared" ref="G71:AG71" ca="1" si="94">G68</f>
        <v>0</v>
      </c>
      <c r="H71" s="80">
        <f t="shared" ca="1" si="94"/>
        <v>-17522727.272727273</v>
      </c>
      <c r="I71" s="80">
        <f t="shared" ca="1" si="94"/>
        <v>0</v>
      </c>
      <c r="J71" s="80">
        <f t="shared" ca="1" si="94"/>
        <v>0</v>
      </c>
      <c r="K71" s="80">
        <f t="shared" ca="1" si="94"/>
        <v>-40032727.272727273</v>
      </c>
      <c r="L71" s="80">
        <f t="shared" ca="1" si="94"/>
        <v>0</v>
      </c>
      <c r="M71" s="80">
        <f t="shared" ca="1" si="94"/>
        <v>0</v>
      </c>
      <c r="N71" s="80">
        <f t="shared" ca="1" si="94"/>
        <v>-27136363.63636364</v>
      </c>
      <c r="O71" s="80">
        <f t="shared" ca="1" si="94"/>
        <v>0</v>
      </c>
      <c r="P71" s="80">
        <f t="shared" ca="1" si="94"/>
        <v>0</v>
      </c>
      <c r="Q71" s="80">
        <f t="shared" ca="1" si="94"/>
        <v>-20856369.33411283</v>
      </c>
      <c r="R71" s="80">
        <f t="shared" ca="1" si="94"/>
        <v>0</v>
      </c>
      <c r="S71" s="80">
        <f t="shared" ca="1" si="94"/>
        <v>0</v>
      </c>
      <c r="T71" s="80">
        <f t="shared" ca="1" si="94"/>
        <v>9526353.0491518863</v>
      </c>
      <c r="U71" s="80">
        <f t="shared" ca="1" si="94"/>
        <v>0</v>
      </c>
      <c r="V71" s="80">
        <f t="shared" ca="1" si="94"/>
        <v>0</v>
      </c>
      <c r="W71" s="80">
        <f t="shared" ca="1" si="94"/>
        <v>9637813.7144021597</v>
      </c>
      <c r="X71" s="80">
        <f t="shared" ca="1" si="94"/>
        <v>0</v>
      </c>
      <c r="Y71" s="80">
        <f t="shared" ca="1" si="94"/>
        <v>0</v>
      </c>
      <c r="Z71" s="80">
        <f t="shared" ca="1" si="94"/>
        <v>9750160.3775101267</v>
      </c>
      <c r="AA71" s="80">
        <f t="shared" ca="1" si="94"/>
        <v>0</v>
      </c>
      <c r="AB71" s="80">
        <f t="shared" ca="1" si="94"/>
        <v>0</v>
      </c>
      <c r="AC71" s="80">
        <f t="shared" ca="1" si="94"/>
        <v>9862764.6052665189</v>
      </c>
      <c r="AD71" s="80">
        <f t="shared" ca="1" si="94"/>
        <v>0</v>
      </c>
      <c r="AE71" s="80">
        <f t="shared" ca="1" si="94"/>
        <v>0</v>
      </c>
      <c r="AF71" s="80">
        <f t="shared" ca="1" si="94"/>
        <v>12341241.255657397</v>
      </c>
      <c r="AG71" s="80">
        <f t="shared" ca="1" si="94"/>
        <v>0</v>
      </c>
      <c r="AH71" s="80">
        <f t="shared" ref="AH71:BM71" ca="1" si="95">AH68</f>
        <v>0</v>
      </c>
      <c r="AI71" s="80">
        <f t="shared" ca="1" si="95"/>
        <v>13836768.874989018</v>
      </c>
      <c r="AJ71" s="80">
        <f t="shared" ca="1" si="95"/>
        <v>0</v>
      </c>
      <c r="AK71" s="80">
        <f t="shared" ca="1" si="95"/>
        <v>0</v>
      </c>
      <c r="AL71" s="80">
        <f t="shared" ca="1" si="95"/>
        <v>16264861.827125914</v>
      </c>
      <c r="AM71" s="80">
        <f t="shared" ca="1" si="95"/>
        <v>0</v>
      </c>
      <c r="AN71" s="80">
        <f t="shared" ca="1" si="95"/>
        <v>0</v>
      </c>
      <c r="AO71" s="80">
        <f t="shared" ca="1" si="95"/>
        <v>20196285.102743067</v>
      </c>
      <c r="AP71" s="80">
        <f t="shared" ca="1" si="95"/>
        <v>0</v>
      </c>
      <c r="AQ71" s="80">
        <f t="shared" ca="1" si="95"/>
        <v>0</v>
      </c>
      <c r="AR71" s="80">
        <f t="shared" ca="1" si="95"/>
        <v>23315185.989836518</v>
      </c>
      <c r="AS71" s="80">
        <f t="shared" ca="1" si="95"/>
        <v>0</v>
      </c>
      <c r="AT71" s="80">
        <f t="shared" ca="1" si="95"/>
        <v>0</v>
      </c>
      <c r="AU71" s="80">
        <f t="shared" ca="1" si="95"/>
        <v>25800251.21455685</v>
      </c>
      <c r="AV71" s="80">
        <f t="shared" ca="1" si="95"/>
        <v>0</v>
      </c>
      <c r="AW71" s="80">
        <f t="shared" ca="1" si="95"/>
        <v>0</v>
      </c>
      <c r="AX71" s="80">
        <f t="shared" ca="1" si="95"/>
        <v>28757764.402981851</v>
      </c>
      <c r="AY71" s="80">
        <f t="shared" ca="1" si="95"/>
        <v>0</v>
      </c>
      <c r="AZ71" s="80">
        <f t="shared" ca="1" si="95"/>
        <v>0</v>
      </c>
      <c r="BA71" s="80">
        <f t="shared" ca="1" si="95"/>
        <v>32250343.3320795</v>
      </c>
      <c r="BB71" s="80">
        <f t="shared" ca="1" si="95"/>
        <v>0</v>
      </c>
      <c r="BC71" s="80">
        <f t="shared" ca="1" si="95"/>
        <v>0</v>
      </c>
      <c r="BD71" s="80">
        <f t="shared" ca="1" si="95"/>
        <v>33790820.275369845</v>
      </c>
      <c r="BE71" s="80">
        <f t="shared" ca="1" si="95"/>
        <v>0</v>
      </c>
      <c r="BF71" s="80">
        <f t="shared" ca="1" si="95"/>
        <v>0</v>
      </c>
      <c r="BG71" s="80">
        <f t="shared" ca="1" si="95"/>
        <v>34198398.635396406</v>
      </c>
      <c r="BH71" s="80">
        <f t="shared" ca="1" si="95"/>
        <v>0</v>
      </c>
      <c r="BI71" s="80">
        <f t="shared" ca="1" si="95"/>
        <v>0</v>
      </c>
      <c r="BJ71" s="80">
        <f t="shared" ca="1" si="95"/>
        <v>34609380.854331553</v>
      </c>
      <c r="BK71" s="80">
        <f t="shared" ca="1" si="95"/>
        <v>0</v>
      </c>
      <c r="BL71" s="80">
        <f t="shared" ca="1" si="95"/>
        <v>0</v>
      </c>
      <c r="BM71" s="80">
        <f t="shared" ca="1" si="95"/>
        <v>35023008.34983965</v>
      </c>
      <c r="BN71" s="80">
        <f t="shared" ref="BN71:CK71" ca="1" si="96">BN68</f>
        <v>0</v>
      </c>
      <c r="BO71" s="80">
        <f t="shared" ca="1" si="96"/>
        <v>0</v>
      </c>
      <c r="BP71" s="80">
        <f t="shared" ca="1" si="96"/>
        <v>35439661.068462133</v>
      </c>
      <c r="BQ71" s="80">
        <f t="shared" ca="1" si="96"/>
        <v>0</v>
      </c>
      <c r="BR71" s="80">
        <f t="shared" ca="1" si="96"/>
        <v>0</v>
      </c>
      <c r="BS71" s="80">
        <f t="shared" ca="1" si="96"/>
        <v>35865916.147598334</v>
      </c>
      <c r="BT71" s="80">
        <f t="shared" ca="1" si="96"/>
        <v>0</v>
      </c>
      <c r="BU71" s="80">
        <f t="shared" ca="1" si="96"/>
        <v>0</v>
      </c>
      <c r="BV71" s="80">
        <f t="shared" ca="1" si="96"/>
        <v>36295716.558932424</v>
      </c>
      <c r="BW71" s="80">
        <f t="shared" ca="1" si="96"/>
        <v>0</v>
      </c>
      <c r="BX71" s="80">
        <f t="shared" ca="1" si="96"/>
        <v>0</v>
      </c>
      <c r="BY71" s="80">
        <f t="shared" ca="1" si="96"/>
        <v>36726658.677622691</v>
      </c>
      <c r="BZ71" s="80">
        <f t="shared" ca="1" si="96"/>
        <v>0</v>
      </c>
      <c r="CA71" s="80">
        <f t="shared" ca="1" si="96"/>
        <v>0</v>
      </c>
      <c r="CB71" s="80">
        <f t="shared" ca="1" si="96"/>
        <v>37163137.711135074</v>
      </c>
      <c r="CC71" s="80">
        <f t="shared" ca="1" si="96"/>
        <v>0</v>
      </c>
      <c r="CD71" s="80">
        <f t="shared" ca="1" si="96"/>
        <v>0</v>
      </c>
      <c r="CE71" s="80">
        <f t="shared" ca="1" si="96"/>
        <v>37611315.813606299</v>
      </c>
      <c r="CF71" s="80">
        <f t="shared" ca="1" si="96"/>
        <v>0</v>
      </c>
      <c r="CG71" s="80">
        <f t="shared" ca="1" si="96"/>
        <v>0</v>
      </c>
      <c r="CH71" s="80">
        <f t="shared" ca="1" si="96"/>
        <v>38063235.838348478</v>
      </c>
      <c r="CI71" s="80">
        <f t="shared" ca="1" si="96"/>
        <v>0</v>
      </c>
      <c r="CJ71" s="80">
        <f t="shared" ca="1" si="96"/>
        <v>0</v>
      </c>
      <c r="CK71" s="80">
        <f t="shared" ca="1" si="96"/>
        <v>38515544.513665013</v>
      </c>
    </row>
    <row r="72" spans="2:89">
      <c r="B72" s="77" t="s">
        <v>223</v>
      </c>
      <c r="C72" s="78"/>
      <c r="D72" s="98">
        <f t="shared" ref="D72:D73" ca="1" si="97">SUM(F72:CK72)</f>
        <v>105548187.51593101</v>
      </c>
      <c r="E72" s="79"/>
      <c r="F72" s="80">
        <f t="shared" ref="F72:AK72" ca="1" si="98">-MIN(F70,0)*F14*OFFSET(F64,,-1)</f>
        <v>0</v>
      </c>
      <c r="G72" s="80">
        <f t="shared" ca="1" si="98"/>
        <v>0</v>
      </c>
      <c r="H72" s="80">
        <f t="shared" ca="1" si="98"/>
        <v>0</v>
      </c>
      <c r="I72" s="80">
        <f t="shared" ca="1" si="98"/>
        <v>0</v>
      </c>
      <c r="J72" s="80">
        <f t="shared" ca="1" si="98"/>
        <v>0</v>
      </c>
      <c r="K72" s="80">
        <f t="shared" ca="1" si="98"/>
        <v>0</v>
      </c>
      <c r="L72" s="80">
        <f t="shared" ca="1" si="98"/>
        <v>0</v>
      </c>
      <c r="M72" s="80">
        <f t="shared" ca="1" si="98"/>
        <v>0</v>
      </c>
      <c r="N72" s="80">
        <f t="shared" ca="1" si="98"/>
        <v>0</v>
      </c>
      <c r="O72" s="80">
        <f t="shared" ca="1" si="98"/>
        <v>0</v>
      </c>
      <c r="P72" s="80">
        <f t="shared" ca="1" si="98"/>
        <v>0</v>
      </c>
      <c r="Q72" s="80">
        <f t="shared" ca="1" si="98"/>
        <v>0</v>
      </c>
      <c r="R72" s="80">
        <f t="shared" ca="1" si="98"/>
        <v>105548187.51593101</v>
      </c>
      <c r="S72" s="80">
        <f t="shared" ca="1" si="98"/>
        <v>0</v>
      </c>
      <c r="T72" s="80">
        <f t="shared" ca="1" si="98"/>
        <v>0</v>
      </c>
      <c r="U72" s="80">
        <f t="shared" ca="1" si="98"/>
        <v>0</v>
      </c>
      <c r="V72" s="80">
        <f t="shared" ca="1" si="98"/>
        <v>0</v>
      </c>
      <c r="W72" s="80">
        <f t="shared" ca="1" si="98"/>
        <v>0</v>
      </c>
      <c r="X72" s="80">
        <f t="shared" ca="1" si="98"/>
        <v>0</v>
      </c>
      <c r="Y72" s="80">
        <f t="shared" ca="1" si="98"/>
        <v>0</v>
      </c>
      <c r="Z72" s="80">
        <f t="shared" ca="1" si="98"/>
        <v>0</v>
      </c>
      <c r="AA72" s="80">
        <f t="shared" ca="1" si="98"/>
        <v>0</v>
      </c>
      <c r="AB72" s="80">
        <f t="shared" ca="1" si="98"/>
        <v>0</v>
      </c>
      <c r="AC72" s="80">
        <f t="shared" ca="1" si="98"/>
        <v>0</v>
      </c>
      <c r="AD72" s="80">
        <f t="shared" ca="1" si="98"/>
        <v>0</v>
      </c>
      <c r="AE72" s="80">
        <f t="shared" ca="1" si="98"/>
        <v>0</v>
      </c>
      <c r="AF72" s="80">
        <f t="shared" ca="1" si="98"/>
        <v>0</v>
      </c>
      <c r="AG72" s="80">
        <f t="shared" ca="1" si="98"/>
        <v>0</v>
      </c>
      <c r="AH72" s="80">
        <f t="shared" ca="1" si="98"/>
        <v>0</v>
      </c>
      <c r="AI72" s="80">
        <f t="shared" ca="1" si="98"/>
        <v>0</v>
      </c>
      <c r="AJ72" s="80">
        <f t="shared" ca="1" si="98"/>
        <v>0</v>
      </c>
      <c r="AK72" s="80">
        <f t="shared" ca="1" si="98"/>
        <v>0</v>
      </c>
      <c r="AL72" s="80">
        <f t="shared" ref="AL72:BQ72" ca="1" si="99">-MIN(AL70,0)*AL14*OFFSET(AL64,,-1)</f>
        <v>0</v>
      </c>
      <c r="AM72" s="80">
        <f t="shared" ca="1" si="99"/>
        <v>0</v>
      </c>
      <c r="AN72" s="80">
        <f t="shared" ca="1" si="99"/>
        <v>0</v>
      </c>
      <c r="AO72" s="80">
        <f t="shared" ca="1" si="99"/>
        <v>0</v>
      </c>
      <c r="AP72" s="80">
        <f t="shared" ca="1" si="99"/>
        <v>0</v>
      </c>
      <c r="AQ72" s="80">
        <f t="shared" ca="1" si="99"/>
        <v>0</v>
      </c>
      <c r="AR72" s="80">
        <f t="shared" ca="1" si="99"/>
        <v>0</v>
      </c>
      <c r="AS72" s="80">
        <f t="shared" ca="1" si="99"/>
        <v>0</v>
      </c>
      <c r="AT72" s="80">
        <f t="shared" ca="1" si="99"/>
        <v>0</v>
      </c>
      <c r="AU72" s="80">
        <f t="shared" ca="1" si="99"/>
        <v>0</v>
      </c>
      <c r="AV72" s="80">
        <f t="shared" ca="1" si="99"/>
        <v>0</v>
      </c>
      <c r="AW72" s="80">
        <f t="shared" ca="1" si="99"/>
        <v>0</v>
      </c>
      <c r="AX72" s="80">
        <f t="shared" ca="1" si="99"/>
        <v>0</v>
      </c>
      <c r="AY72" s="80">
        <f t="shared" ca="1" si="99"/>
        <v>0</v>
      </c>
      <c r="AZ72" s="80">
        <f t="shared" ca="1" si="99"/>
        <v>0</v>
      </c>
      <c r="BA72" s="80">
        <f t="shared" ca="1" si="99"/>
        <v>0</v>
      </c>
      <c r="BB72" s="80">
        <f t="shared" ca="1" si="99"/>
        <v>0</v>
      </c>
      <c r="BC72" s="80">
        <f t="shared" ca="1" si="99"/>
        <v>0</v>
      </c>
      <c r="BD72" s="80">
        <f t="shared" ca="1" si="99"/>
        <v>0</v>
      </c>
      <c r="BE72" s="80">
        <f t="shared" ca="1" si="99"/>
        <v>0</v>
      </c>
      <c r="BF72" s="80">
        <f t="shared" ca="1" si="99"/>
        <v>0</v>
      </c>
      <c r="BG72" s="80">
        <f t="shared" ca="1" si="99"/>
        <v>0</v>
      </c>
      <c r="BH72" s="80">
        <f t="shared" ca="1" si="99"/>
        <v>0</v>
      </c>
      <c r="BI72" s="80">
        <f t="shared" ca="1" si="99"/>
        <v>0</v>
      </c>
      <c r="BJ72" s="80">
        <f t="shared" ca="1" si="99"/>
        <v>0</v>
      </c>
      <c r="BK72" s="80">
        <f t="shared" ca="1" si="99"/>
        <v>0</v>
      </c>
      <c r="BL72" s="80">
        <f t="shared" ca="1" si="99"/>
        <v>0</v>
      </c>
      <c r="BM72" s="80">
        <f t="shared" ca="1" si="99"/>
        <v>0</v>
      </c>
      <c r="BN72" s="80">
        <f t="shared" ca="1" si="99"/>
        <v>0</v>
      </c>
      <c r="BO72" s="80">
        <f t="shared" ca="1" si="99"/>
        <v>0</v>
      </c>
      <c r="BP72" s="80">
        <f t="shared" ca="1" si="99"/>
        <v>0</v>
      </c>
      <c r="BQ72" s="80">
        <f t="shared" ca="1" si="99"/>
        <v>0</v>
      </c>
      <c r="BR72" s="80">
        <f t="shared" ref="BR72:CK72" ca="1" si="100">-MIN(BR70,0)*BR14*OFFSET(BR64,,-1)</f>
        <v>0</v>
      </c>
      <c r="BS72" s="80">
        <f t="shared" ca="1" si="100"/>
        <v>0</v>
      </c>
      <c r="BT72" s="80">
        <f t="shared" ca="1" si="100"/>
        <v>0</v>
      </c>
      <c r="BU72" s="80">
        <f t="shared" ca="1" si="100"/>
        <v>0</v>
      </c>
      <c r="BV72" s="80">
        <f t="shared" ca="1" si="100"/>
        <v>0</v>
      </c>
      <c r="BW72" s="80">
        <f t="shared" ca="1" si="100"/>
        <v>0</v>
      </c>
      <c r="BX72" s="80">
        <f t="shared" ca="1" si="100"/>
        <v>0</v>
      </c>
      <c r="BY72" s="80">
        <f t="shared" ca="1" si="100"/>
        <v>0</v>
      </c>
      <c r="BZ72" s="80">
        <f t="shared" ca="1" si="100"/>
        <v>0</v>
      </c>
      <c r="CA72" s="80">
        <f t="shared" ca="1" si="100"/>
        <v>0</v>
      </c>
      <c r="CB72" s="80">
        <f t="shared" ca="1" si="100"/>
        <v>0</v>
      </c>
      <c r="CC72" s="80">
        <f t="shared" ca="1" si="100"/>
        <v>0</v>
      </c>
      <c r="CD72" s="80">
        <f t="shared" ca="1" si="100"/>
        <v>0</v>
      </c>
      <c r="CE72" s="80">
        <f t="shared" ca="1" si="100"/>
        <v>0</v>
      </c>
      <c r="CF72" s="80">
        <f t="shared" ca="1" si="100"/>
        <v>0</v>
      </c>
      <c r="CG72" s="80">
        <f t="shared" ca="1" si="100"/>
        <v>0</v>
      </c>
      <c r="CH72" s="80">
        <f t="shared" ca="1" si="100"/>
        <v>0</v>
      </c>
      <c r="CI72" s="80">
        <f t="shared" ca="1" si="100"/>
        <v>0</v>
      </c>
      <c r="CJ72" s="80">
        <f t="shared" ca="1" si="100"/>
        <v>0</v>
      </c>
      <c r="CK72" s="80">
        <f t="shared" ca="1" si="100"/>
        <v>0</v>
      </c>
    </row>
    <row r="73" spans="2:89" ht="15.75" thickBot="1">
      <c r="B73" s="45" t="s">
        <v>221</v>
      </c>
      <c r="C73" s="46"/>
      <c r="D73" s="98">
        <f t="shared" ca="1" si="97"/>
        <v>-606327043.67694342</v>
      </c>
      <c r="E73" s="48"/>
      <c r="F73" s="49">
        <f t="shared" ref="F73:AK73" ca="1" si="101">IF(F70&gt;0,-SUM(OFFSET(F$71,,-MIN(F27,Мес_в_кв),1,3))/Мес_в_кв,)</f>
        <v>0</v>
      </c>
      <c r="G73" s="49">
        <f t="shared" ca="1" si="101"/>
        <v>0</v>
      </c>
      <c r="H73" s="49">
        <f t="shared" ca="1" si="101"/>
        <v>0</v>
      </c>
      <c r="I73" s="49">
        <f t="shared" ca="1" si="101"/>
        <v>0</v>
      </c>
      <c r="J73" s="49">
        <f t="shared" ca="1" si="101"/>
        <v>0</v>
      </c>
      <c r="K73" s="49">
        <f t="shared" ca="1" si="101"/>
        <v>0</v>
      </c>
      <c r="L73" s="49">
        <f t="shared" ca="1" si="101"/>
        <v>0</v>
      </c>
      <c r="M73" s="49">
        <f t="shared" ca="1" si="101"/>
        <v>0</v>
      </c>
      <c r="N73" s="49">
        <f t="shared" ca="1" si="101"/>
        <v>0</v>
      </c>
      <c r="O73" s="49">
        <f t="shared" ca="1" si="101"/>
        <v>0</v>
      </c>
      <c r="P73" s="49">
        <f t="shared" ca="1" si="101"/>
        <v>0</v>
      </c>
      <c r="Q73" s="49">
        <f t="shared" ca="1" si="101"/>
        <v>0</v>
      </c>
      <c r="R73" s="49">
        <f t="shared" ca="1" si="101"/>
        <v>0</v>
      </c>
      <c r="S73" s="49">
        <f t="shared" ca="1" si="101"/>
        <v>0</v>
      </c>
      <c r="T73" s="49">
        <f t="shared" ca="1" si="101"/>
        <v>0</v>
      </c>
      <c r="U73" s="49">
        <f t="shared" ca="1" si="101"/>
        <v>-3175451.0163839622</v>
      </c>
      <c r="V73" s="49">
        <f t="shared" ca="1" si="101"/>
        <v>-3175451.0163839622</v>
      </c>
      <c r="W73" s="49">
        <f t="shared" ca="1" si="101"/>
        <v>-3175451.0163839622</v>
      </c>
      <c r="X73" s="49">
        <f t="shared" ca="1" si="101"/>
        <v>-3212604.5714673866</v>
      </c>
      <c r="Y73" s="49">
        <f t="shared" ca="1" si="101"/>
        <v>-3212604.5714673866</v>
      </c>
      <c r="Z73" s="49">
        <f t="shared" ca="1" si="101"/>
        <v>-3212604.5714673866</v>
      </c>
      <c r="AA73" s="49">
        <f t="shared" ca="1" si="101"/>
        <v>-3250053.4591700421</v>
      </c>
      <c r="AB73" s="49">
        <f t="shared" ca="1" si="101"/>
        <v>-3250053.4591700421</v>
      </c>
      <c r="AC73" s="49">
        <f t="shared" ca="1" si="101"/>
        <v>-3250053.4591700421</v>
      </c>
      <c r="AD73" s="49">
        <f t="shared" ca="1" si="101"/>
        <v>-3287588.2017555065</v>
      </c>
      <c r="AE73" s="49">
        <f t="shared" ca="1" si="101"/>
        <v>-3287588.2017555065</v>
      </c>
      <c r="AF73" s="49">
        <f t="shared" ca="1" si="101"/>
        <v>-3287588.2017555065</v>
      </c>
      <c r="AG73" s="49">
        <f t="shared" ca="1" si="101"/>
        <v>-4113747.0852191322</v>
      </c>
      <c r="AH73" s="49">
        <f t="shared" ca="1" si="101"/>
        <v>-4113747.0852191322</v>
      </c>
      <c r="AI73" s="49">
        <f t="shared" ca="1" si="101"/>
        <v>-4113747.0852191322</v>
      </c>
      <c r="AJ73" s="49">
        <f t="shared" ca="1" si="101"/>
        <v>-4612256.2916630059</v>
      </c>
      <c r="AK73" s="49">
        <f t="shared" ca="1" si="101"/>
        <v>-4612256.2916630059</v>
      </c>
      <c r="AL73" s="49">
        <f t="shared" ref="AL73:BM73" ca="1" si="102">IF(AL70&gt;0,-SUM(OFFSET(AL$71,,-MIN(AL27,Мес_в_кв),1,3))/Мес_в_кв,)</f>
        <v>-4612256.2916630059</v>
      </c>
      <c r="AM73" s="49">
        <f t="shared" ca="1" si="102"/>
        <v>-5421620.6090419712</v>
      </c>
      <c r="AN73" s="49">
        <f t="shared" ca="1" si="102"/>
        <v>-5421620.6090419712</v>
      </c>
      <c r="AO73" s="49">
        <f t="shared" ca="1" si="102"/>
        <v>-5421620.6090419712</v>
      </c>
      <c r="AP73" s="49">
        <f t="shared" ca="1" si="102"/>
        <v>-6732095.0342476889</v>
      </c>
      <c r="AQ73" s="49">
        <f t="shared" ca="1" si="102"/>
        <v>-6732095.0342476889</v>
      </c>
      <c r="AR73" s="49">
        <f t="shared" ca="1" si="102"/>
        <v>-6732095.0342476889</v>
      </c>
      <c r="AS73" s="49">
        <f t="shared" ca="1" si="102"/>
        <v>-7771728.6632788396</v>
      </c>
      <c r="AT73" s="49">
        <f t="shared" ca="1" si="102"/>
        <v>-7771728.6632788396</v>
      </c>
      <c r="AU73" s="49">
        <f t="shared" ca="1" si="102"/>
        <v>-7771728.6632788396</v>
      </c>
      <c r="AV73" s="49">
        <f t="shared" ca="1" si="102"/>
        <v>-8600083.7381856162</v>
      </c>
      <c r="AW73" s="49">
        <f t="shared" ca="1" si="102"/>
        <v>-8600083.7381856162</v>
      </c>
      <c r="AX73" s="49">
        <f t="shared" ca="1" si="102"/>
        <v>-8600083.7381856162</v>
      </c>
      <c r="AY73" s="49">
        <f t="shared" ca="1" si="102"/>
        <v>-9585921.4676606171</v>
      </c>
      <c r="AZ73" s="49">
        <f t="shared" ca="1" si="102"/>
        <v>-9585921.4676606171</v>
      </c>
      <c r="BA73" s="49">
        <f t="shared" ca="1" si="102"/>
        <v>-9585921.4676606171</v>
      </c>
      <c r="BB73" s="49">
        <f t="shared" ca="1" si="102"/>
        <v>-10750114.4440265</v>
      </c>
      <c r="BC73" s="49">
        <f t="shared" ca="1" si="102"/>
        <v>-10750114.4440265</v>
      </c>
      <c r="BD73" s="49">
        <f t="shared" ca="1" si="102"/>
        <v>-10750114.4440265</v>
      </c>
      <c r="BE73" s="49">
        <f t="shared" ca="1" si="102"/>
        <v>-11263606.758456616</v>
      </c>
      <c r="BF73" s="49">
        <f t="shared" ca="1" si="102"/>
        <v>-11263606.758456616</v>
      </c>
      <c r="BG73" s="49">
        <f t="shared" ca="1" si="102"/>
        <v>-11263606.758456616</v>
      </c>
      <c r="BH73" s="49">
        <f t="shared" ca="1" si="102"/>
        <v>-11399466.211798802</v>
      </c>
      <c r="BI73" s="49">
        <f t="shared" ca="1" si="102"/>
        <v>-11399466.211798802</v>
      </c>
      <c r="BJ73" s="49">
        <f t="shared" ca="1" si="102"/>
        <v>-11399466.211798802</v>
      </c>
      <c r="BK73" s="49">
        <f t="shared" ca="1" si="102"/>
        <v>-11536460.284777185</v>
      </c>
      <c r="BL73" s="49">
        <f t="shared" ca="1" si="102"/>
        <v>-11536460.284777185</v>
      </c>
      <c r="BM73" s="49">
        <f t="shared" ca="1" si="102"/>
        <v>-11536460.284777185</v>
      </c>
      <c r="BN73" s="49">
        <f t="shared" ref="BN73:CK73" ca="1" si="103">IF(BN70&gt;0,-SUM(OFFSET(BN$71,,-MIN(BN27,Мес_в_кв),1,3))/Мес_в_кв,)</f>
        <v>-11674336.116613217</v>
      </c>
      <c r="BO73" s="49">
        <f t="shared" ca="1" si="103"/>
        <v>-11674336.116613217</v>
      </c>
      <c r="BP73" s="49">
        <f t="shared" ca="1" si="103"/>
        <v>-11674336.116613217</v>
      </c>
      <c r="BQ73" s="49">
        <f t="shared" ca="1" si="103"/>
        <v>-11813220.356154045</v>
      </c>
      <c r="BR73" s="49">
        <f t="shared" ca="1" si="103"/>
        <v>-11813220.356154045</v>
      </c>
      <c r="BS73" s="49">
        <f t="shared" ca="1" si="103"/>
        <v>-11813220.356154045</v>
      </c>
      <c r="BT73" s="49">
        <f t="shared" ca="1" si="103"/>
        <v>-11955305.382532777</v>
      </c>
      <c r="BU73" s="49">
        <f t="shared" ca="1" si="103"/>
        <v>-11955305.382532777</v>
      </c>
      <c r="BV73" s="49">
        <f t="shared" ca="1" si="103"/>
        <v>-11955305.382532777</v>
      </c>
      <c r="BW73" s="49">
        <f t="shared" ca="1" si="103"/>
        <v>-12098572.186310807</v>
      </c>
      <c r="BX73" s="49">
        <f t="shared" ca="1" si="103"/>
        <v>-12098572.186310807</v>
      </c>
      <c r="BY73" s="49">
        <f t="shared" ca="1" si="103"/>
        <v>-12098572.186310807</v>
      </c>
      <c r="BZ73" s="49">
        <f t="shared" ca="1" si="103"/>
        <v>-12242219.559207564</v>
      </c>
      <c r="CA73" s="49">
        <f t="shared" ca="1" si="103"/>
        <v>-12242219.559207564</v>
      </c>
      <c r="CB73" s="49">
        <f t="shared" ca="1" si="103"/>
        <v>-12242219.559207564</v>
      </c>
      <c r="CC73" s="49">
        <f t="shared" ca="1" si="103"/>
        <v>-12387712.570378358</v>
      </c>
      <c r="CD73" s="49">
        <f t="shared" ca="1" si="103"/>
        <v>-12387712.570378358</v>
      </c>
      <c r="CE73" s="49">
        <f t="shared" ca="1" si="103"/>
        <v>-12387712.570378358</v>
      </c>
      <c r="CF73" s="49">
        <f t="shared" ca="1" si="103"/>
        <v>-12537105.2712021</v>
      </c>
      <c r="CG73" s="49">
        <f t="shared" ca="1" si="103"/>
        <v>-12537105.2712021</v>
      </c>
      <c r="CH73" s="49">
        <f t="shared" ca="1" si="103"/>
        <v>-12537105.2712021</v>
      </c>
      <c r="CI73" s="49">
        <f t="shared" ca="1" si="103"/>
        <v>-12687745.279449493</v>
      </c>
      <c r="CJ73" s="49">
        <f t="shared" ca="1" si="103"/>
        <v>-12687745.279449493</v>
      </c>
      <c r="CK73" s="49">
        <f t="shared" ca="1" si="103"/>
        <v>-12687745.279449493</v>
      </c>
    </row>
    <row r="74" spans="2:89" ht="15.75" thickTop="1">
      <c r="B74" s="50" t="s">
        <v>66</v>
      </c>
      <c r="C74" s="51"/>
      <c r="D74" s="52">
        <f ca="1">SUM(D70:D73)</f>
        <v>38515544.513665199</v>
      </c>
      <c r="E74" s="53"/>
      <c r="F74" s="54">
        <f ca="1">SUM(F70:F73)</f>
        <v>0</v>
      </c>
      <c r="G74" s="54">
        <f t="shared" ref="G74:AG74" ca="1" si="104">SUM(G70:G73)</f>
        <v>0</v>
      </c>
      <c r="H74" s="54">
        <f t="shared" ca="1" si="104"/>
        <v>-17522727.272727273</v>
      </c>
      <c r="I74" s="54">
        <f t="shared" ca="1" si="104"/>
        <v>-17522727.272727273</v>
      </c>
      <c r="J74" s="54">
        <f t="shared" ca="1" si="104"/>
        <v>-17522727.272727273</v>
      </c>
      <c r="K74" s="54">
        <f t="shared" ca="1" si="104"/>
        <v>-57555454.545454547</v>
      </c>
      <c r="L74" s="54">
        <f t="shared" ca="1" si="104"/>
        <v>-57555454.545454547</v>
      </c>
      <c r="M74" s="54">
        <f t="shared" ca="1" si="104"/>
        <v>-57555454.545454547</v>
      </c>
      <c r="N74" s="54">
        <f t="shared" ca="1" si="104"/>
        <v>-84691818.181818187</v>
      </c>
      <c r="O74" s="54">
        <f t="shared" ca="1" si="104"/>
        <v>-84691818.181818187</v>
      </c>
      <c r="P74" s="54">
        <f t="shared" ca="1" si="104"/>
        <v>-84691818.181818187</v>
      </c>
      <c r="Q74" s="54">
        <f t="shared" ca="1" si="104"/>
        <v>-105548187.51593101</v>
      </c>
      <c r="R74" s="54">
        <f t="shared" ca="1" si="104"/>
        <v>0</v>
      </c>
      <c r="S74" s="54">
        <f t="shared" ca="1" si="104"/>
        <v>0</v>
      </c>
      <c r="T74" s="54">
        <f t="shared" ca="1" si="104"/>
        <v>9526353.0491518863</v>
      </c>
      <c r="U74" s="54">
        <f t="shared" ca="1" si="104"/>
        <v>6350902.0327679235</v>
      </c>
      <c r="V74" s="54">
        <f t="shared" ca="1" si="104"/>
        <v>3175451.0163839613</v>
      </c>
      <c r="W74" s="54">
        <f t="shared" ca="1" si="104"/>
        <v>9637813.7144021578</v>
      </c>
      <c r="X74" s="54">
        <f t="shared" ca="1" si="104"/>
        <v>6425209.1429347713</v>
      </c>
      <c r="Y74" s="54">
        <f t="shared" ca="1" si="104"/>
        <v>3212604.5714673847</v>
      </c>
      <c r="Z74" s="54">
        <f t="shared" ca="1" si="104"/>
        <v>9750160.3775101248</v>
      </c>
      <c r="AA74" s="54">
        <f t="shared" ca="1" si="104"/>
        <v>6500106.9183400832</v>
      </c>
      <c r="AB74" s="54">
        <f t="shared" ca="1" si="104"/>
        <v>3250053.4591700411</v>
      </c>
      <c r="AC74" s="54">
        <f t="shared" ca="1" si="104"/>
        <v>9862764.6052665189</v>
      </c>
      <c r="AD74" s="54">
        <f t="shared" ca="1" si="104"/>
        <v>6575176.403511012</v>
      </c>
      <c r="AE74" s="54">
        <f t="shared" ca="1" si="104"/>
        <v>3287588.2017555055</v>
      </c>
      <c r="AF74" s="54">
        <f t="shared" ca="1" si="104"/>
        <v>12341241.255657395</v>
      </c>
      <c r="AG74" s="54">
        <f t="shared" ca="1" si="104"/>
        <v>8227494.1704382636</v>
      </c>
      <c r="AH74" s="54">
        <f t="shared" ref="AH74:BM74" ca="1" si="105">SUM(AH70:AH73)</f>
        <v>4113747.0852191313</v>
      </c>
      <c r="AI74" s="54">
        <f t="shared" ca="1" si="105"/>
        <v>13836768.874989016</v>
      </c>
      <c r="AJ74" s="54">
        <f t="shared" ca="1" si="105"/>
        <v>9224512.58332601</v>
      </c>
      <c r="AK74" s="54">
        <f t="shared" ca="1" si="105"/>
        <v>4612256.2916630041</v>
      </c>
      <c r="AL74" s="54">
        <f t="shared" ca="1" si="105"/>
        <v>16264861.827125914</v>
      </c>
      <c r="AM74" s="54">
        <f t="shared" ca="1" si="105"/>
        <v>10843241.218083944</v>
      </c>
      <c r="AN74" s="54">
        <f t="shared" ca="1" si="105"/>
        <v>5421620.609041973</v>
      </c>
      <c r="AO74" s="54">
        <f t="shared" ca="1" si="105"/>
        <v>20196285.102743071</v>
      </c>
      <c r="AP74" s="54">
        <f t="shared" ca="1" si="105"/>
        <v>13464190.068495382</v>
      </c>
      <c r="AQ74" s="54">
        <f t="shared" ca="1" si="105"/>
        <v>6732095.0342476927</v>
      </c>
      <c r="AR74" s="54">
        <f t="shared" ca="1" si="105"/>
        <v>23315185.989836521</v>
      </c>
      <c r="AS74" s="54">
        <f t="shared" ca="1" si="105"/>
        <v>15543457.326557681</v>
      </c>
      <c r="AT74" s="54">
        <f t="shared" ca="1" si="105"/>
        <v>7771728.6632788414</v>
      </c>
      <c r="AU74" s="54">
        <f t="shared" ca="1" si="105"/>
        <v>25800251.21455685</v>
      </c>
      <c r="AV74" s="54">
        <f t="shared" ca="1" si="105"/>
        <v>17200167.476371236</v>
      </c>
      <c r="AW74" s="54">
        <f t="shared" ca="1" si="105"/>
        <v>8600083.7381856199</v>
      </c>
      <c r="AX74" s="54">
        <f t="shared" ca="1" si="105"/>
        <v>28757764.402981855</v>
      </c>
      <c r="AY74" s="54">
        <f t="shared" ca="1" si="105"/>
        <v>19171842.935321238</v>
      </c>
      <c r="AZ74" s="54">
        <f t="shared" ca="1" si="105"/>
        <v>9585921.4676606208</v>
      </c>
      <c r="BA74" s="54">
        <f t="shared" ca="1" si="105"/>
        <v>32250343.332079504</v>
      </c>
      <c r="BB74" s="54">
        <f t="shared" ca="1" si="105"/>
        <v>21500228.888053004</v>
      </c>
      <c r="BC74" s="54">
        <f t="shared" ca="1" si="105"/>
        <v>10750114.444026504</v>
      </c>
      <c r="BD74" s="54">
        <f t="shared" ca="1" si="105"/>
        <v>33790820.275369853</v>
      </c>
      <c r="BE74" s="54">
        <f t="shared" ca="1" si="105"/>
        <v>22527213.516913235</v>
      </c>
      <c r="BF74" s="54">
        <f t="shared" ca="1" si="105"/>
        <v>11263606.758456619</v>
      </c>
      <c r="BG74" s="54">
        <f t="shared" ca="1" si="105"/>
        <v>34198398.635396406</v>
      </c>
      <c r="BH74" s="54">
        <f t="shared" ca="1" si="105"/>
        <v>22798932.423597604</v>
      </c>
      <c r="BI74" s="54">
        <f t="shared" ca="1" si="105"/>
        <v>11399466.211798802</v>
      </c>
      <c r="BJ74" s="54">
        <f t="shared" ca="1" si="105"/>
        <v>34609380.854331553</v>
      </c>
      <c r="BK74" s="54">
        <f t="shared" ca="1" si="105"/>
        <v>23072920.569554366</v>
      </c>
      <c r="BL74" s="54">
        <f t="shared" ca="1" si="105"/>
        <v>11536460.284777181</v>
      </c>
      <c r="BM74" s="54">
        <f t="shared" ca="1" si="105"/>
        <v>35023008.349839643</v>
      </c>
      <c r="BN74" s="54">
        <f t="shared" ref="BN74:CK74" ca="1" si="106">SUM(BN70:BN73)</f>
        <v>23348672.233226426</v>
      </c>
      <c r="BO74" s="54">
        <f t="shared" ca="1" si="106"/>
        <v>11674336.116613209</v>
      </c>
      <c r="BP74" s="54">
        <f t="shared" ca="1" si="106"/>
        <v>35439661.068462126</v>
      </c>
      <c r="BQ74" s="54">
        <f t="shared" ca="1" si="106"/>
        <v>23626440.712308079</v>
      </c>
      <c r="BR74" s="54">
        <f t="shared" ca="1" si="106"/>
        <v>11813220.356154034</v>
      </c>
      <c r="BS74" s="54">
        <f t="shared" ca="1" si="106"/>
        <v>35865916.147598319</v>
      </c>
      <c r="BT74" s="54">
        <f t="shared" ca="1" si="106"/>
        <v>23910610.765065543</v>
      </c>
      <c r="BU74" s="54">
        <f t="shared" ca="1" si="106"/>
        <v>11955305.382532766</v>
      </c>
      <c r="BV74" s="54">
        <f t="shared" ca="1" si="106"/>
        <v>36295716.558932416</v>
      </c>
      <c r="BW74" s="54">
        <f t="shared" ca="1" si="106"/>
        <v>24197144.372621611</v>
      </c>
      <c r="BX74" s="54">
        <f t="shared" ca="1" si="106"/>
        <v>12098572.186310804</v>
      </c>
      <c r="BY74" s="54">
        <f t="shared" ca="1" si="106"/>
        <v>36726658.677622691</v>
      </c>
      <c r="BZ74" s="54">
        <f t="shared" ca="1" si="106"/>
        <v>24484439.118415125</v>
      </c>
      <c r="CA74" s="54">
        <f t="shared" ca="1" si="106"/>
        <v>12242219.55920756</v>
      </c>
      <c r="CB74" s="54">
        <f t="shared" ca="1" si="106"/>
        <v>37163137.711135067</v>
      </c>
      <c r="CC74" s="54">
        <f t="shared" ca="1" si="106"/>
        <v>24775425.140756711</v>
      </c>
      <c r="CD74" s="54">
        <f t="shared" ca="1" si="106"/>
        <v>12387712.570378354</v>
      </c>
      <c r="CE74" s="54">
        <f t="shared" ca="1" si="106"/>
        <v>37611315.813606299</v>
      </c>
      <c r="CF74" s="54">
        <f t="shared" ca="1" si="106"/>
        <v>25074210.542404197</v>
      </c>
      <c r="CG74" s="54">
        <f t="shared" ca="1" si="106"/>
        <v>12537105.271202097</v>
      </c>
      <c r="CH74" s="54">
        <f t="shared" ca="1" si="106"/>
        <v>38063235.838348471</v>
      </c>
      <c r="CI74" s="54">
        <f t="shared" ca="1" si="106"/>
        <v>25375490.558898978</v>
      </c>
      <c r="CJ74" s="54">
        <f t="shared" ca="1" si="106"/>
        <v>12687745.279449485</v>
      </c>
      <c r="CK74" s="54">
        <f t="shared" ca="1" si="106"/>
        <v>38515544.513665006</v>
      </c>
    </row>
    <row r="75" spans="2:89">
      <c r="B75" s="14"/>
      <c r="C75" s="14"/>
      <c r="D75" s="14"/>
      <c r="E75" s="14"/>
      <c r="F75" s="14"/>
      <c r="G75" s="149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</row>
    <row r="76" spans="2:89" ht="20.25" thickBot="1">
      <c r="B76" s="26" t="s">
        <v>29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</row>
    <row r="77" spans="2:89" ht="15.75" thickTop="1"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81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</row>
    <row r="78" spans="2:89" ht="18" thickBot="1">
      <c r="B78" s="100" t="s">
        <v>532</v>
      </c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</row>
    <row r="79" spans="2:89" ht="15.75" thickTop="1">
      <c r="B79" s="14"/>
      <c r="C79" s="129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</row>
    <row r="80" spans="2:89">
      <c r="B80" s="155" t="s">
        <v>67</v>
      </c>
      <c r="C80" s="156"/>
      <c r="D80" s="160"/>
      <c r="E80" s="158"/>
      <c r="F80" s="159">
        <f t="shared" ref="F80:AK80" ca="1" si="107">IFERROR(LOOKUP(F$19,Налоги_года,НнП_ставки),0)</f>
        <v>0.2</v>
      </c>
      <c r="G80" s="159">
        <f t="shared" ca="1" si="107"/>
        <v>0.2</v>
      </c>
      <c r="H80" s="159">
        <f t="shared" ca="1" si="107"/>
        <v>0.2</v>
      </c>
      <c r="I80" s="159">
        <f t="shared" ca="1" si="107"/>
        <v>0.2</v>
      </c>
      <c r="J80" s="159">
        <f t="shared" ca="1" si="107"/>
        <v>0.2</v>
      </c>
      <c r="K80" s="159">
        <f t="shared" ca="1" si="107"/>
        <v>0.2</v>
      </c>
      <c r="L80" s="159">
        <f t="shared" ca="1" si="107"/>
        <v>0.2</v>
      </c>
      <c r="M80" s="159">
        <f t="shared" ca="1" si="107"/>
        <v>0.2</v>
      </c>
      <c r="N80" s="159">
        <f t="shared" ca="1" si="107"/>
        <v>0.2</v>
      </c>
      <c r="O80" s="159">
        <f t="shared" ca="1" si="107"/>
        <v>0.2</v>
      </c>
      <c r="P80" s="159">
        <f t="shared" ca="1" si="107"/>
        <v>0.2</v>
      </c>
      <c r="Q80" s="159">
        <f t="shared" ca="1" si="107"/>
        <v>0.2</v>
      </c>
      <c r="R80" s="159">
        <f t="shared" ca="1" si="107"/>
        <v>0.2</v>
      </c>
      <c r="S80" s="159">
        <f t="shared" ca="1" si="107"/>
        <v>0.2</v>
      </c>
      <c r="T80" s="159">
        <f t="shared" ca="1" si="107"/>
        <v>0.2</v>
      </c>
      <c r="U80" s="159">
        <f t="shared" ca="1" si="107"/>
        <v>0.2</v>
      </c>
      <c r="V80" s="159">
        <f t="shared" ca="1" si="107"/>
        <v>0.2</v>
      </c>
      <c r="W80" s="159">
        <f t="shared" ca="1" si="107"/>
        <v>0.2</v>
      </c>
      <c r="X80" s="159">
        <f t="shared" ca="1" si="107"/>
        <v>0.2</v>
      </c>
      <c r="Y80" s="159">
        <f t="shared" ca="1" si="107"/>
        <v>0.2</v>
      </c>
      <c r="Z80" s="159">
        <f t="shared" ca="1" si="107"/>
        <v>0.2</v>
      </c>
      <c r="AA80" s="159">
        <f t="shared" ca="1" si="107"/>
        <v>0</v>
      </c>
      <c r="AB80" s="159">
        <f t="shared" ca="1" si="107"/>
        <v>0</v>
      </c>
      <c r="AC80" s="159">
        <f t="shared" ca="1" si="107"/>
        <v>0</v>
      </c>
      <c r="AD80" s="159">
        <f t="shared" ca="1" si="107"/>
        <v>0</v>
      </c>
      <c r="AE80" s="159">
        <f t="shared" ca="1" si="107"/>
        <v>0</v>
      </c>
      <c r="AF80" s="159">
        <f t="shared" ca="1" si="107"/>
        <v>0</v>
      </c>
      <c r="AG80" s="159">
        <f t="shared" ca="1" si="107"/>
        <v>0</v>
      </c>
      <c r="AH80" s="159">
        <f t="shared" ca="1" si="107"/>
        <v>0</v>
      </c>
      <c r="AI80" s="159">
        <f t="shared" ca="1" si="107"/>
        <v>0</v>
      </c>
      <c r="AJ80" s="159">
        <f t="shared" ca="1" si="107"/>
        <v>0</v>
      </c>
      <c r="AK80" s="159">
        <f t="shared" ca="1" si="107"/>
        <v>0</v>
      </c>
      <c r="AL80" s="159">
        <f t="shared" ref="AL80:CK80" ca="1" si="108">IFERROR(LOOKUP(AL$19,Налоги_года,НнП_ставки),0)</f>
        <v>0</v>
      </c>
      <c r="AM80" s="159">
        <f t="shared" ca="1" si="108"/>
        <v>0</v>
      </c>
      <c r="AN80" s="159">
        <f t="shared" ca="1" si="108"/>
        <v>0</v>
      </c>
      <c r="AO80" s="159">
        <f t="shared" ca="1" si="108"/>
        <v>0</v>
      </c>
      <c r="AP80" s="159">
        <f t="shared" ca="1" si="108"/>
        <v>0</v>
      </c>
      <c r="AQ80" s="159">
        <f t="shared" ca="1" si="108"/>
        <v>0</v>
      </c>
      <c r="AR80" s="159">
        <f t="shared" ca="1" si="108"/>
        <v>0</v>
      </c>
      <c r="AS80" s="159">
        <f t="shared" ca="1" si="108"/>
        <v>0</v>
      </c>
      <c r="AT80" s="159">
        <f t="shared" ca="1" si="108"/>
        <v>0</v>
      </c>
      <c r="AU80" s="159">
        <f t="shared" ca="1" si="108"/>
        <v>0</v>
      </c>
      <c r="AV80" s="159">
        <f t="shared" ca="1" si="108"/>
        <v>0</v>
      </c>
      <c r="AW80" s="159">
        <f t="shared" ca="1" si="108"/>
        <v>0</v>
      </c>
      <c r="AX80" s="159">
        <f t="shared" ca="1" si="108"/>
        <v>0</v>
      </c>
      <c r="AY80" s="159">
        <f t="shared" ca="1" si="108"/>
        <v>0</v>
      </c>
      <c r="AZ80" s="159">
        <f t="shared" ca="1" si="108"/>
        <v>0</v>
      </c>
      <c r="BA80" s="159">
        <f t="shared" ca="1" si="108"/>
        <v>0</v>
      </c>
      <c r="BB80" s="159">
        <f t="shared" ca="1" si="108"/>
        <v>0</v>
      </c>
      <c r="BC80" s="159">
        <f t="shared" ca="1" si="108"/>
        <v>0</v>
      </c>
      <c r="BD80" s="159">
        <f t="shared" ca="1" si="108"/>
        <v>0</v>
      </c>
      <c r="BE80" s="159">
        <f t="shared" ca="1" si="108"/>
        <v>0</v>
      </c>
      <c r="BF80" s="159">
        <f t="shared" ca="1" si="108"/>
        <v>0</v>
      </c>
      <c r="BG80" s="159">
        <f t="shared" ca="1" si="108"/>
        <v>0</v>
      </c>
      <c r="BH80" s="159">
        <f t="shared" ca="1" si="108"/>
        <v>0</v>
      </c>
      <c r="BI80" s="159">
        <f t="shared" ca="1" si="108"/>
        <v>0</v>
      </c>
      <c r="BJ80" s="159">
        <f t="shared" ca="1" si="108"/>
        <v>0</v>
      </c>
      <c r="BK80" s="159">
        <f t="shared" ca="1" si="108"/>
        <v>0</v>
      </c>
      <c r="BL80" s="159">
        <f t="shared" ca="1" si="108"/>
        <v>0</v>
      </c>
      <c r="BM80" s="159">
        <f t="shared" ca="1" si="108"/>
        <v>0</v>
      </c>
      <c r="BN80" s="159">
        <f t="shared" ca="1" si="108"/>
        <v>0</v>
      </c>
      <c r="BO80" s="159">
        <f t="shared" ca="1" si="108"/>
        <v>0</v>
      </c>
      <c r="BP80" s="159">
        <f t="shared" ca="1" si="108"/>
        <v>0</v>
      </c>
      <c r="BQ80" s="159">
        <f t="shared" ca="1" si="108"/>
        <v>0</v>
      </c>
      <c r="BR80" s="159">
        <f t="shared" ca="1" si="108"/>
        <v>0</v>
      </c>
      <c r="BS80" s="159">
        <f t="shared" ca="1" si="108"/>
        <v>0</v>
      </c>
      <c r="BT80" s="159">
        <f t="shared" ca="1" si="108"/>
        <v>0</v>
      </c>
      <c r="BU80" s="159">
        <f t="shared" ca="1" si="108"/>
        <v>0</v>
      </c>
      <c r="BV80" s="159">
        <f t="shared" ca="1" si="108"/>
        <v>0</v>
      </c>
      <c r="BW80" s="159">
        <f t="shared" ca="1" si="108"/>
        <v>0</v>
      </c>
      <c r="BX80" s="159">
        <f t="shared" ca="1" si="108"/>
        <v>0</v>
      </c>
      <c r="BY80" s="159">
        <f t="shared" ca="1" si="108"/>
        <v>0</v>
      </c>
      <c r="BZ80" s="159">
        <f t="shared" ca="1" si="108"/>
        <v>0</v>
      </c>
      <c r="CA80" s="159">
        <f t="shared" ca="1" si="108"/>
        <v>0</v>
      </c>
      <c r="CB80" s="159">
        <f t="shared" ca="1" si="108"/>
        <v>0</v>
      </c>
      <c r="CC80" s="159">
        <f t="shared" ca="1" si="108"/>
        <v>0</v>
      </c>
      <c r="CD80" s="159">
        <f t="shared" ca="1" si="108"/>
        <v>0</v>
      </c>
      <c r="CE80" s="159">
        <f t="shared" ca="1" si="108"/>
        <v>0</v>
      </c>
      <c r="CF80" s="159">
        <f t="shared" ca="1" si="108"/>
        <v>0</v>
      </c>
      <c r="CG80" s="159">
        <f t="shared" ca="1" si="108"/>
        <v>0</v>
      </c>
      <c r="CH80" s="159">
        <f t="shared" ca="1" si="108"/>
        <v>0</v>
      </c>
      <c r="CI80" s="159">
        <f t="shared" ca="1" si="108"/>
        <v>0</v>
      </c>
      <c r="CJ80" s="159">
        <f t="shared" ca="1" si="108"/>
        <v>0</v>
      </c>
      <c r="CK80" s="159">
        <f t="shared" ca="1" si="108"/>
        <v>0</v>
      </c>
    </row>
    <row r="81" spans="2:89">
      <c r="B81" s="14"/>
      <c r="C81" s="129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</row>
    <row r="82" spans="2:89" ht="18" thickBot="1">
      <c r="B82" s="100" t="str">
        <f>"Налоговая база, в "&amp;Ед_измерения_денег</f>
        <v>Налоговая база, в  руб.</v>
      </c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</row>
    <row r="83" spans="2:89" ht="15.75" thickTop="1">
      <c r="B83" s="18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</row>
    <row r="84" spans="2:89">
      <c r="B84" s="77" t="s">
        <v>69</v>
      </c>
      <c r="C84" s="78"/>
      <c r="D84" s="98">
        <f ca="1">SUM(F84:CK84)</f>
        <v>4195006406.8434014</v>
      </c>
      <c r="E84" s="79"/>
      <c r="F84" s="80">
        <f ca="1">Отчетность_по_периодам!F53</f>
        <v>0</v>
      </c>
      <c r="G84" s="80">
        <f ca="1">Отчетность_по_периодам!G53</f>
        <v>-879041.09589041094</v>
      </c>
      <c r="H84" s="80">
        <f ca="1">Отчетность_по_периодам!H53</f>
        <v>-850684.93150684924</v>
      </c>
      <c r="I84" s="80">
        <f ca="1">Отчетность_по_периодам!I53</f>
        <v>-879041.09589041094</v>
      </c>
      <c r="J84" s="80">
        <f ca="1">Отчетность_по_периодам!J53</f>
        <v>-2790000</v>
      </c>
      <c r="K84" s="80">
        <f ca="1">Отчетность_по_периодам!K53</f>
        <v>-2699999.9999999995</v>
      </c>
      <c r="L84" s="80">
        <f ca="1">Отчетность_по_периодам!L53</f>
        <v>-2790000</v>
      </c>
      <c r="M84" s="80">
        <f ca="1">Отчетность_по_периодам!M53</f>
        <v>-4924109.5890410952</v>
      </c>
      <c r="N84" s="80">
        <f ca="1">Отчетность_по_периодам!N53</f>
        <v>-5088246.5753424652</v>
      </c>
      <c r="O84" s="80">
        <f ca="1">Отчетность_по_периодам!O53</f>
        <v>-5074344.2622950822</v>
      </c>
      <c r="P84" s="80">
        <f ca="1">Отчетность_по_периодам!P53</f>
        <v>-6180327.8688524598</v>
      </c>
      <c r="Q84" s="80">
        <f ca="1">Отчетность_по_периодам!Q53</f>
        <v>-6606557.3770491797</v>
      </c>
      <c r="R84" s="80">
        <f ca="1">Отчетность_по_периодам!R53</f>
        <v>1015586.3726610569</v>
      </c>
      <c r="S84" s="80">
        <f ca="1">Отчетность_по_периодам!S53</f>
        <v>940813.35014741682</v>
      </c>
      <c r="T84" s="80">
        <f ca="1">Отчетность_по_периодам!T53</f>
        <v>-4409990.0398196131</v>
      </c>
      <c r="U84" s="80">
        <f ca="1">Отчетность_по_периодам!U53</f>
        <v>1215782.7879301962</v>
      </c>
      <c r="V84" s="80">
        <f ca="1">Отчетность_по_периодам!V53</f>
        <v>1355185.4028736185</v>
      </c>
      <c r="W84" s="80">
        <f ca="1">Отчетность_по_периодам!W53</f>
        <v>-3792567.2970044725</v>
      </c>
      <c r="X84" s="80">
        <f ca="1">Отчетность_по_периодам!X53</f>
        <v>1632255.0443947082</v>
      </c>
      <c r="Y84" s="80">
        <f ca="1">Отчетность_по_периодам!Y53</f>
        <v>1971063.1137788333</v>
      </c>
      <c r="Z84" s="80">
        <f ca="1">Отчетность_по_периодам!Z53</f>
        <v>-3371411.5845564036</v>
      </c>
      <c r="AA84" s="80">
        <f ca="1">Отчетность_по_периодам!AA53</f>
        <v>2035374.2757826839</v>
      </c>
      <c r="AB84" s="80">
        <f ca="1">Отчетность_по_периодам!AB53</f>
        <v>2758436.3421097761</v>
      </c>
      <c r="AC84" s="80">
        <f ca="1">Отчетность_по_периодам!AC53</f>
        <v>2310998.1440382907</v>
      </c>
      <c r="AD84" s="80">
        <f ca="1">Отчетность_по_периодам!AD53</f>
        <v>7591020.9482829645</v>
      </c>
      <c r="AE84" s="80">
        <f ca="1">Отчетность_по_периодам!AE53</f>
        <v>8674465.8406080119</v>
      </c>
      <c r="AF84" s="80">
        <f ca="1">Отчетность_по_периодам!AF53</f>
        <v>10295441.758490136</v>
      </c>
      <c r="AG84" s="80">
        <f ca="1">Отчетность_по_периодам!AG53</f>
        <v>11830786.317272451</v>
      </c>
      <c r="AH84" s="80">
        <f ca="1">Отчетность_по_периодам!AH53</f>
        <v>13843314.962686982</v>
      </c>
      <c r="AI84" s="80">
        <f ca="1">Отчетность_по_периодам!AI53</f>
        <v>16298779.506827645</v>
      </c>
      <c r="AJ84" s="80">
        <f ca="1">Отчетность_по_периодам!AJ53</f>
        <v>18883957.105573364</v>
      </c>
      <c r="AK84" s="80">
        <f ca="1">Отчетность_по_периодам!AK53</f>
        <v>22188781.854975916</v>
      </c>
      <c r="AL84" s="80">
        <f ca="1">Отчетность_по_периодам!AL53</f>
        <v>25832154.234887194</v>
      </c>
      <c r="AM84" s="80">
        <f ca="1">Отчетность_по_периодам!AM53</f>
        <v>30329101.830634903</v>
      </c>
      <c r="AN84" s="80">
        <f ca="1">Отчетность_по_периодам!AN53</f>
        <v>35563934.592479274</v>
      </c>
      <c r="AO84" s="80">
        <f ca="1">Отчетность_по_периодам!AO53</f>
        <v>41282811.029700331</v>
      </c>
      <c r="AP84" s="80">
        <f ca="1">Отчетность_по_периодам!AP53</f>
        <v>43763062.387176372</v>
      </c>
      <c r="AQ84" s="80">
        <f ca="1">Отчетность_по_периодам!AQ53</f>
        <v>46163584.193750188</v>
      </c>
      <c r="AR84" s="80">
        <f ca="1">Отчетность_по_периодам!AR53</f>
        <v>48915711.399577089</v>
      </c>
      <c r="AS84" s="80">
        <f ca="1">Отчетность_по_периодам!AS53</f>
        <v>51631318.048824519</v>
      </c>
      <c r="AT84" s="80">
        <f ca="1">Отчетность_по_периодам!AT53</f>
        <v>54657348.659105003</v>
      </c>
      <c r="AU84" s="80">
        <f ca="1">Отчетность_по_периодам!AU53</f>
        <v>57890723.006927937</v>
      </c>
      <c r="AV84" s="80">
        <f ca="1">Отчетность_по_периодам!AV53</f>
        <v>61159690.262645364</v>
      </c>
      <c r="AW84" s="80">
        <f ca="1">Отчетность_по_периодам!AW53</f>
        <v>64766637.26058656</v>
      </c>
      <c r="AX84" s="80">
        <f ca="1">Отчетность_по_периодам!AX53</f>
        <v>68462496.403891847</v>
      </c>
      <c r="AY84" s="80">
        <f ca="1">Отчетность_по_периодам!AY53</f>
        <v>72511812.508047923</v>
      </c>
      <c r="AZ84" s="80">
        <f ca="1">Отчетность_по_периодам!AZ53</f>
        <v>76718724.819828674</v>
      </c>
      <c r="BA84" s="80">
        <f ca="1">Отчетность_по_периодам!BA53</f>
        <v>80931277.601771981</v>
      </c>
      <c r="BB84" s="80">
        <f ca="1">Отчетность_по_периодам!BB53</f>
        <v>81540713.934695274</v>
      </c>
      <c r="BC84" s="80">
        <f ca="1">Отчетность_по_периодам!BC53</f>
        <v>81963975.682037279</v>
      </c>
      <c r="BD84" s="80">
        <f ca="1">Отчетность_по_периодам!BD53</f>
        <v>82568850.676280573</v>
      </c>
      <c r="BE84" s="80">
        <f ca="1">Отчетность_по_периодам!BE53</f>
        <v>83003129.805715412</v>
      </c>
      <c r="BF84" s="80">
        <f ca="1">Отчетность_по_периодам!BF53</f>
        <v>83531751.228663236</v>
      </c>
      <c r="BG84" s="80">
        <f ca="1">Отчетность_по_периодам!BG53</f>
        <v>84129858.738844037</v>
      </c>
      <c r="BH84" s="80">
        <f ca="1">Отчетность_по_периодам!BH53</f>
        <v>84580741.259278387</v>
      </c>
      <c r="BI84" s="80">
        <f ca="1">Отчетность_по_периодам!BI53</f>
        <v>85174352.117779076</v>
      </c>
      <c r="BJ84" s="80">
        <f ca="1">Отчетность_по_периодам!BJ53</f>
        <v>85636319.131898165</v>
      </c>
      <c r="BK84" s="80">
        <f ca="1">Отчетность_по_периодам!BK53</f>
        <v>86177752.499975801</v>
      </c>
      <c r="BL84" s="80">
        <f ca="1">Отчетность_по_периодам!BL53</f>
        <v>86811155.354672328</v>
      </c>
      <c r="BM84" s="80">
        <f ca="1">Отчетность_по_периодам!BM53</f>
        <v>87226879.930667713</v>
      </c>
      <c r="BN84" s="80">
        <f ca="1">Отчетность_по_периодам!BN53</f>
        <v>87807729.802562907</v>
      </c>
      <c r="BO84" s="80">
        <f ca="1">Отчетность_по_периодам!BO53</f>
        <v>88296139.956749335</v>
      </c>
      <c r="BP84" s="80">
        <f ca="1">Отчетность_по_периодам!BP53</f>
        <v>88872588.233494475</v>
      </c>
      <c r="BQ84" s="80">
        <f ca="1">Отчетность_по_периодам!BQ53</f>
        <v>89372138.430854544</v>
      </c>
      <c r="BR84" s="80">
        <f ca="1">Отчетность_по_периодам!BR53</f>
        <v>89919598.303360924</v>
      </c>
      <c r="BS84" s="80">
        <f ca="1">Отчетность_по_периодам!BS53</f>
        <v>90489521.819139302</v>
      </c>
      <c r="BT84" s="80">
        <f ca="1">Отчетность_по_периодам!BT53</f>
        <v>91005862.622469902</v>
      </c>
      <c r="BU84" s="80">
        <f ca="1">Отчетность_по_периодам!BU53</f>
        <v>91507049.045596763</v>
      </c>
      <c r="BV84" s="80">
        <f ca="1">Отчетность_по_периодам!BV53</f>
        <v>91965903.396093234</v>
      </c>
      <c r="BW84" s="80">
        <f ca="1">Отчетность_по_периодам!BW53</f>
        <v>92454601.339648932</v>
      </c>
      <c r="BX84" s="80">
        <f ca="1">Отчетность_по_периодам!BX53</f>
        <v>92976709.846285641</v>
      </c>
      <c r="BY84" s="80">
        <f ca="1">Отчетность_по_периодам!BY53</f>
        <v>93399256.463103697</v>
      </c>
      <c r="BZ84" s="80">
        <f ca="1">Отчетность_по_периодам!BZ53</f>
        <v>93901764.806561291</v>
      </c>
      <c r="CA84" s="80">
        <f ca="1">Отчетность_по_периодам!CA53</f>
        <v>94379272.38319701</v>
      </c>
      <c r="CB84" s="80">
        <f ca="1">Отчетность_по_периодам!CB53</f>
        <v>94881845.346403137</v>
      </c>
      <c r="CC84" s="80">
        <f ca="1">Отчетность_по_периодам!CC53</f>
        <v>95366397.715286046</v>
      </c>
      <c r="CD84" s="80">
        <f ca="1">Отчетность_по_периодам!CD53</f>
        <v>95869924.315387622</v>
      </c>
      <c r="CE84" s="80">
        <f ca="1">Отчетность_по_периодам!CE53</f>
        <v>96372676.246143043</v>
      </c>
      <c r="CF84" s="80">
        <f ca="1">Отчетность_по_периодам!CF53</f>
        <v>96867880.916755974</v>
      </c>
      <c r="CG84" s="80">
        <f ca="1">Отчетность_по_периодам!CG53</f>
        <v>97370768.663179561</v>
      </c>
      <c r="CH84" s="80">
        <f ca="1">Отчетность_по_периодам!CH53</f>
        <v>97873091.990376726</v>
      </c>
      <c r="CI84" s="80">
        <f ca="1">Отчетность_по_периодам!CI53</f>
        <v>98385865.669902176</v>
      </c>
      <c r="CJ84" s="80">
        <f ca="1">Отчетность_по_периодам!CJ53</f>
        <v>98866056.875530899</v>
      </c>
      <c r="CK84" s="80">
        <f ca="1">Отчетность_по_периодам!CK53</f>
        <v>99372172.643790528</v>
      </c>
    </row>
    <row r="85" spans="2:89"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</row>
    <row r="86" spans="2:89" ht="18" thickBot="1">
      <c r="B86" s="100" t="s">
        <v>226</v>
      </c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</row>
    <row r="87" spans="2:89" ht="15.75" thickTop="1"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</row>
    <row r="88" spans="2:89">
      <c r="B88" s="145" t="s">
        <v>220</v>
      </c>
      <c r="C88" s="146"/>
      <c r="D88" s="146"/>
      <c r="E88" s="146"/>
      <c r="F88" s="29">
        <f>IF(F$25=3,1,0)</f>
        <v>0</v>
      </c>
      <c r="G88" s="29">
        <f t="shared" ref="G88:BR88" si="109">IF(G$25=3,1,0)</f>
        <v>0</v>
      </c>
      <c r="H88" s="29">
        <f t="shared" si="109"/>
        <v>1</v>
      </c>
      <c r="I88" s="29">
        <f t="shared" si="109"/>
        <v>0</v>
      </c>
      <c r="J88" s="29">
        <f t="shared" si="109"/>
        <v>0</v>
      </c>
      <c r="K88" s="29">
        <f t="shared" si="109"/>
        <v>1</v>
      </c>
      <c r="L88" s="29">
        <f t="shared" si="109"/>
        <v>0</v>
      </c>
      <c r="M88" s="29">
        <f t="shared" si="109"/>
        <v>0</v>
      </c>
      <c r="N88" s="29">
        <f t="shared" si="109"/>
        <v>1</v>
      </c>
      <c r="O88" s="29">
        <f t="shared" si="109"/>
        <v>0</v>
      </c>
      <c r="P88" s="29">
        <f t="shared" si="109"/>
        <v>0</v>
      </c>
      <c r="Q88" s="29">
        <f t="shared" si="109"/>
        <v>1</v>
      </c>
      <c r="R88" s="29">
        <f t="shared" si="109"/>
        <v>0</v>
      </c>
      <c r="S88" s="29">
        <f t="shared" si="109"/>
        <v>0</v>
      </c>
      <c r="T88" s="29">
        <f t="shared" si="109"/>
        <v>1</v>
      </c>
      <c r="U88" s="29">
        <f t="shared" si="109"/>
        <v>0</v>
      </c>
      <c r="V88" s="29">
        <f t="shared" si="109"/>
        <v>0</v>
      </c>
      <c r="W88" s="29">
        <f t="shared" si="109"/>
        <v>1</v>
      </c>
      <c r="X88" s="29">
        <f t="shared" si="109"/>
        <v>0</v>
      </c>
      <c r="Y88" s="29">
        <f t="shared" si="109"/>
        <v>0</v>
      </c>
      <c r="Z88" s="29">
        <f t="shared" si="109"/>
        <v>1</v>
      </c>
      <c r="AA88" s="29">
        <f t="shared" si="109"/>
        <v>0</v>
      </c>
      <c r="AB88" s="29">
        <f t="shared" si="109"/>
        <v>0</v>
      </c>
      <c r="AC88" s="29">
        <f t="shared" si="109"/>
        <v>1</v>
      </c>
      <c r="AD88" s="29">
        <f t="shared" si="109"/>
        <v>0</v>
      </c>
      <c r="AE88" s="29">
        <f t="shared" si="109"/>
        <v>0</v>
      </c>
      <c r="AF88" s="29">
        <f t="shared" si="109"/>
        <v>1</v>
      </c>
      <c r="AG88" s="29">
        <f t="shared" si="109"/>
        <v>0</v>
      </c>
      <c r="AH88" s="29">
        <f t="shared" si="109"/>
        <v>0</v>
      </c>
      <c r="AI88" s="29">
        <f t="shared" si="109"/>
        <v>1</v>
      </c>
      <c r="AJ88" s="29">
        <f t="shared" si="109"/>
        <v>0</v>
      </c>
      <c r="AK88" s="29">
        <f t="shared" si="109"/>
        <v>0</v>
      </c>
      <c r="AL88" s="29">
        <f t="shared" si="109"/>
        <v>1</v>
      </c>
      <c r="AM88" s="29">
        <f t="shared" si="109"/>
        <v>0</v>
      </c>
      <c r="AN88" s="29">
        <f t="shared" si="109"/>
        <v>0</v>
      </c>
      <c r="AO88" s="29">
        <f t="shared" si="109"/>
        <v>1</v>
      </c>
      <c r="AP88" s="29">
        <f t="shared" si="109"/>
        <v>0</v>
      </c>
      <c r="AQ88" s="29">
        <f t="shared" si="109"/>
        <v>0</v>
      </c>
      <c r="AR88" s="29">
        <f t="shared" si="109"/>
        <v>1</v>
      </c>
      <c r="AS88" s="29">
        <f t="shared" si="109"/>
        <v>0</v>
      </c>
      <c r="AT88" s="29">
        <f t="shared" si="109"/>
        <v>0</v>
      </c>
      <c r="AU88" s="29">
        <f t="shared" si="109"/>
        <v>1</v>
      </c>
      <c r="AV88" s="29">
        <f t="shared" si="109"/>
        <v>0</v>
      </c>
      <c r="AW88" s="29">
        <f t="shared" si="109"/>
        <v>0</v>
      </c>
      <c r="AX88" s="29">
        <f t="shared" si="109"/>
        <v>1</v>
      </c>
      <c r="AY88" s="29">
        <f t="shared" si="109"/>
        <v>0</v>
      </c>
      <c r="AZ88" s="29">
        <f t="shared" si="109"/>
        <v>0</v>
      </c>
      <c r="BA88" s="29">
        <f t="shared" si="109"/>
        <v>1</v>
      </c>
      <c r="BB88" s="29">
        <f t="shared" si="109"/>
        <v>0</v>
      </c>
      <c r="BC88" s="29">
        <f t="shared" si="109"/>
        <v>0</v>
      </c>
      <c r="BD88" s="29">
        <f t="shared" si="109"/>
        <v>1</v>
      </c>
      <c r="BE88" s="29">
        <f t="shared" si="109"/>
        <v>0</v>
      </c>
      <c r="BF88" s="29">
        <f t="shared" si="109"/>
        <v>0</v>
      </c>
      <c r="BG88" s="29">
        <f t="shared" si="109"/>
        <v>1</v>
      </c>
      <c r="BH88" s="29">
        <f t="shared" si="109"/>
        <v>0</v>
      </c>
      <c r="BI88" s="29">
        <f t="shared" si="109"/>
        <v>0</v>
      </c>
      <c r="BJ88" s="29">
        <f t="shared" si="109"/>
        <v>1</v>
      </c>
      <c r="BK88" s="29">
        <f t="shared" si="109"/>
        <v>0</v>
      </c>
      <c r="BL88" s="29">
        <f t="shared" si="109"/>
        <v>0</v>
      </c>
      <c r="BM88" s="167">
        <f t="shared" si="109"/>
        <v>1</v>
      </c>
      <c r="BN88" s="167">
        <f t="shared" si="109"/>
        <v>0</v>
      </c>
      <c r="BO88" s="167">
        <f t="shared" si="109"/>
        <v>0</v>
      </c>
      <c r="BP88" s="167">
        <f t="shared" si="109"/>
        <v>1</v>
      </c>
      <c r="BQ88" s="167">
        <f t="shared" si="109"/>
        <v>0</v>
      </c>
      <c r="BR88" s="167">
        <f t="shared" si="109"/>
        <v>0</v>
      </c>
      <c r="BS88" s="167">
        <f t="shared" ref="BS88:CK88" si="110">IF(BS$25=3,1,0)</f>
        <v>1</v>
      </c>
      <c r="BT88" s="167">
        <f t="shared" si="110"/>
        <v>0</v>
      </c>
      <c r="BU88" s="167">
        <f t="shared" si="110"/>
        <v>0</v>
      </c>
      <c r="BV88" s="167">
        <f t="shared" si="110"/>
        <v>1</v>
      </c>
      <c r="BW88" s="167">
        <f t="shared" si="110"/>
        <v>0</v>
      </c>
      <c r="BX88" s="167">
        <f t="shared" si="110"/>
        <v>0</v>
      </c>
      <c r="BY88" s="167">
        <f t="shared" si="110"/>
        <v>1</v>
      </c>
      <c r="BZ88" s="167">
        <f t="shared" si="110"/>
        <v>0</v>
      </c>
      <c r="CA88" s="167">
        <f t="shared" si="110"/>
        <v>0</v>
      </c>
      <c r="CB88" s="167">
        <f t="shared" si="110"/>
        <v>1</v>
      </c>
      <c r="CC88" s="167">
        <f t="shared" si="110"/>
        <v>0</v>
      </c>
      <c r="CD88" s="167">
        <f t="shared" si="110"/>
        <v>0</v>
      </c>
      <c r="CE88" s="167">
        <f t="shared" si="110"/>
        <v>1</v>
      </c>
      <c r="CF88" s="167">
        <f t="shared" si="110"/>
        <v>0</v>
      </c>
      <c r="CG88" s="167">
        <f t="shared" si="110"/>
        <v>0</v>
      </c>
      <c r="CH88" s="167">
        <f t="shared" si="110"/>
        <v>1</v>
      </c>
      <c r="CI88" s="167">
        <f t="shared" si="110"/>
        <v>0</v>
      </c>
      <c r="CJ88" s="167">
        <f t="shared" si="110"/>
        <v>0</v>
      </c>
      <c r="CK88" s="167">
        <f t="shared" si="110"/>
        <v>1</v>
      </c>
    </row>
    <row r="89" spans="2:89"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</row>
    <row r="90" spans="2:89" ht="15.75" thickBot="1">
      <c r="B90" s="97" t="str">
        <f>"Налоговая база, в "&amp;Ед_измерения_денег</f>
        <v>Налоговая база, в  руб.</v>
      </c>
      <c r="C90" s="97"/>
      <c r="D90" s="97"/>
      <c r="E90" s="97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</row>
    <row r="91" spans="2:89">
      <c r="B91" s="18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</row>
    <row r="92" spans="2:89">
      <c r="B92" s="77" t="s">
        <v>69</v>
      </c>
      <c r="C92" s="78"/>
      <c r="D92" s="98">
        <f ca="1">SUM(F92:CK92)</f>
        <v>4195006406.8434024</v>
      </c>
      <c r="E92" s="79"/>
      <c r="F92" s="80">
        <f t="shared" ref="F92:AK92" ca="1" si="111">SUM(OFFSET(F84,,-MIN(F$27,Мес_в_кв)+1,1,MIN(F$27,Мес_в_кв)))*F$88</f>
        <v>0</v>
      </c>
      <c r="G92" s="80">
        <f t="shared" ca="1" si="111"/>
        <v>0</v>
      </c>
      <c r="H92" s="80">
        <f t="shared" ca="1" si="111"/>
        <v>-1729726.0273972601</v>
      </c>
      <c r="I92" s="80">
        <f t="shared" ca="1" si="111"/>
        <v>0</v>
      </c>
      <c r="J92" s="80">
        <f t="shared" ca="1" si="111"/>
        <v>0</v>
      </c>
      <c r="K92" s="80">
        <f t="shared" ca="1" si="111"/>
        <v>-6369041.0958904102</v>
      </c>
      <c r="L92" s="80">
        <f t="shared" ca="1" si="111"/>
        <v>0</v>
      </c>
      <c r="M92" s="80">
        <f t="shared" ca="1" si="111"/>
        <v>0</v>
      </c>
      <c r="N92" s="80">
        <f t="shared" ca="1" si="111"/>
        <v>-12802356.16438356</v>
      </c>
      <c r="O92" s="80">
        <f t="shared" ca="1" si="111"/>
        <v>0</v>
      </c>
      <c r="P92" s="80">
        <f t="shared" ca="1" si="111"/>
        <v>0</v>
      </c>
      <c r="Q92" s="80">
        <f t="shared" ca="1" si="111"/>
        <v>-17861229.508196719</v>
      </c>
      <c r="R92" s="80">
        <f t="shared" ca="1" si="111"/>
        <v>0</v>
      </c>
      <c r="S92" s="80">
        <f t="shared" ca="1" si="111"/>
        <v>0</v>
      </c>
      <c r="T92" s="80">
        <f t="shared" ca="1" si="111"/>
        <v>-2453590.3170111394</v>
      </c>
      <c r="U92" s="80">
        <f t="shared" ca="1" si="111"/>
        <v>0</v>
      </c>
      <c r="V92" s="80">
        <f t="shared" ca="1" si="111"/>
        <v>0</v>
      </c>
      <c r="W92" s="80">
        <f t="shared" ca="1" si="111"/>
        <v>-1221599.1062006578</v>
      </c>
      <c r="X92" s="80">
        <f t="shared" ca="1" si="111"/>
        <v>0</v>
      </c>
      <c r="Y92" s="80">
        <f t="shared" ca="1" si="111"/>
        <v>0</v>
      </c>
      <c r="Z92" s="80">
        <f t="shared" ca="1" si="111"/>
        <v>231906.57361713797</v>
      </c>
      <c r="AA92" s="80">
        <f t="shared" ca="1" si="111"/>
        <v>0</v>
      </c>
      <c r="AB92" s="80">
        <f t="shared" ca="1" si="111"/>
        <v>0</v>
      </c>
      <c r="AC92" s="80">
        <f t="shared" ca="1" si="111"/>
        <v>7104808.7619307507</v>
      </c>
      <c r="AD92" s="80">
        <f t="shared" ca="1" si="111"/>
        <v>0</v>
      </c>
      <c r="AE92" s="80">
        <f t="shared" ca="1" si="111"/>
        <v>0</v>
      </c>
      <c r="AF92" s="80">
        <f t="shared" ca="1" si="111"/>
        <v>26560928.54738111</v>
      </c>
      <c r="AG92" s="80">
        <f t="shared" ca="1" si="111"/>
        <v>0</v>
      </c>
      <c r="AH92" s="80">
        <f t="shared" ca="1" si="111"/>
        <v>0</v>
      </c>
      <c r="AI92" s="80">
        <f t="shared" ca="1" si="111"/>
        <v>41972880.786787078</v>
      </c>
      <c r="AJ92" s="80">
        <f t="shared" ca="1" si="111"/>
        <v>0</v>
      </c>
      <c r="AK92" s="80">
        <f t="shared" ca="1" si="111"/>
        <v>0</v>
      </c>
      <c r="AL92" s="80">
        <f t="shared" ref="AL92:BM92" ca="1" si="112">SUM(OFFSET(AL84,,-MIN(AL$27,Мес_в_кв)+1,1,MIN(AL$27,Мес_в_кв)))*AL$88</f>
        <v>66904893.195436478</v>
      </c>
      <c r="AM92" s="80">
        <f t="shared" ca="1" si="112"/>
        <v>0</v>
      </c>
      <c r="AN92" s="80">
        <f t="shared" ca="1" si="112"/>
        <v>0</v>
      </c>
      <c r="AO92" s="80">
        <f t="shared" ca="1" si="112"/>
        <v>107175847.45281452</v>
      </c>
      <c r="AP92" s="80">
        <f t="shared" ca="1" si="112"/>
        <v>0</v>
      </c>
      <c r="AQ92" s="80">
        <f t="shared" ca="1" si="112"/>
        <v>0</v>
      </c>
      <c r="AR92" s="80">
        <f t="shared" ca="1" si="112"/>
        <v>138842357.98050365</v>
      </c>
      <c r="AS92" s="80">
        <f t="shared" ca="1" si="112"/>
        <v>0</v>
      </c>
      <c r="AT92" s="80">
        <f t="shared" ca="1" si="112"/>
        <v>0</v>
      </c>
      <c r="AU92" s="80">
        <f t="shared" ca="1" si="112"/>
        <v>164179389.71485746</v>
      </c>
      <c r="AV92" s="80">
        <f t="shared" ca="1" si="112"/>
        <v>0</v>
      </c>
      <c r="AW92" s="80">
        <f t="shared" ca="1" si="112"/>
        <v>0</v>
      </c>
      <c r="AX92" s="80">
        <f t="shared" ca="1" si="112"/>
        <v>194388823.92712379</v>
      </c>
      <c r="AY92" s="80">
        <f t="shared" ca="1" si="112"/>
        <v>0</v>
      </c>
      <c r="AZ92" s="80">
        <f t="shared" ca="1" si="112"/>
        <v>0</v>
      </c>
      <c r="BA92" s="80">
        <f t="shared" ca="1" si="112"/>
        <v>230161814.92964858</v>
      </c>
      <c r="BB92" s="80">
        <f t="shared" ca="1" si="112"/>
        <v>0</v>
      </c>
      <c r="BC92" s="80">
        <f t="shared" ca="1" si="112"/>
        <v>0</v>
      </c>
      <c r="BD92" s="80">
        <f t="shared" ca="1" si="112"/>
        <v>246073540.2930131</v>
      </c>
      <c r="BE92" s="80">
        <f t="shared" ca="1" si="112"/>
        <v>0</v>
      </c>
      <c r="BF92" s="80">
        <f t="shared" ca="1" si="112"/>
        <v>0</v>
      </c>
      <c r="BG92" s="80">
        <f t="shared" ca="1" si="112"/>
        <v>250664739.77322268</v>
      </c>
      <c r="BH92" s="80">
        <f t="shared" ca="1" si="112"/>
        <v>0</v>
      </c>
      <c r="BI92" s="80">
        <f t="shared" ca="1" si="112"/>
        <v>0</v>
      </c>
      <c r="BJ92" s="80">
        <f t="shared" ca="1" si="112"/>
        <v>255391412.50895563</v>
      </c>
      <c r="BK92" s="80">
        <f t="shared" ca="1" si="112"/>
        <v>0</v>
      </c>
      <c r="BL92" s="80">
        <f t="shared" ca="1" si="112"/>
        <v>0</v>
      </c>
      <c r="BM92" s="80">
        <f t="shared" ca="1" si="112"/>
        <v>260215787.78531581</v>
      </c>
      <c r="BN92" s="80">
        <f t="shared" ref="BN92:CK92" ca="1" si="113">SUM(OFFSET(BN84,,-MIN(BN$27,Мес_в_кв)+1,1,MIN(BN$27,Мес_в_кв)))*BN$88</f>
        <v>0</v>
      </c>
      <c r="BO92" s="80">
        <f t="shared" ca="1" si="113"/>
        <v>0</v>
      </c>
      <c r="BP92" s="80">
        <f t="shared" ca="1" si="113"/>
        <v>264976457.99280673</v>
      </c>
      <c r="BQ92" s="80">
        <f t="shared" ca="1" si="113"/>
        <v>0</v>
      </c>
      <c r="BR92" s="80">
        <f t="shared" ca="1" si="113"/>
        <v>0</v>
      </c>
      <c r="BS92" s="80">
        <f t="shared" ca="1" si="113"/>
        <v>269781258.55335474</v>
      </c>
      <c r="BT92" s="80">
        <f t="shared" ca="1" si="113"/>
        <v>0</v>
      </c>
      <c r="BU92" s="80">
        <f t="shared" ca="1" si="113"/>
        <v>0</v>
      </c>
      <c r="BV92" s="80">
        <f t="shared" ca="1" si="113"/>
        <v>274478815.06415993</v>
      </c>
      <c r="BW92" s="80">
        <f t="shared" ca="1" si="113"/>
        <v>0</v>
      </c>
      <c r="BX92" s="80">
        <f t="shared" ca="1" si="113"/>
        <v>0</v>
      </c>
      <c r="BY92" s="80">
        <f t="shared" ca="1" si="113"/>
        <v>278830567.64903826</v>
      </c>
      <c r="BZ92" s="80">
        <f t="shared" ca="1" si="113"/>
        <v>0</v>
      </c>
      <c r="CA92" s="80">
        <f t="shared" ca="1" si="113"/>
        <v>0</v>
      </c>
      <c r="CB92" s="80">
        <f t="shared" ca="1" si="113"/>
        <v>283162882.53616142</v>
      </c>
      <c r="CC92" s="80">
        <f t="shared" ca="1" si="113"/>
        <v>0</v>
      </c>
      <c r="CD92" s="80">
        <f t="shared" ca="1" si="113"/>
        <v>0</v>
      </c>
      <c r="CE92" s="80">
        <f t="shared" ca="1" si="113"/>
        <v>287608998.27681673</v>
      </c>
      <c r="CF92" s="80">
        <f t="shared" ca="1" si="113"/>
        <v>0</v>
      </c>
      <c r="CG92" s="80">
        <f t="shared" ca="1" si="113"/>
        <v>0</v>
      </c>
      <c r="CH92" s="80">
        <f t="shared" ca="1" si="113"/>
        <v>292111741.57031226</v>
      </c>
      <c r="CI92" s="80">
        <f t="shared" ca="1" si="113"/>
        <v>0</v>
      </c>
      <c r="CJ92" s="80">
        <f t="shared" ca="1" si="113"/>
        <v>0</v>
      </c>
      <c r="CK92" s="80">
        <f t="shared" ca="1" si="113"/>
        <v>296624095.18922359</v>
      </c>
    </row>
    <row r="93" spans="2:89" ht="15.75" thickBot="1">
      <c r="B93" s="45" t="s">
        <v>70</v>
      </c>
      <c r="C93" s="46"/>
      <c r="D93" s="98">
        <f ca="1">SUM(F93:CK93)</f>
        <v>-42437542.219079748</v>
      </c>
      <c r="E93" s="48"/>
      <c r="F93" s="49">
        <f ca="1">F107</f>
        <v>0</v>
      </c>
      <c r="G93" s="49">
        <f t="shared" ref="G93:AG93" ca="1" si="114">G107</f>
        <v>0</v>
      </c>
      <c r="H93" s="49">
        <f t="shared" ca="1" si="114"/>
        <v>0</v>
      </c>
      <c r="I93" s="49">
        <f t="shared" ca="1" si="114"/>
        <v>0</v>
      </c>
      <c r="J93" s="49">
        <f t="shared" ca="1" si="114"/>
        <v>0</v>
      </c>
      <c r="K93" s="49">
        <f t="shared" ca="1" si="114"/>
        <v>0</v>
      </c>
      <c r="L93" s="49">
        <f t="shared" ca="1" si="114"/>
        <v>0</v>
      </c>
      <c r="M93" s="49">
        <f t="shared" ca="1" si="114"/>
        <v>0</v>
      </c>
      <c r="N93" s="49">
        <f t="shared" ca="1" si="114"/>
        <v>0</v>
      </c>
      <c r="O93" s="49">
        <f t="shared" ca="1" si="114"/>
        <v>0</v>
      </c>
      <c r="P93" s="49">
        <f t="shared" ca="1" si="114"/>
        <v>0</v>
      </c>
      <c r="Q93" s="49">
        <f t="shared" ca="1" si="114"/>
        <v>0</v>
      </c>
      <c r="R93" s="49">
        <f t="shared" ca="1" si="114"/>
        <v>0</v>
      </c>
      <c r="S93" s="49">
        <f t="shared" ca="1" si="114"/>
        <v>0</v>
      </c>
      <c r="T93" s="49">
        <f t="shared" ca="1" si="114"/>
        <v>0</v>
      </c>
      <c r="U93" s="49">
        <f t="shared" ca="1" si="114"/>
        <v>0</v>
      </c>
      <c r="V93" s="49">
        <f t="shared" ca="1" si="114"/>
        <v>0</v>
      </c>
      <c r="W93" s="49">
        <f t="shared" ca="1" si="114"/>
        <v>0</v>
      </c>
      <c r="X93" s="49">
        <f t="shared" ca="1" si="114"/>
        <v>0</v>
      </c>
      <c r="Y93" s="49">
        <f t="shared" ca="1" si="114"/>
        <v>0</v>
      </c>
      <c r="Z93" s="49">
        <f t="shared" ca="1" si="114"/>
        <v>-231906.57361713797</v>
      </c>
      <c r="AA93" s="49">
        <f t="shared" ca="1" si="114"/>
        <v>0</v>
      </c>
      <c r="AB93" s="49">
        <f t="shared" ca="1" si="114"/>
        <v>0</v>
      </c>
      <c r="AC93" s="49">
        <f t="shared" ca="1" si="114"/>
        <v>-7104808.7619307507</v>
      </c>
      <c r="AD93" s="49">
        <f t="shared" ca="1" si="114"/>
        <v>0</v>
      </c>
      <c r="AE93" s="49">
        <f t="shared" ca="1" si="114"/>
        <v>0</v>
      </c>
      <c r="AF93" s="49">
        <f t="shared" ca="1" si="114"/>
        <v>-26560928.54738111</v>
      </c>
      <c r="AG93" s="49">
        <f t="shared" ca="1" si="114"/>
        <v>0</v>
      </c>
      <c r="AH93" s="49">
        <f t="shared" ref="AH93:BM93" ca="1" si="115">AH107</f>
        <v>0</v>
      </c>
      <c r="AI93" s="49">
        <f t="shared" ca="1" si="115"/>
        <v>-8539898.3361507505</v>
      </c>
      <c r="AJ93" s="49">
        <f t="shared" ca="1" si="115"/>
        <v>0</v>
      </c>
      <c r="AK93" s="49">
        <f t="shared" ca="1" si="115"/>
        <v>0</v>
      </c>
      <c r="AL93" s="49">
        <f t="shared" ca="1" si="115"/>
        <v>0</v>
      </c>
      <c r="AM93" s="49">
        <f t="shared" ca="1" si="115"/>
        <v>0</v>
      </c>
      <c r="AN93" s="49">
        <f t="shared" ca="1" si="115"/>
        <v>0</v>
      </c>
      <c r="AO93" s="49">
        <f t="shared" ca="1" si="115"/>
        <v>0</v>
      </c>
      <c r="AP93" s="49">
        <f t="shared" ca="1" si="115"/>
        <v>0</v>
      </c>
      <c r="AQ93" s="49">
        <f t="shared" ca="1" si="115"/>
        <v>0</v>
      </c>
      <c r="AR93" s="49">
        <f t="shared" ca="1" si="115"/>
        <v>0</v>
      </c>
      <c r="AS93" s="49">
        <f t="shared" ca="1" si="115"/>
        <v>0</v>
      </c>
      <c r="AT93" s="49">
        <f t="shared" ca="1" si="115"/>
        <v>0</v>
      </c>
      <c r="AU93" s="49">
        <f t="shared" ca="1" si="115"/>
        <v>0</v>
      </c>
      <c r="AV93" s="49">
        <f t="shared" ca="1" si="115"/>
        <v>0</v>
      </c>
      <c r="AW93" s="49">
        <f t="shared" ca="1" si="115"/>
        <v>0</v>
      </c>
      <c r="AX93" s="49">
        <f t="shared" ca="1" si="115"/>
        <v>0</v>
      </c>
      <c r="AY93" s="49">
        <f t="shared" ca="1" si="115"/>
        <v>0</v>
      </c>
      <c r="AZ93" s="49">
        <f t="shared" ca="1" si="115"/>
        <v>0</v>
      </c>
      <c r="BA93" s="49">
        <f t="shared" ca="1" si="115"/>
        <v>0</v>
      </c>
      <c r="BB93" s="49">
        <f t="shared" ca="1" si="115"/>
        <v>0</v>
      </c>
      <c r="BC93" s="49">
        <f t="shared" ca="1" si="115"/>
        <v>0</v>
      </c>
      <c r="BD93" s="49">
        <f t="shared" ca="1" si="115"/>
        <v>0</v>
      </c>
      <c r="BE93" s="49">
        <f t="shared" ca="1" si="115"/>
        <v>0</v>
      </c>
      <c r="BF93" s="49">
        <f t="shared" ca="1" si="115"/>
        <v>0</v>
      </c>
      <c r="BG93" s="49">
        <f t="shared" ca="1" si="115"/>
        <v>0</v>
      </c>
      <c r="BH93" s="49">
        <f t="shared" ca="1" si="115"/>
        <v>0</v>
      </c>
      <c r="BI93" s="49">
        <f t="shared" ca="1" si="115"/>
        <v>0</v>
      </c>
      <c r="BJ93" s="49">
        <f t="shared" ca="1" si="115"/>
        <v>0</v>
      </c>
      <c r="BK93" s="49">
        <f t="shared" ca="1" si="115"/>
        <v>0</v>
      </c>
      <c r="BL93" s="49">
        <f t="shared" ca="1" si="115"/>
        <v>0</v>
      </c>
      <c r="BM93" s="49">
        <f t="shared" ca="1" si="115"/>
        <v>0</v>
      </c>
      <c r="BN93" s="49">
        <f t="shared" ref="BN93:CK93" ca="1" si="116">BN107</f>
        <v>0</v>
      </c>
      <c r="BO93" s="49">
        <f t="shared" ca="1" si="116"/>
        <v>0</v>
      </c>
      <c r="BP93" s="49">
        <f t="shared" ca="1" si="116"/>
        <v>0</v>
      </c>
      <c r="BQ93" s="49">
        <f t="shared" ca="1" si="116"/>
        <v>0</v>
      </c>
      <c r="BR93" s="49">
        <f t="shared" ca="1" si="116"/>
        <v>0</v>
      </c>
      <c r="BS93" s="49">
        <f t="shared" ca="1" si="116"/>
        <v>0</v>
      </c>
      <c r="BT93" s="49">
        <f t="shared" ca="1" si="116"/>
        <v>0</v>
      </c>
      <c r="BU93" s="49">
        <f t="shared" ca="1" si="116"/>
        <v>0</v>
      </c>
      <c r="BV93" s="49">
        <f t="shared" ca="1" si="116"/>
        <v>0</v>
      </c>
      <c r="BW93" s="49">
        <f t="shared" ca="1" si="116"/>
        <v>0</v>
      </c>
      <c r="BX93" s="49">
        <f t="shared" ca="1" si="116"/>
        <v>0</v>
      </c>
      <c r="BY93" s="49">
        <f t="shared" ca="1" si="116"/>
        <v>0</v>
      </c>
      <c r="BZ93" s="49">
        <f t="shared" ca="1" si="116"/>
        <v>0</v>
      </c>
      <c r="CA93" s="49">
        <f t="shared" ca="1" si="116"/>
        <v>0</v>
      </c>
      <c r="CB93" s="49">
        <f t="shared" ca="1" si="116"/>
        <v>0</v>
      </c>
      <c r="CC93" s="49">
        <f t="shared" ca="1" si="116"/>
        <v>0</v>
      </c>
      <c r="CD93" s="49">
        <f t="shared" ca="1" si="116"/>
        <v>0</v>
      </c>
      <c r="CE93" s="49">
        <f t="shared" ca="1" si="116"/>
        <v>0</v>
      </c>
      <c r="CF93" s="49">
        <f t="shared" ca="1" si="116"/>
        <v>0</v>
      </c>
      <c r="CG93" s="49">
        <f t="shared" ca="1" si="116"/>
        <v>0</v>
      </c>
      <c r="CH93" s="49">
        <f t="shared" ca="1" si="116"/>
        <v>0</v>
      </c>
      <c r="CI93" s="49">
        <f t="shared" ca="1" si="116"/>
        <v>0</v>
      </c>
      <c r="CJ93" s="49">
        <f t="shared" ca="1" si="116"/>
        <v>0</v>
      </c>
      <c r="CK93" s="49">
        <f t="shared" ca="1" si="116"/>
        <v>0</v>
      </c>
    </row>
    <row r="94" spans="2:89" ht="15.75" thickTop="1">
      <c r="B94" s="50" t="s">
        <v>71</v>
      </c>
      <c r="C94" s="51"/>
      <c r="D94" s="52">
        <f ca="1">SUM(D92:D93)</f>
        <v>4152568864.6243224</v>
      </c>
      <c r="E94" s="53"/>
      <c r="F94" s="54">
        <f ca="1">SUM(F92:F93)</f>
        <v>0</v>
      </c>
      <c r="G94" s="54">
        <f t="shared" ref="G94:AG94" ca="1" si="117">SUM(G92:G93)</f>
        <v>0</v>
      </c>
      <c r="H94" s="54">
        <f t="shared" ca="1" si="117"/>
        <v>-1729726.0273972601</v>
      </c>
      <c r="I94" s="54">
        <f t="shared" ca="1" si="117"/>
        <v>0</v>
      </c>
      <c r="J94" s="54">
        <f t="shared" ca="1" si="117"/>
        <v>0</v>
      </c>
      <c r="K94" s="54">
        <f t="shared" ca="1" si="117"/>
        <v>-6369041.0958904102</v>
      </c>
      <c r="L94" s="54">
        <f t="shared" ca="1" si="117"/>
        <v>0</v>
      </c>
      <c r="M94" s="54">
        <f t="shared" ca="1" si="117"/>
        <v>0</v>
      </c>
      <c r="N94" s="54">
        <f t="shared" ca="1" si="117"/>
        <v>-12802356.16438356</v>
      </c>
      <c r="O94" s="54">
        <f t="shared" ca="1" si="117"/>
        <v>0</v>
      </c>
      <c r="P94" s="54">
        <f t="shared" ca="1" si="117"/>
        <v>0</v>
      </c>
      <c r="Q94" s="54">
        <f t="shared" ca="1" si="117"/>
        <v>-17861229.508196719</v>
      </c>
      <c r="R94" s="54">
        <f t="shared" ca="1" si="117"/>
        <v>0</v>
      </c>
      <c r="S94" s="54">
        <f t="shared" ca="1" si="117"/>
        <v>0</v>
      </c>
      <c r="T94" s="54">
        <f t="shared" ca="1" si="117"/>
        <v>-2453590.3170111394</v>
      </c>
      <c r="U94" s="54">
        <f t="shared" ca="1" si="117"/>
        <v>0</v>
      </c>
      <c r="V94" s="54">
        <f t="shared" ca="1" si="117"/>
        <v>0</v>
      </c>
      <c r="W94" s="54">
        <f t="shared" ca="1" si="117"/>
        <v>-1221599.1062006578</v>
      </c>
      <c r="X94" s="54">
        <f t="shared" ca="1" si="117"/>
        <v>0</v>
      </c>
      <c r="Y94" s="54">
        <f t="shared" ca="1" si="117"/>
        <v>0</v>
      </c>
      <c r="Z94" s="54">
        <f t="shared" ca="1" si="117"/>
        <v>0</v>
      </c>
      <c r="AA94" s="54">
        <f t="shared" ca="1" si="117"/>
        <v>0</v>
      </c>
      <c r="AB94" s="54">
        <f t="shared" ca="1" si="117"/>
        <v>0</v>
      </c>
      <c r="AC94" s="54">
        <f t="shared" ca="1" si="117"/>
        <v>0</v>
      </c>
      <c r="AD94" s="54">
        <f t="shared" ca="1" si="117"/>
        <v>0</v>
      </c>
      <c r="AE94" s="54">
        <f t="shared" ca="1" si="117"/>
        <v>0</v>
      </c>
      <c r="AF94" s="54">
        <f t="shared" ca="1" si="117"/>
        <v>0</v>
      </c>
      <c r="AG94" s="54">
        <f t="shared" ca="1" si="117"/>
        <v>0</v>
      </c>
      <c r="AH94" s="54">
        <f t="shared" ref="AH94:BM94" ca="1" si="118">SUM(AH92:AH93)</f>
        <v>0</v>
      </c>
      <c r="AI94" s="54">
        <f t="shared" ca="1" si="118"/>
        <v>33432982.450636327</v>
      </c>
      <c r="AJ94" s="54">
        <f t="shared" ca="1" si="118"/>
        <v>0</v>
      </c>
      <c r="AK94" s="54">
        <f t="shared" ca="1" si="118"/>
        <v>0</v>
      </c>
      <c r="AL94" s="54">
        <f t="shared" ca="1" si="118"/>
        <v>66904893.195436478</v>
      </c>
      <c r="AM94" s="54">
        <f t="shared" ca="1" si="118"/>
        <v>0</v>
      </c>
      <c r="AN94" s="54">
        <f t="shared" ca="1" si="118"/>
        <v>0</v>
      </c>
      <c r="AO94" s="54">
        <f t="shared" ca="1" si="118"/>
        <v>107175847.45281452</v>
      </c>
      <c r="AP94" s="54">
        <f t="shared" ca="1" si="118"/>
        <v>0</v>
      </c>
      <c r="AQ94" s="54">
        <f t="shared" ca="1" si="118"/>
        <v>0</v>
      </c>
      <c r="AR94" s="54">
        <f t="shared" ca="1" si="118"/>
        <v>138842357.98050365</v>
      </c>
      <c r="AS94" s="54">
        <f t="shared" ca="1" si="118"/>
        <v>0</v>
      </c>
      <c r="AT94" s="54">
        <f t="shared" ca="1" si="118"/>
        <v>0</v>
      </c>
      <c r="AU94" s="54">
        <f t="shared" ca="1" si="118"/>
        <v>164179389.71485746</v>
      </c>
      <c r="AV94" s="54">
        <f t="shared" ca="1" si="118"/>
        <v>0</v>
      </c>
      <c r="AW94" s="54">
        <f t="shared" ca="1" si="118"/>
        <v>0</v>
      </c>
      <c r="AX94" s="54">
        <f t="shared" ca="1" si="118"/>
        <v>194388823.92712379</v>
      </c>
      <c r="AY94" s="54">
        <f t="shared" ca="1" si="118"/>
        <v>0</v>
      </c>
      <c r="AZ94" s="54">
        <f t="shared" ca="1" si="118"/>
        <v>0</v>
      </c>
      <c r="BA94" s="54">
        <f t="shared" ca="1" si="118"/>
        <v>230161814.92964858</v>
      </c>
      <c r="BB94" s="54">
        <f t="shared" ca="1" si="118"/>
        <v>0</v>
      </c>
      <c r="BC94" s="54">
        <f t="shared" ca="1" si="118"/>
        <v>0</v>
      </c>
      <c r="BD94" s="54">
        <f t="shared" ca="1" si="118"/>
        <v>246073540.2930131</v>
      </c>
      <c r="BE94" s="54">
        <f t="shared" ca="1" si="118"/>
        <v>0</v>
      </c>
      <c r="BF94" s="54">
        <f t="shared" ca="1" si="118"/>
        <v>0</v>
      </c>
      <c r="BG94" s="54">
        <f t="shared" ca="1" si="118"/>
        <v>250664739.77322268</v>
      </c>
      <c r="BH94" s="54">
        <f t="shared" ca="1" si="118"/>
        <v>0</v>
      </c>
      <c r="BI94" s="54">
        <f t="shared" ca="1" si="118"/>
        <v>0</v>
      </c>
      <c r="BJ94" s="54">
        <f t="shared" ca="1" si="118"/>
        <v>255391412.50895563</v>
      </c>
      <c r="BK94" s="54">
        <f t="shared" ca="1" si="118"/>
        <v>0</v>
      </c>
      <c r="BL94" s="54">
        <f t="shared" ca="1" si="118"/>
        <v>0</v>
      </c>
      <c r="BM94" s="54">
        <f t="shared" ca="1" si="118"/>
        <v>260215787.78531581</v>
      </c>
      <c r="BN94" s="54">
        <f t="shared" ref="BN94:CK94" ca="1" si="119">SUM(BN92:BN93)</f>
        <v>0</v>
      </c>
      <c r="BO94" s="54">
        <f t="shared" ca="1" si="119"/>
        <v>0</v>
      </c>
      <c r="BP94" s="54">
        <f t="shared" ca="1" si="119"/>
        <v>264976457.99280673</v>
      </c>
      <c r="BQ94" s="54">
        <f t="shared" ca="1" si="119"/>
        <v>0</v>
      </c>
      <c r="BR94" s="54">
        <f t="shared" ca="1" si="119"/>
        <v>0</v>
      </c>
      <c r="BS94" s="54">
        <f t="shared" ca="1" si="119"/>
        <v>269781258.55335474</v>
      </c>
      <c r="BT94" s="54">
        <f t="shared" ca="1" si="119"/>
        <v>0</v>
      </c>
      <c r="BU94" s="54">
        <f t="shared" ca="1" si="119"/>
        <v>0</v>
      </c>
      <c r="BV94" s="54">
        <f t="shared" ca="1" si="119"/>
        <v>274478815.06415993</v>
      </c>
      <c r="BW94" s="54">
        <f t="shared" ca="1" si="119"/>
        <v>0</v>
      </c>
      <c r="BX94" s="54">
        <f t="shared" ca="1" si="119"/>
        <v>0</v>
      </c>
      <c r="BY94" s="54">
        <f t="shared" ca="1" si="119"/>
        <v>278830567.64903826</v>
      </c>
      <c r="BZ94" s="54">
        <f t="shared" ca="1" si="119"/>
        <v>0</v>
      </c>
      <c r="CA94" s="54">
        <f t="shared" ca="1" si="119"/>
        <v>0</v>
      </c>
      <c r="CB94" s="54">
        <f t="shared" ca="1" si="119"/>
        <v>283162882.53616142</v>
      </c>
      <c r="CC94" s="54">
        <f t="shared" ca="1" si="119"/>
        <v>0</v>
      </c>
      <c r="CD94" s="54">
        <f t="shared" ca="1" si="119"/>
        <v>0</v>
      </c>
      <c r="CE94" s="54">
        <f t="shared" ca="1" si="119"/>
        <v>287608998.27681673</v>
      </c>
      <c r="CF94" s="54">
        <f t="shared" ca="1" si="119"/>
        <v>0</v>
      </c>
      <c r="CG94" s="54">
        <f t="shared" ca="1" si="119"/>
        <v>0</v>
      </c>
      <c r="CH94" s="54">
        <f t="shared" ca="1" si="119"/>
        <v>292111741.57031226</v>
      </c>
      <c r="CI94" s="54">
        <f t="shared" ca="1" si="119"/>
        <v>0</v>
      </c>
      <c r="CJ94" s="54">
        <f t="shared" ca="1" si="119"/>
        <v>0</v>
      </c>
      <c r="CK94" s="54">
        <f t="shared" ca="1" si="119"/>
        <v>296624095.18922359</v>
      </c>
    </row>
    <row r="95" spans="2:89">
      <c r="B95" s="18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</row>
    <row r="96" spans="2:89" ht="18" thickBot="1">
      <c r="B96" s="100" t="str">
        <f>"Начисление и уплата налога, в "&amp;Ед_измерения_денег</f>
        <v>Начисление и уплата налога, в  руб.</v>
      </c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</row>
    <row r="97" spans="2:89" ht="15.75" thickTop="1">
      <c r="B97" s="182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</row>
    <row r="98" spans="2:89">
      <c r="B98" s="45" t="s">
        <v>57</v>
      </c>
      <c r="C98" s="46"/>
      <c r="D98" s="98">
        <v>0</v>
      </c>
      <c r="E98" s="48"/>
      <c r="F98" s="49">
        <f>E101</f>
        <v>0</v>
      </c>
      <c r="G98" s="49">
        <f t="shared" ref="G98:AG98" ca="1" si="120">F101</f>
        <v>0</v>
      </c>
      <c r="H98" s="49">
        <f t="shared" ca="1" si="120"/>
        <v>0</v>
      </c>
      <c r="I98" s="49">
        <f t="shared" ca="1" si="120"/>
        <v>0</v>
      </c>
      <c r="J98" s="49">
        <f t="shared" ca="1" si="120"/>
        <v>0</v>
      </c>
      <c r="K98" s="49">
        <f t="shared" ca="1" si="120"/>
        <v>0</v>
      </c>
      <c r="L98" s="49">
        <f t="shared" ca="1" si="120"/>
        <v>0</v>
      </c>
      <c r="M98" s="49">
        <f t="shared" ca="1" si="120"/>
        <v>0</v>
      </c>
      <c r="N98" s="49">
        <f t="shared" ca="1" si="120"/>
        <v>0</v>
      </c>
      <c r="O98" s="49">
        <f t="shared" ca="1" si="120"/>
        <v>0</v>
      </c>
      <c r="P98" s="49">
        <f t="shared" ca="1" si="120"/>
        <v>0</v>
      </c>
      <c r="Q98" s="49">
        <f t="shared" ca="1" si="120"/>
        <v>0</v>
      </c>
      <c r="R98" s="49">
        <f t="shared" ca="1" si="120"/>
        <v>0</v>
      </c>
      <c r="S98" s="49">
        <f t="shared" ca="1" si="120"/>
        <v>0</v>
      </c>
      <c r="T98" s="49">
        <f t="shared" ca="1" si="120"/>
        <v>0</v>
      </c>
      <c r="U98" s="49">
        <f t="shared" ca="1" si="120"/>
        <v>0</v>
      </c>
      <c r="V98" s="49">
        <f t="shared" ca="1" si="120"/>
        <v>0</v>
      </c>
      <c r="W98" s="49">
        <f t="shared" ca="1" si="120"/>
        <v>0</v>
      </c>
      <c r="X98" s="49">
        <f t="shared" ca="1" si="120"/>
        <v>0</v>
      </c>
      <c r="Y98" s="49">
        <f t="shared" ca="1" si="120"/>
        <v>0</v>
      </c>
      <c r="Z98" s="49">
        <f t="shared" ca="1" si="120"/>
        <v>0</v>
      </c>
      <c r="AA98" s="49">
        <f t="shared" ca="1" si="120"/>
        <v>0</v>
      </c>
      <c r="AB98" s="49">
        <f t="shared" ca="1" si="120"/>
        <v>0</v>
      </c>
      <c r="AC98" s="49">
        <f t="shared" ca="1" si="120"/>
        <v>0</v>
      </c>
      <c r="AD98" s="49">
        <f t="shared" ca="1" si="120"/>
        <v>0</v>
      </c>
      <c r="AE98" s="49">
        <f t="shared" ca="1" si="120"/>
        <v>0</v>
      </c>
      <c r="AF98" s="49">
        <f t="shared" ca="1" si="120"/>
        <v>0</v>
      </c>
      <c r="AG98" s="49">
        <f t="shared" ca="1" si="120"/>
        <v>0</v>
      </c>
      <c r="AH98" s="49">
        <f t="shared" ref="AH98:BM98" ca="1" si="121">AG101</f>
        <v>0</v>
      </c>
      <c r="AI98" s="49">
        <f t="shared" ca="1" si="121"/>
        <v>0</v>
      </c>
      <c r="AJ98" s="49">
        <f t="shared" ca="1" si="121"/>
        <v>0</v>
      </c>
      <c r="AK98" s="49">
        <f t="shared" ca="1" si="121"/>
        <v>0</v>
      </c>
      <c r="AL98" s="49">
        <f t="shared" ca="1" si="121"/>
        <v>0</v>
      </c>
      <c r="AM98" s="49">
        <f t="shared" ca="1" si="121"/>
        <v>0</v>
      </c>
      <c r="AN98" s="49">
        <f t="shared" ca="1" si="121"/>
        <v>0</v>
      </c>
      <c r="AO98" s="49">
        <f t="shared" ca="1" si="121"/>
        <v>0</v>
      </c>
      <c r="AP98" s="49">
        <f t="shared" ca="1" si="121"/>
        <v>0</v>
      </c>
      <c r="AQ98" s="49">
        <f t="shared" ca="1" si="121"/>
        <v>0</v>
      </c>
      <c r="AR98" s="49">
        <f t="shared" ca="1" si="121"/>
        <v>0</v>
      </c>
      <c r="AS98" s="49">
        <f t="shared" ca="1" si="121"/>
        <v>0</v>
      </c>
      <c r="AT98" s="49">
        <f t="shared" ca="1" si="121"/>
        <v>0</v>
      </c>
      <c r="AU98" s="49">
        <f t="shared" ca="1" si="121"/>
        <v>0</v>
      </c>
      <c r="AV98" s="49">
        <f t="shared" ca="1" si="121"/>
        <v>0</v>
      </c>
      <c r="AW98" s="49">
        <f t="shared" ca="1" si="121"/>
        <v>0</v>
      </c>
      <c r="AX98" s="49">
        <f t="shared" ca="1" si="121"/>
        <v>0</v>
      </c>
      <c r="AY98" s="49">
        <f t="shared" ca="1" si="121"/>
        <v>0</v>
      </c>
      <c r="AZ98" s="49">
        <f t="shared" ca="1" si="121"/>
        <v>0</v>
      </c>
      <c r="BA98" s="49">
        <f t="shared" ca="1" si="121"/>
        <v>0</v>
      </c>
      <c r="BB98" s="49">
        <f t="shared" ca="1" si="121"/>
        <v>0</v>
      </c>
      <c r="BC98" s="49">
        <f t="shared" ca="1" si="121"/>
        <v>0</v>
      </c>
      <c r="BD98" s="49">
        <f t="shared" ca="1" si="121"/>
        <v>0</v>
      </c>
      <c r="BE98" s="49">
        <f t="shared" ca="1" si="121"/>
        <v>0</v>
      </c>
      <c r="BF98" s="49">
        <f t="shared" ca="1" si="121"/>
        <v>0</v>
      </c>
      <c r="BG98" s="49">
        <f t="shared" ca="1" si="121"/>
        <v>0</v>
      </c>
      <c r="BH98" s="49">
        <f t="shared" ca="1" si="121"/>
        <v>0</v>
      </c>
      <c r="BI98" s="49">
        <f t="shared" ca="1" si="121"/>
        <v>0</v>
      </c>
      <c r="BJ98" s="49">
        <f t="shared" ca="1" si="121"/>
        <v>0</v>
      </c>
      <c r="BK98" s="49">
        <f t="shared" ca="1" si="121"/>
        <v>0</v>
      </c>
      <c r="BL98" s="49">
        <f t="shared" ca="1" si="121"/>
        <v>0</v>
      </c>
      <c r="BM98" s="49">
        <f t="shared" ca="1" si="121"/>
        <v>0</v>
      </c>
      <c r="BN98" s="49">
        <f t="shared" ref="BN98" ca="1" si="122">BM101</f>
        <v>0</v>
      </c>
      <c r="BO98" s="49">
        <f t="shared" ref="BO98" ca="1" si="123">BN101</f>
        <v>0</v>
      </c>
      <c r="BP98" s="49">
        <f t="shared" ref="BP98" ca="1" si="124">BO101</f>
        <v>0</v>
      </c>
      <c r="BQ98" s="49">
        <f t="shared" ref="BQ98" ca="1" si="125">BP101</f>
        <v>0</v>
      </c>
      <c r="BR98" s="49">
        <f t="shared" ref="BR98" ca="1" si="126">BQ101</f>
        <v>0</v>
      </c>
      <c r="BS98" s="49">
        <f t="shared" ref="BS98" ca="1" si="127">BR101</f>
        <v>0</v>
      </c>
      <c r="BT98" s="49">
        <f t="shared" ref="BT98" ca="1" si="128">BS101</f>
        <v>0</v>
      </c>
      <c r="BU98" s="49">
        <f t="shared" ref="BU98" ca="1" si="129">BT101</f>
        <v>0</v>
      </c>
      <c r="BV98" s="49">
        <f t="shared" ref="BV98" ca="1" si="130">BU101</f>
        <v>0</v>
      </c>
      <c r="BW98" s="49">
        <f t="shared" ref="BW98" ca="1" si="131">BV101</f>
        <v>0</v>
      </c>
      <c r="BX98" s="49">
        <f t="shared" ref="BX98" ca="1" si="132">BW101</f>
        <v>0</v>
      </c>
      <c r="BY98" s="49">
        <f t="shared" ref="BY98" ca="1" si="133">BX101</f>
        <v>0</v>
      </c>
      <c r="BZ98" s="49">
        <f t="shared" ref="BZ98" ca="1" si="134">BY101</f>
        <v>0</v>
      </c>
      <c r="CA98" s="49">
        <f t="shared" ref="CA98" ca="1" si="135">BZ101</f>
        <v>0</v>
      </c>
      <c r="CB98" s="49">
        <f t="shared" ref="CB98" ca="1" si="136">CA101</f>
        <v>0</v>
      </c>
      <c r="CC98" s="49">
        <f t="shared" ref="CC98" ca="1" si="137">CB101</f>
        <v>0</v>
      </c>
      <c r="CD98" s="49">
        <f t="shared" ref="CD98" ca="1" si="138">CC101</f>
        <v>0</v>
      </c>
      <c r="CE98" s="49">
        <f t="shared" ref="CE98" ca="1" si="139">CD101</f>
        <v>0</v>
      </c>
      <c r="CF98" s="49">
        <f t="shared" ref="CF98" ca="1" si="140">CE101</f>
        <v>0</v>
      </c>
      <c r="CG98" s="49">
        <f t="shared" ref="CG98" ca="1" si="141">CF101</f>
        <v>0</v>
      </c>
      <c r="CH98" s="49">
        <f t="shared" ref="CH98" ca="1" si="142">CG101</f>
        <v>0</v>
      </c>
      <c r="CI98" s="49">
        <f t="shared" ref="CI98" ca="1" si="143">CH101</f>
        <v>0</v>
      </c>
      <c r="CJ98" s="49">
        <f t="shared" ref="CJ98" ca="1" si="144">CI101</f>
        <v>0</v>
      </c>
      <c r="CK98" s="49">
        <f t="shared" ref="CK98" ca="1" si="145">CJ101</f>
        <v>0</v>
      </c>
    </row>
    <row r="99" spans="2:89">
      <c r="B99" s="45" t="s">
        <v>72</v>
      </c>
      <c r="C99" s="46"/>
      <c r="D99" s="98">
        <f ca="1">SUM(F99:CK99)</f>
        <v>0</v>
      </c>
      <c r="E99" s="48"/>
      <c r="F99" s="49">
        <f t="shared" ref="F99:AK99" ca="1" si="146">MAX(F94*F80,0)</f>
        <v>0</v>
      </c>
      <c r="G99" s="49">
        <f t="shared" ca="1" si="146"/>
        <v>0</v>
      </c>
      <c r="H99" s="49">
        <f t="shared" ca="1" si="146"/>
        <v>0</v>
      </c>
      <c r="I99" s="49">
        <f t="shared" ca="1" si="146"/>
        <v>0</v>
      </c>
      <c r="J99" s="49">
        <f t="shared" ca="1" si="146"/>
        <v>0</v>
      </c>
      <c r="K99" s="49">
        <f t="shared" ca="1" si="146"/>
        <v>0</v>
      </c>
      <c r="L99" s="49">
        <f t="shared" ca="1" si="146"/>
        <v>0</v>
      </c>
      <c r="M99" s="49">
        <f t="shared" ca="1" si="146"/>
        <v>0</v>
      </c>
      <c r="N99" s="49">
        <f t="shared" ca="1" si="146"/>
        <v>0</v>
      </c>
      <c r="O99" s="49">
        <f t="shared" ca="1" si="146"/>
        <v>0</v>
      </c>
      <c r="P99" s="49">
        <f t="shared" ca="1" si="146"/>
        <v>0</v>
      </c>
      <c r="Q99" s="49">
        <f t="shared" ca="1" si="146"/>
        <v>0</v>
      </c>
      <c r="R99" s="49">
        <f t="shared" ca="1" si="146"/>
        <v>0</v>
      </c>
      <c r="S99" s="49">
        <f t="shared" ca="1" si="146"/>
        <v>0</v>
      </c>
      <c r="T99" s="49">
        <f t="shared" ca="1" si="146"/>
        <v>0</v>
      </c>
      <c r="U99" s="49">
        <f t="shared" ca="1" si="146"/>
        <v>0</v>
      </c>
      <c r="V99" s="49">
        <f t="shared" ca="1" si="146"/>
        <v>0</v>
      </c>
      <c r="W99" s="49">
        <f t="shared" ca="1" si="146"/>
        <v>0</v>
      </c>
      <c r="X99" s="49">
        <f t="shared" ca="1" si="146"/>
        <v>0</v>
      </c>
      <c r="Y99" s="49">
        <f t="shared" ca="1" si="146"/>
        <v>0</v>
      </c>
      <c r="Z99" s="49">
        <f t="shared" ca="1" si="146"/>
        <v>0</v>
      </c>
      <c r="AA99" s="49">
        <f t="shared" ca="1" si="146"/>
        <v>0</v>
      </c>
      <c r="AB99" s="49">
        <f t="shared" ca="1" si="146"/>
        <v>0</v>
      </c>
      <c r="AC99" s="49">
        <f t="shared" ca="1" si="146"/>
        <v>0</v>
      </c>
      <c r="AD99" s="49">
        <f t="shared" ca="1" si="146"/>
        <v>0</v>
      </c>
      <c r="AE99" s="49">
        <f t="shared" ca="1" si="146"/>
        <v>0</v>
      </c>
      <c r="AF99" s="49">
        <f t="shared" ca="1" si="146"/>
        <v>0</v>
      </c>
      <c r="AG99" s="49">
        <f t="shared" ca="1" si="146"/>
        <v>0</v>
      </c>
      <c r="AH99" s="49">
        <f t="shared" ca="1" si="146"/>
        <v>0</v>
      </c>
      <c r="AI99" s="49">
        <f t="shared" ca="1" si="146"/>
        <v>0</v>
      </c>
      <c r="AJ99" s="49">
        <f t="shared" ca="1" si="146"/>
        <v>0</v>
      </c>
      <c r="AK99" s="49">
        <f t="shared" ca="1" si="146"/>
        <v>0</v>
      </c>
      <c r="AL99" s="49">
        <f t="shared" ref="AL99:BM99" ca="1" si="147">MAX(AL94*AL80,0)</f>
        <v>0</v>
      </c>
      <c r="AM99" s="49">
        <f t="shared" ca="1" si="147"/>
        <v>0</v>
      </c>
      <c r="AN99" s="49">
        <f t="shared" ca="1" si="147"/>
        <v>0</v>
      </c>
      <c r="AO99" s="49">
        <f t="shared" ca="1" si="147"/>
        <v>0</v>
      </c>
      <c r="AP99" s="49">
        <f t="shared" ca="1" si="147"/>
        <v>0</v>
      </c>
      <c r="AQ99" s="49">
        <f t="shared" ca="1" si="147"/>
        <v>0</v>
      </c>
      <c r="AR99" s="49">
        <f t="shared" ca="1" si="147"/>
        <v>0</v>
      </c>
      <c r="AS99" s="49">
        <f t="shared" ca="1" si="147"/>
        <v>0</v>
      </c>
      <c r="AT99" s="49">
        <f t="shared" ca="1" si="147"/>
        <v>0</v>
      </c>
      <c r="AU99" s="49">
        <f t="shared" ca="1" si="147"/>
        <v>0</v>
      </c>
      <c r="AV99" s="49">
        <f t="shared" ca="1" si="147"/>
        <v>0</v>
      </c>
      <c r="AW99" s="49">
        <f t="shared" ca="1" si="147"/>
        <v>0</v>
      </c>
      <c r="AX99" s="49">
        <f t="shared" ca="1" si="147"/>
        <v>0</v>
      </c>
      <c r="AY99" s="49">
        <f t="shared" ca="1" si="147"/>
        <v>0</v>
      </c>
      <c r="AZ99" s="49">
        <f t="shared" ca="1" si="147"/>
        <v>0</v>
      </c>
      <c r="BA99" s="49">
        <f t="shared" ca="1" si="147"/>
        <v>0</v>
      </c>
      <c r="BB99" s="49">
        <f t="shared" ca="1" si="147"/>
        <v>0</v>
      </c>
      <c r="BC99" s="49">
        <f t="shared" ca="1" si="147"/>
        <v>0</v>
      </c>
      <c r="BD99" s="49">
        <f t="shared" ca="1" si="147"/>
        <v>0</v>
      </c>
      <c r="BE99" s="49">
        <f t="shared" ca="1" si="147"/>
        <v>0</v>
      </c>
      <c r="BF99" s="49">
        <f t="shared" ca="1" si="147"/>
        <v>0</v>
      </c>
      <c r="BG99" s="49">
        <f t="shared" ca="1" si="147"/>
        <v>0</v>
      </c>
      <c r="BH99" s="49">
        <f t="shared" ca="1" si="147"/>
        <v>0</v>
      </c>
      <c r="BI99" s="49">
        <f t="shared" ca="1" si="147"/>
        <v>0</v>
      </c>
      <c r="BJ99" s="49">
        <f t="shared" ca="1" si="147"/>
        <v>0</v>
      </c>
      <c r="BK99" s="49">
        <f t="shared" ca="1" si="147"/>
        <v>0</v>
      </c>
      <c r="BL99" s="49">
        <f t="shared" ca="1" si="147"/>
        <v>0</v>
      </c>
      <c r="BM99" s="49">
        <f t="shared" ca="1" si="147"/>
        <v>0</v>
      </c>
      <c r="BN99" s="49">
        <f t="shared" ref="BN99:CK99" ca="1" si="148">MAX(BN94*BN80,0)</f>
        <v>0</v>
      </c>
      <c r="BO99" s="49">
        <f t="shared" ca="1" si="148"/>
        <v>0</v>
      </c>
      <c r="BP99" s="49">
        <f t="shared" ca="1" si="148"/>
        <v>0</v>
      </c>
      <c r="BQ99" s="49">
        <f t="shared" ca="1" si="148"/>
        <v>0</v>
      </c>
      <c r="BR99" s="49">
        <f t="shared" ca="1" si="148"/>
        <v>0</v>
      </c>
      <c r="BS99" s="49">
        <f t="shared" ca="1" si="148"/>
        <v>0</v>
      </c>
      <c r="BT99" s="49">
        <f t="shared" ca="1" si="148"/>
        <v>0</v>
      </c>
      <c r="BU99" s="49">
        <f t="shared" ca="1" si="148"/>
        <v>0</v>
      </c>
      <c r="BV99" s="49">
        <f t="shared" ca="1" si="148"/>
        <v>0</v>
      </c>
      <c r="BW99" s="49">
        <f t="shared" ca="1" si="148"/>
        <v>0</v>
      </c>
      <c r="BX99" s="49">
        <f t="shared" ca="1" si="148"/>
        <v>0</v>
      </c>
      <c r="BY99" s="49">
        <f t="shared" ca="1" si="148"/>
        <v>0</v>
      </c>
      <c r="BZ99" s="49">
        <f t="shared" ca="1" si="148"/>
        <v>0</v>
      </c>
      <c r="CA99" s="49">
        <f t="shared" ca="1" si="148"/>
        <v>0</v>
      </c>
      <c r="CB99" s="49">
        <f t="shared" ca="1" si="148"/>
        <v>0</v>
      </c>
      <c r="CC99" s="49">
        <f t="shared" ca="1" si="148"/>
        <v>0</v>
      </c>
      <c r="CD99" s="49">
        <f t="shared" ca="1" si="148"/>
        <v>0</v>
      </c>
      <c r="CE99" s="49">
        <f t="shared" ca="1" si="148"/>
        <v>0</v>
      </c>
      <c r="CF99" s="49">
        <f t="shared" ca="1" si="148"/>
        <v>0</v>
      </c>
      <c r="CG99" s="49">
        <f t="shared" ca="1" si="148"/>
        <v>0</v>
      </c>
      <c r="CH99" s="49">
        <f t="shared" ca="1" si="148"/>
        <v>0</v>
      </c>
      <c r="CI99" s="49">
        <f t="shared" ca="1" si="148"/>
        <v>0</v>
      </c>
      <c r="CJ99" s="49">
        <f t="shared" ca="1" si="148"/>
        <v>0</v>
      </c>
      <c r="CK99" s="49">
        <f t="shared" ca="1" si="148"/>
        <v>0</v>
      </c>
    </row>
    <row r="100" spans="2:89" ht="15.75" thickBot="1">
      <c r="B100" s="45" t="s">
        <v>73</v>
      </c>
      <c r="C100" s="46"/>
      <c r="D100" s="98">
        <f ca="1">SUM(F100:CK100)</f>
        <v>0</v>
      </c>
      <c r="E100" s="48"/>
      <c r="F100" s="49">
        <f>-F98/(Мес_в_кв-F25+1)</f>
        <v>0</v>
      </c>
      <c r="G100" s="49">
        <f t="shared" ref="G100:AK100" ca="1" si="149">-G98/(Мес_в_кв-G25+1)</f>
        <v>0</v>
      </c>
      <c r="H100" s="49">
        <f t="shared" ca="1" si="149"/>
        <v>0</v>
      </c>
      <c r="I100" s="49">
        <f t="shared" ca="1" si="149"/>
        <v>0</v>
      </c>
      <c r="J100" s="49">
        <f t="shared" ca="1" si="149"/>
        <v>0</v>
      </c>
      <c r="K100" s="49">
        <f ca="1">-K98/(Мес_в_кв-K25+1)</f>
        <v>0</v>
      </c>
      <c r="L100" s="49">
        <f t="shared" ca="1" si="149"/>
        <v>0</v>
      </c>
      <c r="M100" s="49">
        <f t="shared" ca="1" si="149"/>
        <v>0</v>
      </c>
      <c r="N100" s="49">
        <f t="shared" ca="1" si="149"/>
        <v>0</v>
      </c>
      <c r="O100" s="49">
        <f t="shared" ca="1" si="149"/>
        <v>0</v>
      </c>
      <c r="P100" s="49">
        <f t="shared" ca="1" si="149"/>
        <v>0</v>
      </c>
      <c r="Q100" s="49">
        <f t="shared" ca="1" si="149"/>
        <v>0</v>
      </c>
      <c r="R100" s="49">
        <f t="shared" ca="1" si="149"/>
        <v>0</v>
      </c>
      <c r="S100" s="49">
        <f t="shared" ca="1" si="149"/>
        <v>0</v>
      </c>
      <c r="T100" s="49">
        <f t="shared" ca="1" si="149"/>
        <v>0</v>
      </c>
      <c r="U100" s="49">
        <f t="shared" ca="1" si="149"/>
        <v>0</v>
      </c>
      <c r="V100" s="49">
        <f t="shared" ca="1" si="149"/>
        <v>0</v>
      </c>
      <c r="W100" s="49">
        <f t="shared" ca="1" si="149"/>
        <v>0</v>
      </c>
      <c r="X100" s="49">
        <f t="shared" ca="1" si="149"/>
        <v>0</v>
      </c>
      <c r="Y100" s="49">
        <f t="shared" ca="1" si="149"/>
        <v>0</v>
      </c>
      <c r="Z100" s="49">
        <f t="shared" ca="1" si="149"/>
        <v>0</v>
      </c>
      <c r="AA100" s="49">
        <f t="shared" ca="1" si="149"/>
        <v>0</v>
      </c>
      <c r="AB100" s="49">
        <f t="shared" ca="1" si="149"/>
        <v>0</v>
      </c>
      <c r="AC100" s="49">
        <f t="shared" ca="1" si="149"/>
        <v>0</v>
      </c>
      <c r="AD100" s="49">
        <f t="shared" ca="1" si="149"/>
        <v>0</v>
      </c>
      <c r="AE100" s="49">
        <f t="shared" ca="1" si="149"/>
        <v>0</v>
      </c>
      <c r="AF100" s="49">
        <f t="shared" ca="1" si="149"/>
        <v>0</v>
      </c>
      <c r="AG100" s="49">
        <f t="shared" ca="1" si="149"/>
        <v>0</v>
      </c>
      <c r="AH100" s="49">
        <f t="shared" ca="1" si="149"/>
        <v>0</v>
      </c>
      <c r="AI100" s="49">
        <f t="shared" ca="1" si="149"/>
        <v>0</v>
      </c>
      <c r="AJ100" s="49">
        <f t="shared" ca="1" si="149"/>
        <v>0</v>
      </c>
      <c r="AK100" s="49">
        <f t="shared" ca="1" si="149"/>
        <v>0</v>
      </c>
      <c r="AL100" s="49">
        <f t="shared" ref="AL100:BM100" ca="1" si="150">-AL98/(Мес_в_кв-AL25+1)</f>
        <v>0</v>
      </c>
      <c r="AM100" s="49">
        <f t="shared" ca="1" si="150"/>
        <v>0</v>
      </c>
      <c r="AN100" s="49">
        <f t="shared" ca="1" si="150"/>
        <v>0</v>
      </c>
      <c r="AO100" s="49">
        <f t="shared" ca="1" si="150"/>
        <v>0</v>
      </c>
      <c r="AP100" s="49">
        <f t="shared" ca="1" si="150"/>
        <v>0</v>
      </c>
      <c r="AQ100" s="49">
        <f t="shared" ca="1" si="150"/>
        <v>0</v>
      </c>
      <c r="AR100" s="49">
        <f t="shared" ca="1" si="150"/>
        <v>0</v>
      </c>
      <c r="AS100" s="49">
        <f t="shared" ca="1" si="150"/>
        <v>0</v>
      </c>
      <c r="AT100" s="49">
        <f t="shared" ca="1" si="150"/>
        <v>0</v>
      </c>
      <c r="AU100" s="49">
        <f t="shared" ca="1" si="150"/>
        <v>0</v>
      </c>
      <c r="AV100" s="49">
        <f t="shared" ca="1" si="150"/>
        <v>0</v>
      </c>
      <c r="AW100" s="49">
        <f t="shared" ca="1" si="150"/>
        <v>0</v>
      </c>
      <c r="AX100" s="49">
        <f t="shared" ca="1" si="150"/>
        <v>0</v>
      </c>
      <c r="AY100" s="49">
        <f t="shared" ca="1" si="150"/>
        <v>0</v>
      </c>
      <c r="AZ100" s="49">
        <f t="shared" ca="1" si="150"/>
        <v>0</v>
      </c>
      <c r="BA100" s="49">
        <f t="shared" ca="1" si="150"/>
        <v>0</v>
      </c>
      <c r="BB100" s="49">
        <f t="shared" ca="1" si="150"/>
        <v>0</v>
      </c>
      <c r="BC100" s="49">
        <f t="shared" ca="1" si="150"/>
        <v>0</v>
      </c>
      <c r="BD100" s="49">
        <f t="shared" ca="1" si="150"/>
        <v>0</v>
      </c>
      <c r="BE100" s="49">
        <f t="shared" ca="1" si="150"/>
        <v>0</v>
      </c>
      <c r="BF100" s="49">
        <f t="shared" ca="1" si="150"/>
        <v>0</v>
      </c>
      <c r="BG100" s="49">
        <f t="shared" ca="1" si="150"/>
        <v>0</v>
      </c>
      <c r="BH100" s="49">
        <f t="shared" ca="1" si="150"/>
        <v>0</v>
      </c>
      <c r="BI100" s="49">
        <f t="shared" ca="1" si="150"/>
        <v>0</v>
      </c>
      <c r="BJ100" s="49">
        <f t="shared" ca="1" si="150"/>
        <v>0</v>
      </c>
      <c r="BK100" s="49">
        <f t="shared" ca="1" si="150"/>
        <v>0</v>
      </c>
      <c r="BL100" s="49">
        <f t="shared" ca="1" si="150"/>
        <v>0</v>
      </c>
      <c r="BM100" s="49">
        <f t="shared" ca="1" si="150"/>
        <v>0</v>
      </c>
      <c r="BN100" s="49">
        <f t="shared" ref="BN100:CK100" ca="1" si="151">-BN98/(Мес_в_кв-BN25+1)</f>
        <v>0</v>
      </c>
      <c r="BO100" s="49">
        <f t="shared" ca="1" si="151"/>
        <v>0</v>
      </c>
      <c r="BP100" s="49">
        <f t="shared" ca="1" si="151"/>
        <v>0</v>
      </c>
      <c r="BQ100" s="49">
        <f t="shared" ca="1" si="151"/>
        <v>0</v>
      </c>
      <c r="BR100" s="49">
        <f t="shared" ca="1" si="151"/>
        <v>0</v>
      </c>
      <c r="BS100" s="49">
        <f t="shared" ca="1" si="151"/>
        <v>0</v>
      </c>
      <c r="BT100" s="49">
        <f t="shared" ca="1" si="151"/>
        <v>0</v>
      </c>
      <c r="BU100" s="49">
        <f t="shared" ca="1" si="151"/>
        <v>0</v>
      </c>
      <c r="BV100" s="49">
        <f t="shared" ca="1" si="151"/>
        <v>0</v>
      </c>
      <c r="BW100" s="49">
        <f t="shared" ca="1" si="151"/>
        <v>0</v>
      </c>
      <c r="BX100" s="49">
        <f t="shared" ca="1" si="151"/>
        <v>0</v>
      </c>
      <c r="BY100" s="49">
        <f t="shared" ca="1" si="151"/>
        <v>0</v>
      </c>
      <c r="BZ100" s="49">
        <f t="shared" ca="1" si="151"/>
        <v>0</v>
      </c>
      <c r="CA100" s="49">
        <f t="shared" ca="1" si="151"/>
        <v>0</v>
      </c>
      <c r="CB100" s="49">
        <f t="shared" ca="1" si="151"/>
        <v>0</v>
      </c>
      <c r="CC100" s="49">
        <f t="shared" ca="1" si="151"/>
        <v>0</v>
      </c>
      <c r="CD100" s="49">
        <f t="shared" ca="1" si="151"/>
        <v>0</v>
      </c>
      <c r="CE100" s="49">
        <f t="shared" ca="1" si="151"/>
        <v>0</v>
      </c>
      <c r="CF100" s="49">
        <f t="shared" ca="1" si="151"/>
        <v>0</v>
      </c>
      <c r="CG100" s="49">
        <f t="shared" ca="1" si="151"/>
        <v>0</v>
      </c>
      <c r="CH100" s="49">
        <f t="shared" ca="1" si="151"/>
        <v>0</v>
      </c>
      <c r="CI100" s="49">
        <f t="shared" ca="1" si="151"/>
        <v>0</v>
      </c>
      <c r="CJ100" s="49">
        <f t="shared" ca="1" si="151"/>
        <v>0</v>
      </c>
      <c r="CK100" s="49">
        <f t="shared" ca="1" si="151"/>
        <v>0</v>
      </c>
    </row>
    <row r="101" spans="2:89" ht="15.75" thickTop="1">
      <c r="B101" s="50" t="s">
        <v>58</v>
      </c>
      <c r="C101" s="51"/>
      <c r="D101" s="52">
        <f ca="1">SUM(D98:D100)</f>
        <v>0</v>
      </c>
      <c r="E101" s="53"/>
      <c r="F101" s="54">
        <f ca="1">SUM(F98:F100)</f>
        <v>0</v>
      </c>
      <c r="G101" s="54">
        <f t="shared" ref="G101:AG101" ca="1" si="152">SUM(G98:G100)</f>
        <v>0</v>
      </c>
      <c r="H101" s="54">
        <f t="shared" ca="1" si="152"/>
        <v>0</v>
      </c>
      <c r="I101" s="54">
        <f t="shared" ca="1" si="152"/>
        <v>0</v>
      </c>
      <c r="J101" s="54">
        <f t="shared" ca="1" si="152"/>
        <v>0</v>
      </c>
      <c r="K101" s="54">
        <f t="shared" ca="1" si="152"/>
        <v>0</v>
      </c>
      <c r="L101" s="54">
        <f t="shared" ca="1" si="152"/>
        <v>0</v>
      </c>
      <c r="M101" s="54">
        <f t="shared" ca="1" si="152"/>
        <v>0</v>
      </c>
      <c r="N101" s="54">
        <f t="shared" ca="1" si="152"/>
        <v>0</v>
      </c>
      <c r="O101" s="54">
        <f t="shared" ca="1" si="152"/>
        <v>0</v>
      </c>
      <c r="P101" s="54">
        <f t="shared" ca="1" si="152"/>
        <v>0</v>
      </c>
      <c r="Q101" s="54">
        <f t="shared" ca="1" si="152"/>
        <v>0</v>
      </c>
      <c r="R101" s="54">
        <f t="shared" ca="1" si="152"/>
        <v>0</v>
      </c>
      <c r="S101" s="54">
        <f t="shared" ca="1" si="152"/>
        <v>0</v>
      </c>
      <c r="T101" s="54">
        <f t="shared" ca="1" si="152"/>
        <v>0</v>
      </c>
      <c r="U101" s="54">
        <f t="shared" ca="1" si="152"/>
        <v>0</v>
      </c>
      <c r="V101" s="54">
        <f t="shared" ca="1" si="152"/>
        <v>0</v>
      </c>
      <c r="W101" s="54">
        <f t="shared" ca="1" si="152"/>
        <v>0</v>
      </c>
      <c r="X101" s="54">
        <f t="shared" ca="1" si="152"/>
        <v>0</v>
      </c>
      <c r="Y101" s="54">
        <f t="shared" ca="1" si="152"/>
        <v>0</v>
      </c>
      <c r="Z101" s="54">
        <f t="shared" ca="1" si="152"/>
        <v>0</v>
      </c>
      <c r="AA101" s="54">
        <f t="shared" ca="1" si="152"/>
        <v>0</v>
      </c>
      <c r="AB101" s="54">
        <f t="shared" ca="1" si="152"/>
        <v>0</v>
      </c>
      <c r="AC101" s="54">
        <f t="shared" ca="1" si="152"/>
        <v>0</v>
      </c>
      <c r="AD101" s="54">
        <f t="shared" ca="1" si="152"/>
        <v>0</v>
      </c>
      <c r="AE101" s="54">
        <f t="shared" ca="1" si="152"/>
        <v>0</v>
      </c>
      <c r="AF101" s="54">
        <f t="shared" ca="1" si="152"/>
        <v>0</v>
      </c>
      <c r="AG101" s="54">
        <f t="shared" ca="1" si="152"/>
        <v>0</v>
      </c>
      <c r="AH101" s="54">
        <f t="shared" ref="AH101:BM101" ca="1" si="153">SUM(AH98:AH100)</f>
        <v>0</v>
      </c>
      <c r="AI101" s="54">
        <f t="shared" ca="1" si="153"/>
        <v>0</v>
      </c>
      <c r="AJ101" s="54">
        <f t="shared" ca="1" si="153"/>
        <v>0</v>
      </c>
      <c r="AK101" s="54">
        <f t="shared" ca="1" si="153"/>
        <v>0</v>
      </c>
      <c r="AL101" s="54">
        <f t="shared" ca="1" si="153"/>
        <v>0</v>
      </c>
      <c r="AM101" s="54">
        <f t="shared" ca="1" si="153"/>
        <v>0</v>
      </c>
      <c r="AN101" s="54">
        <f t="shared" ca="1" si="153"/>
        <v>0</v>
      </c>
      <c r="AO101" s="54">
        <f t="shared" ca="1" si="153"/>
        <v>0</v>
      </c>
      <c r="AP101" s="54">
        <f t="shared" ca="1" si="153"/>
        <v>0</v>
      </c>
      <c r="AQ101" s="54">
        <f t="shared" ca="1" si="153"/>
        <v>0</v>
      </c>
      <c r="AR101" s="54">
        <f t="shared" ca="1" si="153"/>
        <v>0</v>
      </c>
      <c r="AS101" s="54">
        <f t="shared" ca="1" si="153"/>
        <v>0</v>
      </c>
      <c r="AT101" s="54">
        <f t="shared" ca="1" si="153"/>
        <v>0</v>
      </c>
      <c r="AU101" s="54">
        <f t="shared" ca="1" si="153"/>
        <v>0</v>
      </c>
      <c r="AV101" s="54">
        <f t="shared" ca="1" si="153"/>
        <v>0</v>
      </c>
      <c r="AW101" s="54">
        <f t="shared" ca="1" si="153"/>
        <v>0</v>
      </c>
      <c r="AX101" s="54">
        <f t="shared" ca="1" si="153"/>
        <v>0</v>
      </c>
      <c r="AY101" s="54">
        <f t="shared" ca="1" si="153"/>
        <v>0</v>
      </c>
      <c r="AZ101" s="54">
        <f t="shared" ca="1" si="153"/>
        <v>0</v>
      </c>
      <c r="BA101" s="54">
        <f t="shared" ca="1" si="153"/>
        <v>0</v>
      </c>
      <c r="BB101" s="54">
        <f t="shared" ca="1" si="153"/>
        <v>0</v>
      </c>
      <c r="BC101" s="54">
        <f t="shared" ca="1" si="153"/>
        <v>0</v>
      </c>
      <c r="BD101" s="54">
        <f t="shared" ca="1" si="153"/>
        <v>0</v>
      </c>
      <c r="BE101" s="54">
        <f t="shared" ca="1" si="153"/>
        <v>0</v>
      </c>
      <c r="BF101" s="54">
        <f t="shared" ca="1" si="153"/>
        <v>0</v>
      </c>
      <c r="BG101" s="54">
        <f t="shared" ca="1" si="153"/>
        <v>0</v>
      </c>
      <c r="BH101" s="54">
        <f t="shared" ca="1" si="153"/>
        <v>0</v>
      </c>
      <c r="BI101" s="54">
        <f t="shared" ca="1" si="153"/>
        <v>0</v>
      </c>
      <c r="BJ101" s="54">
        <f t="shared" ca="1" si="153"/>
        <v>0</v>
      </c>
      <c r="BK101" s="54">
        <f t="shared" ca="1" si="153"/>
        <v>0</v>
      </c>
      <c r="BL101" s="54">
        <f t="shared" ca="1" si="153"/>
        <v>0</v>
      </c>
      <c r="BM101" s="54">
        <f t="shared" ca="1" si="153"/>
        <v>0</v>
      </c>
      <c r="BN101" s="54">
        <f t="shared" ref="BN101:CK101" ca="1" si="154">SUM(BN98:BN100)</f>
        <v>0</v>
      </c>
      <c r="BO101" s="54">
        <f t="shared" ca="1" si="154"/>
        <v>0</v>
      </c>
      <c r="BP101" s="54">
        <f t="shared" ca="1" si="154"/>
        <v>0</v>
      </c>
      <c r="BQ101" s="54">
        <f t="shared" ca="1" si="154"/>
        <v>0</v>
      </c>
      <c r="BR101" s="54">
        <f t="shared" ca="1" si="154"/>
        <v>0</v>
      </c>
      <c r="BS101" s="54">
        <f t="shared" ca="1" si="154"/>
        <v>0</v>
      </c>
      <c r="BT101" s="54">
        <f t="shared" ca="1" si="154"/>
        <v>0</v>
      </c>
      <c r="BU101" s="54">
        <f t="shared" ca="1" si="154"/>
        <v>0</v>
      </c>
      <c r="BV101" s="54">
        <f t="shared" ca="1" si="154"/>
        <v>0</v>
      </c>
      <c r="BW101" s="54">
        <f t="shared" ca="1" si="154"/>
        <v>0</v>
      </c>
      <c r="BX101" s="54">
        <f t="shared" ca="1" si="154"/>
        <v>0</v>
      </c>
      <c r="BY101" s="54">
        <f t="shared" ca="1" si="154"/>
        <v>0</v>
      </c>
      <c r="BZ101" s="54">
        <f t="shared" ca="1" si="154"/>
        <v>0</v>
      </c>
      <c r="CA101" s="54">
        <f t="shared" ca="1" si="154"/>
        <v>0</v>
      </c>
      <c r="CB101" s="54">
        <f t="shared" ca="1" si="154"/>
        <v>0</v>
      </c>
      <c r="CC101" s="54">
        <f t="shared" ca="1" si="154"/>
        <v>0</v>
      </c>
      <c r="CD101" s="54">
        <f t="shared" ca="1" si="154"/>
        <v>0</v>
      </c>
      <c r="CE101" s="54">
        <f t="shared" ca="1" si="154"/>
        <v>0</v>
      </c>
      <c r="CF101" s="54">
        <f t="shared" ca="1" si="154"/>
        <v>0</v>
      </c>
      <c r="CG101" s="54">
        <f t="shared" ca="1" si="154"/>
        <v>0</v>
      </c>
      <c r="CH101" s="54">
        <f t="shared" ca="1" si="154"/>
        <v>0</v>
      </c>
      <c r="CI101" s="54">
        <f t="shared" ca="1" si="154"/>
        <v>0</v>
      </c>
      <c r="CJ101" s="54">
        <f t="shared" ca="1" si="154"/>
        <v>0</v>
      </c>
      <c r="CK101" s="54">
        <f t="shared" ca="1" si="154"/>
        <v>0</v>
      </c>
    </row>
    <row r="102" spans="2:89"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</row>
    <row r="103" spans="2:89" ht="18" thickBot="1">
      <c r="B103" s="100" t="str">
        <f>"Убытки прошлых периодов, в "&amp;Ед_измерения_денег</f>
        <v>Убытки прошлых периодов, в  руб.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</row>
    <row r="104" spans="2:89" ht="15.75" thickTop="1">
      <c r="B104" s="18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</row>
    <row r="105" spans="2:89">
      <c r="B105" s="45" t="s">
        <v>57</v>
      </c>
      <c r="C105" s="46"/>
      <c r="D105" s="98">
        <v>0</v>
      </c>
      <c r="E105" s="48"/>
      <c r="F105" s="49">
        <f>E108</f>
        <v>0</v>
      </c>
      <c r="G105" s="49">
        <f t="shared" ref="G105:AG105" ca="1" si="155">F108</f>
        <v>0</v>
      </c>
      <c r="H105" s="49">
        <f t="shared" ca="1" si="155"/>
        <v>0</v>
      </c>
      <c r="I105" s="49">
        <f t="shared" ca="1" si="155"/>
        <v>1729726.0273972601</v>
      </c>
      <c r="J105" s="49">
        <f t="shared" ca="1" si="155"/>
        <v>1729726.0273972601</v>
      </c>
      <c r="K105" s="49">
        <f t="shared" ca="1" si="155"/>
        <v>1729726.0273972601</v>
      </c>
      <c r="L105" s="49">
        <f t="shared" ca="1" si="155"/>
        <v>8098767.1232876703</v>
      </c>
      <c r="M105" s="49">
        <f t="shared" ca="1" si="155"/>
        <v>8098767.1232876703</v>
      </c>
      <c r="N105" s="49">
        <f t="shared" ca="1" si="155"/>
        <v>8098767.1232876703</v>
      </c>
      <c r="O105" s="49">
        <f t="shared" ca="1" si="155"/>
        <v>20901123.287671231</v>
      </c>
      <c r="P105" s="49">
        <f t="shared" ca="1" si="155"/>
        <v>20901123.287671231</v>
      </c>
      <c r="Q105" s="49">
        <f t="shared" ca="1" si="155"/>
        <v>20901123.287671231</v>
      </c>
      <c r="R105" s="49">
        <f t="shared" ca="1" si="155"/>
        <v>38762352.79586795</v>
      </c>
      <c r="S105" s="49">
        <f t="shared" ca="1" si="155"/>
        <v>38762352.79586795</v>
      </c>
      <c r="T105" s="49">
        <f t="shared" ca="1" si="155"/>
        <v>38762352.79586795</v>
      </c>
      <c r="U105" s="49">
        <f t="shared" ca="1" si="155"/>
        <v>41215943.11287909</v>
      </c>
      <c r="V105" s="49">
        <f t="shared" ca="1" si="155"/>
        <v>41215943.11287909</v>
      </c>
      <c r="W105" s="49">
        <f t="shared" ca="1" si="155"/>
        <v>41215943.11287909</v>
      </c>
      <c r="X105" s="49">
        <f t="shared" ca="1" si="155"/>
        <v>42437542.219079748</v>
      </c>
      <c r="Y105" s="49">
        <f t="shared" ca="1" si="155"/>
        <v>42437542.219079748</v>
      </c>
      <c r="Z105" s="49">
        <f t="shared" ca="1" si="155"/>
        <v>42437542.219079748</v>
      </c>
      <c r="AA105" s="49">
        <f t="shared" ca="1" si="155"/>
        <v>42205635.64546261</v>
      </c>
      <c r="AB105" s="49">
        <f t="shared" ca="1" si="155"/>
        <v>42205635.64546261</v>
      </c>
      <c r="AC105" s="49">
        <f t="shared" ca="1" si="155"/>
        <v>42205635.64546261</v>
      </c>
      <c r="AD105" s="49">
        <f t="shared" ca="1" si="155"/>
        <v>35100826.883531861</v>
      </c>
      <c r="AE105" s="49">
        <f t="shared" ca="1" si="155"/>
        <v>35100826.883531861</v>
      </c>
      <c r="AF105" s="49">
        <f t="shared" ca="1" si="155"/>
        <v>35100826.883531861</v>
      </c>
      <c r="AG105" s="49">
        <f t="shared" ca="1" si="155"/>
        <v>8539898.3361507505</v>
      </c>
      <c r="AH105" s="49">
        <f t="shared" ref="AH105:BM105" ca="1" si="156">AG108</f>
        <v>8539898.3361507505</v>
      </c>
      <c r="AI105" s="49">
        <f t="shared" ca="1" si="156"/>
        <v>8539898.3361507505</v>
      </c>
      <c r="AJ105" s="49">
        <f t="shared" ca="1" si="156"/>
        <v>0</v>
      </c>
      <c r="AK105" s="49">
        <f t="shared" ca="1" si="156"/>
        <v>0</v>
      </c>
      <c r="AL105" s="49">
        <f t="shared" ca="1" si="156"/>
        <v>0</v>
      </c>
      <c r="AM105" s="49">
        <f t="shared" ca="1" si="156"/>
        <v>0</v>
      </c>
      <c r="AN105" s="49">
        <f t="shared" ca="1" si="156"/>
        <v>0</v>
      </c>
      <c r="AO105" s="49">
        <f t="shared" ca="1" si="156"/>
        <v>0</v>
      </c>
      <c r="AP105" s="49">
        <f t="shared" ca="1" si="156"/>
        <v>0</v>
      </c>
      <c r="AQ105" s="49">
        <f t="shared" ca="1" si="156"/>
        <v>0</v>
      </c>
      <c r="AR105" s="49">
        <f t="shared" ca="1" si="156"/>
        <v>0</v>
      </c>
      <c r="AS105" s="49">
        <f t="shared" ca="1" si="156"/>
        <v>0</v>
      </c>
      <c r="AT105" s="49">
        <f t="shared" ca="1" si="156"/>
        <v>0</v>
      </c>
      <c r="AU105" s="49">
        <f t="shared" ca="1" si="156"/>
        <v>0</v>
      </c>
      <c r="AV105" s="49">
        <f t="shared" ca="1" si="156"/>
        <v>0</v>
      </c>
      <c r="AW105" s="49">
        <f t="shared" ca="1" si="156"/>
        <v>0</v>
      </c>
      <c r="AX105" s="49">
        <f t="shared" ca="1" si="156"/>
        <v>0</v>
      </c>
      <c r="AY105" s="49">
        <f t="shared" ca="1" si="156"/>
        <v>0</v>
      </c>
      <c r="AZ105" s="49">
        <f t="shared" ca="1" si="156"/>
        <v>0</v>
      </c>
      <c r="BA105" s="49">
        <f t="shared" ca="1" si="156"/>
        <v>0</v>
      </c>
      <c r="BB105" s="49">
        <f t="shared" ca="1" si="156"/>
        <v>0</v>
      </c>
      <c r="BC105" s="49">
        <f t="shared" ca="1" si="156"/>
        <v>0</v>
      </c>
      <c r="BD105" s="49">
        <f t="shared" ca="1" si="156"/>
        <v>0</v>
      </c>
      <c r="BE105" s="49">
        <f t="shared" ca="1" si="156"/>
        <v>0</v>
      </c>
      <c r="BF105" s="49">
        <f t="shared" ca="1" si="156"/>
        <v>0</v>
      </c>
      <c r="BG105" s="49">
        <f t="shared" ca="1" si="156"/>
        <v>0</v>
      </c>
      <c r="BH105" s="49">
        <f t="shared" ca="1" si="156"/>
        <v>0</v>
      </c>
      <c r="BI105" s="49">
        <f t="shared" ca="1" si="156"/>
        <v>0</v>
      </c>
      <c r="BJ105" s="49">
        <f t="shared" ca="1" si="156"/>
        <v>0</v>
      </c>
      <c r="BK105" s="49">
        <f t="shared" ca="1" si="156"/>
        <v>0</v>
      </c>
      <c r="BL105" s="49">
        <f t="shared" ca="1" si="156"/>
        <v>0</v>
      </c>
      <c r="BM105" s="49">
        <f t="shared" ca="1" si="156"/>
        <v>0</v>
      </c>
      <c r="BN105" s="49">
        <f t="shared" ref="BN105" ca="1" si="157">BM108</f>
        <v>0</v>
      </c>
      <c r="BO105" s="49">
        <f t="shared" ref="BO105" ca="1" si="158">BN108</f>
        <v>0</v>
      </c>
      <c r="BP105" s="49">
        <f t="shared" ref="BP105" ca="1" si="159">BO108</f>
        <v>0</v>
      </c>
      <c r="BQ105" s="49">
        <f t="shared" ref="BQ105" ca="1" si="160">BP108</f>
        <v>0</v>
      </c>
      <c r="BR105" s="49">
        <f t="shared" ref="BR105" ca="1" si="161">BQ108</f>
        <v>0</v>
      </c>
      <c r="BS105" s="49">
        <f t="shared" ref="BS105" ca="1" si="162">BR108</f>
        <v>0</v>
      </c>
      <c r="BT105" s="49">
        <f t="shared" ref="BT105" ca="1" si="163">BS108</f>
        <v>0</v>
      </c>
      <c r="BU105" s="49">
        <f t="shared" ref="BU105" ca="1" si="164">BT108</f>
        <v>0</v>
      </c>
      <c r="BV105" s="49">
        <f t="shared" ref="BV105" ca="1" si="165">BU108</f>
        <v>0</v>
      </c>
      <c r="BW105" s="49">
        <f t="shared" ref="BW105" ca="1" si="166">BV108</f>
        <v>0</v>
      </c>
      <c r="BX105" s="49">
        <f t="shared" ref="BX105" ca="1" si="167">BW108</f>
        <v>0</v>
      </c>
      <c r="BY105" s="49">
        <f t="shared" ref="BY105" ca="1" si="168">BX108</f>
        <v>0</v>
      </c>
      <c r="BZ105" s="49">
        <f t="shared" ref="BZ105" ca="1" si="169">BY108</f>
        <v>0</v>
      </c>
      <c r="CA105" s="49">
        <f t="shared" ref="CA105" ca="1" si="170">BZ108</f>
        <v>0</v>
      </c>
      <c r="CB105" s="49">
        <f t="shared" ref="CB105" ca="1" si="171">CA108</f>
        <v>0</v>
      </c>
      <c r="CC105" s="49">
        <f t="shared" ref="CC105" ca="1" si="172">CB108</f>
        <v>0</v>
      </c>
      <c r="CD105" s="49">
        <f t="shared" ref="CD105" ca="1" si="173">CC108</f>
        <v>0</v>
      </c>
      <c r="CE105" s="49">
        <f t="shared" ref="CE105" ca="1" si="174">CD108</f>
        <v>0</v>
      </c>
      <c r="CF105" s="49">
        <f t="shared" ref="CF105" ca="1" si="175">CE108</f>
        <v>0</v>
      </c>
      <c r="CG105" s="49">
        <f t="shared" ref="CG105" ca="1" si="176">CF108</f>
        <v>0</v>
      </c>
      <c r="CH105" s="49">
        <f t="shared" ref="CH105" ca="1" si="177">CG108</f>
        <v>0</v>
      </c>
      <c r="CI105" s="49">
        <f t="shared" ref="CI105" ca="1" si="178">CH108</f>
        <v>0</v>
      </c>
      <c r="CJ105" s="49">
        <f t="shared" ref="CJ105" ca="1" si="179">CI108</f>
        <v>0</v>
      </c>
      <c r="CK105" s="49">
        <f t="shared" ref="CK105" ca="1" si="180">CJ108</f>
        <v>0</v>
      </c>
    </row>
    <row r="106" spans="2:89">
      <c r="B106" s="45" t="s">
        <v>93</v>
      </c>
      <c r="C106" s="46"/>
      <c r="D106" s="98">
        <f ca="1">SUM(F106:CK106)</f>
        <v>42437542.219079748</v>
      </c>
      <c r="E106" s="48"/>
      <c r="F106" s="49">
        <f ca="1">-MIN(F92,0)</f>
        <v>0</v>
      </c>
      <c r="G106" s="49">
        <f t="shared" ref="G106:AG106" ca="1" si="181">-MIN(G92,0)</f>
        <v>0</v>
      </c>
      <c r="H106" s="49">
        <f t="shared" ca="1" si="181"/>
        <v>1729726.0273972601</v>
      </c>
      <c r="I106" s="49">
        <f t="shared" ca="1" si="181"/>
        <v>0</v>
      </c>
      <c r="J106" s="49">
        <f t="shared" ca="1" si="181"/>
        <v>0</v>
      </c>
      <c r="K106" s="49">
        <f t="shared" ca="1" si="181"/>
        <v>6369041.0958904102</v>
      </c>
      <c r="L106" s="49">
        <f t="shared" ca="1" si="181"/>
        <v>0</v>
      </c>
      <c r="M106" s="49">
        <f t="shared" ca="1" si="181"/>
        <v>0</v>
      </c>
      <c r="N106" s="49">
        <f t="shared" ca="1" si="181"/>
        <v>12802356.16438356</v>
      </c>
      <c r="O106" s="49">
        <f t="shared" ca="1" si="181"/>
        <v>0</v>
      </c>
      <c r="P106" s="49">
        <f t="shared" ca="1" si="181"/>
        <v>0</v>
      </c>
      <c r="Q106" s="49">
        <f t="shared" ca="1" si="181"/>
        <v>17861229.508196719</v>
      </c>
      <c r="R106" s="49">
        <f t="shared" ca="1" si="181"/>
        <v>0</v>
      </c>
      <c r="S106" s="49">
        <f t="shared" ca="1" si="181"/>
        <v>0</v>
      </c>
      <c r="T106" s="49">
        <f t="shared" ca="1" si="181"/>
        <v>2453590.3170111394</v>
      </c>
      <c r="U106" s="49">
        <f t="shared" ca="1" si="181"/>
        <v>0</v>
      </c>
      <c r="V106" s="49">
        <f t="shared" ca="1" si="181"/>
        <v>0</v>
      </c>
      <c r="W106" s="49">
        <f t="shared" ca="1" si="181"/>
        <v>1221599.1062006578</v>
      </c>
      <c r="X106" s="49">
        <f t="shared" ca="1" si="181"/>
        <v>0</v>
      </c>
      <c r="Y106" s="49">
        <f t="shared" ca="1" si="181"/>
        <v>0</v>
      </c>
      <c r="Z106" s="49">
        <f t="shared" ca="1" si="181"/>
        <v>0</v>
      </c>
      <c r="AA106" s="49">
        <f t="shared" ca="1" si="181"/>
        <v>0</v>
      </c>
      <c r="AB106" s="49">
        <f t="shared" ca="1" si="181"/>
        <v>0</v>
      </c>
      <c r="AC106" s="49">
        <f t="shared" ca="1" si="181"/>
        <v>0</v>
      </c>
      <c r="AD106" s="49">
        <f t="shared" ca="1" si="181"/>
        <v>0</v>
      </c>
      <c r="AE106" s="49">
        <f t="shared" ca="1" si="181"/>
        <v>0</v>
      </c>
      <c r="AF106" s="49">
        <f t="shared" ca="1" si="181"/>
        <v>0</v>
      </c>
      <c r="AG106" s="49">
        <f t="shared" ca="1" si="181"/>
        <v>0</v>
      </c>
      <c r="AH106" s="49">
        <f t="shared" ref="AH106:BM106" ca="1" si="182">-MIN(AH92,0)</f>
        <v>0</v>
      </c>
      <c r="AI106" s="49">
        <f t="shared" ca="1" si="182"/>
        <v>0</v>
      </c>
      <c r="AJ106" s="49">
        <f t="shared" ca="1" si="182"/>
        <v>0</v>
      </c>
      <c r="AK106" s="49">
        <f t="shared" ca="1" si="182"/>
        <v>0</v>
      </c>
      <c r="AL106" s="49">
        <f t="shared" ca="1" si="182"/>
        <v>0</v>
      </c>
      <c r="AM106" s="49">
        <f t="shared" ca="1" si="182"/>
        <v>0</v>
      </c>
      <c r="AN106" s="49">
        <f t="shared" ca="1" si="182"/>
        <v>0</v>
      </c>
      <c r="AO106" s="49">
        <f t="shared" ca="1" si="182"/>
        <v>0</v>
      </c>
      <c r="AP106" s="49">
        <f t="shared" ca="1" si="182"/>
        <v>0</v>
      </c>
      <c r="AQ106" s="49">
        <f t="shared" ca="1" si="182"/>
        <v>0</v>
      </c>
      <c r="AR106" s="49">
        <f t="shared" ca="1" si="182"/>
        <v>0</v>
      </c>
      <c r="AS106" s="49">
        <f t="shared" ca="1" si="182"/>
        <v>0</v>
      </c>
      <c r="AT106" s="49">
        <f t="shared" ca="1" si="182"/>
        <v>0</v>
      </c>
      <c r="AU106" s="49">
        <f t="shared" ca="1" si="182"/>
        <v>0</v>
      </c>
      <c r="AV106" s="49">
        <f t="shared" ca="1" si="182"/>
        <v>0</v>
      </c>
      <c r="AW106" s="49">
        <f t="shared" ca="1" si="182"/>
        <v>0</v>
      </c>
      <c r="AX106" s="49">
        <f t="shared" ca="1" si="182"/>
        <v>0</v>
      </c>
      <c r="AY106" s="49">
        <f t="shared" ca="1" si="182"/>
        <v>0</v>
      </c>
      <c r="AZ106" s="49">
        <f t="shared" ca="1" si="182"/>
        <v>0</v>
      </c>
      <c r="BA106" s="49">
        <f t="shared" ca="1" si="182"/>
        <v>0</v>
      </c>
      <c r="BB106" s="49">
        <f t="shared" ca="1" si="182"/>
        <v>0</v>
      </c>
      <c r="BC106" s="49">
        <f t="shared" ca="1" si="182"/>
        <v>0</v>
      </c>
      <c r="BD106" s="49">
        <f t="shared" ca="1" si="182"/>
        <v>0</v>
      </c>
      <c r="BE106" s="49">
        <f t="shared" ca="1" si="182"/>
        <v>0</v>
      </c>
      <c r="BF106" s="49">
        <f t="shared" ca="1" si="182"/>
        <v>0</v>
      </c>
      <c r="BG106" s="49">
        <f t="shared" ca="1" si="182"/>
        <v>0</v>
      </c>
      <c r="BH106" s="49">
        <f t="shared" ca="1" si="182"/>
        <v>0</v>
      </c>
      <c r="BI106" s="49">
        <f t="shared" ca="1" si="182"/>
        <v>0</v>
      </c>
      <c r="BJ106" s="49">
        <f t="shared" ca="1" si="182"/>
        <v>0</v>
      </c>
      <c r="BK106" s="49">
        <f t="shared" ca="1" si="182"/>
        <v>0</v>
      </c>
      <c r="BL106" s="49">
        <f t="shared" ca="1" si="182"/>
        <v>0</v>
      </c>
      <c r="BM106" s="49">
        <f t="shared" ca="1" si="182"/>
        <v>0</v>
      </c>
      <c r="BN106" s="49">
        <f t="shared" ref="BN106:CK106" ca="1" si="183">-MIN(BN92,0)</f>
        <v>0</v>
      </c>
      <c r="BO106" s="49">
        <f t="shared" ca="1" si="183"/>
        <v>0</v>
      </c>
      <c r="BP106" s="49">
        <f t="shared" ca="1" si="183"/>
        <v>0</v>
      </c>
      <c r="BQ106" s="49">
        <f t="shared" ca="1" si="183"/>
        <v>0</v>
      </c>
      <c r="BR106" s="49">
        <f t="shared" ca="1" si="183"/>
        <v>0</v>
      </c>
      <c r="BS106" s="49">
        <f t="shared" ca="1" si="183"/>
        <v>0</v>
      </c>
      <c r="BT106" s="49">
        <f t="shared" ca="1" si="183"/>
        <v>0</v>
      </c>
      <c r="BU106" s="49">
        <f t="shared" ca="1" si="183"/>
        <v>0</v>
      </c>
      <c r="BV106" s="49">
        <f t="shared" ca="1" si="183"/>
        <v>0</v>
      </c>
      <c r="BW106" s="49">
        <f t="shared" ca="1" si="183"/>
        <v>0</v>
      </c>
      <c r="BX106" s="49">
        <f t="shared" ca="1" si="183"/>
        <v>0</v>
      </c>
      <c r="BY106" s="49">
        <f t="shared" ca="1" si="183"/>
        <v>0</v>
      </c>
      <c r="BZ106" s="49">
        <f t="shared" ca="1" si="183"/>
        <v>0</v>
      </c>
      <c r="CA106" s="49">
        <f t="shared" ca="1" si="183"/>
        <v>0</v>
      </c>
      <c r="CB106" s="49">
        <f t="shared" ca="1" si="183"/>
        <v>0</v>
      </c>
      <c r="CC106" s="49">
        <f t="shared" ca="1" si="183"/>
        <v>0</v>
      </c>
      <c r="CD106" s="49">
        <f t="shared" ca="1" si="183"/>
        <v>0</v>
      </c>
      <c r="CE106" s="49">
        <f t="shared" ca="1" si="183"/>
        <v>0</v>
      </c>
      <c r="CF106" s="49">
        <f t="shared" ca="1" si="183"/>
        <v>0</v>
      </c>
      <c r="CG106" s="49">
        <f t="shared" ca="1" si="183"/>
        <v>0</v>
      </c>
      <c r="CH106" s="49">
        <f t="shared" ca="1" si="183"/>
        <v>0</v>
      </c>
      <c r="CI106" s="49">
        <f t="shared" ca="1" si="183"/>
        <v>0</v>
      </c>
      <c r="CJ106" s="49">
        <f t="shared" ca="1" si="183"/>
        <v>0</v>
      </c>
      <c r="CK106" s="49">
        <f t="shared" ca="1" si="183"/>
        <v>0</v>
      </c>
    </row>
    <row r="107" spans="2:89" ht="15.75" thickBot="1">
      <c r="B107" s="45" t="s">
        <v>94</v>
      </c>
      <c r="C107" s="46"/>
      <c r="D107" s="98">
        <f ca="1">SUM(F107:CK107)</f>
        <v>-42437542.219079748</v>
      </c>
      <c r="E107" s="48"/>
      <c r="F107" s="49">
        <f t="shared" ref="F107:AG107" ca="1" si="184">IF(F92&gt;0,-MIN(F92,F105),0)</f>
        <v>0</v>
      </c>
      <c r="G107" s="49">
        <f t="shared" ca="1" si="184"/>
        <v>0</v>
      </c>
      <c r="H107" s="49">
        <f t="shared" ca="1" si="184"/>
        <v>0</v>
      </c>
      <c r="I107" s="49">
        <f t="shared" ca="1" si="184"/>
        <v>0</v>
      </c>
      <c r="J107" s="49">
        <f t="shared" ca="1" si="184"/>
        <v>0</v>
      </c>
      <c r="K107" s="49">
        <f t="shared" ca="1" si="184"/>
        <v>0</v>
      </c>
      <c r="L107" s="49">
        <f t="shared" ca="1" si="184"/>
        <v>0</v>
      </c>
      <c r="M107" s="49">
        <f t="shared" ca="1" si="184"/>
        <v>0</v>
      </c>
      <c r="N107" s="49">
        <f t="shared" ca="1" si="184"/>
        <v>0</v>
      </c>
      <c r="O107" s="49">
        <f t="shared" ca="1" si="184"/>
        <v>0</v>
      </c>
      <c r="P107" s="49">
        <f t="shared" ca="1" si="184"/>
        <v>0</v>
      </c>
      <c r="Q107" s="49">
        <f t="shared" ca="1" si="184"/>
        <v>0</v>
      </c>
      <c r="R107" s="49">
        <f t="shared" ca="1" si="184"/>
        <v>0</v>
      </c>
      <c r="S107" s="49">
        <f t="shared" ca="1" si="184"/>
        <v>0</v>
      </c>
      <c r="T107" s="49">
        <f t="shared" ca="1" si="184"/>
        <v>0</v>
      </c>
      <c r="U107" s="49">
        <f t="shared" ca="1" si="184"/>
        <v>0</v>
      </c>
      <c r="V107" s="49">
        <f t="shared" ca="1" si="184"/>
        <v>0</v>
      </c>
      <c r="W107" s="49">
        <f t="shared" ca="1" si="184"/>
        <v>0</v>
      </c>
      <c r="X107" s="49">
        <f t="shared" ca="1" si="184"/>
        <v>0</v>
      </c>
      <c r="Y107" s="49">
        <f t="shared" ca="1" si="184"/>
        <v>0</v>
      </c>
      <c r="Z107" s="49">
        <f t="shared" ca="1" si="184"/>
        <v>-231906.57361713797</v>
      </c>
      <c r="AA107" s="49">
        <f t="shared" ca="1" si="184"/>
        <v>0</v>
      </c>
      <c r="AB107" s="49">
        <f t="shared" ca="1" si="184"/>
        <v>0</v>
      </c>
      <c r="AC107" s="49">
        <f t="shared" ca="1" si="184"/>
        <v>-7104808.7619307507</v>
      </c>
      <c r="AD107" s="49">
        <f t="shared" ca="1" si="184"/>
        <v>0</v>
      </c>
      <c r="AE107" s="49">
        <f t="shared" ca="1" si="184"/>
        <v>0</v>
      </c>
      <c r="AF107" s="49">
        <f t="shared" ca="1" si="184"/>
        <v>-26560928.54738111</v>
      </c>
      <c r="AG107" s="49">
        <f t="shared" ca="1" si="184"/>
        <v>0</v>
      </c>
      <c r="AH107" s="49">
        <f t="shared" ref="AH107:BM107" ca="1" si="185">IF(AH92&gt;0,-MIN(AH92,AH105),0)</f>
        <v>0</v>
      </c>
      <c r="AI107" s="49">
        <f t="shared" ca="1" si="185"/>
        <v>-8539898.3361507505</v>
      </c>
      <c r="AJ107" s="49">
        <f t="shared" ca="1" si="185"/>
        <v>0</v>
      </c>
      <c r="AK107" s="49">
        <f t="shared" ca="1" si="185"/>
        <v>0</v>
      </c>
      <c r="AL107" s="49">
        <f t="shared" ca="1" si="185"/>
        <v>0</v>
      </c>
      <c r="AM107" s="49">
        <f t="shared" ca="1" si="185"/>
        <v>0</v>
      </c>
      <c r="AN107" s="49">
        <f t="shared" ca="1" si="185"/>
        <v>0</v>
      </c>
      <c r="AO107" s="49">
        <f t="shared" ca="1" si="185"/>
        <v>0</v>
      </c>
      <c r="AP107" s="49">
        <f t="shared" ca="1" si="185"/>
        <v>0</v>
      </c>
      <c r="AQ107" s="49">
        <f t="shared" ca="1" si="185"/>
        <v>0</v>
      </c>
      <c r="AR107" s="49">
        <f t="shared" ca="1" si="185"/>
        <v>0</v>
      </c>
      <c r="AS107" s="49">
        <f t="shared" ca="1" si="185"/>
        <v>0</v>
      </c>
      <c r="AT107" s="49">
        <f t="shared" ca="1" si="185"/>
        <v>0</v>
      </c>
      <c r="AU107" s="49">
        <f t="shared" ca="1" si="185"/>
        <v>0</v>
      </c>
      <c r="AV107" s="49">
        <f t="shared" ca="1" si="185"/>
        <v>0</v>
      </c>
      <c r="AW107" s="49">
        <f t="shared" ca="1" si="185"/>
        <v>0</v>
      </c>
      <c r="AX107" s="49">
        <f t="shared" ca="1" si="185"/>
        <v>0</v>
      </c>
      <c r="AY107" s="49">
        <f t="shared" ca="1" si="185"/>
        <v>0</v>
      </c>
      <c r="AZ107" s="49">
        <f t="shared" ca="1" si="185"/>
        <v>0</v>
      </c>
      <c r="BA107" s="49">
        <f t="shared" ca="1" si="185"/>
        <v>0</v>
      </c>
      <c r="BB107" s="49">
        <f t="shared" ca="1" si="185"/>
        <v>0</v>
      </c>
      <c r="BC107" s="49">
        <f t="shared" ca="1" si="185"/>
        <v>0</v>
      </c>
      <c r="BD107" s="49">
        <f t="shared" ca="1" si="185"/>
        <v>0</v>
      </c>
      <c r="BE107" s="49">
        <f t="shared" ca="1" si="185"/>
        <v>0</v>
      </c>
      <c r="BF107" s="49">
        <f t="shared" ca="1" si="185"/>
        <v>0</v>
      </c>
      <c r="BG107" s="49">
        <f t="shared" ca="1" si="185"/>
        <v>0</v>
      </c>
      <c r="BH107" s="49">
        <f t="shared" ca="1" si="185"/>
        <v>0</v>
      </c>
      <c r="BI107" s="49">
        <f t="shared" ca="1" si="185"/>
        <v>0</v>
      </c>
      <c r="BJ107" s="49">
        <f t="shared" ca="1" si="185"/>
        <v>0</v>
      </c>
      <c r="BK107" s="49">
        <f t="shared" ca="1" si="185"/>
        <v>0</v>
      </c>
      <c r="BL107" s="49">
        <f t="shared" ca="1" si="185"/>
        <v>0</v>
      </c>
      <c r="BM107" s="49">
        <f t="shared" ca="1" si="185"/>
        <v>0</v>
      </c>
      <c r="BN107" s="49">
        <f t="shared" ref="BN107:CK107" ca="1" si="186">IF(BN92&gt;0,-MIN(BN92,BN105),0)</f>
        <v>0</v>
      </c>
      <c r="BO107" s="49">
        <f t="shared" ca="1" si="186"/>
        <v>0</v>
      </c>
      <c r="BP107" s="49">
        <f t="shared" ca="1" si="186"/>
        <v>0</v>
      </c>
      <c r="BQ107" s="49">
        <f t="shared" ca="1" si="186"/>
        <v>0</v>
      </c>
      <c r="BR107" s="49">
        <f t="shared" ca="1" si="186"/>
        <v>0</v>
      </c>
      <c r="BS107" s="49">
        <f t="shared" ca="1" si="186"/>
        <v>0</v>
      </c>
      <c r="BT107" s="49">
        <f t="shared" ca="1" si="186"/>
        <v>0</v>
      </c>
      <c r="BU107" s="49">
        <f t="shared" ca="1" si="186"/>
        <v>0</v>
      </c>
      <c r="BV107" s="49">
        <f t="shared" ca="1" si="186"/>
        <v>0</v>
      </c>
      <c r="BW107" s="49">
        <f t="shared" ca="1" si="186"/>
        <v>0</v>
      </c>
      <c r="BX107" s="49">
        <f t="shared" ca="1" si="186"/>
        <v>0</v>
      </c>
      <c r="BY107" s="49">
        <f t="shared" ca="1" si="186"/>
        <v>0</v>
      </c>
      <c r="BZ107" s="49">
        <f t="shared" ca="1" si="186"/>
        <v>0</v>
      </c>
      <c r="CA107" s="49">
        <f t="shared" ca="1" si="186"/>
        <v>0</v>
      </c>
      <c r="CB107" s="49">
        <f t="shared" ca="1" si="186"/>
        <v>0</v>
      </c>
      <c r="CC107" s="49">
        <f t="shared" ca="1" si="186"/>
        <v>0</v>
      </c>
      <c r="CD107" s="49">
        <f t="shared" ca="1" si="186"/>
        <v>0</v>
      </c>
      <c r="CE107" s="49">
        <f t="shared" ca="1" si="186"/>
        <v>0</v>
      </c>
      <c r="CF107" s="49">
        <f t="shared" ca="1" si="186"/>
        <v>0</v>
      </c>
      <c r="CG107" s="49">
        <f t="shared" ca="1" si="186"/>
        <v>0</v>
      </c>
      <c r="CH107" s="49">
        <f t="shared" ca="1" si="186"/>
        <v>0</v>
      </c>
      <c r="CI107" s="49">
        <f t="shared" ca="1" si="186"/>
        <v>0</v>
      </c>
      <c r="CJ107" s="49">
        <f t="shared" ca="1" si="186"/>
        <v>0</v>
      </c>
      <c r="CK107" s="49">
        <f t="shared" ca="1" si="186"/>
        <v>0</v>
      </c>
    </row>
    <row r="108" spans="2:89" ht="15.75" thickTop="1">
      <c r="B108" s="50" t="s">
        <v>58</v>
      </c>
      <c r="C108" s="51"/>
      <c r="D108" s="52">
        <f ca="1">SUM(D105:D107)</f>
        <v>0</v>
      </c>
      <c r="E108" s="53"/>
      <c r="F108" s="54">
        <f ca="1">SUM(F105:F107)</f>
        <v>0</v>
      </c>
      <c r="G108" s="54">
        <f t="shared" ref="G108:AG108" ca="1" si="187">SUM(G105:G107)</f>
        <v>0</v>
      </c>
      <c r="H108" s="54">
        <f t="shared" ca="1" si="187"/>
        <v>1729726.0273972601</v>
      </c>
      <c r="I108" s="54">
        <f t="shared" ca="1" si="187"/>
        <v>1729726.0273972601</v>
      </c>
      <c r="J108" s="54">
        <f t="shared" ca="1" si="187"/>
        <v>1729726.0273972601</v>
      </c>
      <c r="K108" s="54">
        <f t="shared" ca="1" si="187"/>
        <v>8098767.1232876703</v>
      </c>
      <c r="L108" s="54">
        <f t="shared" ca="1" si="187"/>
        <v>8098767.1232876703</v>
      </c>
      <c r="M108" s="54">
        <f t="shared" ca="1" si="187"/>
        <v>8098767.1232876703</v>
      </c>
      <c r="N108" s="54">
        <f t="shared" ca="1" si="187"/>
        <v>20901123.287671231</v>
      </c>
      <c r="O108" s="54">
        <f t="shared" ca="1" si="187"/>
        <v>20901123.287671231</v>
      </c>
      <c r="P108" s="54">
        <f t="shared" ca="1" si="187"/>
        <v>20901123.287671231</v>
      </c>
      <c r="Q108" s="54">
        <f t="shared" ca="1" si="187"/>
        <v>38762352.79586795</v>
      </c>
      <c r="R108" s="54">
        <f t="shared" ca="1" si="187"/>
        <v>38762352.79586795</v>
      </c>
      <c r="S108" s="54">
        <f t="shared" ca="1" si="187"/>
        <v>38762352.79586795</v>
      </c>
      <c r="T108" s="54">
        <f t="shared" ca="1" si="187"/>
        <v>41215943.11287909</v>
      </c>
      <c r="U108" s="54">
        <f t="shared" ca="1" si="187"/>
        <v>41215943.11287909</v>
      </c>
      <c r="V108" s="54">
        <f t="shared" ca="1" si="187"/>
        <v>41215943.11287909</v>
      </c>
      <c r="W108" s="54">
        <f t="shared" ca="1" si="187"/>
        <v>42437542.219079748</v>
      </c>
      <c r="X108" s="54">
        <f t="shared" ca="1" si="187"/>
        <v>42437542.219079748</v>
      </c>
      <c r="Y108" s="54">
        <f t="shared" ca="1" si="187"/>
        <v>42437542.219079748</v>
      </c>
      <c r="Z108" s="54">
        <f t="shared" ca="1" si="187"/>
        <v>42205635.64546261</v>
      </c>
      <c r="AA108" s="54">
        <f t="shared" ca="1" si="187"/>
        <v>42205635.64546261</v>
      </c>
      <c r="AB108" s="54">
        <f t="shared" ca="1" si="187"/>
        <v>42205635.64546261</v>
      </c>
      <c r="AC108" s="54">
        <f t="shared" ca="1" si="187"/>
        <v>35100826.883531861</v>
      </c>
      <c r="AD108" s="54">
        <f t="shared" ca="1" si="187"/>
        <v>35100826.883531861</v>
      </c>
      <c r="AE108" s="54">
        <f t="shared" ca="1" si="187"/>
        <v>35100826.883531861</v>
      </c>
      <c r="AF108" s="54">
        <f t="shared" ca="1" si="187"/>
        <v>8539898.3361507505</v>
      </c>
      <c r="AG108" s="54">
        <f t="shared" ca="1" si="187"/>
        <v>8539898.3361507505</v>
      </c>
      <c r="AH108" s="54">
        <f t="shared" ref="AH108:BM108" ca="1" si="188">SUM(AH105:AH107)</f>
        <v>8539898.3361507505</v>
      </c>
      <c r="AI108" s="54">
        <f t="shared" ca="1" si="188"/>
        <v>0</v>
      </c>
      <c r="AJ108" s="54">
        <f t="shared" ca="1" si="188"/>
        <v>0</v>
      </c>
      <c r="AK108" s="54">
        <f t="shared" ca="1" si="188"/>
        <v>0</v>
      </c>
      <c r="AL108" s="54">
        <f t="shared" ca="1" si="188"/>
        <v>0</v>
      </c>
      <c r="AM108" s="54">
        <f t="shared" ca="1" si="188"/>
        <v>0</v>
      </c>
      <c r="AN108" s="54">
        <f t="shared" ca="1" si="188"/>
        <v>0</v>
      </c>
      <c r="AO108" s="54">
        <f t="shared" ca="1" si="188"/>
        <v>0</v>
      </c>
      <c r="AP108" s="54">
        <f t="shared" ca="1" si="188"/>
        <v>0</v>
      </c>
      <c r="AQ108" s="54">
        <f t="shared" ca="1" si="188"/>
        <v>0</v>
      </c>
      <c r="AR108" s="54">
        <f t="shared" ca="1" si="188"/>
        <v>0</v>
      </c>
      <c r="AS108" s="54">
        <f t="shared" ca="1" si="188"/>
        <v>0</v>
      </c>
      <c r="AT108" s="54">
        <f t="shared" ca="1" si="188"/>
        <v>0</v>
      </c>
      <c r="AU108" s="54">
        <f t="shared" ca="1" si="188"/>
        <v>0</v>
      </c>
      <c r="AV108" s="54">
        <f t="shared" ca="1" si="188"/>
        <v>0</v>
      </c>
      <c r="AW108" s="54">
        <f t="shared" ca="1" si="188"/>
        <v>0</v>
      </c>
      <c r="AX108" s="54">
        <f t="shared" ca="1" si="188"/>
        <v>0</v>
      </c>
      <c r="AY108" s="54">
        <f t="shared" ca="1" si="188"/>
        <v>0</v>
      </c>
      <c r="AZ108" s="54">
        <f t="shared" ca="1" si="188"/>
        <v>0</v>
      </c>
      <c r="BA108" s="54">
        <f t="shared" ca="1" si="188"/>
        <v>0</v>
      </c>
      <c r="BB108" s="54">
        <f t="shared" ca="1" si="188"/>
        <v>0</v>
      </c>
      <c r="BC108" s="54">
        <f t="shared" ca="1" si="188"/>
        <v>0</v>
      </c>
      <c r="BD108" s="54">
        <f t="shared" ca="1" si="188"/>
        <v>0</v>
      </c>
      <c r="BE108" s="54">
        <f t="shared" ca="1" si="188"/>
        <v>0</v>
      </c>
      <c r="BF108" s="54">
        <f t="shared" ca="1" si="188"/>
        <v>0</v>
      </c>
      <c r="BG108" s="54">
        <f t="shared" ca="1" si="188"/>
        <v>0</v>
      </c>
      <c r="BH108" s="54">
        <f t="shared" ca="1" si="188"/>
        <v>0</v>
      </c>
      <c r="BI108" s="54">
        <f t="shared" ca="1" si="188"/>
        <v>0</v>
      </c>
      <c r="BJ108" s="54">
        <f t="shared" ca="1" si="188"/>
        <v>0</v>
      </c>
      <c r="BK108" s="54">
        <f t="shared" ca="1" si="188"/>
        <v>0</v>
      </c>
      <c r="BL108" s="54">
        <f t="shared" ca="1" si="188"/>
        <v>0</v>
      </c>
      <c r="BM108" s="54">
        <f t="shared" ca="1" si="188"/>
        <v>0</v>
      </c>
      <c r="BN108" s="54">
        <f t="shared" ref="BN108:CK108" ca="1" si="189">SUM(BN105:BN107)</f>
        <v>0</v>
      </c>
      <c r="BO108" s="54">
        <f t="shared" ca="1" si="189"/>
        <v>0</v>
      </c>
      <c r="BP108" s="54">
        <f t="shared" ca="1" si="189"/>
        <v>0</v>
      </c>
      <c r="BQ108" s="54">
        <f t="shared" ca="1" si="189"/>
        <v>0</v>
      </c>
      <c r="BR108" s="54">
        <f t="shared" ca="1" si="189"/>
        <v>0</v>
      </c>
      <c r="BS108" s="54">
        <f t="shared" ca="1" si="189"/>
        <v>0</v>
      </c>
      <c r="BT108" s="54">
        <f t="shared" ca="1" si="189"/>
        <v>0</v>
      </c>
      <c r="BU108" s="54">
        <f t="shared" ca="1" si="189"/>
        <v>0</v>
      </c>
      <c r="BV108" s="54">
        <f t="shared" ca="1" si="189"/>
        <v>0</v>
      </c>
      <c r="BW108" s="54">
        <f t="shared" ca="1" si="189"/>
        <v>0</v>
      </c>
      <c r="BX108" s="54">
        <f t="shared" ca="1" si="189"/>
        <v>0</v>
      </c>
      <c r="BY108" s="54">
        <f t="shared" ca="1" si="189"/>
        <v>0</v>
      </c>
      <c r="BZ108" s="54">
        <f t="shared" ca="1" si="189"/>
        <v>0</v>
      </c>
      <c r="CA108" s="54">
        <f t="shared" ca="1" si="189"/>
        <v>0</v>
      </c>
      <c r="CB108" s="54">
        <f t="shared" ca="1" si="189"/>
        <v>0</v>
      </c>
      <c r="CC108" s="54">
        <f t="shared" ca="1" si="189"/>
        <v>0</v>
      </c>
      <c r="CD108" s="54">
        <f t="shared" ca="1" si="189"/>
        <v>0</v>
      </c>
      <c r="CE108" s="54">
        <f t="shared" ca="1" si="189"/>
        <v>0</v>
      </c>
      <c r="CF108" s="54">
        <f t="shared" ca="1" si="189"/>
        <v>0</v>
      </c>
      <c r="CG108" s="54">
        <f t="shared" ca="1" si="189"/>
        <v>0</v>
      </c>
      <c r="CH108" s="54">
        <f t="shared" ca="1" si="189"/>
        <v>0</v>
      </c>
      <c r="CI108" s="54">
        <f t="shared" ca="1" si="189"/>
        <v>0</v>
      </c>
      <c r="CJ108" s="54">
        <f t="shared" ca="1" si="189"/>
        <v>0</v>
      </c>
      <c r="CK108" s="54">
        <f t="shared" ca="1" si="189"/>
        <v>0</v>
      </c>
    </row>
    <row r="109" spans="2:89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</row>
    <row r="110" spans="2:89" ht="20.25" thickBot="1">
      <c r="B110" s="26" t="s">
        <v>717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</row>
    <row r="111" spans="2:89" ht="15.75" thickTop="1"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81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</row>
    <row r="112" spans="2:89" ht="18" thickBot="1">
      <c r="B112" s="100" t="s">
        <v>532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</row>
    <row r="113" spans="2:89" ht="15.75" thickTop="1">
      <c r="B113" s="14"/>
      <c r="C113" s="129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</row>
    <row r="114" spans="2:89">
      <c r="B114" s="155" t="s">
        <v>723</v>
      </c>
      <c r="C114" s="156"/>
      <c r="D114" s="160"/>
      <c r="E114" s="158"/>
      <c r="F114" s="159">
        <f t="shared" ref="F114:AK114" ca="1" si="190">IFERROR(LOOKUP(F$19,Налоги_года,Сельхозналог_ставки),0)</f>
        <v>0</v>
      </c>
      <c r="G114" s="159">
        <f t="shared" ca="1" si="190"/>
        <v>0</v>
      </c>
      <c r="H114" s="159">
        <f t="shared" ca="1" si="190"/>
        <v>0</v>
      </c>
      <c r="I114" s="159">
        <f t="shared" ca="1" si="190"/>
        <v>0</v>
      </c>
      <c r="J114" s="159">
        <f t="shared" ca="1" si="190"/>
        <v>0</v>
      </c>
      <c r="K114" s="159">
        <f t="shared" ca="1" si="190"/>
        <v>0</v>
      </c>
      <c r="L114" s="159">
        <f t="shared" ca="1" si="190"/>
        <v>0</v>
      </c>
      <c r="M114" s="159">
        <f t="shared" ca="1" si="190"/>
        <v>0</v>
      </c>
      <c r="N114" s="159">
        <f t="shared" ca="1" si="190"/>
        <v>0</v>
      </c>
      <c r="O114" s="159">
        <f t="shared" ca="1" si="190"/>
        <v>0</v>
      </c>
      <c r="P114" s="159">
        <f t="shared" ca="1" si="190"/>
        <v>0</v>
      </c>
      <c r="Q114" s="159">
        <f t="shared" ca="1" si="190"/>
        <v>0</v>
      </c>
      <c r="R114" s="159">
        <f t="shared" ca="1" si="190"/>
        <v>0</v>
      </c>
      <c r="S114" s="159">
        <f t="shared" ca="1" si="190"/>
        <v>0</v>
      </c>
      <c r="T114" s="159">
        <f t="shared" ca="1" si="190"/>
        <v>0</v>
      </c>
      <c r="U114" s="159">
        <f t="shared" ca="1" si="190"/>
        <v>0</v>
      </c>
      <c r="V114" s="159">
        <f t="shared" ca="1" si="190"/>
        <v>0</v>
      </c>
      <c r="W114" s="159">
        <f t="shared" ca="1" si="190"/>
        <v>0</v>
      </c>
      <c r="X114" s="159">
        <f t="shared" ca="1" si="190"/>
        <v>0</v>
      </c>
      <c r="Y114" s="159">
        <f t="shared" ca="1" si="190"/>
        <v>0</v>
      </c>
      <c r="Z114" s="159">
        <f t="shared" ca="1" si="190"/>
        <v>0</v>
      </c>
      <c r="AA114" s="159">
        <f t="shared" ca="1" si="190"/>
        <v>0.06</v>
      </c>
      <c r="AB114" s="159">
        <f t="shared" ca="1" si="190"/>
        <v>0.06</v>
      </c>
      <c r="AC114" s="159">
        <f t="shared" ca="1" si="190"/>
        <v>0.06</v>
      </c>
      <c r="AD114" s="159">
        <f t="shared" ca="1" si="190"/>
        <v>0.06</v>
      </c>
      <c r="AE114" s="159">
        <f t="shared" ca="1" si="190"/>
        <v>0.06</v>
      </c>
      <c r="AF114" s="159">
        <f t="shared" ca="1" si="190"/>
        <v>0.06</v>
      </c>
      <c r="AG114" s="159">
        <f t="shared" ca="1" si="190"/>
        <v>0.06</v>
      </c>
      <c r="AH114" s="159">
        <f t="shared" ca="1" si="190"/>
        <v>0.06</v>
      </c>
      <c r="AI114" s="159">
        <f t="shared" ca="1" si="190"/>
        <v>0.06</v>
      </c>
      <c r="AJ114" s="159">
        <f t="shared" ca="1" si="190"/>
        <v>0.06</v>
      </c>
      <c r="AK114" s="159">
        <f t="shared" ca="1" si="190"/>
        <v>0.06</v>
      </c>
      <c r="AL114" s="159">
        <f t="shared" ref="AL114:BQ114" ca="1" si="191">IFERROR(LOOKUP(AL$19,Налоги_года,Сельхозналог_ставки),0)</f>
        <v>0.06</v>
      </c>
      <c r="AM114" s="159">
        <f t="shared" ca="1" si="191"/>
        <v>0.06</v>
      </c>
      <c r="AN114" s="159">
        <f t="shared" ca="1" si="191"/>
        <v>0.06</v>
      </c>
      <c r="AO114" s="159">
        <f t="shared" ca="1" si="191"/>
        <v>0.06</v>
      </c>
      <c r="AP114" s="159">
        <f t="shared" ca="1" si="191"/>
        <v>0.06</v>
      </c>
      <c r="AQ114" s="159">
        <f t="shared" ca="1" si="191"/>
        <v>0.06</v>
      </c>
      <c r="AR114" s="159">
        <f t="shared" ca="1" si="191"/>
        <v>0.06</v>
      </c>
      <c r="AS114" s="159">
        <f t="shared" ca="1" si="191"/>
        <v>0.06</v>
      </c>
      <c r="AT114" s="159">
        <f t="shared" ca="1" si="191"/>
        <v>0.06</v>
      </c>
      <c r="AU114" s="159">
        <f t="shared" ca="1" si="191"/>
        <v>0.06</v>
      </c>
      <c r="AV114" s="159">
        <f t="shared" ca="1" si="191"/>
        <v>0.06</v>
      </c>
      <c r="AW114" s="159">
        <f t="shared" ca="1" si="191"/>
        <v>0.06</v>
      </c>
      <c r="AX114" s="159">
        <f t="shared" ca="1" si="191"/>
        <v>0.06</v>
      </c>
      <c r="AY114" s="159">
        <f t="shared" ca="1" si="191"/>
        <v>0.06</v>
      </c>
      <c r="AZ114" s="159">
        <f t="shared" ca="1" si="191"/>
        <v>0.06</v>
      </c>
      <c r="BA114" s="159">
        <f t="shared" ca="1" si="191"/>
        <v>0.06</v>
      </c>
      <c r="BB114" s="159">
        <f t="shared" ca="1" si="191"/>
        <v>0.06</v>
      </c>
      <c r="BC114" s="159">
        <f t="shared" ca="1" si="191"/>
        <v>0.06</v>
      </c>
      <c r="BD114" s="159">
        <f t="shared" ca="1" si="191"/>
        <v>0.06</v>
      </c>
      <c r="BE114" s="159">
        <f t="shared" ca="1" si="191"/>
        <v>0.06</v>
      </c>
      <c r="BF114" s="159">
        <f t="shared" ca="1" si="191"/>
        <v>0.06</v>
      </c>
      <c r="BG114" s="159">
        <f t="shared" ca="1" si="191"/>
        <v>0.06</v>
      </c>
      <c r="BH114" s="159">
        <f t="shared" ca="1" si="191"/>
        <v>0.06</v>
      </c>
      <c r="BI114" s="159">
        <f t="shared" ca="1" si="191"/>
        <v>0.06</v>
      </c>
      <c r="BJ114" s="159">
        <f t="shared" ca="1" si="191"/>
        <v>0.06</v>
      </c>
      <c r="BK114" s="159">
        <f t="shared" ca="1" si="191"/>
        <v>0.06</v>
      </c>
      <c r="BL114" s="159">
        <f t="shared" ca="1" si="191"/>
        <v>0.06</v>
      </c>
      <c r="BM114" s="159">
        <f t="shared" ca="1" si="191"/>
        <v>0.06</v>
      </c>
      <c r="BN114" s="159">
        <f t="shared" ca="1" si="191"/>
        <v>0.06</v>
      </c>
      <c r="BO114" s="159">
        <f t="shared" ca="1" si="191"/>
        <v>0.06</v>
      </c>
      <c r="BP114" s="159">
        <f t="shared" ca="1" si="191"/>
        <v>0.06</v>
      </c>
      <c r="BQ114" s="159">
        <f t="shared" ca="1" si="191"/>
        <v>0.06</v>
      </c>
      <c r="BR114" s="159">
        <f t="shared" ref="BR114:CK114" ca="1" si="192">IFERROR(LOOKUP(BR$19,Налоги_года,Сельхозналог_ставки),0)</f>
        <v>0.06</v>
      </c>
      <c r="BS114" s="159">
        <f t="shared" ca="1" si="192"/>
        <v>0.06</v>
      </c>
      <c r="BT114" s="159">
        <f t="shared" ca="1" si="192"/>
        <v>0.06</v>
      </c>
      <c r="BU114" s="159">
        <f t="shared" ca="1" si="192"/>
        <v>0.06</v>
      </c>
      <c r="BV114" s="159">
        <f t="shared" ca="1" si="192"/>
        <v>0.06</v>
      </c>
      <c r="BW114" s="159">
        <f t="shared" ca="1" si="192"/>
        <v>0.06</v>
      </c>
      <c r="BX114" s="159">
        <f t="shared" ca="1" si="192"/>
        <v>0.06</v>
      </c>
      <c r="BY114" s="159">
        <f t="shared" ca="1" si="192"/>
        <v>0.06</v>
      </c>
      <c r="BZ114" s="159">
        <f t="shared" ca="1" si="192"/>
        <v>0.06</v>
      </c>
      <c r="CA114" s="159">
        <f t="shared" ca="1" si="192"/>
        <v>0.06</v>
      </c>
      <c r="CB114" s="159">
        <f t="shared" ca="1" si="192"/>
        <v>0.06</v>
      </c>
      <c r="CC114" s="159">
        <f t="shared" ca="1" si="192"/>
        <v>0.06</v>
      </c>
      <c r="CD114" s="159">
        <f t="shared" ca="1" si="192"/>
        <v>0.06</v>
      </c>
      <c r="CE114" s="159">
        <f t="shared" ca="1" si="192"/>
        <v>0.06</v>
      </c>
      <c r="CF114" s="159">
        <f t="shared" ca="1" si="192"/>
        <v>0.06</v>
      </c>
      <c r="CG114" s="159">
        <f t="shared" ca="1" si="192"/>
        <v>0.06</v>
      </c>
      <c r="CH114" s="159">
        <f t="shared" ca="1" si="192"/>
        <v>0.06</v>
      </c>
      <c r="CI114" s="159">
        <f t="shared" ca="1" si="192"/>
        <v>0.06</v>
      </c>
      <c r="CJ114" s="159">
        <f t="shared" ca="1" si="192"/>
        <v>0.06</v>
      </c>
      <c r="CK114" s="159">
        <f t="shared" ca="1" si="192"/>
        <v>0.06</v>
      </c>
    </row>
    <row r="115" spans="2:89">
      <c r="B115" s="14"/>
      <c r="C115" s="129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</row>
    <row r="116" spans="2:89" ht="18" thickBot="1">
      <c r="B116" s="100" t="str">
        <f>"Налоговая база, в "&amp;Ед_измерения_денег</f>
        <v>Налоговая база, в  руб.</v>
      </c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</row>
    <row r="117" spans="2:89" ht="15.75" thickTop="1">
      <c r="B117" s="182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</row>
    <row r="118" spans="2:89">
      <c r="B118" s="77" t="s">
        <v>69</v>
      </c>
      <c r="C118" s="78"/>
      <c r="D118" s="98">
        <f ca="1">SUM(F118:CK118)</f>
        <v>4195006406.8434014</v>
      </c>
      <c r="E118" s="79"/>
      <c r="F118" s="80">
        <f ca="1">Отчетность_по_периодам!F53</f>
        <v>0</v>
      </c>
      <c r="G118" s="80">
        <f ca="1">Отчетность_по_периодам!G53</f>
        <v>-879041.09589041094</v>
      </c>
      <c r="H118" s="80">
        <f ca="1">Отчетность_по_периодам!H53</f>
        <v>-850684.93150684924</v>
      </c>
      <c r="I118" s="80">
        <f ca="1">Отчетность_по_периодам!I53</f>
        <v>-879041.09589041094</v>
      </c>
      <c r="J118" s="80">
        <f ca="1">Отчетность_по_периодам!J53</f>
        <v>-2790000</v>
      </c>
      <c r="K118" s="80">
        <f ca="1">Отчетность_по_периодам!K53</f>
        <v>-2699999.9999999995</v>
      </c>
      <c r="L118" s="80">
        <f ca="1">Отчетность_по_периодам!L53</f>
        <v>-2790000</v>
      </c>
      <c r="M118" s="80">
        <f ca="1">Отчетность_по_периодам!M53</f>
        <v>-4924109.5890410952</v>
      </c>
      <c r="N118" s="80">
        <f ca="1">Отчетность_по_периодам!N53</f>
        <v>-5088246.5753424652</v>
      </c>
      <c r="O118" s="80">
        <f ca="1">Отчетность_по_периодам!O53</f>
        <v>-5074344.2622950822</v>
      </c>
      <c r="P118" s="80">
        <f ca="1">Отчетность_по_периодам!P53</f>
        <v>-6180327.8688524598</v>
      </c>
      <c r="Q118" s="80">
        <f ca="1">Отчетность_по_периодам!Q53</f>
        <v>-6606557.3770491797</v>
      </c>
      <c r="R118" s="80">
        <f ca="1">Отчетность_по_периодам!R53</f>
        <v>1015586.3726610569</v>
      </c>
      <c r="S118" s="80">
        <f ca="1">Отчетность_по_периодам!S53</f>
        <v>940813.35014741682</v>
      </c>
      <c r="T118" s="80">
        <f ca="1">Отчетность_по_периодам!T53</f>
        <v>-4409990.0398196131</v>
      </c>
      <c r="U118" s="80">
        <f ca="1">Отчетность_по_периодам!U53</f>
        <v>1215782.7879301962</v>
      </c>
      <c r="V118" s="80">
        <f ca="1">Отчетность_по_периодам!V53</f>
        <v>1355185.4028736185</v>
      </c>
      <c r="W118" s="80">
        <f ca="1">Отчетность_по_периодам!W53</f>
        <v>-3792567.2970044725</v>
      </c>
      <c r="X118" s="80">
        <f ca="1">Отчетность_по_периодам!X53</f>
        <v>1632255.0443947082</v>
      </c>
      <c r="Y118" s="80">
        <f ca="1">Отчетность_по_периодам!Y53</f>
        <v>1971063.1137788333</v>
      </c>
      <c r="Z118" s="80">
        <f ca="1">Отчетность_по_периодам!Z53</f>
        <v>-3371411.5845564036</v>
      </c>
      <c r="AA118" s="80">
        <f ca="1">Отчетность_по_периодам!AA53</f>
        <v>2035374.2757826839</v>
      </c>
      <c r="AB118" s="80">
        <f ca="1">Отчетность_по_периодам!AB53</f>
        <v>2758436.3421097761</v>
      </c>
      <c r="AC118" s="80">
        <f ca="1">Отчетность_по_периодам!AC53</f>
        <v>2310998.1440382907</v>
      </c>
      <c r="AD118" s="80">
        <f ca="1">Отчетность_по_периодам!AD53</f>
        <v>7591020.9482829645</v>
      </c>
      <c r="AE118" s="80">
        <f ca="1">Отчетность_по_периодам!AE53</f>
        <v>8674465.8406080119</v>
      </c>
      <c r="AF118" s="80">
        <f ca="1">Отчетность_по_периодам!AF53</f>
        <v>10295441.758490136</v>
      </c>
      <c r="AG118" s="80">
        <f ca="1">Отчетность_по_периодам!AG53</f>
        <v>11830786.317272451</v>
      </c>
      <c r="AH118" s="80">
        <f ca="1">Отчетность_по_периодам!AH53</f>
        <v>13843314.962686982</v>
      </c>
      <c r="AI118" s="80">
        <f ca="1">Отчетность_по_периодам!AI53</f>
        <v>16298779.506827645</v>
      </c>
      <c r="AJ118" s="80">
        <f ca="1">Отчетность_по_периодам!AJ53</f>
        <v>18883957.105573364</v>
      </c>
      <c r="AK118" s="80">
        <f ca="1">Отчетность_по_периодам!AK53</f>
        <v>22188781.854975916</v>
      </c>
      <c r="AL118" s="80">
        <f ca="1">Отчетность_по_периодам!AL53</f>
        <v>25832154.234887194</v>
      </c>
      <c r="AM118" s="80">
        <f ca="1">Отчетность_по_периодам!AM53</f>
        <v>30329101.830634903</v>
      </c>
      <c r="AN118" s="80">
        <f ca="1">Отчетность_по_периодам!AN53</f>
        <v>35563934.592479274</v>
      </c>
      <c r="AO118" s="80">
        <f ca="1">Отчетность_по_периодам!AO53</f>
        <v>41282811.029700331</v>
      </c>
      <c r="AP118" s="80">
        <f ca="1">Отчетность_по_периодам!AP53</f>
        <v>43763062.387176372</v>
      </c>
      <c r="AQ118" s="80">
        <f ca="1">Отчетность_по_периодам!AQ53</f>
        <v>46163584.193750188</v>
      </c>
      <c r="AR118" s="80">
        <f ca="1">Отчетность_по_периодам!AR53</f>
        <v>48915711.399577089</v>
      </c>
      <c r="AS118" s="80">
        <f ca="1">Отчетность_по_периодам!AS53</f>
        <v>51631318.048824519</v>
      </c>
      <c r="AT118" s="80">
        <f ca="1">Отчетность_по_периодам!AT53</f>
        <v>54657348.659105003</v>
      </c>
      <c r="AU118" s="80">
        <f ca="1">Отчетность_по_периодам!AU53</f>
        <v>57890723.006927937</v>
      </c>
      <c r="AV118" s="80">
        <f ca="1">Отчетность_по_периодам!AV53</f>
        <v>61159690.262645364</v>
      </c>
      <c r="AW118" s="80">
        <f ca="1">Отчетность_по_периодам!AW53</f>
        <v>64766637.26058656</v>
      </c>
      <c r="AX118" s="80">
        <f ca="1">Отчетность_по_периодам!AX53</f>
        <v>68462496.403891847</v>
      </c>
      <c r="AY118" s="80">
        <f ca="1">Отчетность_по_периодам!AY53</f>
        <v>72511812.508047923</v>
      </c>
      <c r="AZ118" s="80">
        <f ca="1">Отчетность_по_периодам!AZ53</f>
        <v>76718724.819828674</v>
      </c>
      <c r="BA118" s="80">
        <f ca="1">Отчетность_по_периодам!BA53</f>
        <v>80931277.601771981</v>
      </c>
      <c r="BB118" s="80">
        <f ca="1">Отчетность_по_периодам!BB53</f>
        <v>81540713.934695274</v>
      </c>
      <c r="BC118" s="80">
        <f ca="1">Отчетность_по_периодам!BC53</f>
        <v>81963975.682037279</v>
      </c>
      <c r="BD118" s="80">
        <f ca="1">Отчетность_по_периодам!BD53</f>
        <v>82568850.676280573</v>
      </c>
      <c r="BE118" s="80">
        <f ca="1">Отчетность_по_периодам!BE53</f>
        <v>83003129.805715412</v>
      </c>
      <c r="BF118" s="80">
        <f ca="1">Отчетность_по_периодам!BF53</f>
        <v>83531751.228663236</v>
      </c>
      <c r="BG118" s="80">
        <f ca="1">Отчетность_по_периодам!BG53</f>
        <v>84129858.738844037</v>
      </c>
      <c r="BH118" s="80">
        <f ca="1">Отчетность_по_периодам!BH53</f>
        <v>84580741.259278387</v>
      </c>
      <c r="BI118" s="80">
        <f ca="1">Отчетность_по_периодам!BI53</f>
        <v>85174352.117779076</v>
      </c>
      <c r="BJ118" s="80">
        <f ca="1">Отчетность_по_периодам!BJ53</f>
        <v>85636319.131898165</v>
      </c>
      <c r="BK118" s="80">
        <f ca="1">Отчетность_по_периодам!BK53</f>
        <v>86177752.499975801</v>
      </c>
      <c r="BL118" s="80">
        <f ca="1">Отчетность_по_периодам!BL53</f>
        <v>86811155.354672328</v>
      </c>
      <c r="BM118" s="80">
        <f ca="1">Отчетность_по_периодам!BM53</f>
        <v>87226879.930667713</v>
      </c>
      <c r="BN118" s="80">
        <f ca="1">Отчетность_по_периодам!BN53</f>
        <v>87807729.802562907</v>
      </c>
      <c r="BO118" s="80">
        <f ca="1">Отчетность_по_периодам!BO53</f>
        <v>88296139.956749335</v>
      </c>
      <c r="BP118" s="80">
        <f ca="1">Отчетность_по_периодам!BP53</f>
        <v>88872588.233494475</v>
      </c>
      <c r="BQ118" s="80">
        <f ca="1">Отчетность_по_периодам!BQ53</f>
        <v>89372138.430854544</v>
      </c>
      <c r="BR118" s="80">
        <f ca="1">Отчетность_по_периодам!BR53</f>
        <v>89919598.303360924</v>
      </c>
      <c r="BS118" s="80">
        <f ca="1">Отчетность_по_периодам!BS53</f>
        <v>90489521.819139302</v>
      </c>
      <c r="BT118" s="80">
        <f ca="1">Отчетность_по_периодам!BT53</f>
        <v>91005862.622469902</v>
      </c>
      <c r="BU118" s="80">
        <f ca="1">Отчетность_по_периодам!BU53</f>
        <v>91507049.045596763</v>
      </c>
      <c r="BV118" s="80">
        <f ca="1">Отчетность_по_периодам!BV53</f>
        <v>91965903.396093234</v>
      </c>
      <c r="BW118" s="80">
        <f ca="1">Отчетность_по_периодам!BW53</f>
        <v>92454601.339648932</v>
      </c>
      <c r="BX118" s="80">
        <f ca="1">Отчетность_по_периодам!BX53</f>
        <v>92976709.846285641</v>
      </c>
      <c r="BY118" s="80">
        <f ca="1">Отчетность_по_периодам!BY53</f>
        <v>93399256.463103697</v>
      </c>
      <c r="BZ118" s="80">
        <f ca="1">Отчетность_по_периодам!BZ53</f>
        <v>93901764.806561291</v>
      </c>
      <c r="CA118" s="80">
        <f ca="1">Отчетность_по_периодам!CA53</f>
        <v>94379272.38319701</v>
      </c>
      <c r="CB118" s="80">
        <f ca="1">Отчетность_по_периодам!CB53</f>
        <v>94881845.346403137</v>
      </c>
      <c r="CC118" s="80">
        <f ca="1">Отчетность_по_периодам!CC53</f>
        <v>95366397.715286046</v>
      </c>
      <c r="CD118" s="80">
        <f ca="1">Отчетность_по_периодам!CD53</f>
        <v>95869924.315387622</v>
      </c>
      <c r="CE118" s="80">
        <f ca="1">Отчетность_по_периодам!CE53</f>
        <v>96372676.246143043</v>
      </c>
      <c r="CF118" s="80">
        <f ca="1">Отчетность_по_периодам!CF53</f>
        <v>96867880.916755974</v>
      </c>
      <c r="CG118" s="80">
        <f ca="1">Отчетность_по_периодам!CG53</f>
        <v>97370768.663179561</v>
      </c>
      <c r="CH118" s="80">
        <f ca="1">Отчетность_по_периодам!CH53</f>
        <v>97873091.990376726</v>
      </c>
      <c r="CI118" s="80">
        <f ca="1">Отчетность_по_периодам!CI53</f>
        <v>98385865.669902176</v>
      </c>
      <c r="CJ118" s="80">
        <f ca="1">Отчетность_по_периодам!CJ53</f>
        <v>98866056.875530899</v>
      </c>
      <c r="CK118" s="80">
        <f ca="1">Отчетность_по_периодам!CK53</f>
        <v>99372172.643790528</v>
      </c>
    </row>
    <row r="119" spans="2:89"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</row>
    <row r="120" spans="2:89" ht="18" thickBot="1">
      <c r="B120" s="100" t="s">
        <v>724</v>
      </c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</row>
    <row r="121" spans="2:89" ht="15.75" thickTop="1"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</row>
    <row r="122" spans="2:89">
      <c r="B122" s="145" t="s">
        <v>725</v>
      </c>
      <c r="C122" s="146"/>
      <c r="D122" s="146"/>
      <c r="E122" s="146"/>
      <c r="F122" s="29">
        <f>IF(OR(F$21=6,F$21=12),1,0)</f>
        <v>0</v>
      </c>
      <c r="G122" s="29">
        <f t="shared" ref="G122:BR122" si="193">IF(OR(G$21=6,G$21=12),1,0)</f>
        <v>0</v>
      </c>
      <c r="H122" s="29">
        <f t="shared" si="193"/>
        <v>1</v>
      </c>
      <c r="I122" s="29">
        <f t="shared" si="193"/>
        <v>0</v>
      </c>
      <c r="J122" s="29">
        <f t="shared" si="193"/>
        <v>0</v>
      </c>
      <c r="K122" s="29">
        <f t="shared" si="193"/>
        <v>0</v>
      </c>
      <c r="L122" s="29">
        <f t="shared" si="193"/>
        <v>0</v>
      </c>
      <c r="M122" s="29">
        <f t="shared" si="193"/>
        <v>0</v>
      </c>
      <c r="N122" s="29">
        <f t="shared" si="193"/>
        <v>1</v>
      </c>
      <c r="O122" s="29">
        <f t="shared" si="193"/>
        <v>0</v>
      </c>
      <c r="P122" s="29">
        <f t="shared" si="193"/>
        <v>0</v>
      </c>
      <c r="Q122" s="29">
        <f t="shared" si="193"/>
        <v>0</v>
      </c>
      <c r="R122" s="29">
        <f t="shared" si="193"/>
        <v>0</v>
      </c>
      <c r="S122" s="29">
        <f t="shared" si="193"/>
        <v>0</v>
      </c>
      <c r="T122" s="29">
        <f t="shared" si="193"/>
        <v>1</v>
      </c>
      <c r="U122" s="29">
        <f t="shared" si="193"/>
        <v>0</v>
      </c>
      <c r="V122" s="29">
        <f t="shared" si="193"/>
        <v>0</v>
      </c>
      <c r="W122" s="29">
        <f t="shared" si="193"/>
        <v>0</v>
      </c>
      <c r="X122" s="29">
        <f t="shared" si="193"/>
        <v>0</v>
      </c>
      <c r="Y122" s="29">
        <f t="shared" si="193"/>
        <v>0</v>
      </c>
      <c r="Z122" s="29">
        <f t="shared" si="193"/>
        <v>1</v>
      </c>
      <c r="AA122" s="29">
        <f t="shared" si="193"/>
        <v>0</v>
      </c>
      <c r="AB122" s="29">
        <f t="shared" si="193"/>
        <v>0</v>
      </c>
      <c r="AC122" s="29">
        <f t="shared" si="193"/>
        <v>0</v>
      </c>
      <c r="AD122" s="29">
        <f t="shared" si="193"/>
        <v>0</v>
      </c>
      <c r="AE122" s="29">
        <f t="shared" si="193"/>
        <v>0</v>
      </c>
      <c r="AF122" s="29">
        <f t="shared" si="193"/>
        <v>1</v>
      </c>
      <c r="AG122" s="29">
        <f t="shared" si="193"/>
        <v>0</v>
      </c>
      <c r="AH122" s="29">
        <f t="shared" si="193"/>
        <v>0</v>
      </c>
      <c r="AI122" s="29">
        <f t="shared" si="193"/>
        <v>0</v>
      </c>
      <c r="AJ122" s="29">
        <f t="shared" si="193"/>
        <v>0</v>
      </c>
      <c r="AK122" s="29">
        <f t="shared" si="193"/>
        <v>0</v>
      </c>
      <c r="AL122" s="29">
        <f t="shared" si="193"/>
        <v>1</v>
      </c>
      <c r="AM122" s="29">
        <f t="shared" si="193"/>
        <v>0</v>
      </c>
      <c r="AN122" s="29">
        <f t="shared" si="193"/>
        <v>0</v>
      </c>
      <c r="AO122" s="29">
        <f t="shared" si="193"/>
        <v>0</v>
      </c>
      <c r="AP122" s="29">
        <f t="shared" si="193"/>
        <v>0</v>
      </c>
      <c r="AQ122" s="29">
        <f t="shared" si="193"/>
        <v>0</v>
      </c>
      <c r="AR122" s="29">
        <f t="shared" si="193"/>
        <v>1</v>
      </c>
      <c r="AS122" s="29">
        <f t="shared" si="193"/>
        <v>0</v>
      </c>
      <c r="AT122" s="29">
        <f t="shared" si="193"/>
        <v>0</v>
      </c>
      <c r="AU122" s="29">
        <f t="shared" si="193"/>
        <v>0</v>
      </c>
      <c r="AV122" s="29">
        <f t="shared" si="193"/>
        <v>0</v>
      </c>
      <c r="AW122" s="29">
        <f t="shared" si="193"/>
        <v>0</v>
      </c>
      <c r="AX122" s="29">
        <f t="shared" si="193"/>
        <v>1</v>
      </c>
      <c r="AY122" s="29">
        <f t="shared" si="193"/>
        <v>0</v>
      </c>
      <c r="AZ122" s="29">
        <f t="shared" si="193"/>
        <v>0</v>
      </c>
      <c r="BA122" s="29">
        <f t="shared" si="193"/>
        <v>0</v>
      </c>
      <c r="BB122" s="29">
        <f t="shared" si="193"/>
        <v>0</v>
      </c>
      <c r="BC122" s="29">
        <f t="shared" si="193"/>
        <v>0</v>
      </c>
      <c r="BD122" s="29">
        <f t="shared" si="193"/>
        <v>1</v>
      </c>
      <c r="BE122" s="29">
        <f t="shared" si="193"/>
        <v>0</v>
      </c>
      <c r="BF122" s="29">
        <f t="shared" si="193"/>
        <v>0</v>
      </c>
      <c r="BG122" s="29">
        <f t="shared" si="193"/>
        <v>0</v>
      </c>
      <c r="BH122" s="29">
        <f t="shared" si="193"/>
        <v>0</v>
      </c>
      <c r="BI122" s="29">
        <f t="shared" si="193"/>
        <v>0</v>
      </c>
      <c r="BJ122" s="29">
        <f t="shared" si="193"/>
        <v>1</v>
      </c>
      <c r="BK122" s="29">
        <f t="shared" si="193"/>
        <v>0</v>
      </c>
      <c r="BL122" s="29">
        <f t="shared" si="193"/>
        <v>0</v>
      </c>
      <c r="BM122" s="29">
        <f t="shared" si="193"/>
        <v>0</v>
      </c>
      <c r="BN122" s="29">
        <f t="shared" si="193"/>
        <v>0</v>
      </c>
      <c r="BO122" s="29">
        <f t="shared" si="193"/>
        <v>0</v>
      </c>
      <c r="BP122" s="29">
        <f t="shared" si="193"/>
        <v>1</v>
      </c>
      <c r="BQ122" s="29">
        <f t="shared" si="193"/>
        <v>0</v>
      </c>
      <c r="BR122" s="29">
        <f t="shared" si="193"/>
        <v>0</v>
      </c>
      <c r="BS122" s="29">
        <f t="shared" ref="BS122:CK122" si="194">IF(OR(BS$21=6,BS$21=12),1,0)</f>
        <v>0</v>
      </c>
      <c r="BT122" s="29">
        <f t="shared" si="194"/>
        <v>0</v>
      </c>
      <c r="BU122" s="29">
        <f t="shared" si="194"/>
        <v>0</v>
      </c>
      <c r="BV122" s="29">
        <f t="shared" si="194"/>
        <v>1</v>
      </c>
      <c r="BW122" s="29">
        <f t="shared" si="194"/>
        <v>0</v>
      </c>
      <c r="BX122" s="29">
        <f t="shared" si="194"/>
        <v>0</v>
      </c>
      <c r="BY122" s="29">
        <f t="shared" si="194"/>
        <v>0</v>
      </c>
      <c r="BZ122" s="29">
        <f t="shared" si="194"/>
        <v>0</v>
      </c>
      <c r="CA122" s="29">
        <f t="shared" si="194"/>
        <v>0</v>
      </c>
      <c r="CB122" s="29">
        <f t="shared" si="194"/>
        <v>1</v>
      </c>
      <c r="CC122" s="29">
        <f t="shared" si="194"/>
        <v>0</v>
      </c>
      <c r="CD122" s="29">
        <f t="shared" si="194"/>
        <v>0</v>
      </c>
      <c r="CE122" s="29">
        <f t="shared" si="194"/>
        <v>0</v>
      </c>
      <c r="CF122" s="29">
        <f t="shared" si="194"/>
        <v>0</v>
      </c>
      <c r="CG122" s="29">
        <f t="shared" si="194"/>
        <v>0</v>
      </c>
      <c r="CH122" s="29">
        <f t="shared" si="194"/>
        <v>1</v>
      </c>
      <c r="CI122" s="29">
        <f t="shared" si="194"/>
        <v>0</v>
      </c>
      <c r="CJ122" s="29">
        <f t="shared" si="194"/>
        <v>0</v>
      </c>
      <c r="CK122" s="29">
        <f t="shared" si="194"/>
        <v>0</v>
      </c>
    </row>
    <row r="123" spans="2:89"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</row>
    <row r="124" spans="2:89" ht="15.75" thickBot="1">
      <c r="B124" s="97" t="str">
        <f>"Налоговая база, в "&amp;Ед_измерения_денег</f>
        <v>Налоговая база, в  руб.</v>
      </c>
      <c r="C124" s="97"/>
      <c r="D124" s="97"/>
      <c r="E124" s="97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</row>
    <row r="125" spans="2:89">
      <c r="B125" s="182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</row>
    <row r="126" spans="2:89">
      <c r="B126" s="77" t="s">
        <v>69</v>
      </c>
      <c r="C126" s="78"/>
      <c r="D126" s="98">
        <f ca="1">SUM(F126:CK126)</f>
        <v>3898382311.6541781</v>
      </c>
      <c r="E126" s="79"/>
      <c r="F126" s="80">
        <f t="shared" ref="F126:AK126" ca="1" si="195">SUM(OFFSET(F118,,-MIN(F$27,Мес_в_полугод)+1,1,MIN(F$27,Мес_в_полугод)))*F$122</f>
        <v>0</v>
      </c>
      <c r="G126" s="80">
        <f t="shared" ca="1" si="195"/>
        <v>0</v>
      </c>
      <c r="H126" s="80">
        <f t="shared" ca="1" si="195"/>
        <v>-1729726.0273972601</v>
      </c>
      <c r="I126" s="80">
        <f t="shared" ca="1" si="195"/>
        <v>0</v>
      </c>
      <c r="J126" s="80">
        <f t="shared" ca="1" si="195"/>
        <v>0</v>
      </c>
      <c r="K126" s="80">
        <f t="shared" ca="1" si="195"/>
        <v>0</v>
      </c>
      <c r="L126" s="80">
        <f t="shared" ca="1" si="195"/>
        <v>0</v>
      </c>
      <c r="M126" s="80">
        <f t="shared" ca="1" si="195"/>
        <v>0</v>
      </c>
      <c r="N126" s="80">
        <f t="shared" ca="1" si="195"/>
        <v>-19171397.260273971</v>
      </c>
      <c r="O126" s="80">
        <f t="shared" ca="1" si="195"/>
        <v>0</v>
      </c>
      <c r="P126" s="80">
        <f t="shared" ca="1" si="195"/>
        <v>0</v>
      </c>
      <c r="Q126" s="80">
        <f t="shared" ca="1" si="195"/>
        <v>0</v>
      </c>
      <c r="R126" s="80">
        <f t="shared" ca="1" si="195"/>
        <v>0</v>
      </c>
      <c r="S126" s="80">
        <f t="shared" ca="1" si="195"/>
        <v>0</v>
      </c>
      <c r="T126" s="80">
        <f t="shared" ca="1" si="195"/>
        <v>-20314819.825207859</v>
      </c>
      <c r="U126" s="80">
        <f t="shared" ca="1" si="195"/>
        <v>0</v>
      </c>
      <c r="V126" s="80">
        <f t="shared" ca="1" si="195"/>
        <v>0</v>
      </c>
      <c r="W126" s="80">
        <f t="shared" ca="1" si="195"/>
        <v>0</v>
      </c>
      <c r="X126" s="80">
        <f t="shared" ca="1" si="195"/>
        <v>0</v>
      </c>
      <c r="Y126" s="80">
        <f t="shared" ca="1" si="195"/>
        <v>0</v>
      </c>
      <c r="Z126" s="80">
        <f t="shared" ca="1" si="195"/>
        <v>-989692.53258351982</v>
      </c>
      <c r="AA126" s="80">
        <f t="shared" ca="1" si="195"/>
        <v>0</v>
      </c>
      <c r="AB126" s="80">
        <f t="shared" ca="1" si="195"/>
        <v>0</v>
      </c>
      <c r="AC126" s="80">
        <f t="shared" ca="1" si="195"/>
        <v>0</v>
      </c>
      <c r="AD126" s="80">
        <f t="shared" ca="1" si="195"/>
        <v>0</v>
      </c>
      <c r="AE126" s="80">
        <f t="shared" ca="1" si="195"/>
        <v>0</v>
      </c>
      <c r="AF126" s="80">
        <f t="shared" ca="1" si="195"/>
        <v>33665737.309311867</v>
      </c>
      <c r="AG126" s="80">
        <f t="shared" ca="1" si="195"/>
        <v>0</v>
      </c>
      <c r="AH126" s="80">
        <f t="shared" ca="1" si="195"/>
        <v>0</v>
      </c>
      <c r="AI126" s="80">
        <f t="shared" ca="1" si="195"/>
        <v>0</v>
      </c>
      <c r="AJ126" s="80">
        <f t="shared" ca="1" si="195"/>
        <v>0</v>
      </c>
      <c r="AK126" s="80">
        <f t="shared" ca="1" si="195"/>
        <v>0</v>
      </c>
      <c r="AL126" s="80">
        <f t="shared" ref="AL126:BQ126" ca="1" si="196">SUM(OFFSET(AL118,,-MIN(AL$27,Мес_в_полугод)+1,1,MIN(AL$27,Мес_в_полугод)))*AL$122</f>
        <v>108877773.98222356</v>
      </c>
      <c r="AM126" s="80">
        <f t="shared" ca="1" si="196"/>
        <v>0</v>
      </c>
      <c r="AN126" s="80">
        <f t="shared" ca="1" si="196"/>
        <v>0</v>
      </c>
      <c r="AO126" s="80">
        <f t="shared" ca="1" si="196"/>
        <v>0</v>
      </c>
      <c r="AP126" s="80">
        <f t="shared" ca="1" si="196"/>
        <v>0</v>
      </c>
      <c r="AQ126" s="80">
        <f t="shared" ca="1" si="196"/>
        <v>0</v>
      </c>
      <c r="AR126" s="80">
        <f t="shared" ca="1" si="196"/>
        <v>246018205.43331814</v>
      </c>
      <c r="AS126" s="80">
        <f t="shared" ca="1" si="196"/>
        <v>0</v>
      </c>
      <c r="AT126" s="80">
        <f t="shared" ca="1" si="196"/>
        <v>0</v>
      </c>
      <c r="AU126" s="80">
        <f t="shared" ca="1" si="196"/>
        <v>0</v>
      </c>
      <c r="AV126" s="80">
        <f t="shared" ca="1" si="196"/>
        <v>0</v>
      </c>
      <c r="AW126" s="80">
        <f t="shared" ca="1" si="196"/>
        <v>0</v>
      </c>
      <c r="AX126" s="80">
        <f t="shared" ca="1" si="196"/>
        <v>358568213.64198124</v>
      </c>
      <c r="AY126" s="80">
        <f t="shared" ca="1" si="196"/>
        <v>0</v>
      </c>
      <c r="AZ126" s="80">
        <f t="shared" ca="1" si="196"/>
        <v>0</v>
      </c>
      <c r="BA126" s="80">
        <f t="shared" ca="1" si="196"/>
        <v>0</v>
      </c>
      <c r="BB126" s="80">
        <f t="shared" ca="1" si="196"/>
        <v>0</v>
      </c>
      <c r="BC126" s="80">
        <f t="shared" ca="1" si="196"/>
        <v>0</v>
      </c>
      <c r="BD126" s="80">
        <f t="shared" ca="1" si="196"/>
        <v>476235355.22266173</v>
      </c>
      <c r="BE126" s="80">
        <f t="shared" ca="1" si="196"/>
        <v>0</v>
      </c>
      <c r="BF126" s="80">
        <f t="shared" ca="1" si="196"/>
        <v>0</v>
      </c>
      <c r="BG126" s="80">
        <f t="shared" ca="1" si="196"/>
        <v>0</v>
      </c>
      <c r="BH126" s="80">
        <f t="shared" ca="1" si="196"/>
        <v>0</v>
      </c>
      <c r="BI126" s="80">
        <f t="shared" ca="1" si="196"/>
        <v>0</v>
      </c>
      <c r="BJ126" s="80">
        <f t="shared" ca="1" si="196"/>
        <v>506056152.28217834</v>
      </c>
      <c r="BK126" s="80">
        <f t="shared" ca="1" si="196"/>
        <v>0</v>
      </c>
      <c r="BL126" s="80">
        <f t="shared" ca="1" si="196"/>
        <v>0</v>
      </c>
      <c r="BM126" s="80">
        <f t="shared" ca="1" si="196"/>
        <v>0</v>
      </c>
      <c r="BN126" s="80">
        <f t="shared" ca="1" si="196"/>
        <v>0</v>
      </c>
      <c r="BO126" s="80">
        <f t="shared" ca="1" si="196"/>
        <v>0</v>
      </c>
      <c r="BP126" s="80">
        <f t="shared" ca="1" si="196"/>
        <v>525192245.77812248</v>
      </c>
      <c r="BQ126" s="80">
        <f t="shared" ca="1" si="196"/>
        <v>0</v>
      </c>
      <c r="BR126" s="80">
        <f t="shared" ref="BR126:CK126" ca="1" si="197">SUM(OFFSET(BR118,,-MIN(BR$27,Мес_в_полугод)+1,1,MIN(BR$27,Мес_в_полугод)))*BR$122</f>
        <v>0</v>
      </c>
      <c r="BS126" s="80">
        <f t="shared" ca="1" si="197"/>
        <v>0</v>
      </c>
      <c r="BT126" s="80">
        <f t="shared" ca="1" si="197"/>
        <v>0</v>
      </c>
      <c r="BU126" s="80">
        <f t="shared" ca="1" si="197"/>
        <v>0</v>
      </c>
      <c r="BV126" s="80">
        <f t="shared" ca="1" si="197"/>
        <v>544260073.61751461</v>
      </c>
      <c r="BW126" s="80">
        <f t="shared" ca="1" si="197"/>
        <v>0</v>
      </c>
      <c r="BX126" s="80">
        <f t="shared" ca="1" si="197"/>
        <v>0</v>
      </c>
      <c r="BY126" s="80">
        <f t="shared" ca="1" si="197"/>
        <v>0</v>
      </c>
      <c r="BZ126" s="80">
        <f t="shared" ca="1" si="197"/>
        <v>0</v>
      </c>
      <c r="CA126" s="80">
        <f t="shared" ca="1" si="197"/>
        <v>0</v>
      </c>
      <c r="CB126" s="80">
        <f t="shared" ca="1" si="197"/>
        <v>561993450.18519974</v>
      </c>
      <c r="CC126" s="80">
        <f t="shared" ca="1" si="197"/>
        <v>0</v>
      </c>
      <c r="CD126" s="80">
        <f t="shared" ca="1" si="197"/>
        <v>0</v>
      </c>
      <c r="CE126" s="80">
        <f t="shared" ca="1" si="197"/>
        <v>0</v>
      </c>
      <c r="CF126" s="80">
        <f t="shared" ca="1" si="197"/>
        <v>0</v>
      </c>
      <c r="CG126" s="80">
        <f t="shared" ca="1" si="197"/>
        <v>0</v>
      </c>
      <c r="CH126" s="80">
        <f t="shared" ca="1" si="197"/>
        <v>579720739.84712899</v>
      </c>
      <c r="CI126" s="80">
        <f t="shared" ca="1" si="197"/>
        <v>0</v>
      </c>
      <c r="CJ126" s="80">
        <f t="shared" ca="1" si="197"/>
        <v>0</v>
      </c>
      <c r="CK126" s="80">
        <f t="shared" ca="1" si="197"/>
        <v>0</v>
      </c>
    </row>
    <row r="127" spans="2:89" ht="15.75" thickBot="1">
      <c r="B127" s="45" t="s">
        <v>70</v>
      </c>
      <c r="C127" s="46"/>
      <c r="D127" s="98">
        <f ca="1">SUM(F127:CK127)</f>
        <v>-42205635.64546261</v>
      </c>
      <c r="E127" s="48"/>
      <c r="F127" s="49">
        <f ca="1">F141</f>
        <v>0</v>
      </c>
      <c r="G127" s="49">
        <f t="shared" ref="G127:BR127" ca="1" si="198">G141</f>
        <v>0</v>
      </c>
      <c r="H127" s="49">
        <f t="shared" ca="1" si="198"/>
        <v>0</v>
      </c>
      <c r="I127" s="49">
        <f t="shared" ca="1" si="198"/>
        <v>0</v>
      </c>
      <c r="J127" s="49">
        <f t="shared" ca="1" si="198"/>
        <v>0</v>
      </c>
      <c r="K127" s="49">
        <f t="shared" ca="1" si="198"/>
        <v>0</v>
      </c>
      <c r="L127" s="49">
        <f t="shared" ca="1" si="198"/>
        <v>0</v>
      </c>
      <c r="M127" s="49">
        <f t="shared" ca="1" si="198"/>
        <v>0</v>
      </c>
      <c r="N127" s="49">
        <f t="shared" ca="1" si="198"/>
        <v>0</v>
      </c>
      <c r="O127" s="49">
        <f t="shared" ca="1" si="198"/>
        <v>0</v>
      </c>
      <c r="P127" s="49">
        <f t="shared" ca="1" si="198"/>
        <v>0</v>
      </c>
      <c r="Q127" s="49">
        <f t="shared" ca="1" si="198"/>
        <v>0</v>
      </c>
      <c r="R127" s="49">
        <f t="shared" ca="1" si="198"/>
        <v>0</v>
      </c>
      <c r="S127" s="49">
        <f t="shared" ca="1" si="198"/>
        <v>0</v>
      </c>
      <c r="T127" s="49">
        <f t="shared" ca="1" si="198"/>
        <v>0</v>
      </c>
      <c r="U127" s="49">
        <f t="shared" ca="1" si="198"/>
        <v>0</v>
      </c>
      <c r="V127" s="49">
        <f t="shared" ca="1" si="198"/>
        <v>0</v>
      </c>
      <c r="W127" s="49">
        <f t="shared" ca="1" si="198"/>
        <v>0</v>
      </c>
      <c r="X127" s="49">
        <f t="shared" ca="1" si="198"/>
        <v>0</v>
      </c>
      <c r="Y127" s="49">
        <f t="shared" ca="1" si="198"/>
        <v>0</v>
      </c>
      <c r="Z127" s="49">
        <f t="shared" ca="1" si="198"/>
        <v>0</v>
      </c>
      <c r="AA127" s="49">
        <f t="shared" ca="1" si="198"/>
        <v>0</v>
      </c>
      <c r="AB127" s="49">
        <f t="shared" ca="1" si="198"/>
        <v>0</v>
      </c>
      <c r="AC127" s="49">
        <f t="shared" ca="1" si="198"/>
        <v>0</v>
      </c>
      <c r="AD127" s="49">
        <f t="shared" ca="1" si="198"/>
        <v>0</v>
      </c>
      <c r="AE127" s="49">
        <f t="shared" ca="1" si="198"/>
        <v>0</v>
      </c>
      <c r="AF127" s="49">
        <f t="shared" ca="1" si="198"/>
        <v>-33665737.309311867</v>
      </c>
      <c r="AG127" s="49">
        <f t="shared" ca="1" si="198"/>
        <v>0</v>
      </c>
      <c r="AH127" s="49">
        <f t="shared" ca="1" si="198"/>
        <v>0</v>
      </c>
      <c r="AI127" s="49">
        <f t="shared" ca="1" si="198"/>
        <v>0</v>
      </c>
      <c r="AJ127" s="49">
        <f t="shared" ca="1" si="198"/>
        <v>0</v>
      </c>
      <c r="AK127" s="49">
        <f t="shared" ca="1" si="198"/>
        <v>0</v>
      </c>
      <c r="AL127" s="49">
        <f t="shared" ca="1" si="198"/>
        <v>-8539898.3361507431</v>
      </c>
      <c r="AM127" s="49">
        <f t="shared" ca="1" si="198"/>
        <v>0</v>
      </c>
      <c r="AN127" s="49">
        <f t="shared" ca="1" si="198"/>
        <v>0</v>
      </c>
      <c r="AO127" s="49">
        <f t="shared" ca="1" si="198"/>
        <v>0</v>
      </c>
      <c r="AP127" s="49">
        <f t="shared" ca="1" si="198"/>
        <v>0</v>
      </c>
      <c r="AQ127" s="49">
        <f t="shared" ca="1" si="198"/>
        <v>0</v>
      </c>
      <c r="AR127" s="49">
        <f t="shared" ca="1" si="198"/>
        <v>0</v>
      </c>
      <c r="AS127" s="49">
        <f t="shared" ca="1" si="198"/>
        <v>0</v>
      </c>
      <c r="AT127" s="49">
        <f t="shared" ca="1" si="198"/>
        <v>0</v>
      </c>
      <c r="AU127" s="49">
        <f t="shared" ca="1" si="198"/>
        <v>0</v>
      </c>
      <c r="AV127" s="49">
        <f t="shared" ca="1" si="198"/>
        <v>0</v>
      </c>
      <c r="AW127" s="49">
        <f t="shared" ca="1" si="198"/>
        <v>0</v>
      </c>
      <c r="AX127" s="49">
        <f t="shared" ca="1" si="198"/>
        <v>0</v>
      </c>
      <c r="AY127" s="49">
        <f t="shared" ca="1" si="198"/>
        <v>0</v>
      </c>
      <c r="AZ127" s="49">
        <f t="shared" ca="1" si="198"/>
        <v>0</v>
      </c>
      <c r="BA127" s="49">
        <f t="shared" ca="1" si="198"/>
        <v>0</v>
      </c>
      <c r="BB127" s="49">
        <f t="shared" ca="1" si="198"/>
        <v>0</v>
      </c>
      <c r="BC127" s="49">
        <f t="shared" ca="1" si="198"/>
        <v>0</v>
      </c>
      <c r="BD127" s="49">
        <f t="shared" ca="1" si="198"/>
        <v>0</v>
      </c>
      <c r="BE127" s="49">
        <f t="shared" ca="1" si="198"/>
        <v>0</v>
      </c>
      <c r="BF127" s="49">
        <f t="shared" ca="1" si="198"/>
        <v>0</v>
      </c>
      <c r="BG127" s="49">
        <f t="shared" ca="1" si="198"/>
        <v>0</v>
      </c>
      <c r="BH127" s="49">
        <f t="shared" ca="1" si="198"/>
        <v>0</v>
      </c>
      <c r="BI127" s="49">
        <f t="shared" ca="1" si="198"/>
        <v>0</v>
      </c>
      <c r="BJ127" s="49">
        <f t="shared" ca="1" si="198"/>
        <v>0</v>
      </c>
      <c r="BK127" s="49">
        <f t="shared" ca="1" si="198"/>
        <v>0</v>
      </c>
      <c r="BL127" s="49">
        <f t="shared" ca="1" si="198"/>
        <v>0</v>
      </c>
      <c r="BM127" s="49">
        <f t="shared" ca="1" si="198"/>
        <v>0</v>
      </c>
      <c r="BN127" s="49">
        <f t="shared" ca="1" si="198"/>
        <v>0</v>
      </c>
      <c r="BO127" s="49">
        <f t="shared" ca="1" si="198"/>
        <v>0</v>
      </c>
      <c r="BP127" s="49">
        <f t="shared" ca="1" si="198"/>
        <v>0</v>
      </c>
      <c r="BQ127" s="49">
        <f t="shared" ca="1" si="198"/>
        <v>0</v>
      </c>
      <c r="BR127" s="49">
        <f t="shared" ca="1" si="198"/>
        <v>0</v>
      </c>
      <c r="BS127" s="49">
        <f t="shared" ref="BS127:CK127" ca="1" si="199">BS141</f>
        <v>0</v>
      </c>
      <c r="BT127" s="49">
        <f t="shared" ca="1" si="199"/>
        <v>0</v>
      </c>
      <c r="BU127" s="49">
        <f t="shared" ca="1" si="199"/>
        <v>0</v>
      </c>
      <c r="BV127" s="49">
        <f t="shared" ca="1" si="199"/>
        <v>0</v>
      </c>
      <c r="BW127" s="49">
        <f t="shared" ca="1" si="199"/>
        <v>0</v>
      </c>
      <c r="BX127" s="49">
        <f t="shared" ca="1" si="199"/>
        <v>0</v>
      </c>
      <c r="BY127" s="49">
        <f t="shared" ca="1" si="199"/>
        <v>0</v>
      </c>
      <c r="BZ127" s="49">
        <f t="shared" ca="1" si="199"/>
        <v>0</v>
      </c>
      <c r="CA127" s="49">
        <f t="shared" ca="1" si="199"/>
        <v>0</v>
      </c>
      <c r="CB127" s="49">
        <f t="shared" ca="1" si="199"/>
        <v>0</v>
      </c>
      <c r="CC127" s="49">
        <f t="shared" ca="1" si="199"/>
        <v>0</v>
      </c>
      <c r="CD127" s="49">
        <f t="shared" ca="1" si="199"/>
        <v>0</v>
      </c>
      <c r="CE127" s="49">
        <f t="shared" ca="1" si="199"/>
        <v>0</v>
      </c>
      <c r="CF127" s="49">
        <f t="shared" ca="1" si="199"/>
        <v>0</v>
      </c>
      <c r="CG127" s="49">
        <f t="shared" ca="1" si="199"/>
        <v>0</v>
      </c>
      <c r="CH127" s="49">
        <f t="shared" ca="1" si="199"/>
        <v>0</v>
      </c>
      <c r="CI127" s="49">
        <f t="shared" ca="1" si="199"/>
        <v>0</v>
      </c>
      <c r="CJ127" s="49">
        <f t="shared" ca="1" si="199"/>
        <v>0</v>
      </c>
      <c r="CK127" s="49">
        <f t="shared" ca="1" si="199"/>
        <v>0</v>
      </c>
    </row>
    <row r="128" spans="2:89" ht="15.75" thickTop="1">
      <c r="B128" s="50" t="s">
        <v>71</v>
      </c>
      <c r="C128" s="51"/>
      <c r="D128" s="52">
        <f ca="1">SUM(D126:D127)</f>
        <v>3856176676.0087156</v>
      </c>
      <c r="E128" s="53"/>
      <c r="F128" s="54">
        <f ca="1">SUM(F126:F127)</f>
        <v>0</v>
      </c>
      <c r="G128" s="54">
        <f t="shared" ref="G128:BR128" ca="1" si="200">SUM(G126:G127)</f>
        <v>0</v>
      </c>
      <c r="H128" s="54">
        <f t="shared" ca="1" si="200"/>
        <v>-1729726.0273972601</v>
      </c>
      <c r="I128" s="54">
        <f t="shared" ca="1" si="200"/>
        <v>0</v>
      </c>
      <c r="J128" s="54">
        <f t="shared" ca="1" si="200"/>
        <v>0</v>
      </c>
      <c r="K128" s="54">
        <f t="shared" ca="1" si="200"/>
        <v>0</v>
      </c>
      <c r="L128" s="54">
        <f t="shared" ca="1" si="200"/>
        <v>0</v>
      </c>
      <c r="M128" s="54">
        <f t="shared" ca="1" si="200"/>
        <v>0</v>
      </c>
      <c r="N128" s="54">
        <f t="shared" ca="1" si="200"/>
        <v>-19171397.260273971</v>
      </c>
      <c r="O128" s="54">
        <f t="shared" ca="1" si="200"/>
        <v>0</v>
      </c>
      <c r="P128" s="54">
        <f t="shared" ca="1" si="200"/>
        <v>0</v>
      </c>
      <c r="Q128" s="54">
        <f t="shared" ca="1" si="200"/>
        <v>0</v>
      </c>
      <c r="R128" s="54">
        <f t="shared" ca="1" si="200"/>
        <v>0</v>
      </c>
      <c r="S128" s="54">
        <f t="shared" ca="1" si="200"/>
        <v>0</v>
      </c>
      <c r="T128" s="54">
        <f t="shared" ca="1" si="200"/>
        <v>-20314819.825207859</v>
      </c>
      <c r="U128" s="54">
        <f t="shared" ca="1" si="200"/>
        <v>0</v>
      </c>
      <c r="V128" s="54">
        <f t="shared" ca="1" si="200"/>
        <v>0</v>
      </c>
      <c r="W128" s="54">
        <f t="shared" ca="1" si="200"/>
        <v>0</v>
      </c>
      <c r="X128" s="54">
        <f t="shared" ca="1" si="200"/>
        <v>0</v>
      </c>
      <c r="Y128" s="54">
        <f t="shared" ca="1" si="200"/>
        <v>0</v>
      </c>
      <c r="Z128" s="54">
        <f t="shared" ca="1" si="200"/>
        <v>-989692.53258351982</v>
      </c>
      <c r="AA128" s="54">
        <f t="shared" ca="1" si="200"/>
        <v>0</v>
      </c>
      <c r="AB128" s="54">
        <f t="shared" ca="1" si="200"/>
        <v>0</v>
      </c>
      <c r="AC128" s="54">
        <f t="shared" ca="1" si="200"/>
        <v>0</v>
      </c>
      <c r="AD128" s="54">
        <f t="shared" ca="1" si="200"/>
        <v>0</v>
      </c>
      <c r="AE128" s="54">
        <f t="shared" ca="1" si="200"/>
        <v>0</v>
      </c>
      <c r="AF128" s="54">
        <f t="shared" ca="1" si="200"/>
        <v>0</v>
      </c>
      <c r="AG128" s="54">
        <f t="shared" ca="1" si="200"/>
        <v>0</v>
      </c>
      <c r="AH128" s="54">
        <f t="shared" ca="1" si="200"/>
        <v>0</v>
      </c>
      <c r="AI128" s="54">
        <f t="shared" ca="1" si="200"/>
        <v>0</v>
      </c>
      <c r="AJ128" s="54">
        <f t="shared" ca="1" si="200"/>
        <v>0</v>
      </c>
      <c r="AK128" s="54">
        <f t="shared" ca="1" si="200"/>
        <v>0</v>
      </c>
      <c r="AL128" s="54">
        <f t="shared" ca="1" si="200"/>
        <v>100337875.6460728</v>
      </c>
      <c r="AM128" s="54">
        <f t="shared" ca="1" si="200"/>
        <v>0</v>
      </c>
      <c r="AN128" s="54">
        <f t="shared" ca="1" si="200"/>
        <v>0</v>
      </c>
      <c r="AO128" s="54">
        <f t="shared" ca="1" si="200"/>
        <v>0</v>
      </c>
      <c r="AP128" s="54">
        <f t="shared" ca="1" si="200"/>
        <v>0</v>
      </c>
      <c r="AQ128" s="54">
        <f t="shared" ca="1" si="200"/>
        <v>0</v>
      </c>
      <c r="AR128" s="54">
        <f t="shared" ca="1" si="200"/>
        <v>246018205.43331814</v>
      </c>
      <c r="AS128" s="54">
        <f t="shared" ca="1" si="200"/>
        <v>0</v>
      </c>
      <c r="AT128" s="54">
        <f t="shared" ca="1" si="200"/>
        <v>0</v>
      </c>
      <c r="AU128" s="54">
        <f t="shared" ca="1" si="200"/>
        <v>0</v>
      </c>
      <c r="AV128" s="54">
        <f t="shared" ca="1" si="200"/>
        <v>0</v>
      </c>
      <c r="AW128" s="54">
        <f t="shared" ca="1" si="200"/>
        <v>0</v>
      </c>
      <c r="AX128" s="54">
        <f t="shared" ca="1" si="200"/>
        <v>358568213.64198124</v>
      </c>
      <c r="AY128" s="54">
        <f t="shared" ca="1" si="200"/>
        <v>0</v>
      </c>
      <c r="AZ128" s="54">
        <f t="shared" ca="1" si="200"/>
        <v>0</v>
      </c>
      <c r="BA128" s="54">
        <f t="shared" ca="1" si="200"/>
        <v>0</v>
      </c>
      <c r="BB128" s="54">
        <f t="shared" ca="1" si="200"/>
        <v>0</v>
      </c>
      <c r="BC128" s="54">
        <f t="shared" ca="1" si="200"/>
        <v>0</v>
      </c>
      <c r="BD128" s="54">
        <f t="shared" ca="1" si="200"/>
        <v>476235355.22266173</v>
      </c>
      <c r="BE128" s="54">
        <f t="shared" ca="1" si="200"/>
        <v>0</v>
      </c>
      <c r="BF128" s="54">
        <f t="shared" ca="1" si="200"/>
        <v>0</v>
      </c>
      <c r="BG128" s="54">
        <f t="shared" ca="1" si="200"/>
        <v>0</v>
      </c>
      <c r="BH128" s="54">
        <f t="shared" ca="1" si="200"/>
        <v>0</v>
      </c>
      <c r="BI128" s="54">
        <f t="shared" ca="1" si="200"/>
        <v>0</v>
      </c>
      <c r="BJ128" s="54">
        <f t="shared" ca="1" si="200"/>
        <v>506056152.28217834</v>
      </c>
      <c r="BK128" s="54">
        <f t="shared" ca="1" si="200"/>
        <v>0</v>
      </c>
      <c r="BL128" s="54">
        <f t="shared" ca="1" si="200"/>
        <v>0</v>
      </c>
      <c r="BM128" s="54">
        <f t="shared" ca="1" si="200"/>
        <v>0</v>
      </c>
      <c r="BN128" s="54">
        <f t="shared" ca="1" si="200"/>
        <v>0</v>
      </c>
      <c r="BO128" s="54">
        <f t="shared" ca="1" si="200"/>
        <v>0</v>
      </c>
      <c r="BP128" s="54">
        <f t="shared" ca="1" si="200"/>
        <v>525192245.77812248</v>
      </c>
      <c r="BQ128" s="54">
        <f t="shared" ca="1" si="200"/>
        <v>0</v>
      </c>
      <c r="BR128" s="54">
        <f t="shared" ca="1" si="200"/>
        <v>0</v>
      </c>
      <c r="BS128" s="54">
        <f t="shared" ref="BS128:CK128" ca="1" si="201">SUM(BS126:BS127)</f>
        <v>0</v>
      </c>
      <c r="BT128" s="54">
        <f t="shared" ca="1" si="201"/>
        <v>0</v>
      </c>
      <c r="BU128" s="54">
        <f t="shared" ca="1" si="201"/>
        <v>0</v>
      </c>
      <c r="BV128" s="54">
        <f t="shared" ca="1" si="201"/>
        <v>544260073.61751461</v>
      </c>
      <c r="BW128" s="54">
        <f t="shared" ca="1" si="201"/>
        <v>0</v>
      </c>
      <c r="BX128" s="54">
        <f t="shared" ca="1" si="201"/>
        <v>0</v>
      </c>
      <c r="BY128" s="54">
        <f t="shared" ca="1" si="201"/>
        <v>0</v>
      </c>
      <c r="BZ128" s="54">
        <f t="shared" ca="1" si="201"/>
        <v>0</v>
      </c>
      <c r="CA128" s="54">
        <f t="shared" ca="1" si="201"/>
        <v>0</v>
      </c>
      <c r="CB128" s="54">
        <f t="shared" ca="1" si="201"/>
        <v>561993450.18519974</v>
      </c>
      <c r="CC128" s="54">
        <f t="shared" ca="1" si="201"/>
        <v>0</v>
      </c>
      <c r="CD128" s="54">
        <f t="shared" ca="1" si="201"/>
        <v>0</v>
      </c>
      <c r="CE128" s="54">
        <f t="shared" ca="1" si="201"/>
        <v>0</v>
      </c>
      <c r="CF128" s="54">
        <f t="shared" ca="1" si="201"/>
        <v>0</v>
      </c>
      <c r="CG128" s="54">
        <f t="shared" ca="1" si="201"/>
        <v>0</v>
      </c>
      <c r="CH128" s="54">
        <f t="shared" ca="1" si="201"/>
        <v>579720739.84712899</v>
      </c>
      <c r="CI128" s="54">
        <f t="shared" ca="1" si="201"/>
        <v>0</v>
      </c>
      <c r="CJ128" s="54">
        <f t="shared" ca="1" si="201"/>
        <v>0</v>
      </c>
      <c r="CK128" s="54">
        <f t="shared" ca="1" si="201"/>
        <v>0</v>
      </c>
    </row>
    <row r="129" spans="2:89">
      <c r="B129" s="182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</row>
    <row r="130" spans="2:89" ht="18" thickBot="1">
      <c r="B130" s="100" t="str">
        <f>"Начисление и уплата налога, в "&amp;Ед_измерения_денег</f>
        <v>Начисление и уплата налога, в  руб.</v>
      </c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</row>
    <row r="131" spans="2:89" ht="15.75" thickTop="1">
      <c r="B131" s="18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</row>
    <row r="132" spans="2:89">
      <c r="B132" s="45" t="s">
        <v>57</v>
      </c>
      <c r="C132" s="46"/>
      <c r="D132" s="98">
        <v>0</v>
      </c>
      <c r="E132" s="48"/>
      <c r="F132" s="49">
        <f>E135</f>
        <v>0</v>
      </c>
      <c r="G132" s="49">
        <f t="shared" ref="G132" ca="1" si="202">F135</f>
        <v>0</v>
      </c>
      <c r="H132" s="49">
        <f t="shared" ref="H132" ca="1" si="203">G135</f>
        <v>0</v>
      </c>
      <c r="I132" s="49">
        <f t="shared" ref="I132" ca="1" si="204">H135</f>
        <v>0</v>
      </c>
      <c r="J132" s="49">
        <f t="shared" ref="J132" ca="1" si="205">I135</f>
        <v>0</v>
      </c>
      <c r="K132" s="49">
        <f t="shared" ref="K132" ca="1" si="206">J135</f>
        <v>0</v>
      </c>
      <c r="L132" s="49">
        <f t="shared" ref="L132" ca="1" si="207">K135</f>
        <v>0</v>
      </c>
      <c r="M132" s="49">
        <f t="shared" ref="M132" ca="1" si="208">L135</f>
        <v>0</v>
      </c>
      <c r="N132" s="49">
        <f t="shared" ref="N132" ca="1" si="209">M135</f>
        <v>0</v>
      </c>
      <c r="O132" s="49">
        <f t="shared" ref="O132" ca="1" si="210">N135</f>
        <v>0</v>
      </c>
      <c r="P132" s="49">
        <f t="shared" ref="P132" ca="1" si="211">O135</f>
        <v>0</v>
      </c>
      <c r="Q132" s="49">
        <f t="shared" ref="Q132" ca="1" si="212">P135</f>
        <v>0</v>
      </c>
      <c r="R132" s="49">
        <f t="shared" ref="R132" ca="1" si="213">Q135</f>
        <v>0</v>
      </c>
      <c r="S132" s="49">
        <f t="shared" ref="S132" ca="1" si="214">R135</f>
        <v>0</v>
      </c>
      <c r="T132" s="49">
        <f t="shared" ref="T132" ca="1" si="215">S135</f>
        <v>0</v>
      </c>
      <c r="U132" s="49">
        <f t="shared" ref="U132" ca="1" si="216">T135</f>
        <v>0</v>
      </c>
      <c r="V132" s="49">
        <f t="shared" ref="V132" ca="1" si="217">U135</f>
        <v>0</v>
      </c>
      <c r="W132" s="49">
        <f t="shared" ref="W132" ca="1" si="218">V135</f>
        <v>0</v>
      </c>
      <c r="X132" s="49">
        <f t="shared" ref="X132" ca="1" si="219">W135</f>
        <v>0</v>
      </c>
      <c r="Y132" s="49">
        <f t="shared" ref="Y132" ca="1" si="220">X135</f>
        <v>0</v>
      </c>
      <c r="Z132" s="49">
        <f t="shared" ref="Z132" ca="1" si="221">Y135</f>
        <v>0</v>
      </c>
      <c r="AA132" s="49">
        <f t="shared" ref="AA132" ca="1" si="222">Z135</f>
        <v>0</v>
      </c>
      <c r="AB132" s="49">
        <f t="shared" ref="AB132" ca="1" si="223">AA135</f>
        <v>0</v>
      </c>
      <c r="AC132" s="49">
        <f t="shared" ref="AC132" ca="1" si="224">AB135</f>
        <v>0</v>
      </c>
      <c r="AD132" s="49">
        <f t="shared" ref="AD132" ca="1" si="225">AC135</f>
        <v>0</v>
      </c>
      <c r="AE132" s="49">
        <f t="shared" ref="AE132" ca="1" si="226">AD135</f>
        <v>0</v>
      </c>
      <c r="AF132" s="49">
        <f t="shared" ref="AF132" ca="1" si="227">AE135</f>
        <v>0</v>
      </c>
      <c r="AG132" s="49">
        <f t="shared" ref="AG132" ca="1" si="228">AF135</f>
        <v>0</v>
      </c>
      <c r="AH132" s="49">
        <f t="shared" ref="AH132" ca="1" si="229">AG135</f>
        <v>0</v>
      </c>
      <c r="AI132" s="49">
        <f t="shared" ref="AI132" ca="1" si="230">AH135</f>
        <v>0</v>
      </c>
      <c r="AJ132" s="49">
        <f t="shared" ref="AJ132" ca="1" si="231">AI135</f>
        <v>0</v>
      </c>
      <c r="AK132" s="49">
        <f t="shared" ref="AK132" ca="1" si="232">AJ135</f>
        <v>0</v>
      </c>
      <c r="AL132" s="49">
        <f t="shared" ref="AL132" ca="1" si="233">AK135</f>
        <v>0</v>
      </c>
      <c r="AM132" s="49">
        <f t="shared" ref="AM132" ca="1" si="234">AL135</f>
        <v>6020272.5387643678</v>
      </c>
      <c r="AN132" s="49">
        <f t="shared" ref="AN132" ca="1" si="235">AM135</f>
        <v>5016893.7823036397</v>
      </c>
      <c r="AO132" s="49">
        <f t="shared" ref="AO132" ca="1" si="236">AN135</f>
        <v>4013515.0258429116</v>
      </c>
      <c r="AP132" s="49">
        <f t="shared" ref="AP132" ca="1" si="237">AO135</f>
        <v>3010136.2693821834</v>
      </c>
      <c r="AQ132" s="49">
        <f t="shared" ref="AQ132" ca="1" si="238">AP135</f>
        <v>2006757.5129214558</v>
      </c>
      <c r="AR132" s="49">
        <f t="shared" ref="AR132" ca="1" si="239">AQ135</f>
        <v>1003378.7564607279</v>
      </c>
      <c r="AS132" s="49">
        <f t="shared" ref="AS132" ca="1" si="240">AR135</f>
        <v>14761092.325999089</v>
      </c>
      <c r="AT132" s="49">
        <f t="shared" ref="AT132" ca="1" si="241">AS135</f>
        <v>12300910.271665907</v>
      </c>
      <c r="AU132" s="49">
        <f t="shared" ref="AU132" ca="1" si="242">AT135</f>
        <v>9840728.2173327245</v>
      </c>
      <c r="AV132" s="49">
        <f t="shared" ref="AV132" ca="1" si="243">AU135</f>
        <v>7380546.1629995434</v>
      </c>
      <c r="AW132" s="49">
        <f t="shared" ref="AW132" ca="1" si="244">AV135</f>
        <v>4920364.1086663622</v>
      </c>
      <c r="AX132" s="49">
        <f t="shared" ref="AX132" ca="1" si="245">AW135</f>
        <v>2460182.0543331811</v>
      </c>
      <c r="AY132" s="49">
        <f t="shared" ref="AY132" ca="1" si="246">AX135</f>
        <v>21514092.818518873</v>
      </c>
      <c r="AZ132" s="49">
        <f t="shared" ref="AZ132" ca="1" si="247">AY135</f>
        <v>17928410.682099059</v>
      </c>
      <c r="BA132" s="49">
        <f t="shared" ref="BA132" ca="1" si="248">AZ135</f>
        <v>14342728.545679247</v>
      </c>
      <c r="BB132" s="49">
        <f t="shared" ref="BB132" ca="1" si="249">BA135</f>
        <v>10757046.409259435</v>
      </c>
      <c r="BC132" s="49">
        <f t="shared" ref="BC132" ca="1" si="250">BB135</f>
        <v>7171364.2728396226</v>
      </c>
      <c r="BD132" s="49">
        <f t="shared" ref="BD132" ca="1" si="251">BC135</f>
        <v>3585682.1364198113</v>
      </c>
      <c r="BE132" s="49">
        <f t="shared" ref="BE132" ca="1" si="252">BD135</f>
        <v>28574121.313359704</v>
      </c>
      <c r="BF132" s="49">
        <f t="shared" ref="BF132" ca="1" si="253">BE135</f>
        <v>23811767.761133086</v>
      </c>
      <c r="BG132" s="49">
        <f t="shared" ref="BG132" ca="1" si="254">BF135</f>
        <v>19049414.208906468</v>
      </c>
      <c r="BH132" s="49">
        <f t="shared" ref="BH132" ca="1" si="255">BG135</f>
        <v>14287060.65667985</v>
      </c>
      <c r="BI132" s="49">
        <f t="shared" ref="BI132" ca="1" si="256">BH135</f>
        <v>9524707.1044532321</v>
      </c>
      <c r="BJ132" s="49">
        <f t="shared" ref="BJ132" ca="1" si="257">BI135</f>
        <v>4762353.5522266161</v>
      </c>
      <c r="BK132" s="49">
        <f t="shared" ref="BK132" ca="1" si="258">BJ135</f>
        <v>30363369.136930697</v>
      </c>
      <c r="BL132" s="49">
        <f t="shared" ref="BL132" ca="1" si="259">BK135</f>
        <v>25302807.614108913</v>
      </c>
      <c r="BM132" s="49">
        <f t="shared" ref="BM132" ca="1" si="260">BL135</f>
        <v>20242246.091287129</v>
      </c>
      <c r="BN132" s="49">
        <f t="shared" ref="BN132" ca="1" si="261">BM135</f>
        <v>15181684.568465346</v>
      </c>
      <c r="BO132" s="49">
        <f t="shared" ref="BO132" ca="1" si="262">BN135</f>
        <v>10121123.045643564</v>
      </c>
      <c r="BP132" s="49">
        <f t="shared" ref="BP132" ca="1" si="263">BO135</f>
        <v>5060561.5228217822</v>
      </c>
      <c r="BQ132" s="49">
        <f t="shared" ref="BQ132" ca="1" si="264">BP135</f>
        <v>31511534.746687345</v>
      </c>
      <c r="BR132" s="49">
        <f t="shared" ref="BR132" ca="1" si="265">BQ135</f>
        <v>26259612.28890612</v>
      </c>
      <c r="BS132" s="49">
        <f t="shared" ref="BS132" ca="1" si="266">BR135</f>
        <v>21007689.831124894</v>
      </c>
      <c r="BT132" s="49">
        <f t="shared" ref="BT132" ca="1" si="267">BS135</f>
        <v>15755767.373343671</v>
      </c>
      <c r="BU132" s="49">
        <f t="shared" ref="BU132" ca="1" si="268">BT135</f>
        <v>10503844.915562447</v>
      </c>
      <c r="BV132" s="49">
        <f t="shared" ref="BV132" ca="1" si="269">BU135</f>
        <v>5251922.4577812236</v>
      </c>
      <c r="BW132" s="49">
        <f t="shared" ref="BW132" ca="1" si="270">BV135</f>
        <v>32655604.417050876</v>
      </c>
      <c r="BX132" s="49">
        <f t="shared" ref="BX132" ca="1" si="271">BW135</f>
        <v>27213003.68087573</v>
      </c>
      <c r="BY132" s="49">
        <f t="shared" ref="BY132" ca="1" si="272">BX135</f>
        <v>21770402.944700584</v>
      </c>
      <c r="BZ132" s="49">
        <f t="shared" ref="BZ132" ca="1" si="273">BY135</f>
        <v>16327802.208525438</v>
      </c>
      <c r="CA132" s="49">
        <f t="shared" ref="CA132" ca="1" si="274">BZ135</f>
        <v>10885201.472350292</v>
      </c>
      <c r="CB132" s="49">
        <f t="shared" ref="CB132" ca="1" si="275">CA135</f>
        <v>5442600.736175146</v>
      </c>
      <c r="CC132" s="49">
        <f t="shared" ref="CC132" ca="1" si="276">CB135</f>
        <v>33719607.011111975</v>
      </c>
      <c r="CD132" s="49">
        <f t="shared" ref="CD132" ca="1" si="277">CC135</f>
        <v>28099672.50925998</v>
      </c>
      <c r="CE132" s="49">
        <f t="shared" ref="CE132" ca="1" si="278">CD135</f>
        <v>22479738.007407986</v>
      </c>
      <c r="CF132" s="49">
        <f t="shared" ref="CF132" ca="1" si="279">CE135</f>
        <v>16859803.505555987</v>
      </c>
      <c r="CG132" s="49">
        <f t="shared" ref="CG132" ca="1" si="280">CF135</f>
        <v>11239869.003703993</v>
      </c>
      <c r="CH132" s="49">
        <f t="shared" ref="CH132" ca="1" si="281">CG135</f>
        <v>5619934.5018519964</v>
      </c>
      <c r="CI132" s="49">
        <f t="shared" ref="CI132" ca="1" si="282">CH135</f>
        <v>34783244.390827738</v>
      </c>
      <c r="CJ132" s="49">
        <f t="shared" ref="CJ132" ca="1" si="283">CI135</f>
        <v>28986036.992356449</v>
      </c>
      <c r="CK132" s="49">
        <f t="shared" ref="CK132" ca="1" si="284">CJ135</f>
        <v>23188829.593885161</v>
      </c>
    </row>
    <row r="133" spans="2:89">
      <c r="B133" s="45" t="s">
        <v>72</v>
      </c>
      <c r="C133" s="46"/>
      <c r="D133" s="98">
        <f ca="1">SUM(F133:CK133)</f>
        <v>233902938.6992507</v>
      </c>
      <c r="E133" s="48"/>
      <c r="F133" s="49">
        <f t="shared" ref="F133:BQ133" ca="1" si="285">MAX(F128*F114,0)</f>
        <v>0</v>
      </c>
      <c r="G133" s="49">
        <f t="shared" ca="1" si="285"/>
        <v>0</v>
      </c>
      <c r="H133" s="49">
        <f t="shared" ca="1" si="285"/>
        <v>0</v>
      </c>
      <c r="I133" s="49">
        <f t="shared" ca="1" si="285"/>
        <v>0</v>
      </c>
      <c r="J133" s="49">
        <f t="shared" ca="1" si="285"/>
        <v>0</v>
      </c>
      <c r="K133" s="49">
        <f t="shared" ca="1" si="285"/>
        <v>0</v>
      </c>
      <c r="L133" s="49">
        <f t="shared" ca="1" si="285"/>
        <v>0</v>
      </c>
      <c r="M133" s="49">
        <f t="shared" ca="1" si="285"/>
        <v>0</v>
      </c>
      <c r="N133" s="49">
        <f t="shared" ca="1" si="285"/>
        <v>0</v>
      </c>
      <c r="O133" s="49">
        <f t="shared" ca="1" si="285"/>
        <v>0</v>
      </c>
      <c r="P133" s="49">
        <f t="shared" ca="1" si="285"/>
        <v>0</v>
      </c>
      <c r="Q133" s="49">
        <f t="shared" ca="1" si="285"/>
        <v>0</v>
      </c>
      <c r="R133" s="49">
        <f t="shared" ca="1" si="285"/>
        <v>0</v>
      </c>
      <c r="S133" s="49">
        <f t="shared" ca="1" si="285"/>
        <v>0</v>
      </c>
      <c r="T133" s="49">
        <f t="shared" ca="1" si="285"/>
        <v>0</v>
      </c>
      <c r="U133" s="49">
        <f t="shared" ca="1" si="285"/>
        <v>0</v>
      </c>
      <c r="V133" s="49">
        <f t="shared" ca="1" si="285"/>
        <v>0</v>
      </c>
      <c r="W133" s="49">
        <f t="shared" ca="1" si="285"/>
        <v>0</v>
      </c>
      <c r="X133" s="49">
        <f t="shared" ca="1" si="285"/>
        <v>0</v>
      </c>
      <c r="Y133" s="49">
        <f t="shared" ca="1" si="285"/>
        <v>0</v>
      </c>
      <c r="Z133" s="49">
        <f t="shared" ca="1" si="285"/>
        <v>0</v>
      </c>
      <c r="AA133" s="49">
        <f t="shared" ca="1" si="285"/>
        <v>0</v>
      </c>
      <c r="AB133" s="49">
        <f t="shared" ca="1" si="285"/>
        <v>0</v>
      </c>
      <c r="AC133" s="49">
        <f t="shared" ca="1" si="285"/>
        <v>0</v>
      </c>
      <c r="AD133" s="49">
        <f t="shared" ca="1" si="285"/>
        <v>0</v>
      </c>
      <c r="AE133" s="49">
        <f t="shared" ca="1" si="285"/>
        <v>0</v>
      </c>
      <c r="AF133" s="49">
        <f t="shared" ca="1" si="285"/>
        <v>0</v>
      </c>
      <c r="AG133" s="49">
        <f t="shared" ca="1" si="285"/>
        <v>0</v>
      </c>
      <c r="AH133" s="49">
        <f t="shared" ca="1" si="285"/>
        <v>0</v>
      </c>
      <c r="AI133" s="49">
        <f t="shared" ca="1" si="285"/>
        <v>0</v>
      </c>
      <c r="AJ133" s="49">
        <f t="shared" ca="1" si="285"/>
        <v>0</v>
      </c>
      <c r="AK133" s="49">
        <f t="shared" ca="1" si="285"/>
        <v>0</v>
      </c>
      <c r="AL133" s="49">
        <f t="shared" ca="1" si="285"/>
        <v>6020272.5387643678</v>
      </c>
      <c r="AM133" s="49">
        <f t="shared" ca="1" si="285"/>
        <v>0</v>
      </c>
      <c r="AN133" s="49">
        <f t="shared" ca="1" si="285"/>
        <v>0</v>
      </c>
      <c r="AO133" s="49">
        <f t="shared" ca="1" si="285"/>
        <v>0</v>
      </c>
      <c r="AP133" s="49">
        <f t="shared" ca="1" si="285"/>
        <v>0</v>
      </c>
      <c r="AQ133" s="49">
        <f t="shared" ca="1" si="285"/>
        <v>0</v>
      </c>
      <c r="AR133" s="49">
        <f t="shared" ca="1" si="285"/>
        <v>14761092.325999089</v>
      </c>
      <c r="AS133" s="49">
        <f t="shared" ca="1" si="285"/>
        <v>0</v>
      </c>
      <c r="AT133" s="49">
        <f t="shared" ca="1" si="285"/>
        <v>0</v>
      </c>
      <c r="AU133" s="49">
        <f t="shared" ca="1" si="285"/>
        <v>0</v>
      </c>
      <c r="AV133" s="49">
        <f t="shared" ca="1" si="285"/>
        <v>0</v>
      </c>
      <c r="AW133" s="49">
        <f t="shared" ca="1" si="285"/>
        <v>0</v>
      </c>
      <c r="AX133" s="49">
        <f t="shared" ca="1" si="285"/>
        <v>21514092.818518873</v>
      </c>
      <c r="AY133" s="49">
        <f t="shared" ca="1" si="285"/>
        <v>0</v>
      </c>
      <c r="AZ133" s="49">
        <f t="shared" ca="1" si="285"/>
        <v>0</v>
      </c>
      <c r="BA133" s="49">
        <f t="shared" ca="1" si="285"/>
        <v>0</v>
      </c>
      <c r="BB133" s="49">
        <f t="shared" ca="1" si="285"/>
        <v>0</v>
      </c>
      <c r="BC133" s="49">
        <f t="shared" ca="1" si="285"/>
        <v>0</v>
      </c>
      <c r="BD133" s="49">
        <f t="shared" ca="1" si="285"/>
        <v>28574121.313359704</v>
      </c>
      <c r="BE133" s="49">
        <f t="shared" ca="1" si="285"/>
        <v>0</v>
      </c>
      <c r="BF133" s="49">
        <f t="shared" ca="1" si="285"/>
        <v>0</v>
      </c>
      <c r="BG133" s="49">
        <f t="shared" ca="1" si="285"/>
        <v>0</v>
      </c>
      <c r="BH133" s="49">
        <f t="shared" ca="1" si="285"/>
        <v>0</v>
      </c>
      <c r="BI133" s="49">
        <f t="shared" ca="1" si="285"/>
        <v>0</v>
      </c>
      <c r="BJ133" s="49">
        <f t="shared" ca="1" si="285"/>
        <v>30363369.1369307</v>
      </c>
      <c r="BK133" s="49">
        <f t="shared" ca="1" si="285"/>
        <v>0</v>
      </c>
      <c r="BL133" s="49">
        <f t="shared" ca="1" si="285"/>
        <v>0</v>
      </c>
      <c r="BM133" s="49">
        <f t="shared" ca="1" si="285"/>
        <v>0</v>
      </c>
      <c r="BN133" s="49">
        <f t="shared" ca="1" si="285"/>
        <v>0</v>
      </c>
      <c r="BO133" s="49">
        <f t="shared" ca="1" si="285"/>
        <v>0</v>
      </c>
      <c r="BP133" s="49">
        <f t="shared" ca="1" si="285"/>
        <v>31511534.746687349</v>
      </c>
      <c r="BQ133" s="49">
        <f t="shared" ca="1" si="285"/>
        <v>0</v>
      </c>
      <c r="BR133" s="49">
        <f t="shared" ref="BR133:CK133" ca="1" si="286">MAX(BR128*BR114,0)</f>
        <v>0</v>
      </c>
      <c r="BS133" s="49">
        <f t="shared" ca="1" si="286"/>
        <v>0</v>
      </c>
      <c r="BT133" s="49">
        <f t="shared" ca="1" si="286"/>
        <v>0</v>
      </c>
      <c r="BU133" s="49">
        <f t="shared" ca="1" si="286"/>
        <v>0</v>
      </c>
      <c r="BV133" s="49">
        <f t="shared" ca="1" si="286"/>
        <v>32655604.417050876</v>
      </c>
      <c r="BW133" s="49">
        <f t="shared" ca="1" si="286"/>
        <v>0</v>
      </c>
      <c r="BX133" s="49">
        <f t="shared" ca="1" si="286"/>
        <v>0</v>
      </c>
      <c r="BY133" s="49">
        <f t="shared" ca="1" si="286"/>
        <v>0</v>
      </c>
      <c r="BZ133" s="49">
        <f t="shared" ca="1" si="286"/>
        <v>0</v>
      </c>
      <c r="CA133" s="49">
        <f t="shared" ca="1" si="286"/>
        <v>0</v>
      </c>
      <c r="CB133" s="49">
        <f t="shared" ca="1" si="286"/>
        <v>33719607.011111982</v>
      </c>
      <c r="CC133" s="49">
        <f t="shared" ca="1" si="286"/>
        <v>0</v>
      </c>
      <c r="CD133" s="49">
        <f t="shared" ca="1" si="286"/>
        <v>0</v>
      </c>
      <c r="CE133" s="49">
        <f t="shared" ca="1" si="286"/>
        <v>0</v>
      </c>
      <c r="CF133" s="49">
        <f t="shared" ca="1" si="286"/>
        <v>0</v>
      </c>
      <c r="CG133" s="49">
        <f t="shared" ca="1" si="286"/>
        <v>0</v>
      </c>
      <c r="CH133" s="49">
        <f t="shared" ca="1" si="286"/>
        <v>34783244.390827738</v>
      </c>
      <c r="CI133" s="49">
        <f t="shared" ca="1" si="286"/>
        <v>0</v>
      </c>
      <c r="CJ133" s="49">
        <f t="shared" ca="1" si="286"/>
        <v>0</v>
      </c>
      <c r="CK133" s="49">
        <f t="shared" ca="1" si="286"/>
        <v>0</v>
      </c>
    </row>
    <row r="134" spans="2:89" ht="15.75" thickBot="1">
      <c r="B134" s="45" t="s">
        <v>73</v>
      </c>
      <c r="C134" s="46"/>
      <c r="D134" s="98">
        <f ca="1">SUM(F134:CK134)</f>
        <v>-216511316.5038369</v>
      </c>
      <c r="E134" s="48"/>
      <c r="F134" s="49">
        <f t="shared" ref="F134:AK134" si="287">-F132/(Мес_в_полугод-F23+1)</f>
        <v>0</v>
      </c>
      <c r="G134" s="49">
        <f t="shared" ca="1" si="287"/>
        <v>0</v>
      </c>
      <c r="H134" s="49">
        <f t="shared" ca="1" si="287"/>
        <v>0</v>
      </c>
      <c r="I134" s="49">
        <f t="shared" ca="1" si="287"/>
        <v>0</v>
      </c>
      <c r="J134" s="49">
        <f t="shared" ca="1" si="287"/>
        <v>0</v>
      </c>
      <c r="K134" s="49">
        <f t="shared" ca="1" si="287"/>
        <v>0</v>
      </c>
      <c r="L134" s="49">
        <f t="shared" ca="1" si="287"/>
        <v>0</v>
      </c>
      <c r="M134" s="49">
        <f t="shared" ca="1" si="287"/>
        <v>0</v>
      </c>
      <c r="N134" s="49">
        <f t="shared" ca="1" si="287"/>
        <v>0</v>
      </c>
      <c r="O134" s="49">
        <f t="shared" ca="1" si="287"/>
        <v>0</v>
      </c>
      <c r="P134" s="49">
        <f t="shared" ca="1" si="287"/>
        <v>0</v>
      </c>
      <c r="Q134" s="49">
        <f t="shared" ca="1" si="287"/>
        <v>0</v>
      </c>
      <c r="R134" s="49">
        <f t="shared" ca="1" si="287"/>
        <v>0</v>
      </c>
      <c r="S134" s="49">
        <f t="shared" ca="1" si="287"/>
        <v>0</v>
      </c>
      <c r="T134" s="49">
        <f t="shared" ca="1" si="287"/>
        <v>0</v>
      </c>
      <c r="U134" s="49">
        <f t="shared" ca="1" si="287"/>
        <v>0</v>
      </c>
      <c r="V134" s="49">
        <f t="shared" ca="1" si="287"/>
        <v>0</v>
      </c>
      <c r="W134" s="49">
        <f t="shared" ca="1" si="287"/>
        <v>0</v>
      </c>
      <c r="X134" s="49">
        <f t="shared" ca="1" si="287"/>
        <v>0</v>
      </c>
      <c r="Y134" s="49">
        <f t="shared" ca="1" si="287"/>
        <v>0</v>
      </c>
      <c r="Z134" s="49">
        <f t="shared" ca="1" si="287"/>
        <v>0</v>
      </c>
      <c r="AA134" s="49">
        <f t="shared" ca="1" si="287"/>
        <v>0</v>
      </c>
      <c r="AB134" s="49">
        <f t="shared" ca="1" si="287"/>
        <v>0</v>
      </c>
      <c r="AC134" s="49">
        <f t="shared" ca="1" si="287"/>
        <v>0</v>
      </c>
      <c r="AD134" s="49">
        <f t="shared" ca="1" si="287"/>
        <v>0</v>
      </c>
      <c r="AE134" s="49">
        <f t="shared" ca="1" si="287"/>
        <v>0</v>
      </c>
      <c r="AF134" s="49">
        <f t="shared" ca="1" si="287"/>
        <v>0</v>
      </c>
      <c r="AG134" s="49">
        <f t="shared" ca="1" si="287"/>
        <v>0</v>
      </c>
      <c r="AH134" s="49">
        <f t="shared" ca="1" si="287"/>
        <v>0</v>
      </c>
      <c r="AI134" s="49">
        <f t="shared" ca="1" si="287"/>
        <v>0</v>
      </c>
      <c r="AJ134" s="49">
        <f t="shared" ca="1" si="287"/>
        <v>0</v>
      </c>
      <c r="AK134" s="49">
        <f t="shared" ca="1" si="287"/>
        <v>0</v>
      </c>
      <c r="AL134" s="49">
        <f t="shared" ref="AL134:BQ134" ca="1" si="288">-AL132/(Мес_в_полугод-AL23+1)</f>
        <v>0</v>
      </c>
      <c r="AM134" s="49">
        <f t="shared" ca="1" si="288"/>
        <v>-1003378.756460728</v>
      </c>
      <c r="AN134" s="49">
        <f t="shared" ca="1" si="288"/>
        <v>-1003378.7564607279</v>
      </c>
      <c r="AO134" s="49">
        <f t="shared" ca="1" si="288"/>
        <v>-1003378.7564607279</v>
      </c>
      <c r="AP134" s="49">
        <f t="shared" ca="1" si="288"/>
        <v>-1003378.7564607278</v>
      </c>
      <c r="AQ134" s="49">
        <f t="shared" ca="1" si="288"/>
        <v>-1003378.7564607279</v>
      </c>
      <c r="AR134" s="49">
        <f t="shared" ca="1" si="288"/>
        <v>-1003378.7564607279</v>
      </c>
      <c r="AS134" s="49">
        <f t="shared" ca="1" si="288"/>
        <v>-2460182.0543331816</v>
      </c>
      <c r="AT134" s="49">
        <f t="shared" ca="1" si="288"/>
        <v>-2460182.0543331811</v>
      </c>
      <c r="AU134" s="49">
        <f t="shared" ca="1" si="288"/>
        <v>-2460182.0543331811</v>
      </c>
      <c r="AV134" s="49">
        <f t="shared" ca="1" si="288"/>
        <v>-2460182.0543331811</v>
      </c>
      <c r="AW134" s="49">
        <f t="shared" ca="1" si="288"/>
        <v>-2460182.0543331811</v>
      </c>
      <c r="AX134" s="49">
        <f t="shared" ca="1" si="288"/>
        <v>-2460182.0543331811</v>
      </c>
      <c r="AY134" s="49">
        <f t="shared" ca="1" si="288"/>
        <v>-3585682.1364198122</v>
      </c>
      <c r="AZ134" s="49">
        <f t="shared" ca="1" si="288"/>
        <v>-3585682.1364198118</v>
      </c>
      <c r="BA134" s="49">
        <f t="shared" ca="1" si="288"/>
        <v>-3585682.1364198118</v>
      </c>
      <c r="BB134" s="49">
        <f t="shared" ca="1" si="288"/>
        <v>-3585682.1364198118</v>
      </c>
      <c r="BC134" s="49">
        <f t="shared" ca="1" si="288"/>
        <v>-3585682.1364198113</v>
      </c>
      <c r="BD134" s="49">
        <f t="shared" ca="1" si="288"/>
        <v>-3585682.1364198113</v>
      </c>
      <c r="BE134" s="49">
        <f t="shared" ca="1" si="288"/>
        <v>-4762353.552226617</v>
      </c>
      <c r="BF134" s="49">
        <f t="shared" ca="1" si="288"/>
        <v>-4762353.552226617</v>
      </c>
      <c r="BG134" s="49">
        <f t="shared" ca="1" si="288"/>
        <v>-4762353.552226617</v>
      </c>
      <c r="BH134" s="49">
        <f t="shared" ca="1" si="288"/>
        <v>-4762353.552226617</v>
      </c>
      <c r="BI134" s="49">
        <f t="shared" ca="1" si="288"/>
        <v>-4762353.5522266161</v>
      </c>
      <c r="BJ134" s="49">
        <f t="shared" ca="1" si="288"/>
        <v>-4762353.5522266161</v>
      </c>
      <c r="BK134" s="49">
        <f t="shared" ca="1" si="288"/>
        <v>-5060561.5228217831</v>
      </c>
      <c r="BL134" s="49">
        <f t="shared" ca="1" si="288"/>
        <v>-5060561.5228217822</v>
      </c>
      <c r="BM134" s="49">
        <f t="shared" ca="1" si="288"/>
        <v>-5060561.5228217822</v>
      </c>
      <c r="BN134" s="49">
        <f t="shared" ca="1" si="288"/>
        <v>-5060561.5228217822</v>
      </c>
      <c r="BO134" s="49">
        <f t="shared" ca="1" si="288"/>
        <v>-5060561.5228217822</v>
      </c>
      <c r="BP134" s="49">
        <f t="shared" ca="1" si="288"/>
        <v>-5060561.5228217822</v>
      </c>
      <c r="BQ134" s="49">
        <f t="shared" ca="1" si="288"/>
        <v>-5251922.4577812245</v>
      </c>
      <c r="BR134" s="49">
        <f t="shared" ref="BR134:CK134" ca="1" si="289">-BR132/(Мес_в_полугод-BR23+1)</f>
        <v>-5251922.4577812236</v>
      </c>
      <c r="BS134" s="49">
        <f t="shared" ca="1" si="289"/>
        <v>-5251922.4577812236</v>
      </c>
      <c r="BT134" s="49">
        <f t="shared" ca="1" si="289"/>
        <v>-5251922.4577812236</v>
      </c>
      <c r="BU134" s="49">
        <f t="shared" ca="1" si="289"/>
        <v>-5251922.4577812236</v>
      </c>
      <c r="BV134" s="49">
        <f t="shared" ca="1" si="289"/>
        <v>-5251922.4577812236</v>
      </c>
      <c r="BW134" s="49">
        <f t="shared" ca="1" si="289"/>
        <v>-5442600.736175146</v>
      </c>
      <c r="BX134" s="49">
        <f t="shared" ca="1" si="289"/>
        <v>-5442600.736175146</v>
      </c>
      <c r="BY134" s="49">
        <f t="shared" ca="1" si="289"/>
        <v>-5442600.736175146</v>
      </c>
      <c r="BZ134" s="49">
        <f t="shared" ca="1" si="289"/>
        <v>-5442600.736175146</v>
      </c>
      <c r="CA134" s="49">
        <f t="shared" ca="1" si="289"/>
        <v>-5442600.736175146</v>
      </c>
      <c r="CB134" s="49">
        <f t="shared" ca="1" si="289"/>
        <v>-5442600.736175146</v>
      </c>
      <c r="CC134" s="49">
        <f t="shared" ca="1" si="289"/>
        <v>-5619934.5018519955</v>
      </c>
      <c r="CD134" s="49">
        <f t="shared" ca="1" si="289"/>
        <v>-5619934.5018519964</v>
      </c>
      <c r="CE134" s="49">
        <f t="shared" ca="1" si="289"/>
        <v>-5619934.5018519964</v>
      </c>
      <c r="CF134" s="49">
        <f t="shared" ca="1" si="289"/>
        <v>-5619934.5018519955</v>
      </c>
      <c r="CG134" s="49">
        <f t="shared" ca="1" si="289"/>
        <v>-5619934.5018519964</v>
      </c>
      <c r="CH134" s="49">
        <f t="shared" ca="1" si="289"/>
        <v>-5619934.5018519964</v>
      </c>
      <c r="CI134" s="49">
        <f t="shared" ca="1" si="289"/>
        <v>-5797207.3984712893</v>
      </c>
      <c r="CJ134" s="49">
        <f t="shared" ca="1" si="289"/>
        <v>-5797207.3984712902</v>
      </c>
      <c r="CK134" s="49">
        <f t="shared" ca="1" si="289"/>
        <v>-5797207.3984712902</v>
      </c>
    </row>
    <row r="135" spans="2:89" ht="15.75" thickTop="1">
      <c r="B135" s="50" t="s">
        <v>58</v>
      </c>
      <c r="C135" s="51"/>
      <c r="D135" s="52">
        <f ca="1">SUM(D132:D134)</f>
        <v>17391622.195413798</v>
      </c>
      <c r="E135" s="53"/>
      <c r="F135" s="54">
        <f ca="1">SUM(F132:F134)</f>
        <v>0</v>
      </c>
      <c r="G135" s="54">
        <f t="shared" ref="G135:BR135" ca="1" si="290">SUM(G132:G134)</f>
        <v>0</v>
      </c>
      <c r="H135" s="54">
        <f t="shared" ca="1" si="290"/>
        <v>0</v>
      </c>
      <c r="I135" s="54">
        <f t="shared" ca="1" si="290"/>
        <v>0</v>
      </c>
      <c r="J135" s="54">
        <f t="shared" ca="1" si="290"/>
        <v>0</v>
      </c>
      <c r="K135" s="54">
        <f t="shared" ca="1" si="290"/>
        <v>0</v>
      </c>
      <c r="L135" s="54">
        <f t="shared" ca="1" si="290"/>
        <v>0</v>
      </c>
      <c r="M135" s="54">
        <f t="shared" ca="1" si="290"/>
        <v>0</v>
      </c>
      <c r="N135" s="54">
        <f t="shared" ca="1" si="290"/>
        <v>0</v>
      </c>
      <c r="O135" s="54">
        <f t="shared" ca="1" si="290"/>
        <v>0</v>
      </c>
      <c r="P135" s="54">
        <f t="shared" ca="1" si="290"/>
        <v>0</v>
      </c>
      <c r="Q135" s="54">
        <f t="shared" ca="1" si="290"/>
        <v>0</v>
      </c>
      <c r="R135" s="54">
        <f t="shared" ca="1" si="290"/>
        <v>0</v>
      </c>
      <c r="S135" s="54">
        <f t="shared" ca="1" si="290"/>
        <v>0</v>
      </c>
      <c r="T135" s="54">
        <f t="shared" ca="1" si="290"/>
        <v>0</v>
      </c>
      <c r="U135" s="54">
        <f t="shared" ca="1" si="290"/>
        <v>0</v>
      </c>
      <c r="V135" s="54">
        <f t="shared" ca="1" si="290"/>
        <v>0</v>
      </c>
      <c r="W135" s="54">
        <f t="shared" ca="1" si="290"/>
        <v>0</v>
      </c>
      <c r="X135" s="54">
        <f t="shared" ca="1" si="290"/>
        <v>0</v>
      </c>
      <c r="Y135" s="54">
        <f t="shared" ca="1" si="290"/>
        <v>0</v>
      </c>
      <c r="Z135" s="54">
        <f t="shared" ca="1" si="290"/>
        <v>0</v>
      </c>
      <c r="AA135" s="54">
        <f t="shared" ca="1" si="290"/>
        <v>0</v>
      </c>
      <c r="AB135" s="54">
        <f t="shared" ca="1" si="290"/>
        <v>0</v>
      </c>
      <c r="AC135" s="54">
        <f t="shared" ca="1" si="290"/>
        <v>0</v>
      </c>
      <c r="AD135" s="54">
        <f t="shared" ca="1" si="290"/>
        <v>0</v>
      </c>
      <c r="AE135" s="54">
        <f t="shared" ca="1" si="290"/>
        <v>0</v>
      </c>
      <c r="AF135" s="54">
        <f t="shared" ca="1" si="290"/>
        <v>0</v>
      </c>
      <c r="AG135" s="54">
        <f t="shared" ca="1" si="290"/>
        <v>0</v>
      </c>
      <c r="AH135" s="54">
        <f t="shared" ca="1" si="290"/>
        <v>0</v>
      </c>
      <c r="AI135" s="54">
        <f t="shared" ca="1" si="290"/>
        <v>0</v>
      </c>
      <c r="AJ135" s="54">
        <f t="shared" ca="1" si="290"/>
        <v>0</v>
      </c>
      <c r="AK135" s="54">
        <f t="shared" ca="1" si="290"/>
        <v>0</v>
      </c>
      <c r="AL135" s="54">
        <f t="shared" ca="1" si="290"/>
        <v>6020272.5387643678</v>
      </c>
      <c r="AM135" s="54">
        <f t="shared" ca="1" si="290"/>
        <v>5016893.7823036397</v>
      </c>
      <c r="AN135" s="54">
        <f t="shared" ca="1" si="290"/>
        <v>4013515.0258429116</v>
      </c>
      <c r="AO135" s="54">
        <f t="shared" ca="1" si="290"/>
        <v>3010136.2693821834</v>
      </c>
      <c r="AP135" s="54">
        <f t="shared" ca="1" si="290"/>
        <v>2006757.5129214558</v>
      </c>
      <c r="AQ135" s="54">
        <f t="shared" ca="1" si="290"/>
        <v>1003378.7564607279</v>
      </c>
      <c r="AR135" s="54">
        <f t="shared" ca="1" si="290"/>
        <v>14761092.325999089</v>
      </c>
      <c r="AS135" s="54">
        <f t="shared" ca="1" si="290"/>
        <v>12300910.271665907</v>
      </c>
      <c r="AT135" s="54">
        <f t="shared" ca="1" si="290"/>
        <v>9840728.2173327245</v>
      </c>
      <c r="AU135" s="54">
        <f t="shared" ca="1" si="290"/>
        <v>7380546.1629995434</v>
      </c>
      <c r="AV135" s="54">
        <f t="shared" ca="1" si="290"/>
        <v>4920364.1086663622</v>
      </c>
      <c r="AW135" s="54">
        <f t="shared" ca="1" si="290"/>
        <v>2460182.0543331811</v>
      </c>
      <c r="AX135" s="54">
        <f t="shared" ca="1" si="290"/>
        <v>21514092.818518873</v>
      </c>
      <c r="AY135" s="54">
        <f t="shared" ca="1" si="290"/>
        <v>17928410.682099059</v>
      </c>
      <c r="AZ135" s="54">
        <f t="shared" ca="1" si="290"/>
        <v>14342728.545679247</v>
      </c>
      <c r="BA135" s="54">
        <f t="shared" ca="1" si="290"/>
        <v>10757046.409259435</v>
      </c>
      <c r="BB135" s="54">
        <f t="shared" ca="1" si="290"/>
        <v>7171364.2728396226</v>
      </c>
      <c r="BC135" s="54">
        <f t="shared" ca="1" si="290"/>
        <v>3585682.1364198113</v>
      </c>
      <c r="BD135" s="54">
        <f t="shared" ca="1" si="290"/>
        <v>28574121.313359704</v>
      </c>
      <c r="BE135" s="54">
        <f t="shared" ca="1" si="290"/>
        <v>23811767.761133086</v>
      </c>
      <c r="BF135" s="54">
        <f t="shared" ca="1" si="290"/>
        <v>19049414.208906468</v>
      </c>
      <c r="BG135" s="54">
        <f t="shared" ca="1" si="290"/>
        <v>14287060.65667985</v>
      </c>
      <c r="BH135" s="54">
        <f t="shared" ca="1" si="290"/>
        <v>9524707.1044532321</v>
      </c>
      <c r="BI135" s="54">
        <f t="shared" ca="1" si="290"/>
        <v>4762353.5522266161</v>
      </c>
      <c r="BJ135" s="54">
        <f t="shared" ca="1" si="290"/>
        <v>30363369.136930697</v>
      </c>
      <c r="BK135" s="54">
        <f t="shared" ca="1" si="290"/>
        <v>25302807.614108913</v>
      </c>
      <c r="BL135" s="54">
        <f t="shared" ca="1" si="290"/>
        <v>20242246.091287129</v>
      </c>
      <c r="BM135" s="54">
        <f t="shared" ca="1" si="290"/>
        <v>15181684.568465346</v>
      </c>
      <c r="BN135" s="54">
        <f t="shared" ca="1" si="290"/>
        <v>10121123.045643564</v>
      </c>
      <c r="BO135" s="54">
        <f t="shared" ca="1" si="290"/>
        <v>5060561.5228217822</v>
      </c>
      <c r="BP135" s="54">
        <f t="shared" ca="1" si="290"/>
        <v>31511534.746687345</v>
      </c>
      <c r="BQ135" s="54">
        <f t="shared" ca="1" si="290"/>
        <v>26259612.28890612</v>
      </c>
      <c r="BR135" s="54">
        <f t="shared" ca="1" si="290"/>
        <v>21007689.831124894</v>
      </c>
      <c r="BS135" s="54">
        <f t="shared" ref="BS135:CK135" ca="1" si="291">SUM(BS132:BS134)</f>
        <v>15755767.373343671</v>
      </c>
      <c r="BT135" s="54">
        <f t="shared" ca="1" si="291"/>
        <v>10503844.915562447</v>
      </c>
      <c r="BU135" s="54">
        <f t="shared" ca="1" si="291"/>
        <v>5251922.4577812236</v>
      </c>
      <c r="BV135" s="54">
        <f t="shared" ca="1" si="291"/>
        <v>32655604.417050876</v>
      </c>
      <c r="BW135" s="54">
        <f t="shared" ca="1" si="291"/>
        <v>27213003.68087573</v>
      </c>
      <c r="BX135" s="54">
        <f t="shared" ca="1" si="291"/>
        <v>21770402.944700584</v>
      </c>
      <c r="BY135" s="54">
        <f t="shared" ca="1" si="291"/>
        <v>16327802.208525438</v>
      </c>
      <c r="BZ135" s="54">
        <f t="shared" ca="1" si="291"/>
        <v>10885201.472350292</v>
      </c>
      <c r="CA135" s="54">
        <f t="shared" ca="1" si="291"/>
        <v>5442600.736175146</v>
      </c>
      <c r="CB135" s="54">
        <f t="shared" ca="1" si="291"/>
        <v>33719607.011111975</v>
      </c>
      <c r="CC135" s="54">
        <f t="shared" ca="1" si="291"/>
        <v>28099672.50925998</v>
      </c>
      <c r="CD135" s="54">
        <f t="shared" ca="1" si="291"/>
        <v>22479738.007407986</v>
      </c>
      <c r="CE135" s="54">
        <f t="shared" ca="1" si="291"/>
        <v>16859803.505555987</v>
      </c>
      <c r="CF135" s="54">
        <f t="shared" ca="1" si="291"/>
        <v>11239869.003703993</v>
      </c>
      <c r="CG135" s="54">
        <f t="shared" ca="1" si="291"/>
        <v>5619934.5018519964</v>
      </c>
      <c r="CH135" s="54">
        <f t="shared" ca="1" si="291"/>
        <v>34783244.390827738</v>
      </c>
      <c r="CI135" s="54">
        <f t="shared" ca="1" si="291"/>
        <v>28986036.992356449</v>
      </c>
      <c r="CJ135" s="54">
        <f t="shared" ca="1" si="291"/>
        <v>23188829.593885161</v>
      </c>
      <c r="CK135" s="54">
        <f t="shared" ca="1" si="291"/>
        <v>17391622.195413873</v>
      </c>
    </row>
    <row r="136" spans="2:89"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</row>
    <row r="137" spans="2:89" ht="18" thickBot="1">
      <c r="B137" s="100" t="str">
        <f>"Убытки прошлых периодов, в "&amp;Ед_измерения_денег</f>
        <v>Убытки прошлых периодов, в  руб.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</row>
    <row r="138" spans="2:89" ht="15.75" thickTop="1">
      <c r="B138" s="182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</row>
    <row r="139" spans="2:89">
      <c r="B139" s="45" t="s">
        <v>57</v>
      </c>
      <c r="C139" s="46"/>
      <c r="D139" s="98">
        <v>0</v>
      </c>
      <c r="E139" s="48"/>
      <c r="F139" s="49">
        <f>E142</f>
        <v>0</v>
      </c>
      <c r="G139" s="49">
        <f t="shared" ref="G139" ca="1" si="292">F142</f>
        <v>0</v>
      </c>
      <c r="H139" s="49">
        <f t="shared" ref="H139" ca="1" si="293">G142</f>
        <v>0</v>
      </c>
      <c r="I139" s="49">
        <f t="shared" ref="I139" ca="1" si="294">H142</f>
        <v>1729726.0273972601</v>
      </c>
      <c r="J139" s="49">
        <f t="shared" ref="J139" ca="1" si="295">I142</f>
        <v>1729726.0273972601</v>
      </c>
      <c r="K139" s="49">
        <f t="shared" ref="K139" ca="1" si="296">J142</f>
        <v>1729726.0273972601</v>
      </c>
      <c r="L139" s="49">
        <f t="shared" ref="L139" ca="1" si="297">K142</f>
        <v>1729726.0273972601</v>
      </c>
      <c r="M139" s="49">
        <f t="shared" ref="M139" ca="1" si="298">L142</f>
        <v>1729726.0273972601</v>
      </c>
      <c r="N139" s="49">
        <f t="shared" ref="N139" ca="1" si="299">M142</f>
        <v>1729726.0273972601</v>
      </c>
      <c r="O139" s="49">
        <f t="shared" ref="O139" ca="1" si="300">N142</f>
        <v>20901123.287671231</v>
      </c>
      <c r="P139" s="49">
        <f t="shared" ref="P139" ca="1" si="301">O142</f>
        <v>20901123.287671231</v>
      </c>
      <c r="Q139" s="49">
        <f t="shared" ref="Q139" ca="1" si="302">P142</f>
        <v>20901123.287671231</v>
      </c>
      <c r="R139" s="49">
        <f t="shared" ref="R139" ca="1" si="303">Q142</f>
        <v>20901123.287671231</v>
      </c>
      <c r="S139" s="49">
        <f t="shared" ref="S139" ca="1" si="304">R142</f>
        <v>20901123.287671231</v>
      </c>
      <c r="T139" s="49">
        <f t="shared" ref="T139" ca="1" si="305">S142</f>
        <v>20901123.287671231</v>
      </c>
      <c r="U139" s="49">
        <f t="shared" ref="U139" ca="1" si="306">T142</f>
        <v>41215943.11287909</v>
      </c>
      <c r="V139" s="49">
        <f t="shared" ref="V139" ca="1" si="307">U142</f>
        <v>41215943.11287909</v>
      </c>
      <c r="W139" s="49">
        <f t="shared" ref="W139" ca="1" si="308">V142</f>
        <v>41215943.11287909</v>
      </c>
      <c r="X139" s="49">
        <f t="shared" ref="X139" ca="1" si="309">W142</f>
        <v>41215943.11287909</v>
      </c>
      <c r="Y139" s="49">
        <f t="shared" ref="Y139" ca="1" si="310">X142</f>
        <v>41215943.11287909</v>
      </c>
      <c r="Z139" s="49">
        <f t="shared" ref="Z139" ca="1" si="311">Y142</f>
        <v>41215943.11287909</v>
      </c>
      <c r="AA139" s="49">
        <f t="shared" ref="AA139" ca="1" si="312">Z142</f>
        <v>42205635.64546261</v>
      </c>
      <c r="AB139" s="49">
        <f t="shared" ref="AB139" ca="1" si="313">AA142</f>
        <v>42205635.64546261</v>
      </c>
      <c r="AC139" s="49">
        <f t="shared" ref="AC139" ca="1" si="314">AB142</f>
        <v>42205635.64546261</v>
      </c>
      <c r="AD139" s="49">
        <f t="shared" ref="AD139" ca="1" si="315">AC142</f>
        <v>42205635.64546261</v>
      </c>
      <c r="AE139" s="49">
        <f t="shared" ref="AE139" ca="1" si="316">AD142</f>
        <v>42205635.64546261</v>
      </c>
      <c r="AF139" s="49">
        <f t="shared" ref="AF139" ca="1" si="317">AE142</f>
        <v>42205635.64546261</v>
      </c>
      <c r="AG139" s="49">
        <f t="shared" ref="AG139" ca="1" si="318">AF142</f>
        <v>8539898.3361507431</v>
      </c>
      <c r="AH139" s="49">
        <f t="shared" ref="AH139" ca="1" si="319">AG142</f>
        <v>8539898.3361507431</v>
      </c>
      <c r="AI139" s="49">
        <f t="shared" ref="AI139" ca="1" si="320">AH142</f>
        <v>8539898.3361507431</v>
      </c>
      <c r="AJ139" s="49">
        <f t="shared" ref="AJ139" ca="1" si="321">AI142</f>
        <v>8539898.3361507431</v>
      </c>
      <c r="AK139" s="49">
        <f t="shared" ref="AK139" ca="1" si="322">AJ142</f>
        <v>8539898.3361507431</v>
      </c>
      <c r="AL139" s="49">
        <f t="shared" ref="AL139" ca="1" si="323">AK142</f>
        <v>8539898.3361507431</v>
      </c>
      <c r="AM139" s="49">
        <f t="shared" ref="AM139" ca="1" si="324">AL142</f>
        <v>0</v>
      </c>
      <c r="AN139" s="49">
        <f t="shared" ref="AN139" ca="1" si="325">AM142</f>
        <v>0</v>
      </c>
      <c r="AO139" s="49">
        <f t="shared" ref="AO139" ca="1" si="326">AN142</f>
        <v>0</v>
      </c>
      <c r="AP139" s="49">
        <f t="shared" ref="AP139" ca="1" si="327">AO142</f>
        <v>0</v>
      </c>
      <c r="AQ139" s="49">
        <f t="shared" ref="AQ139" ca="1" si="328">AP142</f>
        <v>0</v>
      </c>
      <c r="AR139" s="49">
        <f t="shared" ref="AR139" ca="1" si="329">AQ142</f>
        <v>0</v>
      </c>
      <c r="AS139" s="49">
        <f t="shared" ref="AS139" ca="1" si="330">AR142</f>
        <v>0</v>
      </c>
      <c r="AT139" s="49">
        <f t="shared" ref="AT139" ca="1" si="331">AS142</f>
        <v>0</v>
      </c>
      <c r="AU139" s="49">
        <f t="shared" ref="AU139" ca="1" si="332">AT142</f>
        <v>0</v>
      </c>
      <c r="AV139" s="49">
        <f t="shared" ref="AV139" ca="1" si="333">AU142</f>
        <v>0</v>
      </c>
      <c r="AW139" s="49">
        <f t="shared" ref="AW139" ca="1" si="334">AV142</f>
        <v>0</v>
      </c>
      <c r="AX139" s="49">
        <f t="shared" ref="AX139" ca="1" si="335">AW142</f>
        <v>0</v>
      </c>
      <c r="AY139" s="49">
        <f t="shared" ref="AY139" ca="1" si="336">AX142</f>
        <v>0</v>
      </c>
      <c r="AZ139" s="49">
        <f t="shared" ref="AZ139" ca="1" si="337">AY142</f>
        <v>0</v>
      </c>
      <c r="BA139" s="49">
        <f t="shared" ref="BA139" ca="1" si="338">AZ142</f>
        <v>0</v>
      </c>
      <c r="BB139" s="49">
        <f t="shared" ref="BB139" ca="1" si="339">BA142</f>
        <v>0</v>
      </c>
      <c r="BC139" s="49">
        <f t="shared" ref="BC139" ca="1" si="340">BB142</f>
        <v>0</v>
      </c>
      <c r="BD139" s="49">
        <f t="shared" ref="BD139" ca="1" si="341">BC142</f>
        <v>0</v>
      </c>
      <c r="BE139" s="49">
        <f t="shared" ref="BE139" ca="1" si="342">BD142</f>
        <v>0</v>
      </c>
      <c r="BF139" s="49">
        <f t="shared" ref="BF139" ca="1" si="343">BE142</f>
        <v>0</v>
      </c>
      <c r="BG139" s="49">
        <f t="shared" ref="BG139" ca="1" si="344">BF142</f>
        <v>0</v>
      </c>
      <c r="BH139" s="49">
        <f t="shared" ref="BH139" ca="1" si="345">BG142</f>
        <v>0</v>
      </c>
      <c r="BI139" s="49">
        <f t="shared" ref="BI139" ca="1" si="346">BH142</f>
        <v>0</v>
      </c>
      <c r="BJ139" s="49">
        <f t="shared" ref="BJ139" ca="1" si="347">BI142</f>
        <v>0</v>
      </c>
      <c r="BK139" s="49">
        <f t="shared" ref="BK139" ca="1" si="348">BJ142</f>
        <v>0</v>
      </c>
      <c r="BL139" s="49">
        <f t="shared" ref="BL139" ca="1" si="349">BK142</f>
        <v>0</v>
      </c>
      <c r="BM139" s="49">
        <f t="shared" ref="BM139" ca="1" si="350">BL142</f>
        <v>0</v>
      </c>
      <c r="BN139" s="49">
        <f t="shared" ref="BN139" ca="1" si="351">BM142</f>
        <v>0</v>
      </c>
      <c r="BO139" s="49">
        <f t="shared" ref="BO139" ca="1" si="352">BN142</f>
        <v>0</v>
      </c>
      <c r="BP139" s="49">
        <f t="shared" ref="BP139" ca="1" si="353">BO142</f>
        <v>0</v>
      </c>
      <c r="BQ139" s="49">
        <f t="shared" ref="BQ139" ca="1" si="354">BP142</f>
        <v>0</v>
      </c>
      <c r="BR139" s="49">
        <f t="shared" ref="BR139" ca="1" si="355">BQ142</f>
        <v>0</v>
      </c>
      <c r="BS139" s="49">
        <f t="shared" ref="BS139" ca="1" si="356">BR142</f>
        <v>0</v>
      </c>
      <c r="BT139" s="49">
        <f t="shared" ref="BT139" ca="1" si="357">BS142</f>
        <v>0</v>
      </c>
      <c r="BU139" s="49">
        <f t="shared" ref="BU139" ca="1" si="358">BT142</f>
        <v>0</v>
      </c>
      <c r="BV139" s="49">
        <f t="shared" ref="BV139" ca="1" si="359">BU142</f>
        <v>0</v>
      </c>
      <c r="BW139" s="49">
        <f t="shared" ref="BW139" ca="1" si="360">BV142</f>
        <v>0</v>
      </c>
      <c r="BX139" s="49">
        <f t="shared" ref="BX139" ca="1" si="361">BW142</f>
        <v>0</v>
      </c>
      <c r="BY139" s="49">
        <f t="shared" ref="BY139" ca="1" si="362">BX142</f>
        <v>0</v>
      </c>
      <c r="BZ139" s="49">
        <f t="shared" ref="BZ139" ca="1" si="363">BY142</f>
        <v>0</v>
      </c>
      <c r="CA139" s="49">
        <f t="shared" ref="CA139" ca="1" si="364">BZ142</f>
        <v>0</v>
      </c>
      <c r="CB139" s="49">
        <f t="shared" ref="CB139" ca="1" si="365">CA142</f>
        <v>0</v>
      </c>
      <c r="CC139" s="49">
        <f t="shared" ref="CC139" ca="1" si="366">CB142</f>
        <v>0</v>
      </c>
      <c r="CD139" s="49">
        <f t="shared" ref="CD139" ca="1" si="367">CC142</f>
        <v>0</v>
      </c>
      <c r="CE139" s="49">
        <f t="shared" ref="CE139" ca="1" si="368">CD142</f>
        <v>0</v>
      </c>
      <c r="CF139" s="49">
        <f t="shared" ref="CF139" ca="1" si="369">CE142</f>
        <v>0</v>
      </c>
      <c r="CG139" s="49">
        <f t="shared" ref="CG139" ca="1" si="370">CF142</f>
        <v>0</v>
      </c>
      <c r="CH139" s="49">
        <f t="shared" ref="CH139" ca="1" si="371">CG142</f>
        <v>0</v>
      </c>
      <c r="CI139" s="49">
        <f t="shared" ref="CI139" ca="1" si="372">CH142</f>
        <v>0</v>
      </c>
      <c r="CJ139" s="49">
        <f t="shared" ref="CJ139" ca="1" si="373">CI142</f>
        <v>0</v>
      </c>
      <c r="CK139" s="49">
        <f t="shared" ref="CK139" ca="1" si="374">CJ142</f>
        <v>0</v>
      </c>
    </row>
    <row r="140" spans="2:89">
      <c r="B140" s="45" t="s">
        <v>93</v>
      </c>
      <c r="C140" s="46"/>
      <c r="D140" s="98">
        <f ca="1">SUM(F140:CK140)</f>
        <v>42205635.64546261</v>
      </c>
      <c r="E140" s="48"/>
      <c r="F140" s="49">
        <f ca="1">-MIN(F126,0)</f>
        <v>0</v>
      </c>
      <c r="G140" s="49">
        <f t="shared" ref="G140:BR140" ca="1" si="375">-MIN(G126,0)</f>
        <v>0</v>
      </c>
      <c r="H140" s="49">
        <f t="shared" ca="1" si="375"/>
        <v>1729726.0273972601</v>
      </c>
      <c r="I140" s="49">
        <f t="shared" ca="1" si="375"/>
        <v>0</v>
      </c>
      <c r="J140" s="49">
        <f t="shared" ca="1" si="375"/>
        <v>0</v>
      </c>
      <c r="K140" s="49">
        <f t="shared" ca="1" si="375"/>
        <v>0</v>
      </c>
      <c r="L140" s="49">
        <f t="shared" ca="1" si="375"/>
        <v>0</v>
      </c>
      <c r="M140" s="49">
        <f t="shared" ca="1" si="375"/>
        <v>0</v>
      </c>
      <c r="N140" s="49">
        <f t="shared" ca="1" si="375"/>
        <v>19171397.260273971</v>
      </c>
      <c r="O140" s="49">
        <f t="shared" ca="1" si="375"/>
        <v>0</v>
      </c>
      <c r="P140" s="49">
        <f t="shared" ca="1" si="375"/>
        <v>0</v>
      </c>
      <c r="Q140" s="49">
        <f t="shared" ca="1" si="375"/>
        <v>0</v>
      </c>
      <c r="R140" s="49">
        <f t="shared" ca="1" si="375"/>
        <v>0</v>
      </c>
      <c r="S140" s="49">
        <f t="shared" ca="1" si="375"/>
        <v>0</v>
      </c>
      <c r="T140" s="49">
        <f t="shared" ca="1" si="375"/>
        <v>20314819.825207859</v>
      </c>
      <c r="U140" s="49">
        <f t="shared" ca="1" si="375"/>
        <v>0</v>
      </c>
      <c r="V140" s="49">
        <f t="shared" ca="1" si="375"/>
        <v>0</v>
      </c>
      <c r="W140" s="49">
        <f t="shared" ca="1" si="375"/>
        <v>0</v>
      </c>
      <c r="X140" s="49">
        <f t="shared" ca="1" si="375"/>
        <v>0</v>
      </c>
      <c r="Y140" s="49">
        <f t="shared" ca="1" si="375"/>
        <v>0</v>
      </c>
      <c r="Z140" s="49">
        <f t="shared" ca="1" si="375"/>
        <v>989692.53258351982</v>
      </c>
      <c r="AA140" s="49">
        <f t="shared" ca="1" si="375"/>
        <v>0</v>
      </c>
      <c r="AB140" s="49">
        <f t="shared" ca="1" si="375"/>
        <v>0</v>
      </c>
      <c r="AC140" s="49">
        <f t="shared" ca="1" si="375"/>
        <v>0</v>
      </c>
      <c r="AD140" s="49">
        <f t="shared" ca="1" si="375"/>
        <v>0</v>
      </c>
      <c r="AE140" s="49">
        <f t="shared" ca="1" si="375"/>
        <v>0</v>
      </c>
      <c r="AF140" s="49">
        <f t="shared" ca="1" si="375"/>
        <v>0</v>
      </c>
      <c r="AG140" s="49">
        <f t="shared" ca="1" si="375"/>
        <v>0</v>
      </c>
      <c r="AH140" s="49">
        <f t="shared" ca="1" si="375"/>
        <v>0</v>
      </c>
      <c r="AI140" s="49">
        <f t="shared" ca="1" si="375"/>
        <v>0</v>
      </c>
      <c r="AJ140" s="49">
        <f t="shared" ca="1" si="375"/>
        <v>0</v>
      </c>
      <c r="AK140" s="49">
        <f t="shared" ca="1" si="375"/>
        <v>0</v>
      </c>
      <c r="AL140" s="49">
        <f t="shared" ca="1" si="375"/>
        <v>0</v>
      </c>
      <c r="AM140" s="49">
        <f t="shared" ca="1" si="375"/>
        <v>0</v>
      </c>
      <c r="AN140" s="49">
        <f t="shared" ca="1" si="375"/>
        <v>0</v>
      </c>
      <c r="AO140" s="49">
        <f t="shared" ca="1" si="375"/>
        <v>0</v>
      </c>
      <c r="AP140" s="49">
        <f t="shared" ca="1" si="375"/>
        <v>0</v>
      </c>
      <c r="AQ140" s="49">
        <f t="shared" ca="1" si="375"/>
        <v>0</v>
      </c>
      <c r="AR140" s="49">
        <f t="shared" ca="1" si="375"/>
        <v>0</v>
      </c>
      <c r="AS140" s="49">
        <f t="shared" ca="1" si="375"/>
        <v>0</v>
      </c>
      <c r="AT140" s="49">
        <f t="shared" ca="1" si="375"/>
        <v>0</v>
      </c>
      <c r="AU140" s="49">
        <f t="shared" ca="1" si="375"/>
        <v>0</v>
      </c>
      <c r="AV140" s="49">
        <f t="shared" ca="1" si="375"/>
        <v>0</v>
      </c>
      <c r="AW140" s="49">
        <f t="shared" ca="1" si="375"/>
        <v>0</v>
      </c>
      <c r="AX140" s="49">
        <f t="shared" ca="1" si="375"/>
        <v>0</v>
      </c>
      <c r="AY140" s="49">
        <f t="shared" ca="1" si="375"/>
        <v>0</v>
      </c>
      <c r="AZ140" s="49">
        <f t="shared" ca="1" si="375"/>
        <v>0</v>
      </c>
      <c r="BA140" s="49">
        <f t="shared" ca="1" si="375"/>
        <v>0</v>
      </c>
      <c r="BB140" s="49">
        <f t="shared" ca="1" si="375"/>
        <v>0</v>
      </c>
      <c r="BC140" s="49">
        <f t="shared" ca="1" si="375"/>
        <v>0</v>
      </c>
      <c r="BD140" s="49">
        <f t="shared" ca="1" si="375"/>
        <v>0</v>
      </c>
      <c r="BE140" s="49">
        <f t="shared" ca="1" si="375"/>
        <v>0</v>
      </c>
      <c r="BF140" s="49">
        <f t="shared" ca="1" si="375"/>
        <v>0</v>
      </c>
      <c r="BG140" s="49">
        <f t="shared" ca="1" si="375"/>
        <v>0</v>
      </c>
      <c r="BH140" s="49">
        <f t="shared" ca="1" si="375"/>
        <v>0</v>
      </c>
      <c r="BI140" s="49">
        <f t="shared" ca="1" si="375"/>
        <v>0</v>
      </c>
      <c r="BJ140" s="49">
        <f t="shared" ca="1" si="375"/>
        <v>0</v>
      </c>
      <c r="BK140" s="49">
        <f t="shared" ca="1" si="375"/>
        <v>0</v>
      </c>
      <c r="BL140" s="49">
        <f t="shared" ca="1" si="375"/>
        <v>0</v>
      </c>
      <c r="BM140" s="49">
        <f t="shared" ca="1" si="375"/>
        <v>0</v>
      </c>
      <c r="BN140" s="49">
        <f t="shared" ca="1" si="375"/>
        <v>0</v>
      </c>
      <c r="BO140" s="49">
        <f t="shared" ca="1" si="375"/>
        <v>0</v>
      </c>
      <c r="BP140" s="49">
        <f t="shared" ca="1" si="375"/>
        <v>0</v>
      </c>
      <c r="BQ140" s="49">
        <f t="shared" ca="1" si="375"/>
        <v>0</v>
      </c>
      <c r="BR140" s="49">
        <f t="shared" ca="1" si="375"/>
        <v>0</v>
      </c>
      <c r="BS140" s="49">
        <f t="shared" ref="BS140:CK140" ca="1" si="376">-MIN(BS126,0)</f>
        <v>0</v>
      </c>
      <c r="BT140" s="49">
        <f t="shared" ca="1" si="376"/>
        <v>0</v>
      </c>
      <c r="BU140" s="49">
        <f t="shared" ca="1" si="376"/>
        <v>0</v>
      </c>
      <c r="BV140" s="49">
        <f t="shared" ca="1" si="376"/>
        <v>0</v>
      </c>
      <c r="BW140" s="49">
        <f t="shared" ca="1" si="376"/>
        <v>0</v>
      </c>
      <c r="BX140" s="49">
        <f t="shared" ca="1" si="376"/>
        <v>0</v>
      </c>
      <c r="BY140" s="49">
        <f t="shared" ca="1" si="376"/>
        <v>0</v>
      </c>
      <c r="BZ140" s="49">
        <f t="shared" ca="1" si="376"/>
        <v>0</v>
      </c>
      <c r="CA140" s="49">
        <f t="shared" ca="1" si="376"/>
        <v>0</v>
      </c>
      <c r="CB140" s="49">
        <f t="shared" ca="1" si="376"/>
        <v>0</v>
      </c>
      <c r="CC140" s="49">
        <f t="shared" ca="1" si="376"/>
        <v>0</v>
      </c>
      <c r="CD140" s="49">
        <f t="shared" ca="1" si="376"/>
        <v>0</v>
      </c>
      <c r="CE140" s="49">
        <f t="shared" ca="1" si="376"/>
        <v>0</v>
      </c>
      <c r="CF140" s="49">
        <f t="shared" ca="1" si="376"/>
        <v>0</v>
      </c>
      <c r="CG140" s="49">
        <f t="shared" ca="1" si="376"/>
        <v>0</v>
      </c>
      <c r="CH140" s="49">
        <f t="shared" ca="1" si="376"/>
        <v>0</v>
      </c>
      <c r="CI140" s="49">
        <f t="shared" ca="1" si="376"/>
        <v>0</v>
      </c>
      <c r="CJ140" s="49">
        <f t="shared" ca="1" si="376"/>
        <v>0</v>
      </c>
      <c r="CK140" s="49">
        <f t="shared" ca="1" si="376"/>
        <v>0</v>
      </c>
    </row>
    <row r="141" spans="2:89" ht="15.75" thickBot="1">
      <c r="B141" s="45" t="s">
        <v>94</v>
      </c>
      <c r="C141" s="46"/>
      <c r="D141" s="98">
        <f ca="1">SUM(F141:CK141)</f>
        <v>-42205635.64546261</v>
      </c>
      <c r="E141" s="48"/>
      <c r="F141" s="49">
        <f t="shared" ref="F141:BQ141" ca="1" si="377">IF(F126&gt;0,-MIN(F126,F139),0)</f>
        <v>0</v>
      </c>
      <c r="G141" s="49">
        <f t="shared" ca="1" si="377"/>
        <v>0</v>
      </c>
      <c r="H141" s="49">
        <f t="shared" ca="1" si="377"/>
        <v>0</v>
      </c>
      <c r="I141" s="49">
        <f t="shared" ca="1" si="377"/>
        <v>0</v>
      </c>
      <c r="J141" s="49">
        <f t="shared" ca="1" si="377"/>
        <v>0</v>
      </c>
      <c r="K141" s="49">
        <f t="shared" ca="1" si="377"/>
        <v>0</v>
      </c>
      <c r="L141" s="49">
        <f t="shared" ca="1" si="377"/>
        <v>0</v>
      </c>
      <c r="M141" s="49">
        <f t="shared" ca="1" si="377"/>
        <v>0</v>
      </c>
      <c r="N141" s="49">
        <f t="shared" ca="1" si="377"/>
        <v>0</v>
      </c>
      <c r="O141" s="49">
        <f t="shared" ca="1" si="377"/>
        <v>0</v>
      </c>
      <c r="P141" s="49">
        <f t="shared" ca="1" si="377"/>
        <v>0</v>
      </c>
      <c r="Q141" s="49">
        <f t="shared" ca="1" si="377"/>
        <v>0</v>
      </c>
      <c r="R141" s="49">
        <f t="shared" ca="1" si="377"/>
        <v>0</v>
      </c>
      <c r="S141" s="49">
        <f t="shared" ca="1" si="377"/>
        <v>0</v>
      </c>
      <c r="T141" s="49">
        <f t="shared" ca="1" si="377"/>
        <v>0</v>
      </c>
      <c r="U141" s="49">
        <f t="shared" ca="1" si="377"/>
        <v>0</v>
      </c>
      <c r="V141" s="49">
        <f t="shared" ca="1" si="377"/>
        <v>0</v>
      </c>
      <c r="W141" s="49">
        <f t="shared" ca="1" si="377"/>
        <v>0</v>
      </c>
      <c r="X141" s="49">
        <f t="shared" ca="1" si="377"/>
        <v>0</v>
      </c>
      <c r="Y141" s="49">
        <f t="shared" ca="1" si="377"/>
        <v>0</v>
      </c>
      <c r="Z141" s="49">
        <f t="shared" ca="1" si="377"/>
        <v>0</v>
      </c>
      <c r="AA141" s="49">
        <f t="shared" ca="1" si="377"/>
        <v>0</v>
      </c>
      <c r="AB141" s="49">
        <f t="shared" ca="1" si="377"/>
        <v>0</v>
      </c>
      <c r="AC141" s="49">
        <f t="shared" ca="1" si="377"/>
        <v>0</v>
      </c>
      <c r="AD141" s="49">
        <f t="shared" ca="1" si="377"/>
        <v>0</v>
      </c>
      <c r="AE141" s="49">
        <f t="shared" ca="1" si="377"/>
        <v>0</v>
      </c>
      <c r="AF141" s="49">
        <f t="shared" ca="1" si="377"/>
        <v>-33665737.309311867</v>
      </c>
      <c r="AG141" s="49">
        <f t="shared" ca="1" si="377"/>
        <v>0</v>
      </c>
      <c r="AH141" s="49">
        <f t="shared" ca="1" si="377"/>
        <v>0</v>
      </c>
      <c r="AI141" s="49">
        <f t="shared" ca="1" si="377"/>
        <v>0</v>
      </c>
      <c r="AJ141" s="49">
        <f t="shared" ca="1" si="377"/>
        <v>0</v>
      </c>
      <c r="AK141" s="49">
        <f t="shared" ca="1" si="377"/>
        <v>0</v>
      </c>
      <c r="AL141" s="49">
        <f t="shared" ca="1" si="377"/>
        <v>-8539898.3361507431</v>
      </c>
      <c r="AM141" s="49">
        <f t="shared" ca="1" si="377"/>
        <v>0</v>
      </c>
      <c r="AN141" s="49">
        <f t="shared" ca="1" si="377"/>
        <v>0</v>
      </c>
      <c r="AO141" s="49">
        <f t="shared" ca="1" si="377"/>
        <v>0</v>
      </c>
      <c r="AP141" s="49">
        <f t="shared" ca="1" si="377"/>
        <v>0</v>
      </c>
      <c r="AQ141" s="49">
        <f t="shared" ca="1" si="377"/>
        <v>0</v>
      </c>
      <c r="AR141" s="49">
        <f t="shared" ca="1" si="377"/>
        <v>0</v>
      </c>
      <c r="AS141" s="49">
        <f t="shared" ca="1" si="377"/>
        <v>0</v>
      </c>
      <c r="AT141" s="49">
        <f t="shared" ca="1" si="377"/>
        <v>0</v>
      </c>
      <c r="AU141" s="49">
        <f t="shared" ca="1" si="377"/>
        <v>0</v>
      </c>
      <c r="AV141" s="49">
        <f t="shared" ca="1" si="377"/>
        <v>0</v>
      </c>
      <c r="AW141" s="49">
        <f t="shared" ca="1" si="377"/>
        <v>0</v>
      </c>
      <c r="AX141" s="49">
        <f t="shared" ca="1" si="377"/>
        <v>0</v>
      </c>
      <c r="AY141" s="49">
        <f t="shared" ca="1" si="377"/>
        <v>0</v>
      </c>
      <c r="AZ141" s="49">
        <f t="shared" ca="1" si="377"/>
        <v>0</v>
      </c>
      <c r="BA141" s="49">
        <f t="shared" ca="1" si="377"/>
        <v>0</v>
      </c>
      <c r="BB141" s="49">
        <f t="shared" ca="1" si="377"/>
        <v>0</v>
      </c>
      <c r="BC141" s="49">
        <f t="shared" ca="1" si="377"/>
        <v>0</v>
      </c>
      <c r="BD141" s="49">
        <f t="shared" ca="1" si="377"/>
        <v>0</v>
      </c>
      <c r="BE141" s="49">
        <f t="shared" ca="1" si="377"/>
        <v>0</v>
      </c>
      <c r="BF141" s="49">
        <f t="shared" ca="1" si="377"/>
        <v>0</v>
      </c>
      <c r="BG141" s="49">
        <f t="shared" ca="1" si="377"/>
        <v>0</v>
      </c>
      <c r="BH141" s="49">
        <f t="shared" ca="1" si="377"/>
        <v>0</v>
      </c>
      <c r="BI141" s="49">
        <f t="shared" ca="1" si="377"/>
        <v>0</v>
      </c>
      <c r="BJ141" s="49">
        <f t="shared" ca="1" si="377"/>
        <v>0</v>
      </c>
      <c r="BK141" s="49">
        <f t="shared" ca="1" si="377"/>
        <v>0</v>
      </c>
      <c r="BL141" s="49">
        <f t="shared" ca="1" si="377"/>
        <v>0</v>
      </c>
      <c r="BM141" s="49">
        <f t="shared" ca="1" si="377"/>
        <v>0</v>
      </c>
      <c r="BN141" s="49">
        <f t="shared" ca="1" si="377"/>
        <v>0</v>
      </c>
      <c r="BO141" s="49">
        <f t="shared" ca="1" si="377"/>
        <v>0</v>
      </c>
      <c r="BP141" s="49">
        <f t="shared" ca="1" si="377"/>
        <v>0</v>
      </c>
      <c r="BQ141" s="49">
        <f t="shared" ca="1" si="377"/>
        <v>0</v>
      </c>
      <c r="BR141" s="49">
        <f t="shared" ref="BR141:CK141" ca="1" si="378">IF(BR126&gt;0,-MIN(BR126,BR139),0)</f>
        <v>0</v>
      </c>
      <c r="BS141" s="49">
        <f t="shared" ca="1" si="378"/>
        <v>0</v>
      </c>
      <c r="BT141" s="49">
        <f t="shared" ca="1" si="378"/>
        <v>0</v>
      </c>
      <c r="BU141" s="49">
        <f t="shared" ca="1" si="378"/>
        <v>0</v>
      </c>
      <c r="BV141" s="49">
        <f t="shared" ca="1" si="378"/>
        <v>0</v>
      </c>
      <c r="BW141" s="49">
        <f t="shared" ca="1" si="378"/>
        <v>0</v>
      </c>
      <c r="BX141" s="49">
        <f t="shared" ca="1" si="378"/>
        <v>0</v>
      </c>
      <c r="BY141" s="49">
        <f t="shared" ca="1" si="378"/>
        <v>0</v>
      </c>
      <c r="BZ141" s="49">
        <f t="shared" ca="1" si="378"/>
        <v>0</v>
      </c>
      <c r="CA141" s="49">
        <f t="shared" ca="1" si="378"/>
        <v>0</v>
      </c>
      <c r="CB141" s="49">
        <f t="shared" ca="1" si="378"/>
        <v>0</v>
      </c>
      <c r="CC141" s="49">
        <f t="shared" ca="1" si="378"/>
        <v>0</v>
      </c>
      <c r="CD141" s="49">
        <f t="shared" ca="1" si="378"/>
        <v>0</v>
      </c>
      <c r="CE141" s="49">
        <f t="shared" ca="1" si="378"/>
        <v>0</v>
      </c>
      <c r="CF141" s="49">
        <f t="shared" ca="1" si="378"/>
        <v>0</v>
      </c>
      <c r="CG141" s="49">
        <f t="shared" ca="1" si="378"/>
        <v>0</v>
      </c>
      <c r="CH141" s="49">
        <f t="shared" ca="1" si="378"/>
        <v>0</v>
      </c>
      <c r="CI141" s="49">
        <f t="shared" ca="1" si="378"/>
        <v>0</v>
      </c>
      <c r="CJ141" s="49">
        <f t="shared" ca="1" si="378"/>
        <v>0</v>
      </c>
      <c r="CK141" s="49">
        <f t="shared" ca="1" si="378"/>
        <v>0</v>
      </c>
    </row>
    <row r="142" spans="2:89" ht="15.75" thickTop="1">
      <c r="B142" s="50" t="s">
        <v>58</v>
      </c>
      <c r="C142" s="51"/>
      <c r="D142" s="52">
        <f ca="1">SUM(D139:D141)</f>
        <v>0</v>
      </c>
      <c r="E142" s="53"/>
      <c r="F142" s="54">
        <f ca="1">SUM(F139:F141)</f>
        <v>0</v>
      </c>
      <c r="G142" s="54">
        <f t="shared" ref="G142:BR142" ca="1" si="379">SUM(G139:G141)</f>
        <v>0</v>
      </c>
      <c r="H142" s="54">
        <f t="shared" ca="1" si="379"/>
        <v>1729726.0273972601</v>
      </c>
      <c r="I142" s="54">
        <f t="shared" ca="1" si="379"/>
        <v>1729726.0273972601</v>
      </c>
      <c r="J142" s="54">
        <f t="shared" ca="1" si="379"/>
        <v>1729726.0273972601</v>
      </c>
      <c r="K142" s="54">
        <f t="shared" ca="1" si="379"/>
        <v>1729726.0273972601</v>
      </c>
      <c r="L142" s="54">
        <f t="shared" ca="1" si="379"/>
        <v>1729726.0273972601</v>
      </c>
      <c r="M142" s="54">
        <f t="shared" ca="1" si="379"/>
        <v>1729726.0273972601</v>
      </c>
      <c r="N142" s="54">
        <f t="shared" ca="1" si="379"/>
        <v>20901123.287671231</v>
      </c>
      <c r="O142" s="54">
        <f t="shared" ca="1" si="379"/>
        <v>20901123.287671231</v>
      </c>
      <c r="P142" s="54">
        <f t="shared" ca="1" si="379"/>
        <v>20901123.287671231</v>
      </c>
      <c r="Q142" s="54">
        <f t="shared" ca="1" si="379"/>
        <v>20901123.287671231</v>
      </c>
      <c r="R142" s="54">
        <f t="shared" ca="1" si="379"/>
        <v>20901123.287671231</v>
      </c>
      <c r="S142" s="54">
        <f t="shared" ca="1" si="379"/>
        <v>20901123.287671231</v>
      </c>
      <c r="T142" s="54">
        <f t="shared" ca="1" si="379"/>
        <v>41215943.11287909</v>
      </c>
      <c r="U142" s="54">
        <f t="shared" ca="1" si="379"/>
        <v>41215943.11287909</v>
      </c>
      <c r="V142" s="54">
        <f t="shared" ca="1" si="379"/>
        <v>41215943.11287909</v>
      </c>
      <c r="W142" s="54">
        <f t="shared" ca="1" si="379"/>
        <v>41215943.11287909</v>
      </c>
      <c r="X142" s="54">
        <f t="shared" ca="1" si="379"/>
        <v>41215943.11287909</v>
      </c>
      <c r="Y142" s="54">
        <f t="shared" ca="1" si="379"/>
        <v>41215943.11287909</v>
      </c>
      <c r="Z142" s="54">
        <f t="shared" ca="1" si="379"/>
        <v>42205635.64546261</v>
      </c>
      <c r="AA142" s="54">
        <f t="shared" ca="1" si="379"/>
        <v>42205635.64546261</v>
      </c>
      <c r="AB142" s="54">
        <f t="shared" ca="1" si="379"/>
        <v>42205635.64546261</v>
      </c>
      <c r="AC142" s="54">
        <f t="shared" ca="1" si="379"/>
        <v>42205635.64546261</v>
      </c>
      <c r="AD142" s="54">
        <f t="shared" ca="1" si="379"/>
        <v>42205635.64546261</v>
      </c>
      <c r="AE142" s="54">
        <f t="shared" ca="1" si="379"/>
        <v>42205635.64546261</v>
      </c>
      <c r="AF142" s="54">
        <f t="shared" ca="1" si="379"/>
        <v>8539898.3361507431</v>
      </c>
      <c r="AG142" s="54">
        <f t="shared" ca="1" si="379"/>
        <v>8539898.3361507431</v>
      </c>
      <c r="AH142" s="54">
        <f t="shared" ca="1" si="379"/>
        <v>8539898.3361507431</v>
      </c>
      <c r="AI142" s="54">
        <f t="shared" ca="1" si="379"/>
        <v>8539898.3361507431</v>
      </c>
      <c r="AJ142" s="54">
        <f t="shared" ca="1" si="379"/>
        <v>8539898.3361507431</v>
      </c>
      <c r="AK142" s="54">
        <f t="shared" ca="1" si="379"/>
        <v>8539898.3361507431</v>
      </c>
      <c r="AL142" s="54">
        <f t="shared" ca="1" si="379"/>
        <v>0</v>
      </c>
      <c r="AM142" s="54">
        <f t="shared" ca="1" si="379"/>
        <v>0</v>
      </c>
      <c r="AN142" s="54">
        <f t="shared" ca="1" si="379"/>
        <v>0</v>
      </c>
      <c r="AO142" s="54">
        <f t="shared" ca="1" si="379"/>
        <v>0</v>
      </c>
      <c r="AP142" s="54">
        <f t="shared" ca="1" si="379"/>
        <v>0</v>
      </c>
      <c r="AQ142" s="54">
        <f t="shared" ca="1" si="379"/>
        <v>0</v>
      </c>
      <c r="AR142" s="54">
        <f t="shared" ca="1" si="379"/>
        <v>0</v>
      </c>
      <c r="AS142" s="54">
        <f t="shared" ca="1" si="379"/>
        <v>0</v>
      </c>
      <c r="AT142" s="54">
        <f t="shared" ca="1" si="379"/>
        <v>0</v>
      </c>
      <c r="AU142" s="54">
        <f t="shared" ca="1" si="379"/>
        <v>0</v>
      </c>
      <c r="AV142" s="54">
        <f t="shared" ca="1" si="379"/>
        <v>0</v>
      </c>
      <c r="AW142" s="54">
        <f t="shared" ca="1" si="379"/>
        <v>0</v>
      </c>
      <c r="AX142" s="54">
        <f t="shared" ca="1" si="379"/>
        <v>0</v>
      </c>
      <c r="AY142" s="54">
        <f t="shared" ca="1" si="379"/>
        <v>0</v>
      </c>
      <c r="AZ142" s="54">
        <f t="shared" ca="1" si="379"/>
        <v>0</v>
      </c>
      <c r="BA142" s="54">
        <f t="shared" ca="1" si="379"/>
        <v>0</v>
      </c>
      <c r="BB142" s="54">
        <f t="shared" ca="1" si="379"/>
        <v>0</v>
      </c>
      <c r="BC142" s="54">
        <f t="shared" ca="1" si="379"/>
        <v>0</v>
      </c>
      <c r="BD142" s="54">
        <f t="shared" ca="1" si="379"/>
        <v>0</v>
      </c>
      <c r="BE142" s="54">
        <f t="shared" ca="1" si="379"/>
        <v>0</v>
      </c>
      <c r="BF142" s="54">
        <f t="shared" ca="1" si="379"/>
        <v>0</v>
      </c>
      <c r="BG142" s="54">
        <f t="shared" ca="1" si="379"/>
        <v>0</v>
      </c>
      <c r="BH142" s="54">
        <f t="shared" ca="1" si="379"/>
        <v>0</v>
      </c>
      <c r="BI142" s="54">
        <f t="shared" ca="1" si="379"/>
        <v>0</v>
      </c>
      <c r="BJ142" s="54">
        <f t="shared" ca="1" si="379"/>
        <v>0</v>
      </c>
      <c r="BK142" s="54">
        <f t="shared" ca="1" si="379"/>
        <v>0</v>
      </c>
      <c r="BL142" s="54">
        <f t="shared" ca="1" si="379"/>
        <v>0</v>
      </c>
      <c r="BM142" s="54">
        <f t="shared" ca="1" si="379"/>
        <v>0</v>
      </c>
      <c r="BN142" s="54">
        <f t="shared" ca="1" si="379"/>
        <v>0</v>
      </c>
      <c r="BO142" s="54">
        <f t="shared" ca="1" si="379"/>
        <v>0</v>
      </c>
      <c r="BP142" s="54">
        <f t="shared" ca="1" si="379"/>
        <v>0</v>
      </c>
      <c r="BQ142" s="54">
        <f t="shared" ca="1" si="379"/>
        <v>0</v>
      </c>
      <c r="BR142" s="54">
        <f t="shared" ca="1" si="379"/>
        <v>0</v>
      </c>
      <c r="BS142" s="54">
        <f t="shared" ref="BS142:CK142" ca="1" si="380">SUM(BS139:BS141)</f>
        <v>0</v>
      </c>
      <c r="BT142" s="54">
        <f t="shared" ca="1" si="380"/>
        <v>0</v>
      </c>
      <c r="BU142" s="54">
        <f t="shared" ca="1" si="380"/>
        <v>0</v>
      </c>
      <c r="BV142" s="54">
        <f t="shared" ca="1" si="380"/>
        <v>0</v>
      </c>
      <c r="BW142" s="54">
        <f t="shared" ca="1" si="380"/>
        <v>0</v>
      </c>
      <c r="BX142" s="54">
        <f t="shared" ca="1" si="380"/>
        <v>0</v>
      </c>
      <c r="BY142" s="54">
        <f t="shared" ca="1" si="380"/>
        <v>0</v>
      </c>
      <c r="BZ142" s="54">
        <f t="shared" ca="1" si="380"/>
        <v>0</v>
      </c>
      <c r="CA142" s="54">
        <f t="shared" ca="1" si="380"/>
        <v>0</v>
      </c>
      <c r="CB142" s="54">
        <f t="shared" ca="1" si="380"/>
        <v>0</v>
      </c>
      <c r="CC142" s="54">
        <f t="shared" ca="1" si="380"/>
        <v>0</v>
      </c>
      <c r="CD142" s="54">
        <f t="shared" ca="1" si="380"/>
        <v>0</v>
      </c>
      <c r="CE142" s="54">
        <f t="shared" ca="1" si="380"/>
        <v>0</v>
      </c>
      <c r="CF142" s="54">
        <f t="shared" ca="1" si="380"/>
        <v>0</v>
      </c>
      <c r="CG142" s="54">
        <f t="shared" ca="1" si="380"/>
        <v>0</v>
      </c>
      <c r="CH142" s="54">
        <f t="shared" ca="1" si="380"/>
        <v>0</v>
      </c>
      <c r="CI142" s="54">
        <f t="shared" ca="1" si="380"/>
        <v>0</v>
      </c>
      <c r="CJ142" s="54">
        <f t="shared" ca="1" si="380"/>
        <v>0</v>
      </c>
      <c r="CK142" s="54">
        <f t="shared" ca="1" si="380"/>
        <v>0</v>
      </c>
    </row>
    <row r="143" spans="2:89"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</row>
    <row r="144" spans="2:89" ht="20.25" thickBot="1">
      <c r="B144" s="26" t="s">
        <v>30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</row>
    <row r="145" spans="2:89" ht="15.75" thickTop="1"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81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</row>
    <row r="146" spans="2:89" ht="18" thickBot="1">
      <c r="B146" s="100" t="s">
        <v>532</v>
      </c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</row>
    <row r="147" spans="2:89" ht="15.75" thickTop="1">
      <c r="B147" s="14"/>
      <c r="C147" s="129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</row>
    <row r="148" spans="2:89">
      <c r="B148" s="155" t="s">
        <v>95</v>
      </c>
      <c r="C148" s="156"/>
      <c r="D148" s="160"/>
      <c r="E148" s="158"/>
      <c r="F148" s="159">
        <f t="shared" ref="F148:AK148" ca="1" si="381">IFERROR(LOOKUP(F$19,Налоги_года,НнИ_ставки),0)</f>
        <v>2.1999999999999999E-2</v>
      </c>
      <c r="G148" s="159">
        <f t="shared" ca="1" si="381"/>
        <v>2.1999999999999999E-2</v>
      </c>
      <c r="H148" s="159">
        <f t="shared" ca="1" si="381"/>
        <v>2.1999999999999999E-2</v>
      </c>
      <c r="I148" s="159">
        <f t="shared" ca="1" si="381"/>
        <v>2.1999999999999999E-2</v>
      </c>
      <c r="J148" s="159">
        <f t="shared" ca="1" si="381"/>
        <v>2.1999999999999999E-2</v>
      </c>
      <c r="K148" s="159">
        <f t="shared" ca="1" si="381"/>
        <v>2.1999999999999999E-2</v>
      </c>
      <c r="L148" s="159">
        <f t="shared" ca="1" si="381"/>
        <v>2.1999999999999999E-2</v>
      </c>
      <c r="M148" s="159">
        <f t="shared" ca="1" si="381"/>
        <v>2.1999999999999999E-2</v>
      </c>
      <c r="N148" s="159">
        <f t="shared" ca="1" si="381"/>
        <v>2.1999999999999999E-2</v>
      </c>
      <c r="O148" s="159">
        <f t="shared" ca="1" si="381"/>
        <v>2.1999999999999999E-2</v>
      </c>
      <c r="P148" s="159">
        <f t="shared" ca="1" si="381"/>
        <v>2.1999999999999999E-2</v>
      </c>
      <c r="Q148" s="159">
        <f t="shared" ca="1" si="381"/>
        <v>2.1999999999999999E-2</v>
      </c>
      <c r="R148" s="159">
        <f t="shared" ca="1" si="381"/>
        <v>2.1999999999999999E-2</v>
      </c>
      <c r="S148" s="159">
        <f t="shared" ca="1" si="381"/>
        <v>2.1999999999999999E-2</v>
      </c>
      <c r="T148" s="159">
        <f t="shared" ca="1" si="381"/>
        <v>2.1999999999999999E-2</v>
      </c>
      <c r="U148" s="159">
        <f t="shared" ca="1" si="381"/>
        <v>2.1999999999999999E-2</v>
      </c>
      <c r="V148" s="159">
        <f t="shared" ca="1" si="381"/>
        <v>2.1999999999999999E-2</v>
      </c>
      <c r="W148" s="159">
        <f t="shared" ca="1" si="381"/>
        <v>2.1999999999999999E-2</v>
      </c>
      <c r="X148" s="159">
        <f t="shared" ca="1" si="381"/>
        <v>2.1999999999999999E-2</v>
      </c>
      <c r="Y148" s="159">
        <f t="shared" ca="1" si="381"/>
        <v>2.1999999999999999E-2</v>
      </c>
      <c r="Z148" s="159">
        <f t="shared" ca="1" si="381"/>
        <v>2.1999999999999999E-2</v>
      </c>
      <c r="AA148" s="159">
        <f t="shared" ca="1" si="381"/>
        <v>0</v>
      </c>
      <c r="AB148" s="159">
        <f t="shared" ca="1" si="381"/>
        <v>0</v>
      </c>
      <c r="AC148" s="159">
        <f t="shared" ca="1" si="381"/>
        <v>0</v>
      </c>
      <c r="AD148" s="159">
        <f t="shared" ca="1" si="381"/>
        <v>0</v>
      </c>
      <c r="AE148" s="159">
        <f t="shared" ca="1" si="381"/>
        <v>0</v>
      </c>
      <c r="AF148" s="159">
        <f t="shared" ca="1" si="381"/>
        <v>0</v>
      </c>
      <c r="AG148" s="159">
        <f t="shared" ca="1" si="381"/>
        <v>0</v>
      </c>
      <c r="AH148" s="159">
        <f t="shared" ca="1" si="381"/>
        <v>0</v>
      </c>
      <c r="AI148" s="159">
        <f t="shared" ca="1" si="381"/>
        <v>0</v>
      </c>
      <c r="AJ148" s="159">
        <f t="shared" ca="1" si="381"/>
        <v>0</v>
      </c>
      <c r="AK148" s="159">
        <f t="shared" ca="1" si="381"/>
        <v>0</v>
      </c>
      <c r="AL148" s="159">
        <f t="shared" ref="AL148:CK148" ca="1" si="382">IFERROR(LOOKUP(AL$19,Налоги_года,НнИ_ставки),0)</f>
        <v>0</v>
      </c>
      <c r="AM148" s="159">
        <f t="shared" ca="1" si="382"/>
        <v>0</v>
      </c>
      <c r="AN148" s="159">
        <f t="shared" ca="1" si="382"/>
        <v>0</v>
      </c>
      <c r="AO148" s="159">
        <f t="shared" ca="1" si="382"/>
        <v>0</v>
      </c>
      <c r="AP148" s="159">
        <f t="shared" ca="1" si="382"/>
        <v>0</v>
      </c>
      <c r="AQ148" s="159">
        <f t="shared" ca="1" si="382"/>
        <v>0</v>
      </c>
      <c r="AR148" s="159">
        <f t="shared" ca="1" si="382"/>
        <v>0</v>
      </c>
      <c r="AS148" s="159">
        <f t="shared" ca="1" si="382"/>
        <v>0</v>
      </c>
      <c r="AT148" s="159">
        <f t="shared" ca="1" si="382"/>
        <v>0</v>
      </c>
      <c r="AU148" s="159">
        <f t="shared" ca="1" si="382"/>
        <v>0</v>
      </c>
      <c r="AV148" s="159">
        <f t="shared" ca="1" si="382"/>
        <v>0</v>
      </c>
      <c r="AW148" s="159">
        <f t="shared" ca="1" si="382"/>
        <v>0</v>
      </c>
      <c r="AX148" s="159">
        <f t="shared" ca="1" si="382"/>
        <v>0</v>
      </c>
      <c r="AY148" s="159">
        <f t="shared" ca="1" si="382"/>
        <v>0</v>
      </c>
      <c r="AZ148" s="159">
        <f t="shared" ca="1" si="382"/>
        <v>0</v>
      </c>
      <c r="BA148" s="159">
        <f t="shared" ca="1" si="382"/>
        <v>0</v>
      </c>
      <c r="BB148" s="159">
        <f t="shared" ca="1" si="382"/>
        <v>0</v>
      </c>
      <c r="BC148" s="159">
        <f t="shared" ca="1" si="382"/>
        <v>0</v>
      </c>
      <c r="BD148" s="159">
        <f t="shared" ca="1" si="382"/>
        <v>0</v>
      </c>
      <c r="BE148" s="159">
        <f t="shared" ca="1" si="382"/>
        <v>0</v>
      </c>
      <c r="BF148" s="159">
        <f t="shared" ca="1" si="382"/>
        <v>0</v>
      </c>
      <c r="BG148" s="159">
        <f t="shared" ca="1" si="382"/>
        <v>0</v>
      </c>
      <c r="BH148" s="159">
        <f t="shared" ca="1" si="382"/>
        <v>0</v>
      </c>
      <c r="BI148" s="159">
        <f t="shared" ca="1" si="382"/>
        <v>0</v>
      </c>
      <c r="BJ148" s="159">
        <f t="shared" ca="1" si="382"/>
        <v>0</v>
      </c>
      <c r="BK148" s="159">
        <f t="shared" ca="1" si="382"/>
        <v>0</v>
      </c>
      <c r="BL148" s="159">
        <f t="shared" ca="1" si="382"/>
        <v>0</v>
      </c>
      <c r="BM148" s="159">
        <f t="shared" ca="1" si="382"/>
        <v>0</v>
      </c>
      <c r="BN148" s="159">
        <f t="shared" ca="1" si="382"/>
        <v>0</v>
      </c>
      <c r="BO148" s="159">
        <f t="shared" ca="1" si="382"/>
        <v>0</v>
      </c>
      <c r="BP148" s="159">
        <f t="shared" ca="1" si="382"/>
        <v>0</v>
      </c>
      <c r="BQ148" s="159">
        <f t="shared" ca="1" si="382"/>
        <v>0</v>
      </c>
      <c r="BR148" s="159">
        <f t="shared" ca="1" si="382"/>
        <v>0</v>
      </c>
      <c r="BS148" s="159">
        <f t="shared" ca="1" si="382"/>
        <v>0</v>
      </c>
      <c r="BT148" s="159">
        <f t="shared" ca="1" si="382"/>
        <v>0</v>
      </c>
      <c r="BU148" s="159">
        <f t="shared" ca="1" si="382"/>
        <v>0</v>
      </c>
      <c r="BV148" s="159">
        <f t="shared" ca="1" si="382"/>
        <v>0</v>
      </c>
      <c r="BW148" s="159">
        <f t="shared" ca="1" si="382"/>
        <v>0</v>
      </c>
      <c r="BX148" s="159">
        <f t="shared" ca="1" si="382"/>
        <v>0</v>
      </c>
      <c r="BY148" s="159">
        <f t="shared" ca="1" si="382"/>
        <v>0</v>
      </c>
      <c r="BZ148" s="159">
        <f t="shared" ca="1" si="382"/>
        <v>0</v>
      </c>
      <c r="CA148" s="159">
        <f t="shared" ca="1" si="382"/>
        <v>0</v>
      </c>
      <c r="CB148" s="159">
        <f t="shared" ca="1" si="382"/>
        <v>0</v>
      </c>
      <c r="CC148" s="159">
        <f t="shared" ca="1" si="382"/>
        <v>0</v>
      </c>
      <c r="CD148" s="159">
        <f t="shared" ca="1" si="382"/>
        <v>0</v>
      </c>
      <c r="CE148" s="159">
        <f t="shared" ca="1" si="382"/>
        <v>0</v>
      </c>
      <c r="CF148" s="159">
        <f t="shared" ca="1" si="382"/>
        <v>0</v>
      </c>
      <c r="CG148" s="159">
        <f t="shared" ca="1" si="382"/>
        <v>0</v>
      </c>
      <c r="CH148" s="159">
        <f t="shared" ca="1" si="382"/>
        <v>0</v>
      </c>
      <c r="CI148" s="159">
        <f t="shared" ca="1" si="382"/>
        <v>0</v>
      </c>
      <c r="CJ148" s="159">
        <f t="shared" ca="1" si="382"/>
        <v>0</v>
      </c>
      <c r="CK148" s="159">
        <f t="shared" ca="1" si="382"/>
        <v>0</v>
      </c>
    </row>
    <row r="149" spans="2:89">
      <c r="B149" s="155" t="s">
        <v>536</v>
      </c>
      <c r="C149" s="156"/>
      <c r="D149" s="160"/>
      <c r="E149" s="158"/>
      <c r="F149" s="159">
        <f t="shared" ref="F149:AG149" ca="1" si="383">F148/Кв_в_году</f>
        <v>5.4999999999999997E-3</v>
      </c>
      <c r="G149" s="159">
        <f t="shared" ca="1" si="383"/>
        <v>5.4999999999999997E-3</v>
      </c>
      <c r="H149" s="159">
        <f t="shared" ca="1" si="383"/>
        <v>5.4999999999999997E-3</v>
      </c>
      <c r="I149" s="159">
        <f t="shared" ca="1" si="383"/>
        <v>5.4999999999999997E-3</v>
      </c>
      <c r="J149" s="159">
        <f t="shared" ca="1" si="383"/>
        <v>5.4999999999999997E-3</v>
      </c>
      <c r="K149" s="159">
        <f t="shared" ca="1" si="383"/>
        <v>5.4999999999999997E-3</v>
      </c>
      <c r="L149" s="159">
        <f t="shared" ca="1" si="383"/>
        <v>5.4999999999999997E-3</v>
      </c>
      <c r="M149" s="159">
        <f t="shared" ca="1" si="383"/>
        <v>5.4999999999999997E-3</v>
      </c>
      <c r="N149" s="159">
        <f t="shared" ca="1" si="383"/>
        <v>5.4999999999999997E-3</v>
      </c>
      <c r="O149" s="159">
        <f t="shared" ca="1" si="383"/>
        <v>5.4999999999999997E-3</v>
      </c>
      <c r="P149" s="159">
        <f t="shared" ca="1" si="383"/>
        <v>5.4999999999999997E-3</v>
      </c>
      <c r="Q149" s="159">
        <f t="shared" ca="1" si="383"/>
        <v>5.4999999999999997E-3</v>
      </c>
      <c r="R149" s="159">
        <f t="shared" ca="1" si="383"/>
        <v>5.4999999999999997E-3</v>
      </c>
      <c r="S149" s="159">
        <f t="shared" ca="1" si="383"/>
        <v>5.4999999999999997E-3</v>
      </c>
      <c r="T149" s="159">
        <f t="shared" ca="1" si="383"/>
        <v>5.4999999999999997E-3</v>
      </c>
      <c r="U149" s="159">
        <f t="shared" ca="1" si="383"/>
        <v>5.4999999999999997E-3</v>
      </c>
      <c r="V149" s="159">
        <f t="shared" ca="1" si="383"/>
        <v>5.4999999999999997E-3</v>
      </c>
      <c r="W149" s="159">
        <f t="shared" ca="1" si="383"/>
        <v>5.4999999999999997E-3</v>
      </c>
      <c r="X149" s="159">
        <f t="shared" ca="1" si="383"/>
        <v>5.4999999999999997E-3</v>
      </c>
      <c r="Y149" s="159">
        <f t="shared" ca="1" si="383"/>
        <v>5.4999999999999997E-3</v>
      </c>
      <c r="Z149" s="159">
        <f t="shared" ca="1" si="383"/>
        <v>5.4999999999999997E-3</v>
      </c>
      <c r="AA149" s="159">
        <f t="shared" ca="1" si="383"/>
        <v>0</v>
      </c>
      <c r="AB149" s="159">
        <f t="shared" ca="1" si="383"/>
        <v>0</v>
      </c>
      <c r="AC149" s="159">
        <f t="shared" ca="1" si="383"/>
        <v>0</v>
      </c>
      <c r="AD149" s="159">
        <f t="shared" ca="1" si="383"/>
        <v>0</v>
      </c>
      <c r="AE149" s="159">
        <f t="shared" ca="1" si="383"/>
        <v>0</v>
      </c>
      <c r="AF149" s="159">
        <f t="shared" ca="1" si="383"/>
        <v>0</v>
      </c>
      <c r="AG149" s="159">
        <f t="shared" ca="1" si="383"/>
        <v>0</v>
      </c>
      <c r="AH149" s="159">
        <f t="shared" ref="AH149:BM149" ca="1" si="384">AH148/Кв_в_году</f>
        <v>0</v>
      </c>
      <c r="AI149" s="159">
        <f t="shared" ca="1" si="384"/>
        <v>0</v>
      </c>
      <c r="AJ149" s="159">
        <f t="shared" ca="1" si="384"/>
        <v>0</v>
      </c>
      <c r="AK149" s="159">
        <f t="shared" ca="1" si="384"/>
        <v>0</v>
      </c>
      <c r="AL149" s="159">
        <f t="shared" ca="1" si="384"/>
        <v>0</v>
      </c>
      <c r="AM149" s="159">
        <f t="shared" ca="1" si="384"/>
        <v>0</v>
      </c>
      <c r="AN149" s="159">
        <f t="shared" ca="1" si="384"/>
        <v>0</v>
      </c>
      <c r="AO149" s="159">
        <f t="shared" ca="1" si="384"/>
        <v>0</v>
      </c>
      <c r="AP149" s="159">
        <f t="shared" ca="1" si="384"/>
        <v>0</v>
      </c>
      <c r="AQ149" s="159">
        <f t="shared" ca="1" si="384"/>
        <v>0</v>
      </c>
      <c r="AR149" s="159">
        <f t="shared" ca="1" si="384"/>
        <v>0</v>
      </c>
      <c r="AS149" s="159">
        <f t="shared" ca="1" si="384"/>
        <v>0</v>
      </c>
      <c r="AT149" s="159">
        <f t="shared" ca="1" si="384"/>
        <v>0</v>
      </c>
      <c r="AU149" s="159">
        <f t="shared" ca="1" si="384"/>
        <v>0</v>
      </c>
      <c r="AV149" s="159">
        <f t="shared" ca="1" si="384"/>
        <v>0</v>
      </c>
      <c r="AW149" s="159">
        <f t="shared" ca="1" si="384"/>
        <v>0</v>
      </c>
      <c r="AX149" s="159">
        <f t="shared" ca="1" si="384"/>
        <v>0</v>
      </c>
      <c r="AY149" s="159">
        <f t="shared" ca="1" si="384"/>
        <v>0</v>
      </c>
      <c r="AZ149" s="159">
        <f t="shared" ca="1" si="384"/>
        <v>0</v>
      </c>
      <c r="BA149" s="159">
        <f t="shared" ca="1" si="384"/>
        <v>0</v>
      </c>
      <c r="BB149" s="159">
        <f t="shared" ca="1" si="384"/>
        <v>0</v>
      </c>
      <c r="BC149" s="159">
        <f t="shared" ca="1" si="384"/>
        <v>0</v>
      </c>
      <c r="BD149" s="159">
        <f t="shared" ca="1" si="384"/>
        <v>0</v>
      </c>
      <c r="BE149" s="159">
        <f t="shared" ca="1" si="384"/>
        <v>0</v>
      </c>
      <c r="BF149" s="159">
        <f t="shared" ca="1" si="384"/>
        <v>0</v>
      </c>
      <c r="BG149" s="159">
        <f t="shared" ca="1" si="384"/>
        <v>0</v>
      </c>
      <c r="BH149" s="159">
        <f t="shared" ca="1" si="384"/>
        <v>0</v>
      </c>
      <c r="BI149" s="159">
        <f t="shared" ca="1" si="384"/>
        <v>0</v>
      </c>
      <c r="BJ149" s="159">
        <f t="shared" ca="1" si="384"/>
        <v>0</v>
      </c>
      <c r="BK149" s="159">
        <f t="shared" ca="1" si="384"/>
        <v>0</v>
      </c>
      <c r="BL149" s="159">
        <f t="shared" ca="1" si="384"/>
        <v>0</v>
      </c>
      <c r="BM149" s="159">
        <f t="shared" ca="1" si="384"/>
        <v>0</v>
      </c>
      <c r="BN149" s="159">
        <f t="shared" ref="BN149:CK149" ca="1" si="385">BN148/Кв_в_году</f>
        <v>0</v>
      </c>
      <c r="BO149" s="159">
        <f t="shared" ca="1" si="385"/>
        <v>0</v>
      </c>
      <c r="BP149" s="159">
        <f t="shared" ca="1" si="385"/>
        <v>0</v>
      </c>
      <c r="BQ149" s="159">
        <f t="shared" ca="1" si="385"/>
        <v>0</v>
      </c>
      <c r="BR149" s="159">
        <f t="shared" ca="1" si="385"/>
        <v>0</v>
      </c>
      <c r="BS149" s="159">
        <f t="shared" ca="1" si="385"/>
        <v>0</v>
      </c>
      <c r="BT149" s="159">
        <f t="shared" ca="1" si="385"/>
        <v>0</v>
      </c>
      <c r="BU149" s="159">
        <f t="shared" ca="1" si="385"/>
        <v>0</v>
      </c>
      <c r="BV149" s="159">
        <f t="shared" ca="1" si="385"/>
        <v>0</v>
      </c>
      <c r="BW149" s="159">
        <f t="shared" ca="1" si="385"/>
        <v>0</v>
      </c>
      <c r="BX149" s="159">
        <f t="shared" ca="1" si="385"/>
        <v>0</v>
      </c>
      <c r="BY149" s="159">
        <f t="shared" ca="1" si="385"/>
        <v>0</v>
      </c>
      <c r="BZ149" s="159">
        <f t="shared" ca="1" si="385"/>
        <v>0</v>
      </c>
      <c r="CA149" s="159">
        <f t="shared" ca="1" si="385"/>
        <v>0</v>
      </c>
      <c r="CB149" s="159">
        <f t="shared" ca="1" si="385"/>
        <v>0</v>
      </c>
      <c r="CC149" s="159">
        <f t="shared" ca="1" si="385"/>
        <v>0</v>
      </c>
      <c r="CD149" s="159">
        <f t="shared" ca="1" si="385"/>
        <v>0</v>
      </c>
      <c r="CE149" s="159">
        <f t="shared" ca="1" si="385"/>
        <v>0</v>
      </c>
      <c r="CF149" s="159">
        <f t="shared" ca="1" si="385"/>
        <v>0</v>
      </c>
      <c r="CG149" s="159">
        <f t="shared" ca="1" si="385"/>
        <v>0</v>
      </c>
      <c r="CH149" s="159">
        <f t="shared" ca="1" si="385"/>
        <v>0</v>
      </c>
      <c r="CI149" s="159">
        <f t="shared" ca="1" si="385"/>
        <v>0</v>
      </c>
      <c r="CJ149" s="159">
        <f t="shared" ca="1" si="385"/>
        <v>0</v>
      </c>
      <c r="CK149" s="159">
        <f t="shared" ca="1" si="385"/>
        <v>0</v>
      </c>
    </row>
    <row r="150" spans="2:89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</row>
    <row r="151" spans="2:89" ht="18" thickBot="1">
      <c r="B151" s="100" t="s">
        <v>537</v>
      </c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</row>
    <row r="152" spans="2:89" ht="15.75" thickTop="1">
      <c r="B152" s="18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</row>
    <row r="153" spans="2:89">
      <c r="B153" s="145" t="s">
        <v>220</v>
      </c>
      <c r="C153" s="146"/>
      <c r="D153" s="146"/>
      <c r="E153" s="146"/>
      <c r="F153" s="29">
        <f>IF(F$25=3,1,0)</f>
        <v>0</v>
      </c>
      <c r="G153" s="29">
        <f t="shared" ref="G153:BR153" si="386">IF(G$25=3,1,0)</f>
        <v>0</v>
      </c>
      <c r="H153" s="29">
        <f t="shared" si="386"/>
        <v>1</v>
      </c>
      <c r="I153" s="29">
        <f t="shared" si="386"/>
        <v>0</v>
      </c>
      <c r="J153" s="29">
        <f t="shared" si="386"/>
        <v>0</v>
      </c>
      <c r="K153" s="29">
        <f t="shared" si="386"/>
        <v>1</v>
      </c>
      <c r="L153" s="29">
        <f t="shared" si="386"/>
        <v>0</v>
      </c>
      <c r="M153" s="29">
        <f t="shared" si="386"/>
        <v>0</v>
      </c>
      <c r="N153" s="29">
        <f t="shared" si="386"/>
        <v>1</v>
      </c>
      <c r="O153" s="29">
        <f t="shared" si="386"/>
        <v>0</v>
      </c>
      <c r="P153" s="29">
        <f t="shared" si="386"/>
        <v>0</v>
      </c>
      <c r="Q153" s="29">
        <f t="shared" si="386"/>
        <v>1</v>
      </c>
      <c r="R153" s="29">
        <f t="shared" si="386"/>
        <v>0</v>
      </c>
      <c r="S153" s="29">
        <f t="shared" si="386"/>
        <v>0</v>
      </c>
      <c r="T153" s="29">
        <f t="shared" si="386"/>
        <v>1</v>
      </c>
      <c r="U153" s="29">
        <f t="shared" si="386"/>
        <v>0</v>
      </c>
      <c r="V153" s="29">
        <f t="shared" si="386"/>
        <v>0</v>
      </c>
      <c r="W153" s="29">
        <f t="shared" si="386"/>
        <v>1</v>
      </c>
      <c r="X153" s="29">
        <f t="shared" si="386"/>
        <v>0</v>
      </c>
      <c r="Y153" s="29">
        <f t="shared" si="386"/>
        <v>0</v>
      </c>
      <c r="Z153" s="29">
        <f t="shared" si="386"/>
        <v>1</v>
      </c>
      <c r="AA153" s="29">
        <f t="shared" si="386"/>
        <v>0</v>
      </c>
      <c r="AB153" s="29">
        <f t="shared" si="386"/>
        <v>0</v>
      </c>
      <c r="AC153" s="29">
        <f t="shared" si="386"/>
        <v>1</v>
      </c>
      <c r="AD153" s="29">
        <f t="shared" si="386"/>
        <v>0</v>
      </c>
      <c r="AE153" s="29">
        <f t="shared" si="386"/>
        <v>0</v>
      </c>
      <c r="AF153" s="29">
        <f t="shared" si="386"/>
        <v>1</v>
      </c>
      <c r="AG153" s="29">
        <f t="shared" si="386"/>
        <v>0</v>
      </c>
      <c r="AH153" s="29">
        <f t="shared" si="386"/>
        <v>0</v>
      </c>
      <c r="AI153" s="29">
        <f t="shared" si="386"/>
        <v>1</v>
      </c>
      <c r="AJ153" s="29">
        <f t="shared" si="386"/>
        <v>0</v>
      </c>
      <c r="AK153" s="29">
        <f t="shared" si="386"/>
        <v>0</v>
      </c>
      <c r="AL153" s="29">
        <f t="shared" si="386"/>
        <v>1</v>
      </c>
      <c r="AM153" s="29">
        <f t="shared" si="386"/>
        <v>0</v>
      </c>
      <c r="AN153" s="29">
        <f t="shared" si="386"/>
        <v>0</v>
      </c>
      <c r="AO153" s="29">
        <f t="shared" si="386"/>
        <v>1</v>
      </c>
      <c r="AP153" s="29">
        <f t="shared" si="386"/>
        <v>0</v>
      </c>
      <c r="AQ153" s="29">
        <f t="shared" si="386"/>
        <v>0</v>
      </c>
      <c r="AR153" s="29">
        <f t="shared" si="386"/>
        <v>1</v>
      </c>
      <c r="AS153" s="29">
        <f t="shared" si="386"/>
        <v>0</v>
      </c>
      <c r="AT153" s="29">
        <f t="shared" si="386"/>
        <v>0</v>
      </c>
      <c r="AU153" s="29">
        <f t="shared" si="386"/>
        <v>1</v>
      </c>
      <c r="AV153" s="29">
        <f t="shared" si="386"/>
        <v>0</v>
      </c>
      <c r="AW153" s="29">
        <f t="shared" si="386"/>
        <v>0</v>
      </c>
      <c r="AX153" s="29">
        <f t="shared" si="386"/>
        <v>1</v>
      </c>
      <c r="AY153" s="29">
        <f t="shared" si="386"/>
        <v>0</v>
      </c>
      <c r="AZ153" s="29">
        <f t="shared" si="386"/>
        <v>0</v>
      </c>
      <c r="BA153" s="29">
        <f t="shared" si="386"/>
        <v>1</v>
      </c>
      <c r="BB153" s="29">
        <f t="shared" si="386"/>
        <v>0</v>
      </c>
      <c r="BC153" s="29">
        <f t="shared" si="386"/>
        <v>0</v>
      </c>
      <c r="BD153" s="29">
        <f t="shared" si="386"/>
        <v>1</v>
      </c>
      <c r="BE153" s="29">
        <f t="shared" si="386"/>
        <v>0</v>
      </c>
      <c r="BF153" s="29">
        <f t="shared" si="386"/>
        <v>0</v>
      </c>
      <c r="BG153" s="29">
        <f t="shared" si="386"/>
        <v>1</v>
      </c>
      <c r="BH153" s="29">
        <f t="shared" si="386"/>
        <v>0</v>
      </c>
      <c r="BI153" s="29">
        <f t="shared" si="386"/>
        <v>0</v>
      </c>
      <c r="BJ153" s="29">
        <f t="shared" si="386"/>
        <v>1</v>
      </c>
      <c r="BK153" s="29">
        <f t="shared" si="386"/>
        <v>0</v>
      </c>
      <c r="BL153" s="29">
        <f t="shared" si="386"/>
        <v>0</v>
      </c>
      <c r="BM153" s="167">
        <f t="shared" si="386"/>
        <v>1</v>
      </c>
      <c r="BN153" s="167">
        <f t="shared" si="386"/>
        <v>0</v>
      </c>
      <c r="BO153" s="167">
        <f t="shared" si="386"/>
        <v>0</v>
      </c>
      <c r="BP153" s="167">
        <f t="shared" si="386"/>
        <v>1</v>
      </c>
      <c r="BQ153" s="167">
        <f t="shared" si="386"/>
        <v>0</v>
      </c>
      <c r="BR153" s="167">
        <f t="shared" si="386"/>
        <v>0</v>
      </c>
      <c r="BS153" s="167">
        <f t="shared" ref="BS153:CK153" si="387">IF(BS$25=3,1,0)</f>
        <v>1</v>
      </c>
      <c r="BT153" s="167">
        <f t="shared" si="387"/>
        <v>0</v>
      </c>
      <c r="BU153" s="167">
        <f t="shared" si="387"/>
        <v>0</v>
      </c>
      <c r="BV153" s="167">
        <f t="shared" si="387"/>
        <v>1</v>
      </c>
      <c r="BW153" s="167">
        <f t="shared" si="387"/>
        <v>0</v>
      </c>
      <c r="BX153" s="167">
        <f t="shared" si="387"/>
        <v>0</v>
      </c>
      <c r="BY153" s="167">
        <f t="shared" si="387"/>
        <v>1</v>
      </c>
      <c r="BZ153" s="167">
        <f t="shared" si="387"/>
        <v>0</v>
      </c>
      <c r="CA153" s="167">
        <f t="shared" si="387"/>
        <v>0</v>
      </c>
      <c r="CB153" s="167">
        <f t="shared" si="387"/>
        <v>1</v>
      </c>
      <c r="CC153" s="167">
        <f t="shared" si="387"/>
        <v>0</v>
      </c>
      <c r="CD153" s="167">
        <f t="shared" si="387"/>
        <v>0</v>
      </c>
      <c r="CE153" s="167">
        <f t="shared" si="387"/>
        <v>1</v>
      </c>
      <c r="CF153" s="167">
        <f t="shared" si="387"/>
        <v>0</v>
      </c>
      <c r="CG153" s="167">
        <f t="shared" si="387"/>
        <v>0</v>
      </c>
      <c r="CH153" s="167">
        <f t="shared" si="387"/>
        <v>1</v>
      </c>
      <c r="CI153" s="167">
        <f t="shared" si="387"/>
        <v>0</v>
      </c>
      <c r="CJ153" s="167">
        <f t="shared" si="387"/>
        <v>0</v>
      </c>
      <c r="CK153" s="167">
        <f t="shared" si="387"/>
        <v>1</v>
      </c>
    </row>
    <row r="154" spans="2:89"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</row>
    <row r="155" spans="2:89" ht="15.75" thickBot="1">
      <c r="B155" s="97" t="str">
        <f>"Налоговая база, в "&amp;Ед_измерения_денег</f>
        <v>Налоговая база, в  руб.</v>
      </c>
      <c r="C155" s="97"/>
      <c r="D155" s="97"/>
      <c r="E155" s="97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</row>
    <row r="156" spans="2:89">
      <c r="B156" s="18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</row>
    <row r="157" spans="2:89">
      <c r="B157" s="77" t="s">
        <v>227</v>
      </c>
      <c r="C157" s="124"/>
      <c r="D157" s="124"/>
      <c r="E157" s="124"/>
      <c r="F157" s="80">
        <f ca="1">Инвестиции!F81*F$153</f>
        <v>0</v>
      </c>
      <c r="G157" s="80">
        <f ca="1">Инвестиции!G81*G$153</f>
        <v>0</v>
      </c>
      <c r="H157" s="80">
        <f ca="1">Инвестиции!H81*H$153</f>
        <v>0</v>
      </c>
      <c r="I157" s="80">
        <f ca="1">Инвестиции!I81*I$153</f>
        <v>0</v>
      </c>
      <c r="J157" s="80">
        <f ca="1">Инвестиции!J81*J$153</f>
        <v>0</v>
      </c>
      <c r="K157" s="80">
        <f ca="1">Инвестиции!K81*K$153</f>
        <v>0</v>
      </c>
      <c r="L157" s="80">
        <f ca="1">Инвестиции!L81*L$153</f>
        <v>0</v>
      </c>
      <c r="M157" s="80">
        <f ca="1">Инвестиции!M81*M$153</f>
        <v>0</v>
      </c>
      <c r="N157" s="80">
        <f ca="1">Инвестиции!N81*N$153</f>
        <v>0</v>
      </c>
      <c r="O157" s="80">
        <f ca="1">Инвестиции!O81*O$153</f>
        <v>0</v>
      </c>
      <c r="P157" s="80">
        <f ca="1">Инвестиции!P81*P$153</f>
        <v>0</v>
      </c>
      <c r="Q157" s="80">
        <f ca="1">Инвестиции!Q81*Q$153</f>
        <v>1054545454.5454545</v>
      </c>
      <c r="R157" s="80">
        <f ca="1">Инвестиции!R81*R$153</f>
        <v>0</v>
      </c>
      <c r="S157" s="80">
        <f ca="1">Инвестиции!S81*S$153</f>
        <v>0</v>
      </c>
      <c r="T157" s="80">
        <f ca="1">Инвестиции!T81*T$153</f>
        <v>1016883116.8831168</v>
      </c>
      <c r="U157" s="80">
        <f ca="1">Инвестиции!U81*U$153</f>
        <v>0</v>
      </c>
      <c r="V157" s="80">
        <f ca="1">Инвестиции!V81*V$153</f>
        <v>0</v>
      </c>
      <c r="W157" s="80">
        <f ca="1">Инвестиции!W81*W$153</f>
        <v>979220779.22077918</v>
      </c>
      <c r="X157" s="80">
        <f ca="1">Инвестиции!X81*X$153</f>
        <v>0</v>
      </c>
      <c r="Y157" s="80">
        <f ca="1">Инвестиции!Y81*Y$153</f>
        <v>0</v>
      </c>
      <c r="Z157" s="80">
        <f ca="1">Инвестиции!Z81*Z$153</f>
        <v>941558441.55844152</v>
      </c>
      <c r="AA157" s="80">
        <f ca="1">Инвестиции!AA81*AA$153</f>
        <v>0</v>
      </c>
      <c r="AB157" s="80">
        <f ca="1">Инвестиции!AB81*AB$153</f>
        <v>0</v>
      </c>
      <c r="AC157" s="80">
        <f ca="1">Инвестиции!AC81*AC$153</f>
        <v>903896103.89610386</v>
      </c>
      <c r="AD157" s="80">
        <f ca="1">Инвестиции!AD81*AD$153</f>
        <v>0</v>
      </c>
      <c r="AE157" s="80">
        <f ca="1">Инвестиции!AE81*AE$153</f>
        <v>0</v>
      </c>
      <c r="AF157" s="80">
        <f ca="1">Инвестиции!AF81*AF$153</f>
        <v>866233766.2337662</v>
      </c>
      <c r="AG157" s="80">
        <f ca="1">Инвестиции!AG81*AG$153</f>
        <v>0</v>
      </c>
      <c r="AH157" s="80">
        <f ca="1">Инвестиции!AH81*AH$153</f>
        <v>0</v>
      </c>
      <c r="AI157" s="80">
        <f ca="1">Инвестиции!AI81*AI$153</f>
        <v>828571428.57142854</v>
      </c>
      <c r="AJ157" s="80">
        <f ca="1">Инвестиции!AJ81*AJ$153</f>
        <v>0</v>
      </c>
      <c r="AK157" s="80">
        <f ca="1">Инвестиции!AK81*AK$153</f>
        <v>0</v>
      </c>
      <c r="AL157" s="80">
        <f ca="1">Инвестиции!AL81*AL$153</f>
        <v>790909090.90909088</v>
      </c>
      <c r="AM157" s="80">
        <f ca="1">Инвестиции!AM81*AM$153</f>
        <v>0</v>
      </c>
      <c r="AN157" s="80">
        <f ca="1">Инвестиции!AN81*AN$153</f>
        <v>0</v>
      </c>
      <c r="AO157" s="80">
        <f ca="1">Инвестиции!AO81*AO$153</f>
        <v>753246753.24675322</v>
      </c>
      <c r="AP157" s="80">
        <f ca="1">Инвестиции!AP81*AP$153</f>
        <v>0</v>
      </c>
      <c r="AQ157" s="80">
        <f ca="1">Инвестиции!AQ81*AQ$153</f>
        <v>0</v>
      </c>
      <c r="AR157" s="80">
        <f ca="1">Инвестиции!AR81*AR$153</f>
        <v>715584415.58441556</v>
      </c>
      <c r="AS157" s="80">
        <f ca="1">Инвестиции!AS81*AS$153</f>
        <v>0</v>
      </c>
      <c r="AT157" s="80">
        <f ca="1">Инвестиции!AT81*AT$153</f>
        <v>0</v>
      </c>
      <c r="AU157" s="80">
        <f ca="1">Инвестиции!AU81*AU$153</f>
        <v>677922077.92207789</v>
      </c>
      <c r="AV157" s="80">
        <f ca="1">Инвестиции!AV81*AV$153</f>
        <v>0</v>
      </c>
      <c r="AW157" s="80">
        <f ca="1">Инвестиции!AW81*AW$153</f>
        <v>0</v>
      </c>
      <c r="AX157" s="80">
        <f ca="1">Инвестиции!AX81*AX$153</f>
        <v>640259740.25974023</v>
      </c>
      <c r="AY157" s="80">
        <f ca="1">Инвестиции!AY81*AY$153</f>
        <v>0</v>
      </c>
      <c r="AZ157" s="80">
        <f ca="1">Инвестиции!AZ81*AZ$153</f>
        <v>0</v>
      </c>
      <c r="BA157" s="80">
        <f ca="1">Инвестиции!BA81*BA$153</f>
        <v>602597402.59740257</v>
      </c>
      <c r="BB157" s="80">
        <f ca="1">Инвестиции!BB81*BB$153</f>
        <v>0</v>
      </c>
      <c r="BC157" s="80">
        <f ca="1">Инвестиции!BC81*BC$153</f>
        <v>0</v>
      </c>
      <c r="BD157" s="80">
        <f ca="1">Инвестиции!BD81*BD$153</f>
        <v>564935064.93506491</v>
      </c>
      <c r="BE157" s="80">
        <f ca="1">Инвестиции!BE81*BE$153</f>
        <v>0</v>
      </c>
      <c r="BF157" s="80">
        <f ca="1">Инвестиции!BF81*BF$153</f>
        <v>0</v>
      </c>
      <c r="BG157" s="80">
        <f ca="1">Инвестиции!BG81*BG$153</f>
        <v>527272727.27272725</v>
      </c>
      <c r="BH157" s="80">
        <f ca="1">Инвестиции!BH81*BH$153</f>
        <v>0</v>
      </c>
      <c r="BI157" s="80">
        <f ca="1">Инвестиции!BI81*BI$153</f>
        <v>0</v>
      </c>
      <c r="BJ157" s="80">
        <f ca="1">Инвестиции!BJ81*BJ$153</f>
        <v>489610389.61038959</v>
      </c>
      <c r="BK157" s="80">
        <f ca="1">Инвестиции!BK81*BK$153</f>
        <v>0</v>
      </c>
      <c r="BL157" s="80">
        <f ca="1">Инвестиции!BL81*BL$153</f>
        <v>0</v>
      </c>
      <c r="BM157" s="80">
        <f ca="1">Инвестиции!BM81*BM$153</f>
        <v>451948051.94805193</v>
      </c>
      <c r="BN157" s="80">
        <f ca="1">Инвестиции!BN81*BN$153</f>
        <v>0</v>
      </c>
      <c r="BO157" s="80">
        <f ca="1">Инвестиции!BO81*BO$153</f>
        <v>0</v>
      </c>
      <c r="BP157" s="80">
        <f ca="1">Инвестиции!BP81*BP$153</f>
        <v>414285714.28571427</v>
      </c>
      <c r="BQ157" s="80">
        <f ca="1">Инвестиции!BQ81*BQ$153</f>
        <v>0</v>
      </c>
      <c r="BR157" s="80">
        <f ca="1">Инвестиции!BR81*BR$153</f>
        <v>0</v>
      </c>
      <c r="BS157" s="80">
        <f ca="1">Инвестиции!BS81*BS$153</f>
        <v>376623376.62337661</v>
      </c>
      <c r="BT157" s="80">
        <f ca="1">Инвестиции!BT81*BT$153</f>
        <v>0</v>
      </c>
      <c r="BU157" s="80">
        <f ca="1">Инвестиции!BU81*BU$153</f>
        <v>0</v>
      </c>
      <c r="BV157" s="80">
        <f ca="1">Инвестиции!BV81*BV$153</f>
        <v>338961038.96103895</v>
      </c>
      <c r="BW157" s="80">
        <f ca="1">Инвестиции!BW81*BW$153</f>
        <v>0</v>
      </c>
      <c r="BX157" s="80">
        <f ca="1">Инвестиции!BX81*BX$153</f>
        <v>0</v>
      </c>
      <c r="BY157" s="80">
        <f ca="1">Инвестиции!BY81*BY$153</f>
        <v>301298701.29870129</v>
      </c>
      <c r="BZ157" s="80">
        <f ca="1">Инвестиции!BZ81*BZ$153</f>
        <v>0</v>
      </c>
      <c r="CA157" s="80">
        <f ca="1">Инвестиции!CA81*CA$153</f>
        <v>0</v>
      </c>
      <c r="CB157" s="80">
        <f ca="1">Инвестиции!CB81*CB$153</f>
        <v>263636363.63636363</v>
      </c>
      <c r="CC157" s="80">
        <f ca="1">Инвестиции!CC81*CC$153</f>
        <v>0</v>
      </c>
      <c r="CD157" s="80">
        <f ca="1">Инвестиции!CD81*CD$153</f>
        <v>0</v>
      </c>
      <c r="CE157" s="80">
        <f ca="1">Инвестиции!CE81*CE$153</f>
        <v>225974025.97402596</v>
      </c>
      <c r="CF157" s="80">
        <f ca="1">Инвестиции!CF81*CF$153</f>
        <v>0</v>
      </c>
      <c r="CG157" s="80">
        <f ca="1">Инвестиции!CG81*CG$153</f>
        <v>0</v>
      </c>
      <c r="CH157" s="80">
        <f ca="1">Инвестиции!CH81*CH$153</f>
        <v>188311688.3116883</v>
      </c>
      <c r="CI157" s="80">
        <f ca="1">Инвестиции!CI81*CI$153</f>
        <v>0</v>
      </c>
      <c r="CJ157" s="80">
        <f ca="1">Инвестиции!CJ81*CJ$153</f>
        <v>0</v>
      </c>
      <c r="CK157" s="80">
        <f ca="1">Инвестиции!CK81*CK$153</f>
        <v>150649350.64935064</v>
      </c>
    </row>
    <row r="158" spans="2:89">
      <c r="B158" s="77" t="s">
        <v>133</v>
      </c>
      <c r="C158" s="124"/>
      <c r="D158" s="124"/>
      <c r="E158" s="124"/>
      <c r="F158" s="80">
        <f t="shared" ref="F158:AK158" ca="1" si="388">AVERAGE(F157,OFFSET(F157,,-MIN(F27,Мес_в_кв)))</f>
        <v>0</v>
      </c>
      <c r="G158" s="80">
        <f t="shared" ca="1" si="388"/>
        <v>0</v>
      </c>
      <c r="H158" s="80">
        <f t="shared" ca="1" si="388"/>
        <v>0</v>
      </c>
      <c r="I158" s="80">
        <f t="shared" ca="1" si="388"/>
        <v>0</v>
      </c>
      <c r="J158" s="80">
        <f t="shared" ca="1" si="388"/>
        <v>0</v>
      </c>
      <c r="K158" s="80">
        <f t="shared" ca="1" si="388"/>
        <v>0</v>
      </c>
      <c r="L158" s="80">
        <f t="shared" ca="1" si="388"/>
        <v>0</v>
      </c>
      <c r="M158" s="80">
        <f t="shared" ca="1" si="388"/>
        <v>0</v>
      </c>
      <c r="N158" s="80">
        <f t="shared" ca="1" si="388"/>
        <v>0</v>
      </c>
      <c r="O158" s="80">
        <f t="shared" ca="1" si="388"/>
        <v>0</v>
      </c>
      <c r="P158" s="80">
        <f t="shared" ca="1" si="388"/>
        <v>0</v>
      </c>
      <c r="Q158" s="80">
        <f t="shared" ca="1" si="388"/>
        <v>527272727.27272725</v>
      </c>
      <c r="R158" s="80">
        <f t="shared" ca="1" si="388"/>
        <v>0</v>
      </c>
      <c r="S158" s="80">
        <f t="shared" ca="1" si="388"/>
        <v>0</v>
      </c>
      <c r="T158" s="80">
        <f t="shared" ca="1" si="388"/>
        <v>1035714285.7142856</v>
      </c>
      <c r="U158" s="80">
        <f t="shared" ca="1" si="388"/>
        <v>0</v>
      </c>
      <c r="V158" s="80">
        <f t="shared" ca="1" si="388"/>
        <v>0</v>
      </c>
      <c r="W158" s="80">
        <f t="shared" ca="1" si="388"/>
        <v>998051948.05194807</v>
      </c>
      <c r="X158" s="80">
        <f t="shared" ca="1" si="388"/>
        <v>0</v>
      </c>
      <c r="Y158" s="80">
        <f t="shared" ca="1" si="388"/>
        <v>0</v>
      </c>
      <c r="Z158" s="80">
        <f t="shared" ca="1" si="388"/>
        <v>960389610.38961029</v>
      </c>
      <c r="AA158" s="80">
        <f t="shared" ca="1" si="388"/>
        <v>0</v>
      </c>
      <c r="AB158" s="80">
        <f t="shared" ca="1" si="388"/>
        <v>0</v>
      </c>
      <c r="AC158" s="80">
        <f t="shared" ca="1" si="388"/>
        <v>922727272.72727275</v>
      </c>
      <c r="AD158" s="80">
        <f t="shared" ca="1" si="388"/>
        <v>0</v>
      </c>
      <c r="AE158" s="80">
        <f t="shared" ca="1" si="388"/>
        <v>0</v>
      </c>
      <c r="AF158" s="80">
        <f t="shared" ca="1" si="388"/>
        <v>885064935.06493497</v>
      </c>
      <c r="AG158" s="80">
        <f t="shared" ca="1" si="388"/>
        <v>0</v>
      </c>
      <c r="AH158" s="80">
        <f t="shared" ca="1" si="388"/>
        <v>0</v>
      </c>
      <c r="AI158" s="80">
        <f t="shared" ca="1" si="388"/>
        <v>847402597.40259743</v>
      </c>
      <c r="AJ158" s="80">
        <f t="shared" ca="1" si="388"/>
        <v>0</v>
      </c>
      <c r="AK158" s="80">
        <f t="shared" ca="1" si="388"/>
        <v>0</v>
      </c>
      <c r="AL158" s="80">
        <f t="shared" ref="AL158:BM158" ca="1" si="389">AVERAGE(AL157,OFFSET(AL157,,-MIN(AL27,Мес_в_кв)))</f>
        <v>809740259.74025965</v>
      </c>
      <c r="AM158" s="80">
        <f t="shared" ca="1" si="389"/>
        <v>0</v>
      </c>
      <c r="AN158" s="80">
        <f t="shared" ca="1" si="389"/>
        <v>0</v>
      </c>
      <c r="AO158" s="80">
        <f t="shared" ca="1" si="389"/>
        <v>772077922.07792211</v>
      </c>
      <c r="AP158" s="80">
        <f t="shared" ca="1" si="389"/>
        <v>0</v>
      </c>
      <c r="AQ158" s="80">
        <f t="shared" ca="1" si="389"/>
        <v>0</v>
      </c>
      <c r="AR158" s="80">
        <f t="shared" ca="1" si="389"/>
        <v>734415584.41558433</v>
      </c>
      <c r="AS158" s="80">
        <f t="shared" ca="1" si="389"/>
        <v>0</v>
      </c>
      <c r="AT158" s="80">
        <f t="shared" ca="1" si="389"/>
        <v>0</v>
      </c>
      <c r="AU158" s="80">
        <f t="shared" ca="1" si="389"/>
        <v>696753246.75324678</v>
      </c>
      <c r="AV158" s="80">
        <f t="shared" ca="1" si="389"/>
        <v>0</v>
      </c>
      <c r="AW158" s="80">
        <f t="shared" ca="1" si="389"/>
        <v>0</v>
      </c>
      <c r="AX158" s="80">
        <f t="shared" ca="1" si="389"/>
        <v>659090909.090909</v>
      </c>
      <c r="AY158" s="80">
        <f t="shared" ca="1" si="389"/>
        <v>0</v>
      </c>
      <c r="AZ158" s="80">
        <f t="shared" ca="1" si="389"/>
        <v>0</v>
      </c>
      <c r="BA158" s="80">
        <f t="shared" ca="1" si="389"/>
        <v>621428571.42857146</v>
      </c>
      <c r="BB158" s="80">
        <f t="shared" ca="1" si="389"/>
        <v>0</v>
      </c>
      <c r="BC158" s="80">
        <f t="shared" ca="1" si="389"/>
        <v>0</v>
      </c>
      <c r="BD158" s="80">
        <f t="shared" ca="1" si="389"/>
        <v>583766233.76623368</v>
      </c>
      <c r="BE158" s="80">
        <f t="shared" ca="1" si="389"/>
        <v>0</v>
      </c>
      <c r="BF158" s="80">
        <f t="shared" ca="1" si="389"/>
        <v>0</v>
      </c>
      <c r="BG158" s="80">
        <f t="shared" ca="1" si="389"/>
        <v>546103896.10389614</v>
      </c>
      <c r="BH158" s="80">
        <f t="shared" ca="1" si="389"/>
        <v>0</v>
      </c>
      <c r="BI158" s="80">
        <f t="shared" ca="1" si="389"/>
        <v>0</v>
      </c>
      <c r="BJ158" s="80">
        <f t="shared" ca="1" si="389"/>
        <v>508441558.44155842</v>
      </c>
      <c r="BK158" s="80">
        <f t="shared" ca="1" si="389"/>
        <v>0</v>
      </c>
      <c r="BL158" s="80">
        <f t="shared" ca="1" si="389"/>
        <v>0</v>
      </c>
      <c r="BM158" s="80">
        <f t="shared" ca="1" si="389"/>
        <v>470779220.77922076</v>
      </c>
      <c r="BN158" s="80">
        <f t="shared" ref="BN158:CK158" ca="1" si="390">AVERAGE(BN157,OFFSET(BN157,,-MIN(BN27,Мес_в_кв)))</f>
        <v>0</v>
      </c>
      <c r="BO158" s="80">
        <f t="shared" ca="1" si="390"/>
        <v>0</v>
      </c>
      <c r="BP158" s="80">
        <f t="shared" ca="1" si="390"/>
        <v>433116883.1168831</v>
      </c>
      <c r="BQ158" s="80">
        <f t="shared" ca="1" si="390"/>
        <v>0</v>
      </c>
      <c r="BR158" s="80">
        <f t="shared" ca="1" si="390"/>
        <v>0</v>
      </c>
      <c r="BS158" s="80">
        <f t="shared" ca="1" si="390"/>
        <v>395454545.45454544</v>
      </c>
      <c r="BT158" s="80">
        <f t="shared" ca="1" si="390"/>
        <v>0</v>
      </c>
      <c r="BU158" s="80">
        <f t="shared" ca="1" si="390"/>
        <v>0</v>
      </c>
      <c r="BV158" s="80">
        <f t="shared" ca="1" si="390"/>
        <v>357792207.79220778</v>
      </c>
      <c r="BW158" s="80">
        <f t="shared" ca="1" si="390"/>
        <v>0</v>
      </c>
      <c r="BX158" s="80">
        <f t="shared" ca="1" si="390"/>
        <v>0</v>
      </c>
      <c r="BY158" s="80">
        <f t="shared" ca="1" si="390"/>
        <v>320129870.12987012</v>
      </c>
      <c r="BZ158" s="80">
        <f t="shared" ca="1" si="390"/>
        <v>0</v>
      </c>
      <c r="CA158" s="80">
        <f t="shared" ca="1" si="390"/>
        <v>0</v>
      </c>
      <c r="CB158" s="80">
        <f t="shared" ca="1" si="390"/>
        <v>282467532.46753246</v>
      </c>
      <c r="CC158" s="80">
        <f t="shared" ca="1" si="390"/>
        <v>0</v>
      </c>
      <c r="CD158" s="80">
        <f t="shared" ca="1" si="390"/>
        <v>0</v>
      </c>
      <c r="CE158" s="80">
        <f t="shared" ca="1" si="390"/>
        <v>244805194.8051948</v>
      </c>
      <c r="CF158" s="80">
        <f t="shared" ca="1" si="390"/>
        <v>0</v>
      </c>
      <c r="CG158" s="80">
        <f t="shared" ca="1" si="390"/>
        <v>0</v>
      </c>
      <c r="CH158" s="80">
        <f t="shared" ca="1" si="390"/>
        <v>207142857.14285713</v>
      </c>
      <c r="CI158" s="80">
        <f t="shared" ca="1" si="390"/>
        <v>0</v>
      </c>
      <c r="CJ158" s="80">
        <f t="shared" ca="1" si="390"/>
        <v>0</v>
      </c>
      <c r="CK158" s="80">
        <f t="shared" ca="1" si="390"/>
        <v>169480519.48051947</v>
      </c>
    </row>
    <row r="159" spans="2:89"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</row>
    <row r="160" spans="2:89" ht="18" thickBot="1">
      <c r="B160" s="100" t="str">
        <f>"Начисление и уплата налога, в "&amp;Ед_измерения_денег</f>
        <v>Начисление и уплата налога, в  руб.</v>
      </c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</row>
    <row r="161" spans="2:89" ht="15.75" thickTop="1">
      <c r="B161" s="182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</row>
    <row r="162" spans="2:89">
      <c r="B162" s="45" t="s">
        <v>57</v>
      </c>
      <c r="C162" s="46"/>
      <c r="D162" s="98">
        <v>0</v>
      </c>
      <c r="E162" s="48"/>
      <c r="F162" s="49">
        <f>E165</f>
        <v>0</v>
      </c>
      <c r="G162" s="49">
        <f t="shared" ref="G162:AG162" ca="1" si="391">F165</f>
        <v>0</v>
      </c>
      <c r="H162" s="49">
        <f t="shared" ca="1" si="391"/>
        <v>0</v>
      </c>
      <c r="I162" s="49">
        <f t="shared" ca="1" si="391"/>
        <v>0</v>
      </c>
      <c r="J162" s="49">
        <f t="shared" ca="1" si="391"/>
        <v>0</v>
      </c>
      <c r="K162" s="49">
        <f t="shared" ca="1" si="391"/>
        <v>0</v>
      </c>
      <c r="L162" s="49">
        <f t="shared" ca="1" si="391"/>
        <v>0</v>
      </c>
      <c r="M162" s="49">
        <f t="shared" ca="1" si="391"/>
        <v>0</v>
      </c>
      <c r="N162" s="49">
        <f t="shared" ca="1" si="391"/>
        <v>0</v>
      </c>
      <c r="O162" s="49">
        <f t="shared" ca="1" si="391"/>
        <v>0</v>
      </c>
      <c r="P162" s="49">
        <f t="shared" ca="1" si="391"/>
        <v>0</v>
      </c>
      <c r="Q162" s="49">
        <f t="shared" ca="1" si="391"/>
        <v>0</v>
      </c>
      <c r="R162" s="49">
        <f t="shared" ca="1" si="391"/>
        <v>0</v>
      </c>
      <c r="S162" s="49">
        <f t="shared" ca="1" si="391"/>
        <v>0</v>
      </c>
      <c r="T162" s="49">
        <f t="shared" ca="1" si="391"/>
        <v>0</v>
      </c>
      <c r="U162" s="49">
        <f t="shared" ca="1" si="391"/>
        <v>5696428.5714285709</v>
      </c>
      <c r="V162" s="49">
        <f t="shared" ca="1" si="391"/>
        <v>3797619.0476190476</v>
      </c>
      <c r="W162" s="49">
        <f t="shared" ca="1" si="391"/>
        <v>1898809.523809524</v>
      </c>
      <c r="X162" s="49">
        <f t="shared" ca="1" si="391"/>
        <v>5489285.7142857146</v>
      </c>
      <c r="Y162" s="49">
        <f t="shared" ca="1" si="391"/>
        <v>3659523.8095238097</v>
      </c>
      <c r="Z162" s="49">
        <f t="shared" ca="1" si="391"/>
        <v>1829761.9047619051</v>
      </c>
      <c r="AA162" s="49">
        <f t="shared" ca="1" si="391"/>
        <v>5282142.8571428563</v>
      </c>
      <c r="AB162" s="49">
        <f t="shared" ca="1" si="391"/>
        <v>3521428.5714285709</v>
      </c>
      <c r="AC162" s="49">
        <f t="shared" ca="1" si="391"/>
        <v>1760714.2857142854</v>
      </c>
      <c r="AD162" s="49">
        <f t="shared" ca="1" si="391"/>
        <v>0</v>
      </c>
      <c r="AE162" s="49">
        <f t="shared" ca="1" si="391"/>
        <v>0</v>
      </c>
      <c r="AF162" s="49">
        <f t="shared" ca="1" si="391"/>
        <v>0</v>
      </c>
      <c r="AG162" s="49">
        <f t="shared" ca="1" si="391"/>
        <v>0</v>
      </c>
      <c r="AH162" s="49">
        <f t="shared" ref="AH162:BM162" ca="1" si="392">AG165</f>
        <v>0</v>
      </c>
      <c r="AI162" s="49">
        <f t="shared" ca="1" si="392"/>
        <v>0</v>
      </c>
      <c r="AJ162" s="49">
        <f t="shared" ca="1" si="392"/>
        <v>0</v>
      </c>
      <c r="AK162" s="49">
        <f t="shared" ca="1" si="392"/>
        <v>0</v>
      </c>
      <c r="AL162" s="49">
        <f t="shared" ca="1" si="392"/>
        <v>0</v>
      </c>
      <c r="AM162" s="49">
        <f t="shared" ca="1" si="392"/>
        <v>0</v>
      </c>
      <c r="AN162" s="49">
        <f t="shared" ca="1" si="392"/>
        <v>0</v>
      </c>
      <c r="AO162" s="49">
        <f t="shared" ca="1" si="392"/>
        <v>0</v>
      </c>
      <c r="AP162" s="49">
        <f t="shared" ca="1" si="392"/>
        <v>0</v>
      </c>
      <c r="AQ162" s="49">
        <f t="shared" ca="1" si="392"/>
        <v>0</v>
      </c>
      <c r="AR162" s="49">
        <f t="shared" ca="1" si="392"/>
        <v>0</v>
      </c>
      <c r="AS162" s="49">
        <f t="shared" ca="1" si="392"/>
        <v>0</v>
      </c>
      <c r="AT162" s="49">
        <f t="shared" ca="1" si="392"/>
        <v>0</v>
      </c>
      <c r="AU162" s="49">
        <f t="shared" ca="1" si="392"/>
        <v>0</v>
      </c>
      <c r="AV162" s="49">
        <f t="shared" ca="1" si="392"/>
        <v>0</v>
      </c>
      <c r="AW162" s="49">
        <f t="shared" ca="1" si="392"/>
        <v>0</v>
      </c>
      <c r="AX162" s="49">
        <f t="shared" ca="1" si="392"/>
        <v>0</v>
      </c>
      <c r="AY162" s="49">
        <f t="shared" ca="1" si="392"/>
        <v>0</v>
      </c>
      <c r="AZ162" s="49">
        <f t="shared" ca="1" si="392"/>
        <v>0</v>
      </c>
      <c r="BA162" s="49">
        <f t="shared" ca="1" si="392"/>
        <v>0</v>
      </c>
      <c r="BB162" s="49">
        <f t="shared" ca="1" si="392"/>
        <v>0</v>
      </c>
      <c r="BC162" s="49">
        <f t="shared" ca="1" si="392"/>
        <v>0</v>
      </c>
      <c r="BD162" s="49">
        <f t="shared" ca="1" si="392"/>
        <v>0</v>
      </c>
      <c r="BE162" s="49">
        <f t="shared" ca="1" si="392"/>
        <v>0</v>
      </c>
      <c r="BF162" s="49">
        <f t="shared" ca="1" si="392"/>
        <v>0</v>
      </c>
      <c r="BG162" s="49">
        <f t="shared" ca="1" si="392"/>
        <v>0</v>
      </c>
      <c r="BH162" s="49">
        <f t="shared" ca="1" si="392"/>
        <v>0</v>
      </c>
      <c r="BI162" s="49">
        <f t="shared" ca="1" si="392"/>
        <v>0</v>
      </c>
      <c r="BJ162" s="49">
        <f t="shared" ca="1" si="392"/>
        <v>0</v>
      </c>
      <c r="BK162" s="49">
        <f t="shared" ca="1" si="392"/>
        <v>0</v>
      </c>
      <c r="BL162" s="49">
        <f t="shared" ca="1" si="392"/>
        <v>0</v>
      </c>
      <c r="BM162" s="49">
        <f t="shared" ca="1" si="392"/>
        <v>0</v>
      </c>
      <c r="BN162" s="49">
        <f t="shared" ref="BN162" ca="1" si="393">BM165</f>
        <v>0</v>
      </c>
      <c r="BO162" s="49">
        <f t="shared" ref="BO162" ca="1" si="394">BN165</f>
        <v>0</v>
      </c>
      <c r="BP162" s="49">
        <f t="shared" ref="BP162" ca="1" si="395">BO165</f>
        <v>0</v>
      </c>
      <c r="BQ162" s="49">
        <f t="shared" ref="BQ162" ca="1" si="396">BP165</f>
        <v>0</v>
      </c>
      <c r="BR162" s="49">
        <f t="shared" ref="BR162" ca="1" si="397">BQ165</f>
        <v>0</v>
      </c>
      <c r="BS162" s="49">
        <f t="shared" ref="BS162" ca="1" si="398">BR165</f>
        <v>0</v>
      </c>
      <c r="BT162" s="49">
        <f t="shared" ref="BT162" ca="1" si="399">BS165</f>
        <v>0</v>
      </c>
      <c r="BU162" s="49">
        <f t="shared" ref="BU162" ca="1" si="400">BT165</f>
        <v>0</v>
      </c>
      <c r="BV162" s="49">
        <f t="shared" ref="BV162" ca="1" si="401">BU165</f>
        <v>0</v>
      </c>
      <c r="BW162" s="49">
        <f t="shared" ref="BW162" ca="1" si="402">BV165</f>
        <v>0</v>
      </c>
      <c r="BX162" s="49">
        <f t="shared" ref="BX162" ca="1" si="403">BW165</f>
        <v>0</v>
      </c>
      <c r="BY162" s="49">
        <f t="shared" ref="BY162" ca="1" si="404">BX165</f>
        <v>0</v>
      </c>
      <c r="BZ162" s="49">
        <f t="shared" ref="BZ162" ca="1" si="405">BY165</f>
        <v>0</v>
      </c>
      <c r="CA162" s="49">
        <f t="shared" ref="CA162" ca="1" si="406">BZ165</f>
        <v>0</v>
      </c>
      <c r="CB162" s="49">
        <f t="shared" ref="CB162" ca="1" si="407">CA165</f>
        <v>0</v>
      </c>
      <c r="CC162" s="49">
        <f t="shared" ref="CC162" ca="1" si="408">CB165</f>
        <v>0</v>
      </c>
      <c r="CD162" s="49">
        <f t="shared" ref="CD162" ca="1" si="409">CC165</f>
        <v>0</v>
      </c>
      <c r="CE162" s="49">
        <f t="shared" ref="CE162" ca="1" si="410">CD165</f>
        <v>0</v>
      </c>
      <c r="CF162" s="49">
        <f t="shared" ref="CF162" ca="1" si="411">CE165</f>
        <v>0</v>
      </c>
      <c r="CG162" s="49">
        <f t="shared" ref="CG162" ca="1" si="412">CF165</f>
        <v>0</v>
      </c>
      <c r="CH162" s="49">
        <f t="shared" ref="CH162" ca="1" si="413">CG165</f>
        <v>0</v>
      </c>
      <c r="CI162" s="49">
        <f t="shared" ref="CI162" ca="1" si="414">CH165</f>
        <v>0</v>
      </c>
      <c r="CJ162" s="49">
        <f t="shared" ref="CJ162" ca="1" si="415">CI165</f>
        <v>0</v>
      </c>
      <c r="CK162" s="49">
        <f t="shared" ref="CK162" ca="1" si="416">CJ165</f>
        <v>0</v>
      </c>
    </row>
    <row r="163" spans="2:89">
      <c r="B163" s="45" t="s">
        <v>72</v>
      </c>
      <c r="C163" s="46"/>
      <c r="D163" s="98">
        <f ca="1">SUM(F163:CK163)</f>
        <v>16467857.14285714</v>
      </c>
      <c r="E163" s="48"/>
      <c r="F163" s="49">
        <f t="shared" ref="F163:AG163" ca="1" si="417">F158*F149*F$14</f>
        <v>0</v>
      </c>
      <c r="G163" s="49">
        <f t="shared" ca="1" si="417"/>
        <v>0</v>
      </c>
      <c r="H163" s="49">
        <f t="shared" ca="1" si="417"/>
        <v>0</v>
      </c>
      <c r="I163" s="49">
        <f t="shared" ca="1" si="417"/>
        <v>0</v>
      </c>
      <c r="J163" s="49">
        <f t="shared" ca="1" si="417"/>
        <v>0</v>
      </c>
      <c r="K163" s="49">
        <f t="shared" ca="1" si="417"/>
        <v>0</v>
      </c>
      <c r="L163" s="49">
        <f t="shared" ca="1" si="417"/>
        <v>0</v>
      </c>
      <c r="M163" s="49">
        <f t="shared" ca="1" si="417"/>
        <v>0</v>
      </c>
      <c r="N163" s="49">
        <f t="shared" ca="1" si="417"/>
        <v>0</v>
      </c>
      <c r="O163" s="49">
        <f t="shared" ca="1" si="417"/>
        <v>0</v>
      </c>
      <c r="P163" s="49">
        <f t="shared" ca="1" si="417"/>
        <v>0</v>
      </c>
      <c r="Q163" s="49">
        <f t="shared" ca="1" si="417"/>
        <v>0</v>
      </c>
      <c r="R163" s="49">
        <f t="shared" ca="1" si="417"/>
        <v>0</v>
      </c>
      <c r="S163" s="49">
        <f t="shared" ca="1" si="417"/>
        <v>0</v>
      </c>
      <c r="T163" s="49">
        <f t="shared" ca="1" si="417"/>
        <v>5696428.5714285709</v>
      </c>
      <c r="U163" s="49">
        <f t="shared" ca="1" si="417"/>
        <v>0</v>
      </c>
      <c r="V163" s="49">
        <f t="shared" ca="1" si="417"/>
        <v>0</v>
      </c>
      <c r="W163" s="49">
        <f t="shared" ca="1" si="417"/>
        <v>5489285.7142857136</v>
      </c>
      <c r="X163" s="49">
        <f t="shared" ca="1" si="417"/>
        <v>0</v>
      </c>
      <c r="Y163" s="49">
        <f t="shared" ca="1" si="417"/>
        <v>0</v>
      </c>
      <c r="Z163" s="49">
        <f t="shared" ca="1" si="417"/>
        <v>5282142.8571428563</v>
      </c>
      <c r="AA163" s="49">
        <f t="shared" ca="1" si="417"/>
        <v>0</v>
      </c>
      <c r="AB163" s="49">
        <f t="shared" ca="1" si="417"/>
        <v>0</v>
      </c>
      <c r="AC163" s="49">
        <f t="shared" ca="1" si="417"/>
        <v>0</v>
      </c>
      <c r="AD163" s="49">
        <f t="shared" ca="1" si="417"/>
        <v>0</v>
      </c>
      <c r="AE163" s="49">
        <f t="shared" ca="1" si="417"/>
        <v>0</v>
      </c>
      <c r="AF163" s="49">
        <f t="shared" ca="1" si="417"/>
        <v>0</v>
      </c>
      <c r="AG163" s="49">
        <f t="shared" ca="1" si="417"/>
        <v>0</v>
      </c>
      <c r="AH163" s="49">
        <f t="shared" ref="AH163:BM163" ca="1" si="418">AH158*AH149*AH$14</f>
        <v>0</v>
      </c>
      <c r="AI163" s="49">
        <f t="shared" ca="1" si="418"/>
        <v>0</v>
      </c>
      <c r="AJ163" s="49">
        <f t="shared" ca="1" si="418"/>
        <v>0</v>
      </c>
      <c r="AK163" s="49">
        <f t="shared" ca="1" si="418"/>
        <v>0</v>
      </c>
      <c r="AL163" s="49">
        <f t="shared" ca="1" si="418"/>
        <v>0</v>
      </c>
      <c r="AM163" s="49">
        <f t="shared" ca="1" si="418"/>
        <v>0</v>
      </c>
      <c r="AN163" s="49">
        <f t="shared" ca="1" si="418"/>
        <v>0</v>
      </c>
      <c r="AO163" s="49">
        <f t="shared" ca="1" si="418"/>
        <v>0</v>
      </c>
      <c r="AP163" s="49">
        <f t="shared" ca="1" si="418"/>
        <v>0</v>
      </c>
      <c r="AQ163" s="49">
        <f t="shared" ca="1" si="418"/>
        <v>0</v>
      </c>
      <c r="AR163" s="49">
        <f t="shared" ca="1" si="418"/>
        <v>0</v>
      </c>
      <c r="AS163" s="49">
        <f t="shared" ca="1" si="418"/>
        <v>0</v>
      </c>
      <c r="AT163" s="49">
        <f t="shared" ca="1" si="418"/>
        <v>0</v>
      </c>
      <c r="AU163" s="49">
        <f t="shared" ca="1" si="418"/>
        <v>0</v>
      </c>
      <c r="AV163" s="49">
        <f t="shared" ca="1" si="418"/>
        <v>0</v>
      </c>
      <c r="AW163" s="49">
        <f t="shared" ca="1" si="418"/>
        <v>0</v>
      </c>
      <c r="AX163" s="49">
        <f t="shared" ca="1" si="418"/>
        <v>0</v>
      </c>
      <c r="AY163" s="49">
        <f t="shared" ca="1" si="418"/>
        <v>0</v>
      </c>
      <c r="AZ163" s="49">
        <f t="shared" ca="1" si="418"/>
        <v>0</v>
      </c>
      <c r="BA163" s="49">
        <f t="shared" ca="1" si="418"/>
        <v>0</v>
      </c>
      <c r="BB163" s="49">
        <f t="shared" ca="1" si="418"/>
        <v>0</v>
      </c>
      <c r="BC163" s="49">
        <f t="shared" ca="1" si="418"/>
        <v>0</v>
      </c>
      <c r="BD163" s="49">
        <f t="shared" ca="1" si="418"/>
        <v>0</v>
      </c>
      <c r="BE163" s="49">
        <f t="shared" ca="1" si="418"/>
        <v>0</v>
      </c>
      <c r="BF163" s="49">
        <f t="shared" ca="1" si="418"/>
        <v>0</v>
      </c>
      <c r="BG163" s="49">
        <f t="shared" ca="1" si="418"/>
        <v>0</v>
      </c>
      <c r="BH163" s="49">
        <f t="shared" ca="1" si="418"/>
        <v>0</v>
      </c>
      <c r="BI163" s="49">
        <f t="shared" ca="1" si="418"/>
        <v>0</v>
      </c>
      <c r="BJ163" s="49">
        <f t="shared" ca="1" si="418"/>
        <v>0</v>
      </c>
      <c r="BK163" s="49">
        <f t="shared" ca="1" si="418"/>
        <v>0</v>
      </c>
      <c r="BL163" s="49">
        <f t="shared" ca="1" si="418"/>
        <v>0</v>
      </c>
      <c r="BM163" s="49">
        <f t="shared" ca="1" si="418"/>
        <v>0</v>
      </c>
      <c r="BN163" s="49">
        <f t="shared" ref="BN163:CK163" ca="1" si="419">BN158*BN149*BN$14</f>
        <v>0</v>
      </c>
      <c r="BO163" s="49">
        <f t="shared" ca="1" si="419"/>
        <v>0</v>
      </c>
      <c r="BP163" s="49">
        <f t="shared" ca="1" si="419"/>
        <v>0</v>
      </c>
      <c r="BQ163" s="49">
        <f t="shared" ca="1" si="419"/>
        <v>0</v>
      </c>
      <c r="BR163" s="49">
        <f t="shared" ca="1" si="419"/>
        <v>0</v>
      </c>
      <c r="BS163" s="49">
        <f t="shared" ca="1" si="419"/>
        <v>0</v>
      </c>
      <c r="BT163" s="49">
        <f t="shared" ca="1" si="419"/>
        <v>0</v>
      </c>
      <c r="BU163" s="49">
        <f t="shared" ca="1" si="419"/>
        <v>0</v>
      </c>
      <c r="BV163" s="49">
        <f t="shared" ca="1" si="419"/>
        <v>0</v>
      </c>
      <c r="BW163" s="49">
        <f t="shared" ca="1" si="419"/>
        <v>0</v>
      </c>
      <c r="BX163" s="49">
        <f t="shared" ca="1" si="419"/>
        <v>0</v>
      </c>
      <c r="BY163" s="49">
        <f t="shared" ca="1" si="419"/>
        <v>0</v>
      </c>
      <c r="BZ163" s="49">
        <f t="shared" ca="1" si="419"/>
        <v>0</v>
      </c>
      <c r="CA163" s="49">
        <f t="shared" ca="1" si="419"/>
        <v>0</v>
      </c>
      <c r="CB163" s="49">
        <f t="shared" ca="1" si="419"/>
        <v>0</v>
      </c>
      <c r="CC163" s="49">
        <f t="shared" ca="1" si="419"/>
        <v>0</v>
      </c>
      <c r="CD163" s="49">
        <f t="shared" ca="1" si="419"/>
        <v>0</v>
      </c>
      <c r="CE163" s="49">
        <f t="shared" ca="1" si="419"/>
        <v>0</v>
      </c>
      <c r="CF163" s="49">
        <f t="shared" ca="1" si="419"/>
        <v>0</v>
      </c>
      <c r="CG163" s="49">
        <f t="shared" ca="1" si="419"/>
        <v>0</v>
      </c>
      <c r="CH163" s="49">
        <f t="shared" ca="1" si="419"/>
        <v>0</v>
      </c>
      <c r="CI163" s="49">
        <f t="shared" ca="1" si="419"/>
        <v>0</v>
      </c>
      <c r="CJ163" s="49">
        <f t="shared" ca="1" si="419"/>
        <v>0</v>
      </c>
      <c r="CK163" s="49">
        <f t="shared" ca="1" si="419"/>
        <v>0</v>
      </c>
    </row>
    <row r="164" spans="2:89" ht="15.75" thickBot="1">
      <c r="B164" s="45" t="s">
        <v>73</v>
      </c>
      <c r="C164" s="46"/>
      <c r="D164" s="98">
        <f ca="1">SUM(F164:CK164)</f>
        <v>-16467857.142857142</v>
      </c>
      <c r="E164" s="48"/>
      <c r="F164" s="49">
        <f t="shared" ref="F164:AG164" ca="1" si="420">-SUM(OFFSET(F163,,-MIN(F$27,Мес_в_кв),1,3))/3</f>
        <v>0</v>
      </c>
      <c r="G164" s="49">
        <f t="shared" ca="1" si="420"/>
        <v>0</v>
      </c>
      <c r="H164" s="49">
        <f t="shared" ca="1" si="420"/>
        <v>0</v>
      </c>
      <c r="I164" s="49">
        <f t="shared" ca="1" si="420"/>
        <v>0</v>
      </c>
      <c r="J164" s="49">
        <f t="shared" ca="1" si="420"/>
        <v>0</v>
      </c>
      <c r="K164" s="49">
        <f t="shared" ca="1" si="420"/>
        <v>0</v>
      </c>
      <c r="L164" s="49">
        <f t="shared" ca="1" si="420"/>
        <v>0</v>
      </c>
      <c r="M164" s="49">
        <f t="shared" ca="1" si="420"/>
        <v>0</v>
      </c>
      <c r="N164" s="49">
        <f t="shared" ca="1" si="420"/>
        <v>0</v>
      </c>
      <c r="O164" s="49">
        <f t="shared" ca="1" si="420"/>
        <v>0</v>
      </c>
      <c r="P164" s="49">
        <f t="shared" ca="1" si="420"/>
        <v>0</v>
      </c>
      <c r="Q164" s="49">
        <f t="shared" ca="1" si="420"/>
        <v>0</v>
      </c>
      <c r="R164" s="49">
        <f t="shared" ca="1" si="420"/>
        <v>0</v>
      </c>
      <c r="S164" s="49">
        <f t="shared" ca="1" si="420"/>
        <v>0</v>
      </c>
      <c r="T164" s="49">
        <f t="shared" ca="1" si="420"/>
        <v>0</v>
      </c>
      <c r="U164" s="49">
        <f t="shared" ca="1" si="420"/>
        <v>-1898809.5238095236</v>
      </c>
      <c r="V164" s="49">
        <f t="shared" ca="1" si="420"/>
        <v>-1898809.5238095236</v>
      </c>
      <c r="W164" s="49">
        <f t="shared" ca="1" si="420"/>
        <v>-1898809.5238095236</v>
      </c>
      <c r="X164" s="49">
        <f t="shared" ca="1" si="420"/>
        <v>-1829761.9047619046</v>
      </c>
      <c r="Y164" s="49">
        <f t="shared" ca="1" si="420"/>
        <v>-1829761.9047619046</v>
      </c>
      <c r="Z164" s="49">
        <f t="shared" ca="1" si="420"/>
        <v>-1829761.9047619046</v>
      </c>
      <c r="AA164" s="49">
        <f t="shared" ca="1" si="420"/>
        <v>-1760714.2857142854</v>
      </c>
      <c r="AB164" s="49">
        <f t="shared" ca="1" si="420"/>
        <v>-1760714.2857142854</v>
      </c>
      <c r="AC164" s="49">
        <f t="shared" ca="1" si="420"/>
        <v>-1760714.2857142854</v>
      </c>
      <c r="AD164" s="49">
        <f t="shared" ca="1" si="420"/>
        <v>0</v>
      </c>
      <c r="AE164" s="49">
        <f t="shared" ca="1" si="420"/>
        <v>0</v>
      </c>
      <c r="AF164" s="49">
        <f t="shared" ca="1" si="420"/>
        <v>0</v>
      </c>
      <c r="AG164" s="49">
        <f t="shared" ca="1" si="420"/>
        <v>0</v>
      </c>
      <c r="AH164" s="49">
        <f t="shared" ref="AH164:BM164" ca="1" si="421">-SUM(OFFSET(AH163,,-MIN(AH$27,Мес_в_кв),1,3))/3</f>
        <v>0</v>
      </c>
      <c r="AI164" s="49">
        <f t="shared" ca="1" si="421"/>
        <v>0</v>
      </c>
      <c r="AJ164" s="49">
        <f t="shared" ca="1" si="421"/>
        <v>0</v>
      </c>
      <c r="AK164" s="49">
        <f t="shared" ca="1" si="421"/>
        <v>0</v>
      </c>
      <c r="AL164" s="49">
        <f t="shared" ca="1" si="421"/>
        <v>0</v>
      </c>
      <c r="AM164" s="49">
        <f t="shared" ca="1" si="421"/>
        <v>0</v>
      </c>
      <c r="AN164" s="49">
        <f t="shared" ca="1" si="421"/>
        <v>0</v>
      </c>
      <c r="AO164" s="49">
        <f t="shared" ca="1" si="421"/>
        <v>0</v>
      </c>
      <c r="AP164" s="49">
        <f t="shared" ca="1" si="421"/>
        <v>0</v>
      </c>
      <c r="AQ164" s="49">
        <f t="shared" ca="1" si="421"/>
        <v>0</v>
      </c>
      <c r="AR164" s="49">
        <f t="shared" ca="1" si="421"/>
        <v>0</v>
      </c>
      <c r="AS164" s="49">
        <f t="shared" ca="1" si="421"/>
        <v>0</v>
      </c>
      <c r="AT164" s="49">
        <f t="shared" ca="1" si="421"/>
        <v>0</v>
      </c>
      <c r="AU164" s="49">
        <f t="shared" ca="1" si="421"/>
        <v>0</v>
      </c>
      <c r="AV164" s="49">
        <f t="shared" ca="1" si="421"/>
        <v>0</v>
      </c>
      <c r="AW164" s="49">
        <f t="shared" ca="1" si="421"/>
        <v>0</v>
      </c>
      <c r="AX164" s="49">
        <f t="shared" ca="1" si="421"/>
        <v>0</v>
      </c>
      <c r="AY164" s="49">
        <f t="shared" ca="1" si="421"/>
        <v>0</v>
      </c>
      <c r="AZ164" s="49">
        <f t="shared" ca="1" si="421"/>
        <v>0</v>
      </c>
      <c r="BA164" s="49">
        <f t="shared" ca="1" si="421"/>
        <v>0</v>
      </c>
      <c r="BB164" s="49">
        <f t="shared" ca="1" si="421"/>
        <v>0</v>
      </c>
      <c r="BC164" s="49">
        <f t="shared" ca="1" si="421"/>
        <v>0</v>
      </c>
      <c r="BD164" s="49">
        <f t="shared" ca="1" si="421"/>
        <v>0</v>
      </c>
      <c r="BE164" s="49">
        <f t="shared" ca="1" si="421"/>
        <v>0</v>
      </c>
      <c r="BF164" s="49">
        <f t="shared" ca="1" si="421"/>
        <v>0</v>
      </c>
      <c r="BG164" s="49">
        <f t="shared" ca="1" si="421"/>
        <v>0</v>
      </c>
      <c r="BH164" s="49">
        <f t="shared" ca="1" si="421"/>
        <v>0</v>
      </c>
      <c r="BI164" s="49">
        <f t="shared" ca="1" si="421"/>
        <v>0</v>
      </c>
      <c r="BJ164" s="49">
        <f t="shared" ca="1" si="421"/>
        <v>0</v>
      </c>
      <c r="BK164" s="49">
        <f t="shared" ca="1" si="421"/>
        <v>0</v>
      </c>
      <c r="BL164" s="49">
        <f t="shared" ca="1" si="421"/>
        <v>0</v>
      </c>
      <c r="BM164" s="49">
        <f t="shared" ca="1" si="421"/>
        <v>0</v>
      </c>
      <c r="BN164" s="49">
        <f t="shared" ref="BN164:CK164" ca="1" si="422">-SUM(OFFSET(BN163,,-MIN(BN$27,Мес_в_кв),1,3))/3</f>
        <v>0</v>
      </c>
      <c r="BO164" s="49">
        <f t="shared" ca="1" si="422"/>
        <v>0</v>
      </c>
      <c r="BP164" s="49">
        <f t="shared" ca="1" si="422"/>
        <v>0</v>
      </c>
      <c r="BQ164" s="49">
        <f t="shared" ca="1" si="422"/>
        <v>0</v>
      </c>
      <c r="BR164" s="49">
        <f t="shared" ca="1" si="422"/>
        <v>0</v>
      </c>
      <c r="BS164" s="49">
        <f t="shared" ca="1" si="422"/>
        <v>0</v>
      </c>
      <c r="BT164" s="49">
        <f t="shared" ca="1" si="422"/>
        <v>0</v>
      </c>
      <c r="BU164" s="49">
        <f t="shared" ca="1" si="422"/>
        <v>0</v>
      </c>
      <c r="BV164" s="49">
        <f t="shared" ca="1" si="422"/>
        <v>0</v>
      </c>
      <c r="BW164" s="49">
        <f t="shared" ca="1" si="422"/>
        <v>0</v>
      </c>
      <c r="BX164" s="49">
        <f t="shared" ca="1" si="422"/>
        <v>0</v>
      </c>
      <c r="BY164" s="49">
        <f t="shared" ca="1" si="422"/>
        <v>0</v>
      </c>
      <c r="BZ164" s="49">
        <f t="shared" ca="1" si="422"/>
        <v>0</v>
      </c>
      <c r="CA164" s="49">
        <f t="shared" ca="1" si="422"/>
        <v>0</v>
      </c>
      <c r="CB164" s="49">
        <f t="shared" ca="1" si="422"/>
        <v>0</v>
      </c>
      <c r="CC164" s="49">
        <f t="shared" ca="1" si="422"/>
        <v>0</v>
      </c>
      <c r="CD164" s="49">
        <f t="shared" ca="1" si="422"/>
        <v>0</v>
      </c>
      <c r="CE164" s="49">
        <f t="shared" ca="1" si="422"/>
        <v>0</v>
      </c>
      <c r="CF164" s="49">
        <f t="shared" ca="1" si="422"/>
        <v>0</v>
      </c>
      <c r="CG164" s="49">
        <f t="shared" ca="1" si="422"/>
        <v>0</v>
      </c>
      <c r="CH164" s="49">
        <f t="shared" ca="1" si="422"/>
        <v>0</v>
      </c>
      <c r="CI164" s="49">
        <f t="shared" ca="1" si="422"/>
        <v>0</v>
      </c>
      <c r="CJ164" s="49">
        <f t="shared" ca="1" si="422"/>
        <v>0</v>
      </c>
      <c r="CK164" s="49">
        <f t="shared" ca="1" si="422"/>
        <v>0</v>
      </c>
    </row>
    <row r="165" spans="2:89" ht="15.75" thickTop="1">
      <c r="B165" s="50" t="s">
        <v>58</v>
      </c>
      <c r="C165" s="51"/>
      <c r="D165" s="52">
        <f ca="1">SUM(D162:D164)</f>
        <v>0</v>
      </c>
      <c r="E165" s="53"/>
      <c r="F165" s="54">
        <f ca="1">SUM(F162:F164)</f>
        <v>0</v>
      </c>
      <c r="G165" s="54">
        <f t="shared" ref="G165:AG165" ca="1" si="423">SUM(G162:G164)</f>
        <v>0</v>
      </c>
      <c r="H165" s="54">
        <f t="shared" ca="1" si="423"/>
        <v>0</v>
      </c>
      <c r="I165" s="54">
        <f t="shared" ca="1" si="423"/>
        <v>0</v>
      </c>
      <c r="J165" s="54">
        <f t="shared" ca="1" si="423"/>
        <v>0</v>
      </c>
      <c r="K165" s="54">
        <f t="shared" ca="1" si="423"/>
        <v>0</v>
      </c>
      <c r="L165" s="54">
        <f t="shared" ca="1" si="423"/>
        <v>0</v>
      </c>
      <c r="M165" s="54">
        <f t="shared" ca="1" si="423"/>
        <v>0</v>
      </c>
      <c r="N165" s="54">
        <f t="shared" ca="1" si="423"/>
        <v>0</v>
      </c>
      <c r="O165" s="54">
        <f t="shared" ca="1" si="423"/>
        <v>0</v>
      </c>
      <c r="P165" s="54">
        <f t="shared" ca="1" si="423"/>
        <v>0</v>
      </c>
      <c r="Q165" s="54">
        <f t="shared" ca="1" si="423"/>
        <v>0</v>
      </c>
      <c r="R165" s="54">
        <f t="shared" ca="1" si="423"/>
        <v>0</v>
      </c>
      <c r="S165" s="54">
        <f t="shared" ca="1" si="423"/>
        <v>0</v>
      </c>
      <c r="T165" s="54">
        <f t="shared" ca="1" si="423"/>
        <v>5696428.5714285709</v>
      </c>
      <c r="U165" s="54">
        <f t="shared" ca="1" si="423"/>
        <v>3797619.0476190476</v>
      </c>
      <c r="V165" s="54">
        <f t="shared" ca="1" si="423"/>
        <v>1898809.523809524</v>
      </c>
      <c r="W165" s="54">
        <f t="shared" ca="1" si="423"/>
        <v>5489285.7142857146</v>
      </c>
      <c r="X165" s="54">
        <f t="shared" ca="1" si="423"/>
        <v>3659523.8095238097</v>
      </c>
      <c r="Y165" s="54">
        <f t="shared" ca="1" si="423"/>
        <v>1829761.9047619051</v>
      </c>
      <c r="Z165" s="54">
        <f t="shared" ca="1" si="423"/>
        <v>5282142.8571428563</v>
      </c>
      <c r="AA165" s="54">
        <f t="shared" ca="1" si="423"/>
        <v>3521428.5714285709</v>
      </c>
      <c r="AB165" s="54">
        <f t="shared" ca="1" si="423"/>
        <v>1760714.2857142854</v>
      </c>
      <c r="AC165" s="54">
        <f t="shared" ca="1" si="423"/>
        <v>0</v>
      </c>
      <c r="AD165" s="54">
        <f t="shared" ca="1" si="423"/>
        <v>0</v>
      </c>
      <c r="AE165" s="54">
        <f t="shared" ca="1" si="423"/>
        <v>0</v>
      </c>
      <c r="AF165" s="54">
        <f t="shared" ca="1" si="423"/>
        <v>0</v>
      </c>
      <c r="AG165" s="54">
        <f t="shared" ca="1" si="423"/>
        <v>0</v>
      </c>
      <c r="AH165" s="54">
        <f t="shared" ref="AH165:BM165" ca="1" si="424">SUM(AH162:AH164)</f>
        <v>0</v>
      </c>
      <c r="AI165" s="54">
        <f t="shared" ca="1" si="424"/>
        <v>0</v>
      </c>
      <c r="AJ165" s="54">
        <f t="shared" ca="1" si="424"/>
        <v>0</v>
      </c>
      <c r="AK165" s="54">
        <f t="shared" ca="1" si="424"/>
        <v>0</v>
      </c>
      <c r="AL165" s="54">
        <f t="shared" ca="1" si="424"/>
        <v>0</v>
      </c>
      <c r="AM165" s="54">
        <f t="shared" ca="1" si="424"/>
        <v>0</v>
      </c>
      <c r="AN165" s="54">
        <f t="shared" ca="1" si="424"/>
        <v>0</v>
      </c>
      <c r="AO165" s="54">
        <f t="shared" ca="1" si="424"/>
        <v>0</v>
      </c>
      <c r="AP165" s="54">
        <f t="shared" ca="1" si="424"/>
        <v>0</v>
      </c>
      <c r="AQ165" s="54">
        <f t="shared" ca="1" si="424"/>
        <v>0</v>
      </c>
      <c r="AR165" s="54">
        <f t="shared" ca="1" si="424"/>
        <v>0</v>
      </c>
      <c r="AS165" s="54">
        <f t="shared" ca="1" si="424"/>
        <v>0</v>
      </c>
      <c r="AT165" s="54">
        <f t="shared" ca="1" si="424"/>
        <v>0</v>
      </c>
      <c r="AU165" s="54">
        <f t="shared" ca="1" si="424"/>
        <v>0</v>
      </c>
      <c r="AV165" s="54">
        <f t="shared" ca="1" si="424"/>
        <v>0</v>
      </c>
      <c r="AW165" s="54">
        <f t="shared" ca="1" si="424"/>
        <v>0</v>
      </c>
      <c r="AX165" s="54">
        <f t="shared" ca="1" si="424"/>
        <v>0</v>
      </c>
      <c r="AY165" s="54">
        <f t="shared" ca="1" si="424"/>
        <v>0</v>
      </c>
      <c r="AZ165" s="54">
        <f t="shared" ca="1" si="424"/>
        <v>0</v>
      </c>
      <c r="BA165" s="54">
        <f t="shared" ca="1" si="424"/>
        <v>0</v>
      </c>
      <c r="BB165" s="54">
        <f t="shared" ca="1" si="424"/>
        <v>0</v>
      </c>
      <c r="BC165" s="54">
        <f t="shared" ca="1" si="424"/>
        <v>0</v>
      </c>
      <c r="BD165" s="54">
        <f t="shared" ca="1" si="424"/>
        <v>0</v>
      </c>
      <c r="BE165" s="54">
        <f t="shared" ca="1" si="424"/>
        <v>0</v>
      </c>
      <c r="BF165" s="54">
        <f t="shared" ca="1" si="424"/>
        <v>0</v>
      </c>
      <c r="BG165" s="54">
        <f t="shared" ca="1" si="424"/>
        <v>0</v>
      </c>
      <c r="BH165" s="54">
        <f t="shared" ca="1" si="424"/>
        <v>0</v>
      </c>
      <c r="BI165" s="54">
        <f t="shared" ca="1" si="424"/>
        <v>0</v>
      </c>
      <c r="BJ165" s="54">
        <f t="shared" ca="1" si="424"/>
        <v>0</v>
      </c>
      <c r="BK165" s="54">
        <f t="shared" ca="1" si="424"/>
        <v>0</v>
      </c>
      <c r="BL165" s="54">
        <f t="shared" ca="1" si="424"/>
        <v>0</v>
      </c>
      <c r="BM165" s="54">
        <f t="shared" ca="1" si="424"/>
        <v>0</v>
      </c>
      <c r="BN165" s="54">
        <f t="shared" ref="BN165:CK165" ca="1" si="425">SUM(BN162:BN164)</f>
        <v>0</v>
      </c>
      <c r="BO165" s="54">
        <f t="shared" ca="1" si="425"/>
        <v>0</v>
      </c>
      <c r="BP165" s="54">
        <f t="shared" ca="1" si="425"/>
        <v>0</v>
      </c>
      <c r="BQ165" s="54">
        <f t="shared" ca="1" si="425"/>
        <v>0</v>
      </c>
      <c r="BR165" s="54">
        <f t="shared" ca="1" si="425"/>
        <v>0</v>
      </c>
      <c r="BS165" s="54">
        <f t="shared" ca="1" si="425"/>
        <v>0</v>
      </c>
      <c r="BT165" s="54">
        <f t="shared" ca="1" si="425"/>
        <v>0</v>
      </c>
      <c r="BU165" s="54">
        <f t="shared" ca="1" si="425"/>
        <v>0</v>
      </c>
      <c r="BV165" s="54">
        <f t="shared" ca="1" si="425"/>
        <v>0</v>
      </c>
      <c r="BW165" s="54">
        <f t="shared" ca="1" si="425"/>
        <v>0</v>
      </c>
      <c r="BX165" s="54">
        <f t="shared" ca="1" si="425"/>
        <v>0</v>
      </c>
      <c r="BY165" s="54">
        <f t="shared" ca="1" si="425"/>
        <v>0</v>
      </c>
      <c r="BZ165" s="54">
        <f t="shared" ca="1" si="425"/>
        <v>0</v>
      </c>
      <c r="CA165" s="54">
        <f t="shared" ca="1" si="425"/>
        <v>0</v>
      </c>
      <c r="CB165" s="54">
        <f t="shared" ca="1" si="425"/>
        <v>0</v>
      </c>
      <c r="CC165" s="54">
        <f t="shared" ca="1" si="425"/>
        <v>0</v>
      </c>
      <c r="CD165" s="54">
        <f t="shared" ca="1" si="425"/>
        <v>0</v>
      </c>
      <c r="CE165" s="54">
        <f t="shared" ca="1" si="425"/>
        <v>0</v>
      </c>
      <c r="CF165" s="54">
        <f t="shared" ca="1" si="425"/>
        <v>0</v>
      </c>
      <c r="CG165" s="54">
        <f t="shared" ca="1" si="425"/>
        <v>0</v>
      </c>
      <c r="CH165" s="54">
        <f t="shared" ca="1" si="425"/>
        <v>0</v>
      </c>
      <c r="CI165" s="54">
        <f t="shared" ca="1" si="425"/>
        <v>0</v>
      </c>
      <c r="CJ165" s="54">
        <f t="shared" ca="1" si="425"/>
        <v>0</v>
      </c>
      <c r="CK165" s="54">
        <f t="shared" ca="1" si="425"/>
        <v>0</v>
      </c>
    </row>
    <row r="166" spans="2:89"/>
    <row r="167" spans="2:89"/>
    <row r="168" spans="2:89"/>
    <row r="169" spans="2:89"/>
  </sheetData>
  <sheetProtection algorithmName="SHA-512" hashValue="FtHI5+Un/N5rKOSowUOZS0trvkI5ybV1yKurn9msoZSNZ882JqR0EjR3cF9RCt/JyqgIXUbh3QwbBn/IfWlBjw==" saltValue="YRc3gRqZq8xhIsWfjZTqzQ==" spinCount="100000" sheet="1" objects="1" scenarios="1"/>
  <mergeCells count="1">
    <mergeCell ref="E1:G2"/>
  </mergeCells>
  <conditionalFormatting sqref="F64:CK64">
    <cfRule type="cellIs" dxfId="23" priority="6" operator="equal">
      <formula>1</formula>
    </cfRule>
  </conditionalFormatting>
  <conditionalFormatting sqref="F88:CK88">
    <cfRule type="cellIs" dxfId="22" priority="5" operator="equal">
      <formula>1</formula>
    </cfRule>
  </conditionalFormatting>
  <conditionalFormatting sqref="F153:CK153">
    <cfRule type="cellIs" dxfId="21" priority="4" operator="equal">
      <formula>1</formula>
    </cfRule>
  </conditionalFormatting>
  <conditionalFormatting sqref="F13:CK14">
    <cfRule type="cellIs" dxfId="20" priority="3" operator="equal">
      <formula>1</formula>
    </cfRule>
  </conditionalFormatting>
  <conditionalFormatting sqref="F122:CK122">
    <cfRule type="cellIs" dxfId="19" priority="2" operator="equal">
      <formula>1</formula>
    </cfRule>
  </conditionalFormatting>
  <conditionalFormatting sqref="K1:K2">
    <cfRule type="expression" dxfId="18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7" tint="0.39997558519241921"/>
  </sheetPr>
  <dimension ref="A1:CL128"/>
  <sheetViews>
    <sheetView showGridLines="0" zoomScaleNormal="100" workbookViewId="0">
      <pane xSplit="5" ySplit="10" topLeftCell="F68" activePane="bottomRight" state="frozen"/>
      <selection activeCell="D18" sqref="D18"/>
      <selection pane="topRight" activeCell="D18" sqref="D18"/>
      <selection pane="bottomLeft" activeCell="D18" sqref="D18"/>
      <selection pane="bottomRight" activeCell="B84" sqref="B84"/>
    </sheetView>
  </sheetViews>
  <sheetFormatPr defaultColWidth="0" defaultRowHeight="33.6" customHeight="1" zeroHeight="1"/>
  <cols>
    <col min="1" max="1" width="2.5703125" customWidth="1"/>
    <col min="2" max="2" width="28.5703125" customWidth="1"/>
    <col min="3" max="3" width="7.140625" customWidth="1"/>
    <col min="4" max="4" width="14.5703125" bestFit="1" customWidth="1"/>
    <col min="5" max="5" width="12.85546875" customWidth="1"/>
    <col min="6" max="6" width="12.5703125" bestFit="1" customWidth="1"/>
    <col min="7" max="7" width="12.42578125" bestFit="1" customWidth="1"/>
    <col min="8" max="8" width="12.7109375" bestFit="1" customWidth="1"/>
    <col min="9" max="9" width="16.7109375" bestFit="1" customWidth="1"/>
    <col min="10" max="10" width="14.140625" bestFit="1" customWidth="1"/>
    <col min="11" max="11" width="12.85546875" bestFit="1" customWidth="1"/>
    <col min="12" max="13" width="12.7109375" bestFit="1" customWidth="1"/>
    <col min="14" max="14" width="12.85546875" customWidth="1"/>
    <col min="15" max="19" width="14.28515625" bestFit="1" customWidth="1"/>
    <col min="20" max="20" width="13.7109375" bestFit="1" customWidth="1"/>
    <col min="21" max="21" width="14.140625" customWidth="1"/>
    <col min="22" max="22" width="14.85546875" customWidth="1"/>
    <col min="23" max="23" width="14.7109375" customWidth="1"/>
    <col min="24" max="24" width="14" customWidth="1"/>
    <col min="25" max="25" width="13.7109375" customWidth="1"/>
    <col min="26" max="44" width="13.7109375" bestFit="1" customWidth="1"/>
    <col min="45" max="47" width="14.7109375" bestFit="1" customWidth="1"/>
    <col min="48" max="48" width="12.7109375" customWidth="1"/>
    <col min="49" max="49" width="12.42578125" customWidth="1"/>
    <col min="50" max="89" width="14.7109375" bestFit="1" customWidth="1"/>
    <col min="90" max="90" width="9.28515625" customWidth="1"/>
    <col min="91" max="16384" width="9.28515625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24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 ht="15">
      <c r="B8" s="16" t="str">
        <f t="array" ref="B8:B9">Время!B8:B9</f>
        <v>Начало периода</v>
      </c>
      <c r="C8" s="17"/>
      <c r="D8" s="18"/>
      <c r="E8" s="19"/>
      <c r="F8" s="20">
        <f t="array" ref="F8:CK9">Время!F8:CK9</f>
        <v>45017</v>
      </c>
      <c r="G8" s="20">
        <v>45047</v>
      </c>
      <c r="H8" s="20">
        <v>45078</v>
      </c>
      <c r="I8" s="20">
        <v>45108</v>
      </c>
      <c r="J8" s="20">
        <v>45139</v>
      </c>
      <c r="K8" s="20">
        <v>45170</v>
      </c>
      <c r="L8" s="20">
        <v>45200</v>
      </c>
      <c r="M8" s="20">
        <v>45231</v>
      </c>
      <c r="N8" s="20">
        <v>45261</v>
      </c>
      <c r="O8" s="20">
        <v>45292</v>
      </c>
      <c r="P8" s="20">
        <v>45323</v>
      </c>
      <c r="Q8" s="20">
        <v>45352</v>
      </c>
      <c r="R8" s="20">
        <v>45383</v>
      </c>
      <c r="S8" s="20">
        <v>45413</v>
      </c>
      <c r="T8" s="20">
        <v>45444</v>
      </c>
      <c r="U8" s="20">
        <v>45474</v>
      </c>
      <c r="V8" s="20">
        <v>45505</v>
      </c>
      <c r="W8" s="20">
        <v>45536</v>
      </c>
      <c r="X8" s="20">
        <v>45566</v>
      </c>
      <c r="Y8" s="20">
        <v>45597</v>
      </c>
      <c r="Z8" s="20">
        <v>45627</v>
      </c>
      <c r="AA8" s="20">
        <v>45658</v>
      </c>
      <c r="AB8" s="20">
        <v>45689</v>
      </c>
      <c r="AC8" s="20">
        <v>45717</v>
      </c>
      <c r="AD8" s="20">
        <v>45748</v>
      </c>
      <c r="AE8" s="20">
        <v>45778</v>
      </c>
      <c r="AF8" s="20">
        <v>45809</v>
      </c>
      <c r="AG8" s="20">
        <v>45839</v>
      </c>
      <c r="AH8" s="20">
        <v>45870</v>
      </c>
      <c r="AI8" s="20">
        <v>45901</v>
      </c>
      <c r="AJ8" s="20">
        <v>45931</v>
      </c>
      <c r="AK8" s="20">
        <v>45962</v>
      </c>
      <c r="AL8" s="20">
        <v>45992</v>
      </c>
      <c r="AM8" s="20">
        <v>46023</v>
      </c>
      <c r="AN8" s="20">
        <v>46054</v>
      </c>
      <c r="AO8" s="20">
        <v>46082</v>
      </c>
      <c r="AP8" s="20">
        <v>46113</v>
      </c>
      <c r="AQ8" s="20">
        <v>46143</v>
      </c>
      <c r="AR8" s="20">
        <v>46174</v>
      </c>
      <c r="AS8" s="20">
        <v>46204</v>
      </c>
      <c r="AT8" s="20">
        <v>46235</v>
      </c>
      <c r="AU8" s="20">
        <v>46266</v>
      </c>
      <c r="AV8" s="20">
        <v>46296</v>
      </c>
      <c r="AW8" s="20">
        <v>46327</v>
      </c>
      <c r="AX8" s="20">
        <v>46357</v>
      </c>
      <c r="AY8" s="20">
        <v>46388</v>
      </c>
      <c r="AZ8" s="20">
        <v>46419</v>
      </c>
      <c r="BA8" s="20">
        <v>46447</v>
      </c>
      <c r="BB8" s="20">
        <v>46478</v>
      </c>
      <c r="BC8" s="20">
        <v>46508</v>
      </c>
      <c r="BD8" s="20">
        <v>46539</v>
      </c>
      <c r="BE8" s="20">
        <v>46569</v>
      </c>
      <c r="BF8" s="20">
        <v>46600</v>
      </c>
      <c r="BG8" s="20">
        <v>46631</v>
      </c>
      <c r="BH8" s="20">
        <v>46661</v>
      </c>
      <c r="BI8" s="20">
        <v>46692</v>
      </c>
      <c r="BJ8" s="20">
        <v>46722</v>
      </c>
      <c r="BK8" s="20">
        <v>46753</v>
      </c>
      <c r="BL8" s="20">
        <v>46784</v>
      </c>
      <c r="BM8" s="20">
        <v>46813</v>
      </c>
      <c r="BN8" s="20">
        <v>46844</v>
      </c>
      <c r="BO8" s="20">
        <v>46874</v>
      </c>
      <c r="BP8" s="20">
        <v>46905</v>
      </c>
      <c r="BQ8" s="20">
        <v>46935</v>
      </c>
      <c r="BR8" s="20">
        <v>46966</v>
      </c>
      <c r="BS8" s="20">
        <v>46997</v>
      </c>
      <c r="BT8" s="20">
        <v>47027</v>
      </c>
      <c r="BU8" s="20">
        <v>47058</v>
      </c>
      <c r="BV8" s="20">
        <v>47088</v>
      </c>
      <c r="BW8" s="20">
        <v>47119</v>
      </c>
      <c r="BX8" s="20">
        <v>47150</v>
      </c>
      <c r="BY8" s="20">
        <v>47178</v>
      </c>
      <c r="BZ8" s="20">
        <v>47209</v>
      </c>
      <c r="CA8" s="20">
        <v>47239</v>
      </c>
      <c r="CB8" s="20">
        <v>47270</v>
      </c>
      <c r="CC8" s="20">
        <v>47300</v>
      </c>
      <c r="CD8" s="20">
        <v>47331</v>
      </c>
      <c r="CE8" s="20">
        <v>47362</v>
      </c>
      <c r="CF8" s="20">
        <v>47392</v>
      </c>
      <c r="CG8" s="20">
        <v>47423</v>
      </c>
      <c r="CH8" s="20">
        <v>47453</v>
      </c>
      <c r="CI8" s="20">
        <v>47484</v>
      </c>
      <c r="CJ8" s="20">
        <v>47515</v>
      </c>
      <c r="CK8" s="20">
        <v>47543</v>
      </c>
    </row>
    <row r="9" spans="2:89" ht="15">
      <c r="B9" s="21" t="str">
        <v>Конец периода</v>
      </c>
      <c r="C9" s="22"/>
      <c r="D9" s="23"/>
      <c r="E9" s="24">
        <f>Время!E9</f>
        <v>45016</v>
      </c>
      <c r="F9" s="25">
        <v>45046</v>
      </c>
      <c r="G9" s="25">
        <v>45077</v>
      </c>
      <c r="H9" s="25">
        <v>45107</v>
      </c>
      <c r="I9" s="25">
        <v>45138</v>
      </c>
      <c r="J9" s="25">
        <v>45169</v>
      </c>
      <c r="K9" s="25">
        <v>45199</v>
      </c>
      <c r="L9" s="25">
        <v>45230</v>
      </c>
      <c r="M9" s="25">
        <v>45260</v>
      </c>
      <c r="N9" s="25">
        <v>45291</v>
      </c>
      <c r="O9" s="25">
        <v>45322</v>
      </c>
      <c r="P9" s="25">
        <v>45351</v>
      </c>
      <c r="Q9" s="25">
        <v>45382</v>
      </c>
      <c r="R9" s="25">
        <v>45412</v>
      </c>
      <c r="S9" s="25">
        <v>45443</v>
      </c>
      <c r="T9" s="25">
        <v>45473</v>
      </c>
      <c r="U9" s="25">
        <v>45504</v>
      </c>
      <c r="V9" s="25">
        <v>45535</v>
      </c>
      <c r="W9" s="25">
        <v>45565</v>
      </c>
      <c r="X9" s="25">
        <v>45596</v>
      </c>
      <c r="Y9" s="25">
        <v>45626</v>
      </c>
      <c r="Z9" s="25">
        <v>45657</v>
      </c>
      <c r="AA9" s="25">
        <v>45688</v>
      </c>
      <c r="AB9" s="25">
        <v>45716</v>
      </c>
      <c r="AC9" s="25">
        <v>45747</v>
      </c>
      <c r="AD9" s="25">
        <v>45777</v>
      </c>
      <c r="AE9" s="25">
        <v>45808</v>
      </c>
      <c r="AF9" s="25">
        <v>45838</v>
      </c>
      <c r="AG9" s="25">
        <v>45869</v>
      </c>
      <c r="AH9" s="25">
        <v>45900</v>
      </c>
      <c r="AI9" s="25">
        <v>45930</v>
      </c>
      <c r="AJ9" s="25">
        <v>45961</v>
      </c>
      <c r="AK9" s="25">
        <v>45991</v>
      </c>
      <c r="AL9" s="25">
        <v>46022</v>
      </c>
      <c r="AM9" s="25">
        <v>46053</v>
      </c>
      <c r="AN9" s="25">
        <v>46081</v>
      </c>
      <c r="AO9" s="25">
        <v>46112</v>
      </c>
      <c r="AP9" s="25">
        <v>46142</v>
      </c>
      <c r="AQ9" s="25">
        <v>46173</v>
      </c>
      <c r="AR9" s="25">
        <v>46203</v>
      </c>
      <c r="AS9" s="25">
        <v>46234</v>
      </c>
      <c r="AT9" s="25">
        <v>46265</v>
      </c>
      <c r="AU9" s="25">
        <v>46295</v>
      </c>
      <c r="AV9" s="25">
        <v>46326</v>
      </c>
      <c r="AW9" s="25">
        <v>46356</v>
      </c>
      <c r="AX9" s="25">
        <v>46387</v>
      </c>
      <c r="AY9" s="25">
        <v>46418</v>
      </c>
      <c r="AZ9" s="25">
        <v>46446</v>
      </c>
      <c r="BA9" s="25">
        <v>46477</v>
      </c>
      <c r="BB9" s="25">
        <v>46507</v>
      </c>
      <c r="BC9" s="25">
        <v>46538</v>
      </c>
      <c r="BD9" s="25">
        <v>46568</v>
      </c>
      <c r="BE9" s="25">
        <v>46599</v>
      </c>
      <c r="BF9" s="25">
        <v>46630</v>
      </c>
      <c r="BG9" s="25">
        <v>46660</v>
      </c>
      <c r="BH9" s="25">
        <v>46691</v>
      </c>
      <c r="BI9" s="25">
        <v>46721</v>
      </c>
      <c r="BJ9" s="25">
        <v>46752</v>
      </c>
      <c r="BK9" s="25">
        <v>46783</v>
      </c>
      <c r="BL9" s="25">
        <v>46812</v>
      </c>
      <c r="BM9" s="25">
        <v>46843</v>
      </c>
      <c r="BN9" s="25">
        <v>46873</v>
      </c>
      <c r="BO9" s="25">
        <v>46904</v>
      </c>
      <c r="BP9" s="25">
        <v>46934</v>
      </c>
      <c r="BQ9" s="25">
        <v>46965</v>
      </c>
      <c r="BR9" s="25">
        <v>46996</v>
      </c>
      <c r="BS9" s="25">
        <v>47026</v>
      </c>
      <c r="BT9" s="25">
        <v>47057</v>
      </c>
      <c r="BU9" s="25">
        <v>47087</v>
      </c>
      <c r="BV9" s="25">
        <v>47118</v>
      </c>
      <c r="BW9" s="25">
        <v>47149</v>
      </c>
      <c r="BX9" s="25">
        <v>47177</v>
      </c>
      <c r="BY9" s="25">
        <v>47208</v>
      </c>
      <c r="BZ9" s="25">
        <v>47238</v>
      </c>
      <c r="CA9" s="25">
        <v>47269</v>
      </c>
      <c r="CB9" s="25">
        <v>47299</v>
      </c>
      <c r="CC9" s="25">
        <v>47330</v>
      </c>
      <c r="CD9" s="25">
        <v>47361</v>
      </c>
      <c r="CE9" s="25">
        <v>47391</v>
      </c>
      <c r="CF9" s="25">
        <v>47422</v>
      </c>
      <c r="CG9" s="25">
        <v>47452</v>
      </c>
      <c r="CH9" s="25">
        <v>47483</v>
      </c>
      <c r="CI9" s="25">
        <v>47514</v>
      </c>
      <c r="CJ9" s="25">
        <v>47542</v>
      </c>
      <c r="CK9" s="25"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5"/>
      <c r="G12" s="15"/>
      <c r="H12" s="15"/>
      <c r="I12" s="15"/>
      <c r="J12" s="15"/>
      <c r="K12" s="15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 ht="15">
      <c r="B13" s="145" t="str">
        <f t="array" ref="B13:B14">Время!B13:B14</f>
        <v>Инвестиции</v>
      </c>
      <c r="C13" s="146"/>
      <c r="D13" s="146"/>
      <c r="E13" s="146"/>
      <c r="F13" s="29">
        <f t="array" ref="F13:CK14">Время!F13:CK14</f>
        <v>1</v>
      </c>
      <c r="G13" s="30">
        <v>1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1">
        <v>0</v>
      </c>
    </row>
    <row r="14" spans="2:89" ht="15">
      <c r="B14" s="145" t="str">
        <v>Операции</v>
      </c>
      <c r="C14" s="146"/>
      <c r="D14" s="146"/>
      <c r="E14" s="146"/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>
        <v>1</v>
      </c>
      <c r="AU14" s="30">
        <v>1</v>
      </c>
      <c r="AV14" s="30">
        <v>1</v>
      </c>
      <c r="AW14" s="30">
        <v>1</v>
      </c>
      <c r="AX14" s="30">
        <v>1</v>
      </c>
      <c r="AY14" s="30">
        <v>1</v>
      </c>
      <c r="AZ14" s="30">
        <v>1</v>
      </c>
      <c r="BA14" s="30">
        <v>1</v>
      </c>
      <c r="BB14" s="30">
        <v>1</v>
      </c>
      <c r="BC14" s="30">
        <v>1</v>
      </c>
      <c r="BD14" s="30">
        <v>1</v>
      </c>
      <c r="BE14" s="30">
        <v>1</v>
      </c>
      <c r="BF14" s="30">
        <v>1</v>
      </c>
      <c r="BG14" s="30">
        <v>1</v>
      </c>
      <c r="BH14" s="30">
        <v>1</v>
      </c>
      <c r="BI14" s="30">
        <v>1</v>
      </c>
      <c r="BJ14" s="30">
        <v>1</v>
      </c>
      <c r="BK14" s="30">
        <v>1</v>
      </c>
      <c r="BL14" s="30">
        <v>1</v>
      </c>
      <c r="BM14" s="30">
        <v>1</v>
      </c>
      <c r="BN14" s="30">
        <v>1</v>
      </c>
      <c r="BO14" s="30">
        <v>1</v>
      </c>
      <c r="BP14" s="30">
        <v>1</v>
      </c>
      <c r="BQ14" s="30">
        <v>1</v>
      </c>
      <c r="BR14" s="30">
        <v>1</v>
      </c>
      <c r="BS14" s="30">
        <v>1</v>
      </c>
      <c r="BT14" s="30">
        <v>1</v>
      </c>
      <c r="BU14" s="30">
        <v>1</v>
      </c>
      <c r="BV14" s="30">
        <v>1</v>
      </c>
      <c r="BW14" s="30">
        <v>1</v>
      </c>
      <c r="BX14" s="30">
        <v>1</v>
      </c>
      <c r="BY14" s="30">
        <v>1</v>
      </c>
      <c r="BZ14" s="30">
        <v>1</v>
      </c>
      <c r="CA14" s="30">
        <v>1</v>
      </c>
      <c r="CB14" s="30">
        <v>1</v>
      </c>
      <c r="CC14" s="30">
        <v>1</v>
      </c>
      <c r="CD14" s="30">
        <v>1</v>
      </c>
      <c r="CE14" s="30">
        <v>1</v>
      </c>
      <c r="CF14" s="30">
        <v>1</v>
      </c>
      <c r="CG14" s="30">
        <v>1</v>
      </c>
      <c r="CH14" s="30">
        <v>1</v>
      </c>
      <c r="CI14" s="30">
        <v>1</v>
      </c>
      <c r="CJ14" s="30">
        <v>1</v>
      </c>
      <c r="CK14" s="31">
        <v>1</v>
      </c>
    </row>
    <row r="15" spans="2:89" ht="3" customHeight="1">
      <c r="B15" s="14"/>
      <c r="C15" s="14"/>
      <c r="D15" s="14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5"/>
      <c r="G17" s="15"/>
      <c r="H17" s="15"/>
      <c r="I17" s="15"/>
      <c r="J17" s="15"/>
      <c r="K17" s="1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 ht="15">
      <c r="B18" s="32" t="str">
        <f t="array" ref="B18:B29">Время!B18:B29</f>
        <v>Название периода</v>
      </c>
      <c r="C18" s="33"/>
      <c r="D18" s="33"/>
      <c r="E18" s="34"/>
      <c r="F18" s="35">
        <f t="array" ref="F18:CK29">Время!F18:CK29</f>
        <v>45046</v>
      </c>
      <c r="G18" s="36">
        <v>45077</v>
      </c>
      <c r="H18" s="36">
        <v>45107</v>
      </c>
      <c r="I18" s="36">
        <v>45138</v>
      </c>
      <c r="J18" s="36">
        <v>45169</v>
      </c>
      <c r="K18" s="36">
        <v>45199</v>
      </c>
      <c r="L18" s="36">
        <v>45230</v>
      </c>
      <c r="M18" s="36">
        <v>45260</v>
      </c>
      <c r="N18" s="36">
        <v>45291</v>
      </c>
      <c r="O18" s="36">
        <v>45322</v>
      </c>
      <c r="P18" s="36">
        <v>45351</v>
      </c>
      <c r="Q18" s="36">
        <v>45382</v>
      </c>
      <c r="R18" s="36">
        <v>45412</v>
      </c>
      <c r="S18" s="36">
        <v>45443</v>
      </c>
      <c r="T18" s="36">
        <v>45473</v>
      </c>
      <c r="U18" s="36">
        <v>45504</v>
      </c>
      <c r="V18" s="36">
        <v>45535</v>
      </c>
      <c r="W18" s="36">
        <v>45565</v>
      </c>
      <c r="X18" s="36">
        <v>45596</v>
      </c>
      <c r="Y18" s="36">
        <v>45626</v>
      </c>
      <c r="Z18" s="36">
        <v>45657</v>
      </c>
      <c r="AA18" s="36">
        <v>45688</v>
      </c>
      <c r="AB18" s="36">
        <v>45716</v>
      </c>
      <c r="AC18" s="36">
        <v>45747</v>
      </c>
      <c r="AD18" s="36">
        <v>45777</v>
      </c>
      <c r="AE18" s="36">
        <v>45808</v>
      </c>
      <c r="AF18" s="36">
        <v>45838</v>
      </c>
      <c r="AG18" s="36">
        <v>45869</v>
      </c>
      <c r="AH18" s="36">
        <v>45900</v>
      </c>
      <c r="AI18" s="36">
        <v>45930</v>
      </c>
      <c r="AJ18" s="36">
        <v>45961</v>
      </c>
      <c r="AK18" s="36">
        <v>45991</v>
      </c>
      <c r="AL18" s="36">
        <v>46022</v>
      </c>
      <c r="AM18" s="36">
        <v>46053</v>
      </c>
      <c r="AN18" s="36">
        <v>46081</v>
      </c>
      <c r="AO18" s="36">
        <v>46112</v>
      </c>
      <c r="AP18" s="36">
        <v>46142</v>
      </c>
      <c r="AQ18" s="36">
        <v>46173</v>
      </c>
      <c r="AR18" s="36">
        <v>46203</v>
      </c>
      <c r="AS18" s="36">
        <v>46234</v>
      </c>
      <c r="AT18" s="36">
        <v>46265</v>
      </c>
      <c r="AU18" s="36">
        <v>46295</v>
      </c>
      <c r="AV18" s="36">
        <v>46326</v>
      </c>
      <c r="AW18" s="36">
        <v>46356</v>
      </c>
      <c r="AX18" s="36">
        <v>46387</v>
      </c>
      <c r="AY18" s="36">
        <v>46418</v>
      </c>
      <c r="AZ18" s="36">
        <v>46446</v>
      </c>
      <c r="BA18" s="36">
        <v>46477</v>
      </c>
      <c r="BB18" s="36">
        <v>46507</v>
      </c>
      <c r="BC18" s="36">
        <v>46538</v>
      </c>
      <c r="BD18" s="36">
        <v>46568</v>
      </c>
      <c r="BE18" s="36">
        <v>46599</v>
      </c>
      <c r="BF18" s="36">
        <v>46630</v>
      </c>
      <c r="BG18" s="36">
        <v>46660</v>
      </c>
      <c r="BH18" s="36">
        <v>46691</v>
      </c>
      <c r="BI18" s="36">
        <v>46721</v>
      </c>
      <c r="BJ18" s="36">
        <v>46752</v>
      </c>
      <c r="BK18" s="36">
        <v>46783</v>
      </c>
      <c r="BL18" s="36">
        <v>46812</v>
      </c>
      <c r="BM18" s="36">
        <v>46843</v>
      </c>
      <c r="BN18" s="36">
        <v>46873</v>
      </c>
      <c r="BO18" s="36">
        <v>46904</v>
      </c>
      <c r="BP18" s="36">
        <v>46934</v>
      </c>
      <c r="BQ18" s="36">
        <v>46965</v>
      </c>
      <c r="BR18" s="36">
        <v>46996</v>
      </c>
      <c r="BS18" s="36">
        <v>47026</v>
      </c>
      <c r="BT18" s="36">
        <v>47057</v>
      </c>
      <c r="BU18" s="36">
        <v>47087</v>
      </c>
      <c r="BV18" s="36">
        <v>47118</v>
      </c>
      <c r="BW18" s="36">
        <v>47149</v>
      </c>
      <c r="BX18" s="36">
        <v>47177</v>
      </c>
      <c r="BY18" s="36">
        <v>47208</v>
      </c>
      <c r="BZ18" s="36">
        <v>47238</v>
      </c>
      <c r="CA18" s="36">
        <v>47269</v>
      </c>
      <c r="CB18" s="36">
        <v>47299</v>
      </c>
      <c r="CC18" s="36">
        <v>47330</v>
      </c>
      <c r="CD18" s="36">
        <v>47361</v>
      </c>
      <c r="CE18" s="36">
        <v>47391</v>
      </c>
      <c r="CF18" s="36">
        <v>47422</v>
      </c>
      <c r="CG18" s="36">
        <v>47452</v>
      </c>
      <c r="CH18" s="36">
        <v>47483</v>
      </c>
      <c r="CI18" s="36">
        <v>47514</v>
      </c>
      <c r="CJ18" s="36">
        <v>47542</v>
      </c>
      <c r="CK18" s="36">
        <v>47573</v>
      </c>
    </row>
    <row r="19" spans="2:89" ht="15">
      <c r="B19" s="37" t="str">
        <v>Календарный год</v>
      </c>
      <c r="C19" s="33"/>
      <c r="D19" s="33"/>
      <c r="E19" s="34"/>
      <c r="F19" s="38">
        <v>2023</v>
      </c>
      <c r="G19" s="38">
        <v>2023</v>
      </c>
      <c r="H19" s="38">
        <v>2023</v>
      </c>
      <c r="I19" s="38">
        <v>2023</v>
      </c>
      <c r="J19" s="38">
        <v>2023</v>
      </c>
      <c r="K19" s="38">
        <v>2023</v>
      </c>
      <c r="L19" s="38">
        <v>2023</v>
      </c>
      <c r="M19" s="38">
        <v>2023</v>
      </c>
      <c r="N19" s="38">
        <v>2023</v>
      </c>
      <c r="O19" s="38">
        <v>2024</v>
      </c>
      <c r="P19" s="38">
        <v>2024</v>
      </c>
      <c r="Q19" s="38">
        <v>2024</v>
      </c>
      <c r="R19" s="38">
        <v>2024</v>
      </c>
      <c r="S19" s="38">
        <v>2024</v>
      </c>
      <c r="T19" s="38">
        <v>2024</v>
      </c>
      <c r="U19" s="38">
        <v>2024</v>
      </c>
      <c r="V19" s="38">
        <v>2024</v>
      </c>
      <c r="W19" s="38">
        <v>2024</v>
      </c>
      <c r="X19" s="38">
        <v>2024</v>
      </c>
      <c r="Y19" s="38">
        <v>2024</v>
      </c>
      <c r="Z19" s="38">
        <v>2024</v>
      </c>
      <c r="AA19" s="38">
        <v>2025</v>
      </c>
      <c r="AB19" s="38">
        <v>2025</v>
      </c>
      <c r="AC19" s="38">
        <v>2025</v>
      </c>
      <c r="AD19" s="38">
        <v>2025</v>
      </c>
      <c r="AE19" s="38">
        <v>2025</v>
      </c>
      <c r="AF19" s="38">
        <v>2025</v>
      </c>
      <c r="AG19" s="38">
        <v>2025</v>
      </c>
      <c r="AH19" s="38">
        <v>2025</v>
      </c>
      <c r="AI19" s="38">
        <v>2025</v>
      </c>
      <c r="AJ19" s="38">
        <v>2025</v>
      </c>
      <c r="AK19" s="38">
        <v>2025</v>
      </c>
      <c r="AL19" s="38">
        <v>2025</v>
      </c>
      <c r="AM19" s="38">
        <v>2026</v>
      </c>
      <c r="AN19" s="38">
        <v>2026</v>
      </c>
      <c r="AO19" s="38">
        <v>2026</v>
      </c>
      <c r="AP19" s="38">
        <v>2026</v>
      </c>
      <c r="AQ19" s="38">
        <v>2026</v>
      </c>
      <c r="AR19" s="38">
        <v>2026</v>
      </c>
      <c r="AS19" s="38">
        <v>2026</v>
      </c>
      <c r="AT19" s="38">
        <v>2026</v>
      </c>
      <c r="AU19" s="38">
        <v>2026</v>
      </c>
      <c r="AV19" s="38">
        <v>2026</v>
      </c>
      <c r="AW19" s="38">
        <v>2026</v>
      </c>
      <c r="AX19" s="38">
        <v>2026</v>
      </c>
      <c r="AY19" s="38">
        <v>2027</v>
      </c>
      <c r="AZ19" s="38">
        <v>2027</v>
      </c>
      <c r="BA19" s="38">
        <v>2027</v>
      </c>
      <c r="BB19" s="38">
        <v>2027</v>
      </c>
      <c r="BC19" s="38">
        <v>2027</v>
      </c>
      <c r="BD19" s="38">
        <v>2027</v>
      </c>
      <c r="BE19" s="38">
        <v>2027</v>
      </c>
      <c r="BF19" s="38">
        <v>2027</v>
      </c>
      <c r="BG19" s="38">
        <v>2027</v>
      </c>
      <c r="BH19" s="38">
        <v>2027</v>
      </c>
      <c r="BI19" s="38">
        <v>2027</v>
      </c>
      <c r="BJ19" s="38">
        <v>2027</v>
      </c>
      <c r="BK19" s="38">
        <v>2028</v>
      </c>
      <c r="BL19" s="38">
        <v>2028</v>
      </c>
      <c r="BM19" s="38">
        <v>2028</v>
      </c>
      <c r="BN19" s="38">
        <v>2028</v>
      </c>
      <c r="BO19" s="38">
        <v>2028</v>
      </c>
      <c r="BP19" s="38">
        <v>2028</v>
      </c>
      <c r="BQ19" s="38">
        <v>2028</v>
      </c>
      <c r="BR19" s="38">
        <v>2028</v>
      </c>
      <c r="BS19" s="38">
        <v>2028</v>
      </c>
      <c r="BT19" s="38">
        <v>2028</v>
      </c>
      <c r="BU19" s="38">
        <v>2028</v>
      </c>
      <c r="BV19" s="38">
        <v>2028</v>
      </c>
      <c r="BW19" s="38">
        <v>2029</v>
      </c>
      <c r="BX19" s="38">
        <v>2029</v>
      </c>
      <c r="BY19" s="38">
        <v>2029</v>
      </c>
      <c r="BZ19" s="38">
        <v>2029</v>
      </c>
      <c r="CA19" s="38">
        <v>2029</v>
      </c>
      <c r="CB19" s="38">
        <v>2029</v>
      </c>
      <c r="CC19" s="38">
        <v>2029</v>
      </c>
      <c r="CD19" s="38">
        <v>2029</v>
      </c>
      <c r="CE19" s="38">
        <v>2029</v>
      </c>
      <c r="CF19" s="38">
        <v>2029</v>
      </c>
      <c r="CG19" s="38">
        <v>2029</v>
      </c>
      <c r="CH19" s="38">
        <v>2029</v>
      </c>
      <c r="CI19" s="38">
        <v>2030</v>
      </c>
      <c r="CJ19" s="38">
        <v>2030</v>
      </c>
      <c r="CK19" s="38">
        <v>2030</v>
      </c>
    </row>
    <row r="20" spans="2:89" ht="15">
      <c r="B20" s="37" t="str">
        <v>Дней в году</v>
      </c>
      <c r="C20" s="33"/>
      <c r="D20" s="33"/>
      <c r="E20" s="34"/>
      <c r="F20" s="38">
        <v>365</v>
      </c>
      <c r="G20" s="38">
        <v>365</v>
      </c>
      <c r="H20" s="38">
        <v>365</v>
      </c>
      <c r="I20" s="38">
        <v>365</v>
      </c>
      <c r="J20" s="38">
        <v>365</v>
      </c>
      <c r="K20" s="38">
        <v>365</v>
      </c>
      <c r="L20" s="38">
        <v>365</v>
      </c>
      <c r="M20" s="38">
        <v>365</v>
      </c>
      <c r="N20" s="38">
        <v>365</v>
      </c>
      <c r="O20" s="38">
        <v>366</v>
      </c>
      <c r="P20" s="38">
        <v>366</v>
      </c>
      <c r="Q20" s="38">
        <v>366</v>
      </c>
      <c r="R20" s="38">
        <v>366</v>
      </c>
      <c r="S20" s="38">
        <v>366</v>
      </c>
      <c r="T20" s="38">
        <v>366</v>
      </c>
      <c r="U20" s="38">
        <v>366</v>
      </c>
      <c r="V20" s="38">
        <v>366</v>
      </c>
      <c r="W20" s="38">
        <v>366</v>
      </c>
      <c r="X20" s="38">
        <v>366</v>
      </c>
      <c r="Y20" s="38">
        <v>366</v>
      </c>
      <c r="Z20" s="38">
        <v>366</v>
      </c>
      <c r="AA20" s="38">
        <v>365</v>
      </c>
      <c r="AB20" s="38">
        <v>365</v>
      </c>
      <c r="AC20" s="38">
        <v>365</v>
      </c>
      <c r="AD20" s="38">
        <v>365</v>
      </c>
      <c r="AE20" s="38">
        <v>365</v>
      </c>
      <c r="AF20" s="38">
        <v>365</v>
      </c>
      <c r="AG20" s="38">
        <v>365</v>
      </c>
      <c r="AH20" s="38">
        <v>365</v>
      </c>
      <c r="AI20" s="38">
        <v>365</v>
      </c>
      <c r="AJ20" s="38">
        <v>365</v>
      </c>
      <c r="AK20" s="38">
        <v>365</v>
      </c>
      <c r="AL20" s="38">
        <v>365</v>
      </c>
      <c r="AM20" s="38">
        <v>365</v>
      </c>
      <c r="AN20" s="38">
        <v>365</v>
      </c>
      <c r="AO20" s="38">
        <v>365</v>
      </c>
      <c r="AP20" s="38">
        <v>365</v>
      </c>
      <c r="AQ20" s="38">
        <v>365</v>
      </c>
      <c r="AR20" s="38">
        <v>365</v>
      </c>
      <c r="AS20" s="38">
        <v>365</v>
      </c>
      <c r="AT20" s="38">
        <v>365</v>
      </c>
      <c r="AU20" s="38">
        <v>365</v>
      </c>
      <c r="AV20" s="38">
        <v>365</v>
      </c>
      <c r="AW20" s="38">
        <v>365</v>
      </c>
      <c r="AX20" s="38">
        <v>365</v>
      </c>
      <c r="AY20" s="38">
        <v>365</v>
      </c>
      <c r="AZ20" s="38">
        <v>365</v>
      </c>
      <c r="BA20" s="38">
        <v>365</v>
      </c>
      <c r="BB20" s="38">
        <v>365</v>
      </c>
      <c r="BC20" s="38">
        <v>365</v>
      </c>
      <c r="BD20" s="38">
        <v>365</v>
      </c>
      <c r="BE20" s="38">
        <v>365</v>
      </c>
      <c r="BF20" s="38">
        <v>365</v>
      </c>
      <c r="BG20" s="38">
        <v>365</v>
      </c>
      <c r="BH20" s="38">
        <v>365</v>
      </c>
      <c r="BI20" s="38">
        <v>365</v>
      </c>
      <c r="BJ20" s="38">
        <v>365</v>
      </c>
      <c r="BK20" s="38">
        <v>366</v>
      </c>
      <c r="BL20" s="38">
        <v>366</v>
      </c>
      <c r="BM20" s="38">
        <v>366</v>
      </c>
      <c r="BN20" s="38">
        <v>366</v>
      </c>
      <c r="BO20" s="38">
        <v>366</v>
      </c>
      <c r="BP20" s="38">
        <v>366</v>
      </c>
      <c r="BQ20" s="38">
        <v>366</v>
      </c>
      <c r="BR20" s="38">
        <v>366</v>
      </c>
      <c r="BS20" s="38">
        <v>366</v>
      </c>
      <c r="BT20" s="38">
        <v>366</v>
      </c>
      <c r="BU20" s="38">
        <v>366</v>
      </c>
      <c r="BV20" s="38">
        <v>366</v>
      </c>
      <c r="BW20" s="38">
        <v>365</v>
      </c>
      <c r="BX20" s="38">
        <v>365</v>
      </c>
      <c r="BY20" s="38">
        <v>365</v>
      </c>
      <c r="BZ20" s="38">
        <v>365</v>
      </c>
      <c r="CA20" s="38">
        <v>365</v>
      </c>
      <c r="CB20" s="38">
        <v>365</v>
      </c>
      <c r="CC20" s="38">
        <v>365</v>
      </c>
      <c r="CD20" s="38">
        <v>365</v>
      </c>
      <c r="CE20" s="38">
        <v>365</v>
      </c>
      <c r="CF20" s="38">
        <v>365</v>
      </c>
      <c r="CG20" s="38">
        <v>365</v>
      </c>
      <c r="CH20" s="38">
        <v>365</v>
      </c>
      <c r="CI20" s="38">
        <v>365</v>
      </c>
      <c r="CJ20" s="38">
        <v>365</v>
      </c>
      <c r="CK20" s="38">
        <v>365</v>
      </c>
    </row>
    <row r="21" spans="2:89" ht="15">
      <c r="B21" s="37" t="str">
        <v>№ месяца</v>
      </c>
      <c r="C21" s="33"/>
      <c r="D21" s="33"/>
      <c r="E21" s="34"/>
      <c r="F21" s="38">
        <v>4</v>
      </c>
      <c r="G21" s="38">
        <v>5</v>
      </c>
      <c r="H21" s="38">
        <v>6</v>
      </c>
      <c r="I21" s="38">
        <v>7</v>
      </c>
      <c r="J21" s="38">
        <v>8</v>
      </c>
      <c r="K21" s="38">
        <v>9</v>
      </c>
      <c r="L21" s="38">
        <v>10</v>
      </c>
      <c r="M21" s="38">
        <v>11</v>
      </c>
      <c r="N21" s="38">
        <v>12</v>
      </c>
      <c r="O21" s="38">
        <v>1</v>
      </c>
      <c r="P21" s="38">
        <v>2</v>
      </c>
      <c r="Q21" s="38">
        <v>3</v>
      </c>
      <c r="R21" s="38">
        <v>4</v>
      </c>
      <c r="S21" s="38">
        <v>5</v>
      </c>
      <c r="T21" s="38">
        <v>6</v>
      </c>
      <c r="U21" s="38">
        <v>7</v>
      </c>
      <c r="V21" s="38">
        <v>8</v>
      </c>
      <c r="W21" s="38">
        <v>9</v>
      </c>
      <c r="X21" s="38">
        <v>10</v>
      </c>
      <c r="Y21" s="38">
        <v>11</v>
      </c>
      <c r="Z21" s="38">
        <v>12</v>
      </c>
      <c r="AA21" s="38">
        <v>1</v>
      </c>
      <c r="AB21" s="38">
        <v>2</v>
      </c>
      <c r="AC21" s="38">
        <v>3</v>
      </c>
      <c r="AD21" s="38">
        <v>4</v>
      </c>
      <c r="AE21" s="38">
        <v>5</v>
      </c>
      <c r="AF21" s="38">
        <v>6</v>
      </c>
      <c r="AG21" s="38">
        <v>7</v>
      </c>
      <c r="AH21" s="38">
        <v>8</v>
      </c>
      <c r="AI21" s="38">
        <v>9</v>
      </c>
      <c r="AJ21" s="38">
        <v>10</v>
      </c>
      <c r="AK21" s="38">
        <v>11</v>
      </c>
      <c r="AL21" s="38">
        <v>12</v>
      </c>
      <c r="AM21" s="38">
        <v>1</v>
      </c>
      <c r="AN21" s="38">
        <v>2</v>
      </c>
      <c r="AO21" s="38">
        <v>3</v>
      </c>
      <c r="AP21" s="38">
        <v>4</v>
      </c>
      <c r="AQ21" s="38">
        <v>5</v>
      </c>
      <c r="AR21" s="38">
        <v>6</v>
      </c>
      <c r="AS21" s="38">
        <v>7</v>
      </c>
      <c r="AT21" s="38">
        <v>8</v>
      </c>
      <c r="AU21" s="38">
        <v>9</v>
      </c>
      <c r="AV21" s="38">
        <v>10</v>
      </c>
      <c r="AW21" s="38">
        <v>11</v>
      </c>
      <c r="AX21" s="38">
        <v>12</v>
      </c>
      <c r="AY21" s="38">
        <v>1</v>
      </c>
      <c r="AZ21" s="38">
        <v>2</v>
      </c>
      <c r="BA21" s="38">
        <v>3</v>
      </c>
      <c r="BB21" s="38">
        <v>4</v>
      </c>
      <c r="BC21" s="38">
        <v>5</v>
      </c>
      <c r="BD21" s="38">
        <v>6</v>
      </c>
      <c r="BE21" s="38">
        <v>7</v>
      </c>
      <c r="BF21" s="38">
        <v>8</v>
      </c>
      <c r="BG21" s="38">
        <v>9</v>
      </c>
      <c r="BH21" s="38">
        <v>10</v>
      </c>
      <c r="BI21" s="38">
        <v>11</v>
      </c>
      <c r="BJ21" s="38">
        <v>12</v>
      </c>
      <c r="BK21" s="38">
        <v>1</v>
      </c>
      <c r="BL21" s="38">
        <v>2</v>
      </c>
      <c r="BM21" s="38">
        <v>3</v>
      </c>
      <c r="BN21" s="38">
        <v>4</v>
      </c>
      <c r="BO21" s="38">
        <v>5</v>
      </c>
      <c r="BP21" s="38">
        <v>6</v>
      </c>
      <c r="BQ21" s="38">
        <v>7</v>
      </c>
      <c r="BR21" s="38">
        <v>8</v>
      </c>
      <c r="BS21" s="38">
        <v>9</v>
      </c>
      <c r="BT21" s="38">
        <v>10</v>
      </c>
      <c r="BU21" s="38">
        <v>11</v>
      </c>
      <c r="BV21" s="38">
        <v>12</v>
      </c>
      <c r="BW21" s="38">
        <v>1</v>
      </c>
      <c r="BX21" s="38">
        <v>2</v>
      </c>
      <c r="BY21" s="38">
        <v>3</v>
      </c>
      <c r="BZ21" s="38">
        <v>4</v>
      </c>
      <c r="CA21" s="38">
        <v>5</v>
      </c>
      <c r="CB21" s="38">
        <v>6</v>
      </c>
      <c r="CC21" s="38">
        <v>7</v>
      </c>
      <c r="CD21" s="38">
        <v>8</v>
      </c>
      <c r="CE21" s="38">
        <v>9</v>
      </c>
      <c r="CF21" s="38">
        <v>10</v>
      </c>
      <c r="CG21" s="38">
        <v>11</v>
      </c>
      <c r="CH21" s="38">
        <v>12</v>
      </c>
      <c r="CI21" s="38">
        <v>1</v>
      </c>
      <c r="CJ21" s="38">
        <v>2</v>
      </c>
      <c r="CK21" s="38">
        <v>3</v>
      </c>
    </row>
    <row r="22" spans="2:89" ht="15">
      <c r="B22" s="37" t="str">
        <v>Календарное полугодие</v>
      </c>
      <c r="C22" s="33"/>
      <c r="D22" s="33"/>
      <c r="E22" s="34"/>
      <c r="F22" s="38">
        <v>1</v>
      </c>
      <c r="G22" s="38">
        <v>1</v>
      </c>
      <c r="H22" s="38">
        <v>1</v>
      </c>
      <c r="I22" s="38">
        <v>2</v>
      </c>
      <c r="J22" s="38">
        <v>2</v>
      </c>
      <c r="K22" s="38">
        <v>2</v>
      </c>
      <c r="L22" s="38">
        <v>2</v>
      </c>
      <c r="M22" s="38">
        <v>2</v>
      </c>
      <c r="N22" s="38">
        <v>2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2</v>
      </c>
      <c r="V22" s="38">
        <v>2</v>
      </c>
      <c r="W22" s="38">
        <v>2</v>
      </c>
      <c r="X22" s="38">
        <v>2</v>
      </c>
      <c r="Y22" s="38">
        <v>2</v>
      </c>
      <c r="Z22" s="38">
        <v>2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2</v>
      </c>
      <c r="AH22" s="38">
        <v>2</v>
      </c>
      <c r="AI22" s="38">
        <v>2</v>
      </c>
      <c r="AJ22" s="38">
        <v>2</v>
      </c>
      <c r="AK22" s="38">
        <v>2</v>
      </c>
      <c r="AL22" s="38">
        <v>2</v>
      </c>
      <c r="AM22" s="38">
        <v>1</v>
      </c>
      <c r="AN22" s="38">
        <v>1</v>
      </c>
      <c r="AO22" s="38">
        <v>1</v>
      </c>
      <c r="AP22" s="38">
        <v>1</v>
      </c>
      <c r="AQ22" s="38">
        <v>1</v>
      </c>
      <c r="AR22" s="38">
        <v>1</v>
      </c>
      <c r="AS22" s="38">
        <v>2</v>
      </c>
      <c r="AT22" s="38">
        <v>2</v>
      </c>
      <c r="AU22" s="38">
        <v>2</v>
      </c>
      <c r="AV22" s="38">
        <v>2</v>
      </c>
      <c r="AW22" s="38">
        <v>2</v>
      </c>
      <c r="AX22" s="38">
        <v>2</v>
      </c>
      <c r="AY22" s="38">
        <v>1</v>
      </c>
      <c r="AZ22" s="38">
        <v>1</v>
      </c>
      <c r="BA22" s="38">
        <v>1</v>
      </c>
      <c r="BB22" s="38">
        <v>1</v>
      </c>
      <c r="BC22" s="38">
        <v>1</v>
      </c>
      <c r="BD22" s="38">
        <v>1</v>
      </c>
      <c r="BE22" s="38">
        <v>2</v>
      </c>
      <c r="BF22" s="38">
        <v>2</v>
      </c>
      <c r="BG22" s="38">
        <v>2</v>
      </c>
      <c r="BH22" s="38">
        <v>2</v>
      </c>
      <c r="BI22" s="38">
        <v>2</v>
      </c>
      <c r="BJ22" s="38">
        <v>2</v>
      </c>
      <c r="BK22" s="38">
        <v>1</v>
      </c>
      <c r="BL22" s="38">
        <v>1</v>
      </c>
      <c r="BM22" s="38">
        <v>1</v>
      </c>
      <c r="BN22" s="38">
        <v>1</v>
      </c>
      <c r="BO22" s="38">
        <v>1</v>
      </c>
      <c r="BP22" s="38">
        <v>1</v>
      </c>
      <c r="BQ22" s="38">
        <v>2</v>
      </c>
      <c r="BR22" s="38">
        <v>2</v>
      </c>
      <c r="BS22" s="38">
        <v>2</v>
      </c>
      <c r="BT22" s="38">
        <v>2</v>
      </c>
      <c r="BU22" s="38">
        <v>2</v>
      </c>
      <c r="BV22" s="38">
        <v>2</v>
      </c>
      <c r="BW22" s="38">
        <v>1</v>
      </c>
      <c r="BX22" s="38">
        <v>1</v>
      </c>
      <c r="BY22" s="38">
        <v>1</v>
      </c>
      <c r="BZ22" s="38">
        <v>1</v>
      </c>
      <c r="CA22" s="38">
        <v>1</v>
      </c>
      <c r="CB22" s="38">
        <v>1</v>
      </c>
      <c r="CC22" s="38">
        <v>2</v>
      </c>
      <c r="CD22" s="38">
        <v>2</v>
      </c>
      <c r="CE22" s="38">
        <v>2</v>
      </c>
      <c r="CF22" s="38">
        <v>2</v>
      </c>
      <c r="CG22" s="38">
        <v>2</v>
      </c>
      <c r="CH22" s="38">
        <v>2</v>
      </c>
      <c r="CI22" s="38">
        <v>1</v>
      </c>
      <c r="CJ22" s="38">
        <v>1</v>
      </c>
      <c r="CK22" s="38">
        <v>1</v>
      </c>
    </row>
    <row r="23" spans="2:89" ht="15">
      <c r="B23" s="37" t="str">
        <v>Месяц с начала полугодия</v>
      </c>
      <c r="C23" s="33"/>
      <c r="D23" s="33"/>
      <c r="E23" s="34"/>
      <c r="F23" s="38">
        <v>4</v>
      </c>
      <c r="G23" s="38">
        <v>5</v>
      </c>
      <c r="H23" s="38">
        <v>6</v>
      </c>
      <c r="I23" s="38">
        <v>1</v>
      </c>
      <c r="J23" s="38">
        <v>2</v>
      </c>
      <c r="K23" s="38">
        <v>3</v>
      </c>
      <c r="L23" s="38">
        <v>4</v>
      </c>
      <c r="M23" s="38">
        <v>5</v>
      </c>
      <c r="N23" s="38">
        <v>6</v>
      </c>
      <c r="O23" s="38">
        <v>1</v>
      </c>
      <c r="P23" s="38">
        <v>2</v>
      </c>
      <c r="Q23" s="38">
        <v>3</v>
      </c>
      <c r="R23" s="38">
        <v>4</v>
      </c>
      <c r="S23" s="38">
        <v>5</v>
      </c>
      <c r="T23" s="38">
        <v>6</v>
      </c>
      <c r="U23" s="38">
        <v>1</v>
      </c>
      <c r="V23" s="38">
        <v>2</v>
      </c>
      <c r="W23" s="38">
        <v>3</v>
      </c>
      <c r="X23" s="38">
        <v>4</v>
      </c>
      <c r="Y23" s="38">
        <v>5</v>
      </c>
      <c r="Z23" s="38">
        <v>6</v>
      </c>
      <c r="AA23" s="38">
        <v>1</v>
      </c>
      <c r="AB23" s="38">
        <v>2</v>
      </c>
      <c r="AC23" s="38">
        <v>3</v>
      </c>
      <c r="AD23" s="38">
        <v>4</v>
      </c>
      <c r="AE23" s="38">
        <v>5</v>
      </c>
      <c r="AF23" s="38">
        <v>6</v>
      </c>
      <c r="AG23" s="38">
        <v>1</v>
      </c>
      <c r="AH23" s="38">
        <v>2</v>
      </c>
      <c r="AI23" s="38">
        <v>3</v>
      </c>
      <c r="AJ23" s="38">
        <v>4</v>
      </c>
      <c r="AK23" s="38">
        <v>5</v>
      </c>
      <c r="AL23" s="38">
        <v>6</v>
      </c>
      <c r="AM23" s="38">
        <v>1</v>
      </c>
      <c r="AN23" s="38">
        <v>2</v>
      </c>
      <c r="AO23" s="38">
        <v>3</v>
      </c>
      <c r="AP23" s="38">
        <v>4</v>
      </c>
      <c r="AQ23" s="38">
        <v>5</v>
      </c>
      <c r="AR23" s="38">
        <v>6</v>
      </c>
      <c r="AS23" s="38">
        <v>1</v>
      </c>
      <c r="AT23" s="38">
        <v>2</v>
      </c>
      <c r="AU23" s="38">
        <v>3</v>
      </c>
      <c r="AV23" s="38">
        <v>4</v>
      </c>
      <c r="AW23" s="38">
        <v>5</v>
      </c>
      <c r="AX23" s="38">
        <v>6</v>
      </c>
      <c r="AY23" s="38">
        <v>1</v>
      </c>
      <c r="AZ23" s="38">
        <v>2</v>
      </c>
      <c r="BA23" s="38">
        <v>3</v>
      </c>
      <c r="BB23" s="38">
        <v>4</v>
      </c>
      <c r="BC23" s="38">
        <v>5</v>
      </c>
      <c r="BD23" s="38">
        <v>6</v>
      </c>
      <c r="BE23" s="38">
        <v>1</v>
      </c>
      <c r="BF23" s="38">
        <v>2</v>
      </c>
      <c r="BG23" s="38">
        <v>3</v>
      </c>
      <c r="BH23" s="38">
        <v>4</v>
      </c>
      <c r="BI23" s="38">
        <v>5</v>
      </c>
      <c r="BJ23" s="38">
        <v>6</v>
      </c>
      <c r="BK23" s="38">
        <v>1</v>
      </c>
      <c r="BL23" s="38">
        <v>2</v>
      </c>
      <c r="BM23" s="38">
        <v>3</v>
      </c>
      <c r="BN23" s="38">
        <v>4</v>
      </c>
      <c r="BO23" s="38">
        <v>5</v>
      </c>
      <c r="BP23" s="38">
        <v>6</v>
      </c>
      <c r="BQ23" s="38">
        <v>1</v>
      </c>
      <c r="BR23" s="38">
        <v>2</v>
      </c>
      <c r="BS23" s="38">
        <v>3</v>
      </c>
      <c r="BT23" s="38">
        <v>4</v>
      </c>
      <c r="BU23" s="38">
        <v>5</v>
      </c>
      <c r="BV23" s="38">
        <v>6</v>
      </c>
      <c r="BW23" s="38">
        <v>1</v>
      </c>
      <c r="BX23" s="38">
        <v>2</v>
      </c>
      <c r="BY23" s="38">
        <v>3</v>
      </c>
      <c r="BZ23" s="38">
        <v>4</v>
      </c>
      <c r="CA23" s="38">
        <v>5</v>
      </c>
      <c r="CB23" s="38">
        <v>6</v>
      </c>
      <c r="CC23" s="38">
        <v>1</v>
      </c>
      <c r="CD23" s="38">
        <v>2</v>
      </c>
      <c r="CE23" s="38">
        <v>3</v>
      </c>
      <c r="CF23" s="38">
        <v>4</v>
      </c>
      <c r="CG23" s="38">
        <v>5</v>
      </c>
      <c r="CH23" s="38">
        <v>6</v>
      </c>
      <c r="CI23" s="38">
        <v>1</v>
      </c>
      <c r="CJ23" s="38">
        <v>2</v>
      </c>
      <c r="CK23" s="38">
        <v>3</v>
      </c>
    </row>
    <row r="24" spans="2:89" ht="15">
      <c r="B24" s="37" t="str">
        <v>Календарный квартал</v>
      </c>
      <c r="C24" s="33"/>
      <c r="D24" s="33"/>
      <c r="E24" s="34"/>
      <c r="F24" s="38">
        <v>2</v>
      </c>
      <c r="G24" s="38">
        <v>2</v>
      </c>
      <c r="H24" s="38">
        <v>2</v>
      </c>
      <c r="I24" s="38">
        <v>3</v>
      </c>
      <c r="J24" s="38">
        <v>3</v>
      </c>
      <c r="K24" s="38">
        <v>3</v>
      </c>
      <c r="L24" s="38">
        <v>4</v>
      </c>
      <c r="M24" s="38">
        <v>4</v>
      </c>
      <c r="N24" s="38">
        <v>4</v>
      </c>
      <c r="O24" s="38">
        <v>1</v>
      </c>
      <c r="P24" s="38">
        <v>1</v>
      </c>
      <c r="Q24" s="38">
        <v>1</v>
      </c>
      <c r="R24" s="38">
        <v>2</v>
      </c>
      <c r="S24" s="38">
        <v>2</v>
      </c>
      <c r="T24" s="38">
        <v>2</v>
      </c>
      <c r="U24" s="38">
        <v>3</v>
      </c>
      <c r="V24" s="38">
        <v>3</v>
      </c>
      <c r="W24" s="38">
        <v>3</v>
      </c>
      <c r="X24" s="38">
        <v>4</v>
      </c>
      <c r="Y24" s="38">
        <v>4</v>
      </c>
      <c r="Z24" s="38">
        <v>4</v>
      </c>
      <c r="AA24" s="38">
        <v>1</v>
      </c>
      <c r="AB24" s="38">
        <v>1</v>
      </c>
      <c r="AC24" s="38">
        <v>1</v>
      </c>
      <c r="AD24" s="38">
        <v>2</v>
      </c>
      <c r="AE24" s="38">
        <v>2</v>
      </c>
      <c r="AF24" s="38">
        <v>2</v>
      </c>
      <c r="AG24" s="38">
        <v>3</v>
      </c>
      <c r="AH24" s="38">
        <v>3</v>
      </c>
      <c r="AI24" s="38">
        <v>3</v>
      </c>
      <c r="AJ24" s="38">
        <v>4</v>
      </c>
      <c r="AK24" s="38">
        <v>4</v>
      </c>
      <c r="AL24" s="38">
        <v>4</v>
      </c>
      <c r="AM24" s="38">
        <v>1</v>
      </c>
      <c r="AN24" s="38">
        <v>1</v>
      </c>
      <c r="AO24" s="38">
        <v>1</v>
      </c>
      <c r="AP24" s="38">
        <v>2</v>
      </c>
      <c r="AQ24" s="38">
        <v>2</v>
      </c>
      <c r="AR24" s="38">
        <v>2</v>
      </c>
      <c r="AS24" s="38">
        <v>3</v>
      </c>
      <c r="AT24" s="38">
        <v>3</v>
      </c>
      <c r="AU24" s="38">
        <v>3</v>
      </c>
      <c r="AV24" s="38">
        <v>4</v>
      </c>
      <c r="AW24" s="38">
        <v>4</v>
      </c>
      <c r="AX24" s="38">
        <v>4</v>
      </c>
      <c r="AY24" s="38">
        <v>1</v>
      </c>
      <c r="AZ24" s="38">
        <v>1</v>
      </c>
      <c r="BA24" s="38">
        <v>1</v>
      </c>
      <c r="BB24" s="38">
        <v>2</v>
      </c>
      <c r="BC24" s="38">
        <v>2</v>
      </c>
      <c r="BD24" s="38">
        <v>2</v>
      </c>
      <c r="BE24" s="38">
        <v>3</v>
      </c>
      <c r="BF24" s="38">
        <v>3</v>
      </c>
      <c r="BG24" s="38">
        <v>3</v>
      </c>
      <c r="BH24" s="38">
        <v>4</v>
      </c>
      <c r="BI24" s="38">
        <v>4</v>
      </c>
      <c r="BJ24" s="38">
        <v>4</v>
      </c>
      <c r="BK24" s="38">
        <v>1</v>
      </c>
      <c r="BL24" s="38">
        <v>1</v>
      </c>
      <c r="BM24" s="38">
        <v>1</v>
      </c>
      <c r="BN24" s="38">
        <v>2</v>
      </c>
      <c r="BO24" s="38">
        <v>2</v>
      </c>
      <c r="BP24" s="38">
        <v>2</v>
      </c>
      <c r="BQ24" s="38">
        <v>3</v>
      </c>
      <c r="BR24" s="38">
        <v>3</v>
      </c>
      <c r="BS24" s="38">
        <v>3</v>
      </c>
      <c r="BT24" s="38">
        <v>4</v>
      </c>
      <c r="BU24" s="38">
        <v>4</v>
      </c>
      <c r="BV24" s="38">
        <v>4</v>
      </c>
      <c r="BW24" s="38">
        <v>1</v>
      </c>
      <c r="BX24" s="38">
        <v>1</v>
      </c>
      <c r="BY24" s="38">
        <v>1</v>
      </c>
      <c r="BZ24" s="38">
        <v>2</v>
      </c>
      <c r="CA24" s="38">
        <v>2</v>
      </c>
      <c r="CB24" s="38">
        <v>2</v>
      </c>
      <c r="CC24" s="38">
        <v>3</v>
      </c>
      <c r="CD24" s="38">
        <v>3</v>
      </c>
      <c r="CE24" s="38">
        <v>3</v>
      </c>
      <c r="CF24" s="38">
        <v>4</v>
      </c>
      <c r="CG24" s="38">
        <v>4</v>
      </c>
      <c r="CH24" s="38">
        <v>4</v>
      </c>
      <c r="CI24" s="38">
        <v>1</v>
      </c>
      <c r="CJ24" s="38">
        <v>1</v>
      </c>
      <c r="CK24" s="38">
        <v>1</v>
      </c>
    </row>
    <row r="25" spans="2:89" ht="15">
      <c r="B25" s="37" t="str">
        <v>Месяц с начала квартала</v>
      </c>
      <c r="C25" s="33"/>
      <c r="D25" s="33"/>
      <c r="E25" s="34"/>
      <c r="F25" s="38">
        <v>1</v>
      </c>
      <c r="G25" s="38">
        <v>2</v>
      </c>
      <c r="H25" s="38">
        <v>3</v>
      </c>
      <c r="I25" s="38">
        <v>1</v>
      </c>
      <c r="J25" s="38">
        <v>2</v>
      </c>
      <c r="K25" s="38">
        <v>3</v>
      </c>
      <c r="L25" s="38">
        <v>1</v>
      </c>
      <c r="M25" s="38">
        <v>2</v>
      </c>
      <c r="N25" s="38">
        <v>3</v>
      </c>
      <c r="O25" s="38">
        <v>1</v>
      </c>
      <c r="P25" s="38">
        <v>2</v>
      </c>
      <c r="Q25" s="38">
        <v>3</v>
      </c>
      <c r="R25" s="38">
        <v>1</v>
      </c>
      <c r="S25" s="38">
        <v>2</v>
      </c>
      <c r="T25" s="38">
        <v>3</v>
      </c>
      <c r="U25" s="38">
        <v>1</v>
      </c>
      <c r="V25" s="38">
        <v>2</v>
      </c>
      <c r="W25" s="38">
        <v>3</v>
      </c>
      <c r="X25" s="38">
        <v>1</v>
      </c>
      <c r="Y25" s="38">
        <v>2</v>
      </c>
      <c r="Z25" s="38">
        <v>3</v>
      </c>
      <c r="AA25" s="38">
        <v>1</v>
      </c>
      <c r="AB25" s="38">
        <v>2</v>
      </c>
      <c r="AC25" s="38">
        <v>3</v>
      </c>
      <c r="AD25" s="38">
        <v>1</v>
      </c>
      <c r="AE25" s="38">
        <v>2</v>
      </c>
      <c r="AF25" s="38">
        <v>3</v>
      </c>
      <c r="AG25" s="38">
        <v>1</v>
      </c>
      <c r="AH25" s="38">
        <v>2</v>
      </c>
      <c r="AI25" s="38">
        <v>3</v>
      </c>
      <c r="AJ25" s="38">
        <v>1</v>
      </c>
      <c r="AK25" s="38">
        <v>2</v>
      </c>
      <c r="AL25" s="38">
        <v>3</v>
      </c>
      <c r="AM25" s="38">
        <v>1</v>
      </c>
      <c r="AN25" s="38">
        <v>2</v>
      </c>
      <c r="AO25" s="38">
        <v>3</v>
      </c>
      <c r="AP25" s="38">
        <v>1</v>
      </c>
      <c r="AQ25" s="38">
        <v>2</v>
      </c>
      <c r="AR25" s="38">
        <v>3</v>
      </c>
      <c r="AS25" s="38">
        <v>1</v>
      </c>
      <c r="AT25" s="38">
        <v>2</v>
      </c>
      <c r="AU25" s="38">
        <v>3</v>
      </c>
      <c r="AV25" s="38">
        <v>1</v>
      </c>
      <c r="AW25" s="38">
        <v>2</v>
      </c>
      <c r="AX25" s="38">
        <v>3</v>
      </c>
      <c r="AY25" s="38">
        <v>1</v>
      </c>
      <c r="AZ25" s="38">
        <v>2</v>
      </c>
      <c r="BA25" s="38">
        <v>3</v>
      </c>
      <c r="BB25" s="38">
        <v>1</v>
      </c>
      <c r="BC25" s="38">
        <v>2</v>
      </c>
      <c r="BD25" s="38">
        <v>3</v>
      </c>
      <c r="BE25" s="38">
        <v>1</v>
      </c>
      <c r="BF25" s="38">
        <v>2</v>
      </c>
      <c r="BG25" s="38">
        <v>3</v>
      </c>
      <c r="BH25" s="38">
        <v>1</v>
      </c>
      <c r="BI25" s="38">
        <v>2</v>
      </c>
      <c r="BJ25" s="38">
        <v>3</v>
      </c>
      <c r="BK25" s="38">
        <v>1</v>
      </c>
      <c r="BL25" s="38">
        <v>2</v>
      </c>
      <c r="BM25" s="38">
        <v>3</v>
      </c>
      <c r="BN25" s="38">
        <v>1</v>
      </c>
      <c r="BO25" s="38">
        <v>2</v>
      </c>
      <c r="BP25" s="38">
        <v>3</v>
      </c>
      <c r="BQ25" s="38">
        <v>1</v>
      </c>
      <c r="BR25" s="38">
        <v>2</v>
      </c>
      <c r="BS25" s="38">
        <v>3</v>
      </c>
      <c r="BT25" s="38">
        <v>1</v>
      </c>
      <c r="BU25" s="38">
        <v>2</v>
      </c>
      <c r="BV25" s="38">
        <v>3</v>
      </c>
      <c r="BW25" s="38">
        <v>1</v>
      </c>
      <c r="BX25" s="38">
        <v>2</v>
      </c>
      <c r="BY25" s="38">
        <v>3</v>
      </c>
      <c r="BZ25" s="38">
        <v>1</v>
      </c>
      <c r="CA25" s="38">
        <v>2</v>
      </c>
      <c r="CB25" s="38">
        <v>3</v>
      </c>
      <c r="CC25" s="38">
        <v>1</v>
      </c>
      <c r="CD25" s="38">
        <v>2</v>
      </c>
      <c r="CE25" s="38">
        <v>3</v>
      </c>
      <c r="CF25" s="38">
        <v>1</v>
      </c>
      <c r="CG25" s="38">
        <v>2</v>
      </c>
      <c r="CH25" s="38">
        <v>3</v>
      </c>
      <c r="CI25" s="38">
        <v>1</v>
      </c>
      <c r="CJ25" s="38">
        <v>2</v>
      </c>
      <c r="CK25" s="38">
        <v>3</v>
      </c>
    </row>
    <row r="26" spans="2:89" ht="15">
      <c r="B26" s="37" t="str">
        <v>Дней в периоде</v>
      </c>
      <c r="C26" s="33"/>
      <c r="D26" s="33"/>
      <c r="E26" s="34"/>
      <c r="F26" s="38">
        <v>30</v>
      </c>
      <c r="G26" s="38">
        <v>31</v>
      </c>
      <c r="H26" s="38">
        <v>30</v>
      </c>
      <c r="I26" s="38">
        <v>31</v>
      </c>
      <c r="J26" s="38">
        <v>31</v>
      </c>
      <c r="K26" s="38">
        <v>30</v>
      </c>
      <c r="L26" s="38">
        <v>31</v>
      </c>
      <c r="M26" s="38">
        <v>30</v>
      </c>
      <c r="N26" s="38">
        <v>31</v>
      </c>
      <c r="O26" s="38">
        <v>31</v>
      </c>
      <c r="P26" s="38">
        <v>29</v>
      </c>
      <c r="Q26" s="38">
        <v>31</v>
      </c>
      <c r="R26" s="38">
        <v>30</v>
      </c>
      <c r="S26" s="38">
        <v>31</v>
      </c>
      <c r="T26" s="38">
        <v>30</v>
      </c>
      <c r="U26" s="38">
        <v>31</v>
      </c>
      <c r="V26" s="38">
        <v>31</v>
      </c>
      <c r="W26" s="38">
        <v>30</v>
      </c>
      <c r="X26" s="38">
        <v>31</v>
      </c>
      <c r="Y26" s="38">
        <v>30</v>
      </c>
      <c r="Z26" s="38">
        <v>31</v>
      </c>
      <c r="AA26" s="38">
        <v>31</v>
      </c>
      <c r="AB26" s="38">
        <v>28</v>
      </c>
      <c r="AC26" s="38">
        <v>31</v>
      </c>
      <c r="AD26" s="38">
        <v>30</v>
      </c>
      <c r="AE26" s="38">
        <v>31</v>
      </c>
      <c r="AF26" s="38">
        <v>30</v>
      </c>
      <c r="AG26" s="38">
        <v>31</v>
      </c>
      <c r="AH26" s="38">
        <v>31</v>
      </c>
      <c r="AI26" s="38">
        <v>30</v>
      </c>
      <c r="AJ26" s="38">
        <v>31</v>
      </c>
      <c r="AK26" s="38">
        <v>30</v>
      </c>
      <c r="AL26" s="38">
        <v>31</v>
      </c>
      <c r="AM26" s="38">
        <v>31</v>
      </c>
      <c r="AN26" s="38">
        <v>28</v>
      </c>
      <c r="AO26" s="38">
        <v>31</v>
      </c>
      <c r="AP26" s="38">
        <v>30</v>
      </c>
      <c r="AQ26" s="38">
        <v>31</v>
      </c>
      <c r="AR26" s="38">
        <v>30</v>
      </c>
      <c r="AS26" s="38">
        <v>31</v>
      </c>
      <c r="AT26" s="38">
        <v>31</v>
      </c>
      <c r="AU26" s="38">
        <v>30</v>
      </c>
      <c r="AV26" s="38">
        <v>31</v>
      </c>
      <c r="AW26" s="38">
        <v>30</v>
      </c>
      <c r="AX26" s="38">
        <v>31</v>
      </c>
      <c r="AY26" s="38">
        <v>31</v>
      </c>
      <c r="AZ26" s="38">
        <v>28</v>
      </c>
      <c r="BA26" s="38">
        <v>31</v>
      </c>
      <c r="BB26" s="38">
        <v>30</v>
      </c>
      <c r="BC26" s="38">
        <v>31</v>
      </c>
      <c r="BD26" s="38">
        <v>30</v>
      </c>
      <c r="BE26" s="38">
        <v>31</v>
      </c>
      <c r="BF26" s="38">
        <v>31</v>
      </c>
      <c r="BG26" s="38">
        <v>30</v>
      </c>
      <c r="BH26" s="38">
        <v>31</v>
      </c>
      <c r="BI26" s="38">
        <v>30</v>
      </c>
      <c r="BJ26" s="38">
        <v>31</v>
      </c>
      <c r="BK26" s="38">
        <v>31</v>
      </c>
      <c r="BL26" s="38">
        <v>29</v>
      </c>
      <c r="BM26" s="38">
        <v>31</v>
      </c>
      <c r="BN26" s="38">
        <v>30</v>
      </c>
      <c r="BO26" s="38">
        <v>31</v>
      </c>
      <c r="BP26" s="38">
        <v>30</v>
      </c>
      <c r="BQ26" s="38">
        <v>31</v>
      </c>
      <c r="BR26" s="38">
        <v>31</v>
      </c>
      <c r="BS26" s="38">
        <v>30</v>
      </c>
      <c r="BT26" s="38">
        <v>31</v>
      </c>
      <c r="BU26" s="38">
        <v>30</v>
      </c>
      <c r="BV26" s="38">
        <v>31</v>
      </c>
      <c r="BW26" s="38">
        <v>31</v>
      </c>
      <c r="BX26" s="38">
        <v>28</v>
      </c>
      <c r="BY26" s="38">
        <v>31</v>
      </c>
      <c r="BZ26" s="38">
        <v>30</v>
      </c>
      <c r="CA26" s="38">
        <v>31</v>
      </c>
      <c r="CB26" s="38">
        <v>30</v>
      </c>
      <c r="CC26" s="38">
        <v>31</v>
      </c>
      <c r="CD26" s="38">
        <v>31</v>
      </c>
      <c r="CE26" s="38">
        <v>30</v>
      </c>
      <c r="CF26" s="38">
        <v>31</v>
      </c>
      <c r="CG26" s="38">
        <v>30</v>
      </c>
      <c r="CH26" s="38">
        <v>31</v>
      </c>
      <c r="CI26" s="38">
        <v>31</v>
      </c>
      <c r="CJ26" s="38">
        <v>28</v>
      </c>
      <c r="CK26" s="38">
        <v>31</v>
      </c>
    </row>
    <row r="27" spans="2:89" ht="15">
      <c r="B27" s="37" t="str">
        <v>№ периода</v>
      </c>
      <c r="C27" s="33"/>
      <c r="D27" s="33"/>
      <c r="E27" s="34"/>
      <c r="F27" s="38">
        <v>1</v>
      </c>
      <c r="G27" s="38">
        <v>2</v>
      </c>
      <c r="H27" s="38">
        <v>3</v>
      </c>
      <c r="I27" s="38">
        <v>4</v>
      </c>
      <c r="J27" s="38">
        <v>5</v>
      </c>
      <c r="K27" s="38">
        <v>6</v>
      </c>
      <c r="L27" s="38">
        <v>7</v>
      </c>
      <c r="M27" s="38">
        <v>8</v>
      </c>
      <c r="N27" s="38">
        <v>9</v>
      </c>
      <c r="O27" s="38">
        <v>10</v>
      </c>
      <c r="P27" s="38">
        <v>11</v>
      </c>
      <c r="Q27" s="38">
        <v>12</v>
      </c>
      <c r="R27" s="38">
        <v>13</v>
      </c>
      <c r="S27" s="38">
        <v>14</v>
      </c>
      <c r="T27" s="38">
        <v>15</v>
      </c>
      <c r="U27" s="38">
        <v>16</v>
      </c>
      <c r="V27" s="38">
        <v>17</v>
      </c>
      <c r="W27" s="38">
        <v>18</v>
      </c>
      <c r="X27" s="38">
        <v>19</v>
      </c>
      <c r="Y27" s="38">
        <v>20</v>
      </c>
      <c r="Z27" s="38">
        <v>21</v>
      </c>
      <c r="AA27" s="38">
        <v>22</v>
      </c>
      <c r="AB27" s="38">
        <v>23</v>
      </c>
      <c r="AC27" s="38">
        <v>24</v>
      </c>
      <c r="AD27" s="38">
        <v>25</v>
      </c>
      <c r="AE27" s="38">
        <v>26</v>
      </c>
      <c r="AF27" s="38">
        <v>27</v>
      </c>
      <c r="AG27" s="38">
        <v>28</v>
      </c>
      <c r="AH27" s="38">
        <v>29</v>
      </c>
      <c r="AI27" s="38">
        <v>30</v>
      </c>
      <c r="AJ27" s="38">
        <v>31</v>
      </c>
      <c r="AK27" s="38">
        <v>32</v>
      </c>
      <c r="AL27" s="38">
        <v>33</v>
      </c>
      <c r="AM27" s="38">
        <v>34</v>
      </c>
      <c r="AN27" s="38">
        <v>35</v>
      </c>
      <c r="AO27" s="38">
        <v>36</v>
      </c>
      <c r="AP27" s="38">
        <v>37</v>
      </c>
      <c r="AQ27" s="38">
        <v>38</v>
      </c>
      <c r="AR27" s="38">
        <v>39</v>
      </c>
      <c r="AS27" s="38">
        <v>40</v>
      </c>
      <c r="AT27" s="38">
        <v>41</v>
      </c>
      <c r="AU27" s="38">
        <v>42</v>
      </c>
      <c r="AV27" s="38">
        <v>43</v>
      </c>
      <c r="AW27" s="38">
        <v>44</v>
      </c>
      <c r="AX27" s="38">
        <v>45</v>
      </c>
      <c r="AY27" s="38">
        <v>46</v>
      </c>
      <c r="AZ27" s="38">
        <v>47</v>
      </c>
      <c r="BA27" s="38">
        <v>48</v>
      </c>
      <c r="BB27" s="38">
        <v>49</v>
      </c>
      <c r="BC27" s="38">
        <v>50</v>
      </c>
      <c r="BD27" s="38">
        <v>51</v>
      </c>
      <c r="BE27" s="38">
        <v>52</v>
      </c>
      <c r="BF27" s="38">
        <v>53</v>
      </c>
      <c r="BG27" s="38">
        <v>54</v>
      </c>
      <c r="BH27" s="38">
        <v>55</v>
      </c>
      <c r="BI27" s="38">
        <v>56</v>
      </c>
      <c r="BJ27" s="38">
        <v>57</v>
      </c>
      <c r="BK27" s="38">
        <v>58</v>
      </c>
      <c r="BL27" s="38">
        <v>59</v>
      </c>
      <c r="BM27" s="38">
        <v>60</v>
      </c>
      <c r="BN27" s="38">
        <v>61</v>
      </c>
      <c r="BO27" s="38">
        <v>62</v>
      </c>
      <c r="BP27" s="38">
        <v>63</v>
      </c>
      <c r="BQ27" s="38">
        <v>64</v>
      </c>
      <c r="BR27" s="38">
        <v>65</v>
      </c>
      <c r="BS27" s="38">
        <v>66</v>
      </c>
      <c r="BT27" s="38">
        <v>67</v>
      </c>
      <c r="BU27" s="38">
        <v>68</v>
      </c>
      <c r="BV27" s="38">
        <v>69</v>
      </c>
      <c r="BW27" s="38">
        <v>70</v>
      </c>
      <c r="BX27" s="38">
        <v>71</v>
      </c>
      <c r="BY27" s="38">
        <v>72</v>
      </c>
      <c r="BZ27" s="38">
        <v>73</v>
      </c>
      <c r="CA27" s="38">
        <v>74</v>
      </c>
      <c r="CB27" s="38">
        <v>75</v>
      </c>
      <c r="CC27" s="38">
        <v>76</v>
      </c>
      <c r="CD27" s="38">
        <v>77</v>
      </c>
      <c r="CE27" s="38">
        <v>78</v>
      </c>
      <c r="CF27" s="38">
        <v>79</v>
      </c>
      <c r="CG27" s="38">
        <v>80</v>
      </c>
      <c r="CH27" s="38">
        <v>81</v>
      </c>
      <c r="CI27" s="38">
        <v>82</v>
      </c>
      <c r="CJ27" s="38">
        <v>83</v>
      </c>
      <c r="CK27" s="38">
        <v>84</v>
      </c>
    </row>
    <row r="28" spans="2:89" ht="15">
      <c r="B28" s="37" t="str">
        <v>№ операционного периода</v>
      </c>
      <c r="C28" s="33"/>
      <c r="D28" s="39"/>
      <c r="E28" s="34"/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1</v>
      </c>
      <c r="S28" s="38">
        <v>2</v>
      </c>
      <c r="T28" s="38">
        <v>3</v>
      </c>
      <c r="U28" s="38">
        <v>4</v>
      </c>
      <c r="V28" s="38">
        <v>5</v>
      </c>
      <c r="W28" s="38">
        <v>6</v>
      </c>
      <c r="X28" s="38">
        <v>7</v>
      </c>
      <c r="Y28" s="38">
        <v>8</v>
      </c>
      <c r="Z28" s="38">
        <v>9</v>
      </c>
      <c r="AA28" s="38">
        <v>10</v>
      </c>
      <c r="AB28" s="38">
        <v>11</v>
      </c>
      <c r="AC28" s="38">
        <v>12</v>
      </c>
      <c r="AD28" s="38">
        <v>13</v>
      </c>
      <c r="AE28" s="38">
        <v>14</v>
      </c>
      <c r="AF28" s="38">
        <v>15</v>
      </c>
      <c r="AG28" s="38">
        <v>16</v>
      </c>
      <c r="AH28" s="38">
        <v>17</v>
      </c>
      <c r="AI28" s="38">
        <v>18</v>
      </c>
      <c r="AJ28" s="38">
        <v>19</v>
      </c>
      <c r="AK28" s="38">
        <v>20</v>
      </c>
      <c r="AL28" s="38">
        <v>21</v>
      </c>
      <c r="AM28" s="38">
        <v>22</v>
      </c>
      <c r="AN28" s="38">
        <v>23</v>
      </c>
      <c r="AO28" s="38">
        <v>24</v>
      </c>
      <c r="AP28" s="38">
        <v>25</v>
      </c>
      <c r="AQ28" s="38">
        <v>26</v>
      </c>
      <c r="AR28" s="38">
        <v>27</v>
      </c>
      <c r="AS28" s="38">
        <v>28</v>
      </c>
      <c r="AT28" s="38">
        <v>29</v>
      </c>
      <c r="AU28" s="38">
        <v>30</v>
      </c>
      <c r="AV28" s="38">
        <v>31</v>
      </c>
      <c r="AW28" s="38">
        <v>32</v>
      </c>
      <c r="AX28" s="38">
        <v>33</v>
      </c>
      <c r="AY28" s="38">
        <v>34</v>
      </c>
      <c r="AZ28" s="38">
        <v>35</v>
      </c>
      <c r="BA28" s="38">
        <v>36</v>
      </c>
      <c r="BB28" s="38">
        <v>37</v>
      </c>
      <c r="BC28" s="38">
        <v>38</v>
      </c>
      <c r="BD28" s="38">
        <v>39</v>
      </c>
      <c r="BE28" s="38">
        <v>40</v>
      </c>
      <c r="BF28" s="38">
        <v>41</v>
      </c>
      <c r="BG28" s="38">
        <v>42</v>
      </c>
      <c r="BH28" s="38">
        <v>43</v>
      </c>
      <c r="BI28" s="38">
        <v>44</v>
      </c>
      <c r="BJ28" s="38">
        <v>45</v>
      </c>
      <c r="BK28" s="38">
        <v>46</v>
      </c>
      <c r="BL28" s="38">
        <v>47</v>
      </c>
      <c r="BM28" s="38">
        <v>48</v>
      </c>
      <c r="BN28" s="38">
        <v>49</v>
      </c>
      <c r="BO28" s="38">
        <v>50</v>
      </c>
      <c r="BP28" s="38">
        <v>51</v>
      </c>
      <c r="BQ28" s="38">
        <v>52</v>
      </c>
      <c r="BR28" s="38">
        <v>53</v>
      </c>
      <c r="BS28" s="38">
        <v>54</v>
      </c>
      <c r="BT28" s="38">
        <v>55</v>
      </c>
      <c r="BU28" s="38">
        <v>56</v>
      </c>
      <c r="BV28" s="38">
        <v>57</v>
      </c>
      <c r="BW28" s="38">
        <v>58</v>
      </c>
      <c r="BX28" s="38">
        <v>59</v>
      </c>
      <c r="BY28" s="38">
        <v>60</v>
      </c>
      <c r="BZ28" s="38">
        <v>61</v>
      </c>
      <c r="CA28" s="38">
        <v>62</v>
      </c>
      <c r="CB28" s="38">
        <v>63</v>
      </c>
      <c r="CC28" s="38">
        <v>64</v>
      </c>
      <c r="CD28" s="38">
        <v>65</v>
      </c>
      <c r="CE28" s="38">
        <v>66</v>
      </c>
      <c r="CF28" s="38">
        <v>67</v>
      </c>
      <c r="CG28" s="38">
        <v>68</v>
      </c>
      <c r="CH28" s="38">
        <v>69</v>
      </c>
      <c r="CI28" s="38">
        <v>70</v>
      </c>
      <c r="CJ28" s="38">
        <v>71</v>
      </c>
      <c r="CK28" s="38">
        <v>72</v>
      </c>
    </row>
    <row r="29" spans="2:89" ht="15">
      <c r="B29" s="37" t="str">
        <v>№ операционного года</v>
      </c>
      <c r="C29" s="33"/>
      <c r="D29" s="39"/>
      <c r="E29" s="34"/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2</v>
      </c>
      <c r="AE29" s="38">
        <v>2</v>
      </c>
      <c r="AF29" s="38">
        <v>2</v>
      </c>
      <c r="AG29" s="38">
        <v>2</v>
      </c>
      <c r="AH29" s="38">
        <v>2</v>
      </c>
      <c r="AI29" s="38">
        <v>2</v>
      </c>
      <c r="AJ29" s="38">
        <v>2</v>
      </c>
      <c r="AK29" s="38">
        <v>2</v>
      </c>
      <c r="AL29" s="38">
        <v>2</v>
      </c>
      <c r="AM29" s="38">
        <v>2</v>
      </c>
      <c r="AN29" s="38">
        <v>2</v>
      </c>
      <c r="AO29" s="38">
        <v>2</v>
      </c>
      <c r="AP29" s="38">
        <v>3</v>
      </c>
      <c r="AQ29" s="38">
        <v>3</v>
      </c>
      <c r="AR29" s="38">
        <v>3</v>
      </c>
      <c r="AS29" s="38">
        <v>3</v>
      </c>
      <c r="AT29" s="38">
        <v>3</v>
      </c>
      <c r="AU29" s="38">
        <v>3</v>
      </c>
      <c r="AV29" s="38">
        <v>3</v>
      </c>
      <c r="AW29" s="38">
        <v>3</v>
      </c>
      <c r="AX29" s="38">
        <v>3</v>
      </c>
      <c r="AY29" s="38">
        <v>3</v>
      </c>
      <c r="AZ29" s="38">
        <v>3</v>
      </c>
      <c r="BA29" s="38">
        <v>3</v>
      </c>
      <c r="BB29" s="38">
        <v>4</v>
      </c>
      <c r="BC29" s="38">
        <v>4</v>
      </c>
      <c r="BD29" s="38">
        <v>4</v>
      </c>
      <c r="BE29" s="38">
        <v>4</v>
      </c>
      <c r="BF29" s="38">
        <v>4</v>
      </c>
      <c r="BG29" s="38">
        <v>4</v>
      </c>
      <c r="BH29" s="38">
        <v>4</v>
      </c>
      <c r="BI29" s="38">
        <v>4</v>
      </c>
      <c r="BJ29" s="38">
        <v>4</v>
      </c>
      <c r="BK29" s="38">
        <v>4</v>
      </c>
      <c r="BL29" s="38">
        <v>4</v>
      </c>
      <c r="BM29" s="38">
        <v>4</v>
      </c>
      <c r="BN29" s="38">
        <v>5</v>
      </c>
      <c r="BO29" s="38">
        <v>5</v>
      </c>
      <c r="BP29" s="38">
        <v>5</v>
      </c>
      <c r="BQ29" s="38">
        <v>5</v>
      </c>
      <c r="BR29" s="38">
        <v>5</v>
      </c>
      <c r="BS29" s="38">
        <v>5</v>
      </c>
      <c r="BT29" s="38">
        <v>5</v>
      </c>
      <c r="BU29" s="38">
        <v>5</v>
      </c>
      <c r="BV29" s="38">
        <v>5</v>
      </c>
      <c r="BW29" s="38">
        <v>5</v>
      </c>
      <c r="BX29" s="38">
        <v>5</v>
      </c>
      <c r="BY29" s="38">
        <v>5</v>
      </c>
      <c r="BZ29" s="38">
        <v>6</v>
      </c>
      <c r="CA29" s="38">
        <v>6</v>
      </c>
      <c r="CB29" s="38">
        <v>6</v>
      </c>
      <c r="CC29" s="38">
        <v>6</v>
      </c>
      <c r="CD29" s="38">
        <v>6</v>
      </c>
      <c r="CE29" s="38">
        <v>6</v>
      </c>
      <c r="CF29" s="38">
        <v>6</v>
      </c>
      <c r="CG29" s="38">
        <v>6</v>
      </c>
      <c r="CH29" s="38">
        <v>6</v>
      </c>
      <c r="CI29" s="38">
        <v>6</v>
      </c>
      <c r="CJ29" s="38">
        <v>6</v>
      </c>
      <c r="CK29" s="38"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 ht="15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 ht="15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2:89" ht="20.25" thickBot="1">
      <c r="B33" s="26" t="s">
        <v>540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</row>
    <row r="34" spans="2:89" ht="15.75" thickTop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</row>
    <row r="35" spans="2:89" ht="18" thickBot="1">
      <c r="B35" s="100" t="str">
        <f>"Денежный поток, в "&amp;Ед_измерения_денег</f>
        <v>Денежный поток, в  руб.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</row>
    <row r="36" spans="2:89" ht="15.75" thickTop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</row>
    <row r="37" spans="2:89" ht="15">
      <c r="B37" s="77" t="s">
        <v>145</v>
      </c>
      <c r="C37" s="78"/>
      <c r="D37" s="98">
        <f ca="1">SUM(F37:CK37)</f>
        <v>3912703347.3362122</v>
      </c>
      <c r="E37" s="79"/>
      <c r="F37" s="80">
        <f ca="1">SUM(Отчетность_по_периодам!F98,Отчетность_по_периодам!F107)</f>
        <v>-65740000.000000007</v>
      </c>
      <c r="G37" s="80">
        <f ca="1">SUM(Отчетность_по_периодам!G98,Отчетность_по_периодам!G107)</f>
        <v>-65740000.000000007</v>
      </c>
      <c r="H37" s="80">
        <f ca="1">SUM(Отчетность_по_периодам!H98,Отчетность_по_периодам!H107)</f>
        <v>-61270000.000000007</v>
      </c>
      <c r="I37" s="80">
        <f ca="1">SUM(Отчетность_по_периодам!I98,Отчетность_по_периодам!I107)</f>
        <v>-148230000</v>
      </c>
      <c r="J37" s="80">
        <f ca="1">SUM(Отчетность_по_периодам!J98,Отчетность_по_периодам!J107)</f>
        <v>-148230000</v>
      </c>
      <c r="K37" s="80">
        <f ca="1">SUM(Отчетность_по_периодам!K98,Отчетность_по_периодам!K107)</f>
        <v>-143900000</v>
      </c>
      <c r="L37" s="80">
        <f ca="1">SUM(Отчетность_по_периодам!L98,Отчетность_по_периодам!L107)</f>
        <v>-94200000</v>
      </c>
      <c r="M37" s="80">
        <f ca="1">SUM(Отчетность_по_периодам!M98,Отчетность_по_периодам!M107)</f>
        <v>-99900000</v>
      </c>
      <c r="N37" s="80">
        <f ca="1">SUM(Отчетность_по_периодам!N98,Отчетность_по_периодам!N107)</f>
        <v>-104400000</v>
      </c>
      <c r="O37" s="80">
        <f ca="1">SUM(Отчетность_по_периодам!O98,Отчетность_по_периодам!O107)</f>
        <v>-67560000</v>
      </c>
      <c r="P37" s="80">
        <f ca="1">SUM(Отчетность_по_периодам!P98,Отчетность_по_периодам!P107)</f>
        <v>-74630000</v>
      </c>
      <c r="Q37" s="80">
        <f ca="1">SUM(Отчетность_по_периодам!Q98,Отчетность_по_периодам!Q107)</f>
        <v>-87230062.675241157</v>
      </c>
      <c r="R37" s="80">
        <f ca="1">SUM(Отчетность_по_периодам!R98,Отчетность_по_периодам!R107)</f>
        <v>51372700.024010994</v>
      </c>
      <c r="S37" s="80">
        <f ca="1">SUM(Отчетность_по_периодам!S98,Отчетность_по_периодам!S107)</f>
        <v>25556252.968714036</v>
      </c>
      <c r="T37" s="80">
        <f ca="1">SUM(Отчетность_по_периодам!T98,Отчетность_по_периодам!T107)</f>
        <v>20342001.908056237</v>
      </c>
      <c r="U37" s="80">
        <f ca="1">SUM(Отчетность_по_периодам!U98,Отчетность_по_периодам!U107)</f>
        <v>20694696.763543017</v>
      </c>
      <c r="V37" s="80">
        <f ca="1">SUM(Отчетность_по_периодам!V98,Отчетность_по_периодам!V107)</f>
        <v>18122461.849501472</v>
      </c>
      <c r="W37" s="80">
        <f ca="1">SUM(Отчетность_по_периодам!W98,Отчетность_по_периодам!W107)</f>
        <v>15524859.04286433</v>
      </c>
      <c r="X37" s="80">
        <f ca="1">SUM(Отчетность_по_периодам!X98,Отчетность_по_периодам!X107)</f>
        <v>21050675.337103322</v>
      </c>
      <c r="Y37" s="80">
        <f ca="1">SUM(Отчетность_по_периодам!Y98,Отчетность_по_периодам!Y107)</f>
        <v>15728976.729470951</v>
      </c>
      <c r="Z37" s="80">
        <f ca="1">SUM(Отчетность_по_периодам!Z98,Отчетность_по_периодам!Z107)</f>
        <v>21267755.662836097</v>
      </c>
      <c r="AA37" s="80">
        <f ca="1">SUM(Отчетность_по_периодам!AA98,Отчетность_по_периодам!AA107)</f>
        <v>18673492.093337081</v>
      </c>
      <c r="AB37" s="80">
        <f ca="1">SUM(Отчетность_по_периодам!AB98,Отчетность_по_периодам!AB107)</f>
        <v>9931227.3595089186</v>
      </c>
      <c r="AC37" s="80">
        <f ca="1">SUM(Отчетность_по_периодам!AC98,Отчетность_по_периодам!AC107)</f>
        <v>27729621.951419506</v>
      </c>
      <c r="AD37" s="80">
        <f ca="1">SUM(Отчетность_по_периодам!AD98,Отчетность_по_периодам!AD107)</f>
        <v>15118661.995004714</v>
      </c>
      <c r="AE37" s="80">
        <f ca="1">SUM(Отчетность_по_периодам!AE98,Отчетность_по_периодам!AE107)</f>
        <v>28202944.478607804</v>
      </c>
      <c r="AF37" s="80">
        <f ca="1">SUM(Отчетность_по_периодам!AF98,Отчетность_по_периодам!AF107)</f>
        <v>23130121.000382647</v>
      </c>
      <c r="AG37" s="80">
        <f ca="1">SUM(Отчетность_по_периодам!AG98,Отчетность_по_периодам!AG107)</f>
        <v>30164785.601121936</v>
      </c>
      <c r="AH37" s="80">
        <f ca="1">SUM(Отчетность_по_периодам!AH98,Отчетность_по_периодам!AH107)</f>
        <v>28591227.518060483</v>
      </c>
      <c r="AI37" s="80">
        <f ca="1">SUM(Отчетность_по_периодам!AI98,Отчетность_по_периодам!AI107)</f>
        <v>27013461.656634618</v>
      </c>
      <c r="AJ37" s="80">
        <f ca="1">SUM(Отчетность_по_периодам!AJ98,Отчетность_по_периодам!AJ107)</f>
        <v>36042924.731466047</v>
      </c>
      <c r="AK37" s="80">
        <f ca="1">SUM(Отчетность_по_периодам!AK98,Отчетность_по_периодам!AK107)</f>
        <v>31301764.329477888</v>
      </c>
      <c r="AL37" s="80">
        <f ca="1">SUM(Отчетность_по_периодам!AL98,Отчетность_по_периодам!AL107)</f>
        <v>42424514.95293282</v>
      </c>
      <c r="AM37" s="80">
        <f ca="1">SUM(Отчетность_по_периодам!AM98,Отчетность_по_периодам!AM107)</f>
        <v>40590790.798295259</v>
      </c>
      <c r="AN37" s="80">
        <f ca="1">SUM(Отчетность_по_периодам!AN98,Отчетность_по_периодам!AN107)</f>
        <v>30553883.572735876</v>
      </c>
      <c r="AO37" s="80">
        <f ca="1">SUM(Отчетность_по_периодам!AO98,Отчетность_по_периодам!AO107)</f>
        <v>65276165.925659351</v>
      </c>
      <c r="AP37" s="80">
        <f ca="1">SUM(Отчетность_по_периодам!AP98,Отчетность_по_периодам!AP107)</f>
        <v>52637306.673793353</v>
      </c>
      <c r="AQ37" s="80">
        <f ca="1">SUM(Отчетность_по_периодам!AQ98,Отчетность_по_периодам!AQ107)</f>
        <v>65167675.698310554</v>
      </c>
      <c r="AR37" s="80">
        <f ca="1">SUM(Отчетность_по_периодам!AR98,Отчетность_по_периодам!AR107)</f>
        <v>57533459.600628182</v>
      </c>
      <c r="AS37" s="80">
        <f ca="1">SUM(Отчетность_по_периодам!AS98,Отчетность_по_периодам!AS107)</f>
        <v>68289650.701986283</v>
      </c>
      <c r="AT37" s="80">
        <f ca="1">SUM(Отчетность_по_периодам!AT98,Отчетность_по_периодам!AT107)</f>
        <v>66034301.561717801</v>
      </c>
      <c r="AU37" s="80">
        <f ca="1">SUM(Отчетность_по_периодам!AU98,Отчетность_по_периодам!AU107)</f>
        <v>63621627.204312533</v>
      </c>
      <c r="AV37" s="80">
        <f ca="1">SUM(Отчетность_по_периодам!AV98,Отчетность_по_периодам!AV107)</f>
        <v>77304742.391920924</v>
      </c>
      <c r="AW37" s="80">
        <f ca="1">SUM(Отчетность_по_периодам!AW98,Отчетность_по_периодам!AW107)</f>
        <v>69404889.546474054</v>
      </c>
      <c r="AX37" s="80">
        <f ca="1">SUM(Отчетность_по_периодам!AX98,Отчетность_по_периодам!AX107)</f>
        <v>84880878.720417023</v>
      </c>
      <c r="AY37" s="80">
        <f ca="1">SUM(Отчетность_по_периодам!AY98,Отчетность_по_периодам!AY107)</f>
        <v>80937142.223391235</v>
      </c>
      <c r="AZ37" s="80">
        <f ca="1">SUM(Отчетность_по_периодам!AZ98,Отчетность_по_периодам!AZ107)</f>
        <v>64865939.18623969</v>
      </c>
      <c r="BA37" s="80">
        <f ca="1">SUM(Отчетность_по_периодам!BA98,Отчетность_по_периодам!BA107)</f>
        <v>109825505.49820565</v>
      </c>
      <c r="BB37" s="80">
        <f ca="1">SUM(Отчетность_по_периодам!BB98,Отчетность_по_периодам!BB107)</f>
        <v>86655838.559317887</v>
      </c>
      <c r="BC37" s="80">
        <f ca="1">SUM(Отчетность_по_периодам!BC98,Отчетность_по_периодам!BC107)</f>
        <v>100199841.65257075</v>
      </c>
      <c r="BD37" s="80">
        <f ca="1">SUM(Отчетность_по_периодам!BD98,Отчетность_по_периодам!BD107)</f>
        <v>87481558.053787678</v>
      </c>
      <c r="BE37" s="80">
        <f ca="1">SUM(Отчетность_по_периодам!BE98,Отчетность_по_периодам!BE107)</f>
        <v>99446242.039511412</v>
      </c>
      <c r="BF37" s="80">
        <f ca="1">SUM(Отчетность_по_периодам!BF98,Отчетность_по_периодам!BF107)</f>
        <v>93282058.730710268</v>
      </c>
      <c r="BG37" s="80">
        <f ca="1">SUM(Отчетность_по_периодам!BG98,Отчетность_по_периодам!BG107)</f>
        <v>87049437.780063286</v>
      </c>
      <c r="BH37" s="80">
        <f ca="1">SUM(Отчетность_по_периодам!BH98,Отчетность_по_периодам!BH107)</f>
        <v>100737319.35358956</v>
      </c>
      <c r="BI37" s="80">
        <f ca="1">SUM(Отчетность_по_периодам!BI98,Отчетность_по_периодам!BI107)</f>
        <v>87756213.325247511</v>
      </c>
      <c r="BJ37" s="80">
        <f ca="1">SUM(Отчетность_по_периодам!BJ98,Отчетность_по_периодам!BJ107)</f>
        <v>101693087.8495743</v>
      </c>
      <c r="BK37" s="80">
        <f ca="1">SUM(Отчетность_по_периодам!BK98,Отчетность_по_периодам!BK107)</f>
        <v>94967273.993581697</v>
      </c>
      <c r="BL37" s="80">
        <f ca="1">SUM(Отчетность_по_периодам!BL98,Отчетность_по_периодам!BL107)</f>
        <v>81311249.169512779</v>
      </c>
      <c r="BM37" s="80">
        <f ca="1">SUM(Отчетность_по_периодам!BM98,Отчетность_по_периодам!BM107)</f>
        <v>110002649.13935342</v>
      </c>
      <c r="BN37" s="80">
        <f ca="1">SUM(Отчетность_по_периодам!BN98,Отчетность_по_периодам!BN107)</f>
        <v>89310222.924188897</v>
      </c>
      <c r="BO37" s="80">
        <f ca="1">SUM(Отчетность_по_периодам!BO98,Отчетность_по_периодам!BO107)</f>
        <v>103531220.42752378</v>
      </c>
      <c r="BP37" s="80">
        <f ca="1">SUM(Отчетность_по_периодам!BP98,Отчетность_по_периодам!BP107)</f>
        <v>90174584.380946681</v>
      </c>
      <c r="BQ37" s="80">
        <f ca="1">SUM(Отчетность_по_периодам!BQ98,Отчетность_по_периодам!BQ107)</f>
        <v>104181401.42789978</v>
      </c>
      <c r="BR37" s="80">
        <f ca="1">SUM(Отчетность_по_периодам!BR98,Отчетность_по_периодам!BR107)</f>
        <v>97707139.537516743</v>
      </c>
      <c r="BS37" s="80">
        <f ca="1">SUM(Отчетность_по_периодам!BS98,Отчетность_по_периодам!BS107)</f>
        <v>91161216.045361325</v>
      </c>
      <c r="BT37" s="80">
        <f ca="1">SUM(Отчетность_по_периодам!BT98,Отчетность_по_периодам!BT107)</f>
        <v>105533035.42439212</v>
      </c>
      <c r="BU37" s="80">
        <f ca="1">SUM(Отчетность_по_периодам!BU98,Отчетность_по_периодам!BU107)</f>
        <v>91901145.452689767</v>
      </c>
      <c r="BV37" s="80">
        <f ca="1">SUM(Отчетность_по_периодам!BV98,Отчетность_по_периодам!BV107)</f>
        <v>106533504.60771182</v>
      </c>
      <c r="BW37" s="80">
        <f ca="1">SUM(Отчетность_по_периодам!BW98,Отчетность_по_периодам!BW107)</f>
        <v>99590786.157027274</v>
      </c>
      <c r="BX37" s="80">
        <f ca="1">SUM(Отчетность_по_периодам!BX98,Отчетность_по_периодам!BX107)</f>
        <v>77048942.935822695</v>
      </c>
      <c r="BY37" s="80">
        <f ca="1">SUM(Отчетность_по_периодам!BY98,Отчетность_по_периодам!BY107)</f>
        <v>123581005.25629458</v>
      </c>
      <c r="BZ37" s="80">
        <f ca="1">SUM(Отчетность_по_периодам!BZ98,Отчетность_по_периодам!BZ107)</f>
        <v>93640272.880785197</v>
      </c>
      <c r="CA37" s="80">
        <f ca="1">SUM(Отчетность_по_периодам!CA98,Отчетность_по_периодам!CA107)</f>
        <v>108571942.45745608</v>
      </c>
      <c r="CB37" s="80">
        <f ca="1">SUM(Отчетность_по_периодам!CB98,Отчетность_по_периодам!CB107)</f>
        <v>94549856.965218306</v>
      </c>
      <c r="CC37" s="80">
        <f ca="1">SUM(Отчетность_по_периодам!CC98,Отчетность_по_периодам!CC107)</f>
        <v>109280898.48095848</v>
      </c>
      <c r="CD37" s="80">
        <f ca="1">SUM(Отчетность_по_периодам!CD98,Отчетность_по_периодам!CD107)</f>
        <v>102484583.74536109</v>
      </c>
      <c r="CE37" s="80">
        <f ca="1">SUM(Отчетность_по_периодам!CE98,Отчетность_по_периодам!CE107)</f>
        <v>95612839.138984859</v>
      </c>
      <c r="CF37" s="80">
        <f ca="1">SUM(Отчетность_по_периодам!CF98,Отчетность_по_периодам!CF107)</f>
        <v>110703508.17204452</v>
      </c>
      <c r="CG37" s="80">
        <f ca="1">SUM(Отчетность_по_периодам!CG98,Отчетность_по_периодам!CG107)</f>
        <v>96391652.975654408</v>
      </c>
      <c r="CH37" s="80">
        <f ca="1">SUM(Отчетность_по_периодам!CH98,Отчетность_по_периодам!CH107)</f>
        <v>111756436.70748574</v>
      </c>
      <c r="CI37" s="80">
        <f ca="1">SUM(Отчетность_по_периодам!CI98,Отчетность_по_периодам!CI107)</f>
        <v>104491713.53280099</v>
      </c>
      <c r="CJ37" s="80">
        <f ca="1">SUM(Отчетность_по_периодам!CJ98,Отчетность_по_периодам!CJ107)</f>
        <v>80822767.102738827</v>
      </c>
      <c r="CK37" s="80">
        <f ca="1">SUM(Отчетность_по_периодам!CK98,Отчетность_по_периодам!CK107)</f>
        <v>129680876.3696266</v>
      </c>
    </row>
    <row r="38" spans="2:89" ht="15.75" thickBot="1">
      <c r="B38" s="45" t="s">
        <v>138</v>
      </c>
      <c r="C38" s="46"/>
      <c r="D38" s="47">
        <f>SUM(F38:CK38)</f>
        <v>-267718562.89499858</v>
      </c>
      <c r="E38" s="48"/>
      <c r="F38" s="49">
        <f>F122</f>
        <v>0</v>
      </c>
      <c r="G38" s="49">
        <f t="shared" ref="G38:AG38" si="0">G122</f>
        <v>-879041.09589041094</v>
      </c>
      <c r="H38" s="49">
        <f t="shared" si="0"/>
        <v>-850684.93150684924</v>
      </c>
      <c r="I38" s="49">
        <f t="shared" si="0"/>
        <v>-879041.09589041094</v>
      </c>
      <c r="J38" s="49">
        <f t="shared" si="0"/>
        <v>-2790000</v>
      </c>
      <c r="K38" s="49">
        <f t="shared" si="0"/>
        <v>-2699999.9999999995</v>
      </c>
      <c r="L38" s="49">
        <f t="shared" si="0"/>
        <v>-2790000</v>
      </c>
      <c r="M38" s="49">
        <f t="shared" si="0"/>
        <v>-4924109.5890410952</v>
      </c>
      <c r="N38" s="49">
        <f t="shared" si="0"/>
        <v>-5088246.5753424652</v>
      </c>
      <c r="O38" s="49">
        <f t="shared" si="0"/>
        <v>-5074344.2622950822</v>
      </c>
      <c r="P38" s="49">
        <f t="shared" si="0"/>
        <v>-6180327.8688524598</v>
      </c>
      <c r="Q38" s="49">
        <f t="shared" si="0"/>
        <v>-6606557.3770491797</v>
      </c>
      <c r="R38" s="49">
        <f t="shared" si="0"/>
        <v>-6393442.6229508193</v>
      </c>
      <c r="S38" s="49">
        <f t="shared" si="0"/>
        <v>-6553620.2185792346</v>
      </c>
      <c r="T38" s="49">
        <f t="shared" si="0"/>
        <v>-6290983.6065573767</v>
      </c>
      <c r="U38" s="49">
        <f t="shared" si="0"/>
        <v>-6447745.9016393442</v>
      </c>
      <c r="V38" s="49">
        <f t="shared" si="0"/>
        <v>-6394808.743169399</v>
      </c>
      <c r="W38" s="49">
        <f t="shared" si="0"/>
        <v>-6137295.0819672123</v>
      </c>
      <c r="X38" s="49">
        <f t="shared" si="0"/>
        <v>-6288934.4262295077</v>
      </c>
      <c r="Y38" s="49">
        <f t="shared" si="0"/>
        <v>-6034836.0655737706</v>
      </c>
      <c r="Z38" s="49">
        <f t="shared" si="0"/>
        <v>-6183060.1092896173</v>
      </c>
      <c r="AA38" s="49">
        <f t="shared" si="0"/>
        <v>-6146917.8082191776</v>
      </c>
      <c r="AB38" s="49">
        <f t="shared" si="0"/>
        <v>-5504109.5890410962</v>
      </c>
      <c r="AC38" s="49">
        <f t="shared" si="0"/>
        <v>-6040753.4246575339</v>
      </c>
      <c r="AD38" s="49">
        <f t="shared" si="0"/>
        <v>-5794520.5479452051</v>
      </c>
      <c r="AE38" s="49">
        <f t="shared" si="0"/>
        <v>-5867857.1428571427</v>
      </c>
      <c r="AF38" s="49">
        <f t="shared" si="0"/>
        <v>-5562622.3091976512</v>
      </c>
      <c r="AG38" s="49">
        <f t="shared" si="0"/>
        <v>-5628228.9628180042</v>
      </c>
      <c r="AH38" s="49">
        <f t="shared" ref="AH38:BM38" si="1">AH122</f>
        <v>-5508414.8727984354</v>
      </c>
      <c r="AI38" s="49">
        <f t="shared" si="1"/>
        <v>-5214774.9510763213</v>
      </c>
      <c r="AJ38" s="49">
        <f t="shared" si="1"/>
        <v>-5268786.6927592959</v>
      </c>
      <c r="AK38" s="49">
        <f t="shared" si="1"/>
        <v>-4982876.7123287674</v>
      </c>
      <c r="AL38" s="49">
        <f t="shared" si="1"/>
        <v>-5029158.5127201574</v>
      </c>
      <c r="AM38" s="49">
        <f t="shared" si="1"/>
        <v>-4909344.4227005877</v>
      </c>
      <c r="AN38" s="49">
        <f t="shared" si="1"/>
        <v>-4326027.3972602747</v>
      </c>
      <c r="AO38" s="49">
        <f t="shared" si="1"/>
        <v>-4669716.2426614482</v>
      </c>
      <c r="AP38" s="49">
        <f t="shared" si="1"/>
        <v>-4403131.1154598836</v>
      </c>
      <c r="AQ38" s="49">
        <f t="shared" si="1"/>
        <v>-4430088.0626223106</v>
      </c>
      <c r="AR38" s="49">
        <f t="shared" si="1"/>
        <v>-4171232.8767123297</v>
      </c>
      <c r="AS38" s="49">
        <f t="shared" si="1"/>
        <v>-4190459.8825831711</v>
      </c>
      <c r="AT38" s="49">
        <f t="shared" si="1"/>
        <v>-4070645.7925636023</v>
      </c>
      <c r="AU38" s="49">
        <f t="shared" si="1"/>
        <v>-3823385.5185909988</v>
      </c>
      <c r="AV38" s="49">
        <f t="shared" si="1"/>
        <v>-3831017.6125244633</v>
      </c>
      <c r="AW38" s="49">
        <f t="shared" si="1"/>
        <v>-3591487.2798434459</v>
      </c>
      <c r="AX38" s="49">
        <f t="shared" si="1"/>
        <v>-3591389.4324853243</v>
      </c>
      <c r="AY38" s="49">
        <f t="shared" si="1"/>
        <v>-3471575.3424657555</v>
      </c>
      <c r="AZ38" s="49">
        <f t="shared" si="1"/>
        <v>-3027397.2602739744</v>
      </c>
      <c r="BA38" s="49">
        <f t="shared" si="1"/>
        <v>-3231947.1624266161</v>
      </c>
      <c r="BB38" s="49">
        <f t="shared" si="1"/>
        <v>-3011741.6829745611</v>
      </c>
      <c r="BC38" s="49">
        <f t="shared" si="1"/>
        <v>-2992318.9823874775</v>
      </c>
      <c r="BD38" s="49">
        <f t="shared" si="1"/>
        <v>-2779843.4442270072</v>
      </c>
      <c r="BE38" s="49">
        <f t="shared" si="1"/>
        <v>-2752690.8023483381</v>
      </c>
      <c r="BF38" s="49">
        <f t="shared" si="1"/>
        <v>-2632876.7123287688</v>
      </c>
      <c r="BG38" s="49">
        <f t="shared" si="1"/>
        <v>-2431996.0861056764</v>
      </c>
      <c r="BH38" s="49">
        <f t="shared" si="1"/>
        <v>-2393248.5322896298</v>
      </c>
      <c r="BI38" s="49">
        <f t="shared" si="1"/>
        <v>-2200097.8473581225</v>
      </c>
      <c r="BJ38" s="49">
        <f t="shared" si="1"/>
        <v>-2153620.3522504903</v>
      </c>
      <c r="BK38" s="49">
        <f t="shared" si="1"/>
        <v>-2028249.4145199074</v>
      </c>
      <c r="BL38" s="49">
        <f t="shared" si="1"/>
        <v>-1785616.7056986743</v>
      </c>
      <c r="BM38" s="49">
        <f t="shared" si="1"/>
        <v>-1789275.9562841542</v>
      </c>
      <c r="BN38" s="49">
        <f t="shared" ref="BN38:CK38" si="2">BN122</f>
        <v>-1615925.0585480104</v>
      </c>
      <c r="BO38" s="49">
        <f t="shared" si="2"/>
        <v>-1550302.498048401</v>
      </c>
      <c r="BP38" s="49">
        <f t="shared" si="2"/>
        <v>-1384660.421545669</v>
      </c>
      <c r="BQ38" s="49">
        <f t="shared" si="2"/>
        <v>-1311329.0398126475</v>
      </c>
      <c r="BR38" s="49">
        <f t="shared" si="2"/>
        <v>-1191842.3106947711</v>
      </c>
      <c r="BS38" s="49">
        <f t="shared" si="2"/>
        <v>-1037763.4660421559</v>
      </c>
      <c r="BT38" s="49">
        <f t="shared" si="2"/>
        <v>-952868.85245901777</v>
      </c>
      <c r="BU38" s="49">
        <f t="shared" si="2"/>
        <v>-870901.63934426359</v>
      </c>
      <c r="BV38" s="49">
        <f t="shared" si="2"/>
        <v>-846994.53551912704</v>
      </c>
      <c r="BW38" s="49">
        <f t="shared" si="2"/>
        <v>-796232.87671233015</v>
      </c>
      <c r="BX38" s="49">
        <f t="shared" si="2"/>
        <v>-671232.87671233015</v>
      </c>
      <c r="BY38" s="49">
        <f t="shared" si="2"/>
        <v>-690068.49315068638</v>
      </c>
      <c r="BZ38" s="49">
        <f t="shared" si="2"/>
        <v>-616438.35616438475</v>
      </c>
      <c r="CA38" s="49">
        <f t="shared" si="2"/>
        <v>-583904.10958904249</v>
      </c>
      <c r="CB38" s="49">
        <f t="shared" si="2"/>
        <v>-513698.6301369876</v>
      </c>
      <c r="CC38" s="49">
        <f t="shared" si="2"/>
        <v>-477739.72602739866</v>
      </c>
      <c r="CD38" s="49">
        <f t="shared" si="2"/>
        <v>-424657.53424657678</v>
      </c>
      <c r="CE38" s="49">
        <f t="shared" si="2"/>
        <v>-359589.04109589173</v>
      </c>
      <c r="CF38" s="49">
        <f t="shared" si="2"/>
        <v>-318493.15068493289</v>
      </c>
      <c r="CG38" s="49">
        <f t="shared" si="2"/>
        <v>-256849.31506849447</v>
      </c>
      <c r="CH38" s="49">
        <f t="shared" si="2"/>
        <v>-212328.76712328906</v>
      </c>
      <c r="CI38" s="49">
        <f t="shared" si="2"/>
        <v>-159246.57534246711</v>
      </c>
      <c r="CJ38" s="49">
        <f t="shared" si="2"/>
        <v>-95890.410958905355</v>
      </c>
      <c r="CK38" s="49">
        <f t="shared" si="2"/>
        <v>-53082.191780823297</v>
      </c>
    </row>
    <row r="39" spans="2:89" ht="15.75" thickTop="1">
      <c r="B39" s="50" t="s">
        <v>96</v>
      </c>
      <c r="C39" s="51"/>
      <c r="D39" s="52">
        <f ca="1">SUM(D37:D38)</f>
        <v>3644984784.4412136</v>
      </c>
      <c r="E39" s="53"/>
      <c r="F39" s="54">
        <f ca="1">SUM(F37:F38)</f>
        <v>-65740000.000000007</v>
      </c>
      <c r="G39" s="54">
        <f t="shared" ref="G39:AG39" ca="1" si="3">SUM(G37:G38)</f>
        <v>-66619041.095890418</v>
      </c>
      <c r="H39" s="54">
        <f t="shared" ca="1" si="3"/>
        <v>-62120684.931506857</v>
      </c>
      <c r="I39" s="54">
        <f t="shared" ca="1" si="3"/>
        <v>-149109041.0958904</v>
      </c>
      <c r="J39" s="54">
        <f t="shared" ca="1" si="3"/>
        <v>-151020000</v>
      </c>
      <c r="K39" s="54">
        <f t="shared" ca="1" si="3"/>
        <v>-146600000</v>
      </c>
      <c r="L39" s="54">
        <f t="shared" ca="1" si="3"/>
        <v>-96990000</v>
      </c>
      <c r="M39" s="54">
        <f t="shared" ca="1" si="3"/>
        <v>-104824109.5890411</v>
      </c>
      <c r="N39" s="54">
        <f t="shared" ca="1" si="3"/>
        <v>-109488246.57534246</v>
      </c>
      <c r="O39" s="54">
        <f t="shared" ca="1" si="3"/>
        <v>-72634344.262295082</v>
      </c>
      <c r="P39" s="54">
        <f t="shared" ca="1" si="3"/>
        <v>-80810327.868852466</v>
      </c>
      <c r="Q39" s="54">
        <f t="shared" ca="1" si="3"/>
        <v>-93836620.052290335</v>
      </c>
      <c r="R39" s="54">
        <f t="shared" ca="1" si="3"/>
        <v>44979257.401060171</v>
      </c>
      <c r="S39" s="54">
        <f t="shared" ca="1" si="3"/>
        <v>19002632.750134803</v>
      </c>
      <c r="T39" s="54">
        <f t="shared" ca="1" si="3"/>
        <v>14051018.30149886</v>
      </c>
      <c r="U39" s="54">
        <f t="shared" ca="1" si="3"/>
        <v>14246950.861903673</v>
      </c>
      <c r="V39" s="54">
        <f t="shared" ca="1" si="3"/>
        <v>11727653.106332073</v>
      </c>
      <c r="W39" s="54">
        <f t="shared" ca="1" si="3"/>
        <v>9387563.9608971179</v>
      </c>
      <c r="X39" s="54">
        <f t="shared" ca="1" si="3"/>
        <v>14761740.910873815</v>
      </c>
      <c r="Y39" s="54">
        <f t="shared" ca="1" si="3"/>
        <v>9694140.6638971809</v>
      </c>
      <c r="Z39" s="54">
        <f t="shared" ca="1" si="3"/>
        <v>15084695.553546481</v>
      </c>
      <c r="AA39" s="54">
        <f t="shared" ca="1" si="3"/>
        <v>12526574.285117904</v>
      </c>
      <c r="AB39" s="54">
        <f t="shared" ca="1" si="3"/>
        <v>4427117.7704678224</v>
      </c>
      <c r="AC39" s="54">
        <f t="shared" ca="1" si="3"/>
        <v>21688868.526761971</v>
      </c>
      <c r="AD39" s="54">
        <f t="shared" ca="1" si="3"/>
        <v>9324141.4470595084</v>
      </c>
      <c r="AE39" s="54">
        <f t="shared" ca="1" si="3"/>
        <v>22335087.335750662</v>
      </c>
      <c r="AF39" s="54">
        <f t="shared" ca="1" si="3"/>
        <v>17567498.691184998</v>
      </c>
      <c r="AG39" s="54">
        <f t="shared" ca="1" si="3"/>
        <v>24536556.638303932</v>
      </c>
      <c r="AH39" s="54">
        <f t="shared" ref="AH39:BM39" ca="1" si="4">SUM(AH37:AH38)</f>
        <v>23082812.645262048</v>
      </c>
      <c r="AI39" s="54">
        <f t="shared" ca="1" si="4"/>
        <v>21798686.705558296</v>
      </c>
      <c r="AJ39" s="54">
        <f t="shared" ca="1" si="4"/>
        <v>30774138.03870675</v>
      </c>
      <c r="AK39" s="54">
        <f t="shared" ca="1" si="4"/>
        <v>26318887.617149122</v>
      </c>
      <c r="AL39" s="54">
        <f t="shared" ca="1" si="4"/>
        <v>37395356.44021266</v>
      </c>
      <c r="AM39" s="54">
        <f t="shared" ca="1" si="4"/>
        <v>35681446.375594676</v>
      </c>
      <c r="AN39" s="54">
        <f t="shared" ca="1" si="4"/>
        <v>26227856.175475601</v>
      </c>
      <c r="AO39" s="54">
        <f t="shared" ca="1" si="4"/>
        <v>60606449.682997905</v>
      </c>
      <c r="AP39" s="54">
        <f t="shared" ca="1" si="4"/>
        <v>48234175.558333471</v>
      </c>
      <c r="AQ39" s="54">
        <f t="shared" ca="1" si="4"/>
        <v>60737587.635688245</v>
      </c>
      <c r="AR39" s="54">
        <f t="shared" ca="1" si="4"/>
        <v>53362226.723915853</v>
      </c>
      <c r="AS39" s="54">
        <f t="shared" ca="1" si="4"/>
        <v>64099190.819403112</v>
      </c>
      <c r="AT39" s="54">
        <f t="shared" ca="1" si="4"/>
        <v>61963655.769154198</v>
      </c>
      <c r="AU39" s="54">
        <f t="shared" ca="1" si="4"/>
        <v>59798241.685721532</v>
      </c>
      <c r="AV39" s="54">
        <f t="shared" ca="1" si="4"/>
        <v>73473724.779396459</v>
      </c>
      <c r="AW39" s="54">
        <f t="shared" ca="1" si="4"/>
        <v>65813402.266630605</v>
      </c>
      <c r="AX39" s="54">
        <f t="shared" ca="1" si="4"/>
        <v>81289489.287931696</v>
      </c>
      <c r="AY39" s="54">
        <f t="shared" ca="1" si="4"/>
        <v>77465566.880925477</v>
      </c>
      <c r="AZ39" s="54">
        <f t="shared" ca="1" si="4"/>
        <v>61838541.925965711</v>
      </c>
      <c r="BA39" s="54">
        <f t="shared" ca="1" si="4"/>
        <v>106593558.33577903</v>
      </c>
      <c r="BB39" s="54">
        <f t="shared" ca="1" si="4"/>
        <v>83644096.876343325</v>
      </c>
      <c r="BC39" s="54">
        <f t="shared" ca="1" si="4"/>
        <v>97207522.670183271</v>
      </c>
      <c r="BD39" s="54">
        <f t="shared" ca="1" si="4"/>
        <v>84701714.609560668</v>
      </c>
      <c r="BE39" s="54">
        <f t="shared" ca="1" si="4"/>
        <v>96693551.237163067</v>
      </c>
      <c r="BF39" s="54">
        <f t="shared" ca="1" si="4"/>
        <v>90649182.018381506</v>
      </c>
      <c r="BG39" s="54">
        <f t="shared" ca="1" si="4"/>
        <v>84617441.693957612</v>
      </c>
      <c r="BH39" s="54">
        <f t="shared" ca="1" si="4"/>
        <v>98344070.82129994</v>
      </c>
      <c r="BI39" s="54">
        <f t="shared" ca="1" si="4"/>
        <v>85556115.477889389</v>
      </c>
      <c r="BJ39" s="54">
        <f t="shared" ca="1" si="4"/>
        <v>99539467.497323811</v>
      </c>
      <c r="BK39" s="54">
        <f t="shared" ca="1" si="4"/>
        <v>92939024.579061791</v>
      </c>
      <c r="BL39" s="54">
        <f t="shared" ca="1" si="4"/>
        <v>79525632.46381411</v>
      </c>
      <c r="BM39" s="54">
        <f t="shared" ca="1" si="4"/>
        <v>108213373.18306927</v>
      </c>
      <c r="BN39" s="54">
        <f t="shared" ref="BN39:CK39" ca="1" si="5">SUM(BN37:BN38)</f>
        <v>87694297.865640894</v>
      </c>
      <c r="BO39" s="54">
        <f t="shared" ca="1" si="5"/>
        <v>101980917.92947538</v>
      </c>
      <c r="BP39" s="54">
        <f t="shared" ca="1" si="5"/>
        <v>88789923.959401011</v>
      </c>
      <c r="BQ39" s="54">
        <f t="shared" ca="1" si="5"/>
        <v>102870072.38808712</v>
      </c>
      <c r="BR39" s="54">
        <f t="shared" ca="1" si="5"/>
        <v>96515297.226821974</v>
      </c>
      <c r="BS39" s="54">
        <f t="shared" ca="1" si="5"/>
        <v>90123452.579319164</v>
      </c>
      <c r="BT39" s="54">
        <f t="shared" ca="1" si="5"/>
        <v>104580166.57193311</v>
      </c>
      <c r="BU39" s="54">
        <f t="shared" ca="1" si="5"/>
        <v>91030243.813345507</v>
      </c>
      <c r="BV39" s="54">
        <f t="shared" ca="1" si="5"/>
        <v>105686510.0721927</v>
      </c>
      <c r="BW39" s="54">
        <f t="shared" ca="1" si="5"/>
        <v>98794553.280314937</v>
      </c>
      <c r="BX39" s="54">
        <f t="shared" ca="1" si="5"/>
        <v>76377710.059110358</v>
      </c>
      <c r="BY39" s="54">
        <f t="shared" ca="1" si="5"/>
        <v>122890936.7631439</v>
      </c>
      <c r="BZ39" s="54">
        <f t="shared" ca="1" si="5"/>
        <v>93023834.524620816</v>
      </c>
      <c r="CA39" s="54">
        <f t="shared" ca="1" si="5"/>
        <v>107988038.34786704</v>
      </c>
      <c r="CB39" s="54">
        <f t="shared" ca="1" si="5"/>
        <v>94036158.335081324</v>
      </c>
      <c r="CC39" s="54">
        <f t="shared" ca="1" si="5"/>
        <v>108803158.75493108</v>
      </c>
      <c r="CD39" s="54">
        <f t="shared" ca="1" si="5"/>
        <v>102059926.21111451</v>
      </c>
      <c r="CE39" s="54">
        <f t="shared" ca="1" si="5"/>
        <v>95253250.097888961</v>
      </c>
      <c r="CF39" s="54">
        <f t="shared" ca="1" si="5"/>
        <v>110385015.02135958</v>
      </c>
      <c r="CG39" s="54">
        <f t="shared" ca="1" si="5"/>
        <v>96134803.66058591</v>
      </c>
      <c r="CH39" s="54">
        <f t="shared" ca="1" si="5"/>
        <v>111544107.94036245</v>
      </c>
      <c r="CI39" s="54">
        <f t="shared" ca="1" si="5"/>
        <v>104332466.95745853</v>
      </c>
      <c r="CJ39" s="54">
        <f t="shared" ca="1" si="5"/>
        <v>80726876.691779926</v>
      </c>
      <c r="CK39" s="54">
        <f t="shared" ca="1" si="5"/>
        <v>129627794.17784578</v>
      </c>
    </row>
    <row r="40" spans="2:89" ht="15">
      <c r="B40" s="14"/>
      <c r="C40" s="14"/>
      <c r="D40" s="14"/>
      <c r="E40" s="14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</row>
    <row r="41" spans="2:89" ht="18" thickBot="1">
      <c r="B41" s="100" t="s">
        <v>538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</row>
    <row r="42" spans="2:89" ht="15.75" thickTop="1">
      <c r="B42" s="148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</row>
    <row r="43" spans="2:89" ht="15.75" thickBot="1">
      <c r="B43" s="96" t="str">
        <f>"Капитал, доступный к привлечению, в "&amp;Ед_измерения_денег</f>
        <v>Капитал, доступный к привлечению, в  руб.</v>
      </c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</row>
    <row r="44" spans="2:89" ht="15">
      <c r="B44" s="148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</row>
    <row r="45" spans="2:89" ht="15">
      <c r="B45" s="77" t="s">
        <v>97</v>
      </c>
      <c r="C45" s="78"/>
      <c r="D45" s="98">
        <f>АК_лимит</f>
        <v>10000</v>
      </c>
      <c r="E45" s="79"/>
      <c r="F45" s="80">
        <f>E47</f>
        <v>10000</v>
      </c>
      <c r="G45" s="80">
        <f t="shared" ref="G45:BM45" ca="1" si="6">F47</f>
        <v>0</v>
      </c>
      <c r="H45" s="80">
        <f t="shared" ca="1" si="6"/>
        <v>0</v>
      </c>
      <c r="I45" s="80">
        <f t="shared" ca="1" si="6"/>
        <v>0</v>
      </c>
      <c r="J45" s="80">
        <f t="shared" ca="1" si="6"/>
        <v>0</v>
      </c>
      <c r="K45" s="80">
        <f t="shared" ca="1" si="6"/>
        <v>0</v>
      </c>
      <c r="L45" s="80">
        <f t="shared" ca="1" si="6"/>
        <v>0</v>
      </c>
      <c r="M45" s="80">
        <f t="shared" ca="1" si="6"/>
        <v>0</v>
      </c>
      <c r="N45" s="80">
        <f t="shared" ca="1" si="6"/>
        <v>0</v>
      </c>
      <c r="O45" s="80">
        <f t="shared" ca="1" si="6"/>
        <v>0</v>
      </c>
      <c r="P45" s="80">
        <f t="shared" ca="1" si="6"/>
        <v>0</v>
      </c>
      <c r="Q45" s="80">
        <f t="shared" ca="1" si="6"/>
        <v>0</v>
      </c>
      <c r="R45" s="80">
        <f t="shared" ca="1" si="6"/>
        <v>0</v>
      </c>
      <c r="S45" s="80">
        <f t="shared" ca="1" si="6"/>
        <v>0</v>
      </c>
      <c r="T45" s="80">
        <f t="shared" ca="1" si="6"/>
        <v>0</v>
      </c>
      <c r="U45" s="80">
        <f t="shared" ca="1" si="6"/>
        <v>0</v>
      </c>
      <c r="V45" s="80">
        <f t="shared" ca="1" si="6"/>
        <v>0</v>
      </c>
      <c r="W45" s="80">
        <f t="shared" ca="1" si="6"/>
        <v>0</v>
      </c>
      <c r="X45" s="80">
        <f t="shared" ca="1" si="6"/>
        <v>0</v>
      </c>
      <c r="Y45" s="80">
        <f t="shared" ca="1" si="6"/>
        <v>0</v>
      </c>
      <c r="Z45" s="80">
        <f t="shared" ca="1" si="6"/>
        <v>0</v>
      </c>
      <c r="AA45" s="80">
        <f t="shared" ca="1" si="6"/>
        <v>0</v>
      </c>
      <c r="AB45" s="80">
        <f t="shared" ca="1" si="6"/>
        <v>0</v>
      </c>
      <c r="AC45" s="80">
        <f t="shared" ca="1" si="6"/>
        <v>0</v>
      </c>
      <c r="AD45" s="80">
        <f t="shared" ca="1" si="6"/>
        <v>0</v>
      </c>
      <c r="AE45" s="80">
        <f t="shared" ca="1" si="6"/>
        <v>0</v>
      </c>
      <c r="AF45" s="80">
        <f t="shared" ca="1" si="6"/>
        <v>0</v>
      </c>
      <c r="AG45" s="80">
        <f t="shared" ca="1" si="6"/>
        <v>0</v>
      </c>
      <c r="AH45" s="80">
        <f t="shared" ca="1" si="6"/>
        <v>0</v>
      </c>
      <c r="AI45" s="80">
        <f t="shared" ca="1" si="6"/>
        <v>0</v>
      </c>
      <c r="AJ45" s="80">
        <f t="shared" ca="1" si="6"/>
        <v>0</v>
      </c>
      <c r="AK45" s="80">
        <f t="shared" ca="1" si="6"/>
        <v>0</v>
      </c>
      <c r="AL45" s="80">
        <f t="shared" ca="1" si="6"/>
        <v>0</v>
      </c>
      <c r="AM45" s="80">
        <f t="shared" ca="1" si="6"/>
        <v>0</v>
      </c>
      <c r="AN45" s="80">
        <f t="shared" ca="1" si="6"/>
        <v>0</v>
      </c>
      <c r="AO45" s="80">
        <f t="shared" ca="1" si="6"/>
        <v>0</v>
      </c>
      <c r="AP45" s="80">
        <f t="shared" ca="1" si="6"/>
        <v>0</v>
      </c>
      <c r="AQ45" s="80">
        <f t="shared" ca="1" si="6"/>
        <v>0</v>
      </c>
      <c r="AR45" s="80">
        <f t="shared" ca="1" si="6"/>
        <v>0</v>
      </c>
      <c r="AS45" s="80">
        <f t="shared" ca="1" si="6"/>
        <v>0</v>
      </c>
      <c r="AT45" s="80">
        <f t="shared" ca="1" si="6"/>
        <v>0</v>
      </c>
      <c r="AU45" s="80">
        <f t="shared" ca="1" si="6"/>
        <v>0</v>
      </c>
      <c r="AV45" s="80">
        <f t="shared" ca="1" si="6"/>
        <v>0</v>
      </c>
      <c r="AW45" s="80">
        <f t="shared" ca="1" si="6"/>
        <v>0</v>
      </c>
      <c r="AX45" s="80">
        <f t="shared" ca="1" si="6"/>
        <v>0</v>
      </c>
      <c r="AY45" s="80">
        <f t="shared" ca="1" si="6"/>
        <v>0</v>
      </c>
      <c r="AZ45" s="80">
        <f t="shared" ca="1" si="6"/>
        <v>0</v>
      </c>
      <c r="BA45" s="80">
        <f t="shared" ca="1" si="6"/>
        <v>0</v>
      </c>
      <c r="BB45" s="80">
        <f t="shared" ca="1" si="6"/>
        <v>0</v>
      </c>
      <c r="BC45" s="80">
        <f t="shared" ca="1" si="6"/>
        <v>0</v>
      </c>
      <c r="BD45" s="80">
        <f t="shared" ca="1" si="6"/>
        <v>0</v>
      </c>
      <c r="BE45" s="80">
        <f t="shared" ca="1" si="6"/>
        <v>0</v>
      </c>
      <c r="BF45" s="80">
        <f t="shared" ca="1" si="6"/>
        <v>0</v>
      </c>
      <c r="BG45" s="80">
        <f t="shared" ca="1" si="6"/>
        <v>0</v>
      </c>
      <c r="BH45" s="80">
        <f t="shared" ca="1" si="6"/>
        <v>0</v>
      </c>
      <c r="BI45" s="80">
        <f t="shared" ca="1" si="6"/>
        <v>0</v>
      </c>
      <c r="BJ45" s="80">
        <f t="shared" ca="1" si="6"/>
        <v>0</v>
      </c>
      <c r="BK45" s="80">
        <f t="shared" ca="1" si="6"/>
        <v>0</v>
      </c>
      <c r="BL45" s="80">
        <f t="shared" ca="1" si="6"/>
        <v>0</v>
      </c>
      <c r="BM45" s="80">
        <f t="shared" ca="1" si="6"/>
        <v>0</v>
      </c>
      <c r="BN45" s="80">
        <f t="shared" ref="BN45" ca="1" si="7">BM47</f>
        <v>0</v>
      </c>
      <c r="BO45" s="80">
        <f t="shared" ref="BO45" ca="1" si="8">BN47</f>
        <v>0</v>
      </c>
      <c r="BP45" s="80">
        <f t="shared" ref="BP45" ca="1" si="9">BO47</f>
        <v>0</v>
      </c>
      <c r="BQ45" s="80">
        <f t="shared" ref="BQ45" ca="1" si="10">BP47</f>
        <v>0</v>
      </c>
      <c r="BR45" s="80">
        <f t="shared" ref="BR45" ca="1" si="11">BQ47</f>
        <v>0</v>
      </c>
      <c r="BS45" s="80">
        <f t="shared" ref="BS45" ca="1" si="12">BR47</f>
        <v>0</v>
      </c>
      <c r="BT45" s="80">
        <f t="shared" ref="BT45" ca="1" si="13">BS47</f>
        <v>0</v>
      </c>
      <c r="BU45" s="80">
        <f t="shared" ref="BU45" ca="1" si="14">BT47</f>
        <v>0</v>
      </c>
      <c r="BV45" s="80">
        <f t="shared" ref="BV45" ca="1" si="15">BU47</f>
        <v>0</v>
      </c>
      <c r="BW45" s="80">
        <f t="shared" ref="BW45" ca="1" si="16">BV47</f>
        <v>0</v>
      </c>
      <c r="BX45" s="80">
        <f t="shared" ref="BX45" ca="1" si="17">BW47</f>
        <v>0</v>
      </c>
      <c r="BY45" s="80">
        <f t="shared" ref="BY45" ca="1" si="18">BX47</f>
        <v>0</v>
      </c>
      <c r="BZ45" s="80">
        <f t="shared" ref="BZ45" ca="1" si="19">BY47</f>
        <v>0</v>
      </c>
      <c r="CA45" s="80">
        <f t="shared" ref="CA45" ca="1" si="20">BZ47</f>
        <v>0</v>
      </c>
      <c r="CB45" s="80">
        <f t="shared" ref="CB45" ca="1" si="21">CA47</f>
        <v>0</v>
      </c>
      <c r="CC45" s="80">
        <f t="shared" ref="CC45" ca="1" si="22">CB47</f>
        <v>0</v>
      </c>
      <c r="CD45" s="80">
        <f t="shared" ref="CD45" ca="1" si="23">CC47</f>
        <v>0</v>
      </c>
      <c r="CE45" s="80">
        <f t="shared" ref="CE45" ca="1" si="24">CD47</f>
        <v>0</v>
      </c>
      <c r="CF45" s="80">
        <f t="shared" ref="CF45" ca="1" si="25">CE47</f>
        <v>0</v>
      </c>
      <c r="CG45" s="80">
        <f t="shared" ref="CG45" ca="1" si="26">CF47</f>
        <v>0</v>
      </c>
      <c r="CH45" s="80">
        <f t="shared" ref="CH45" ca="1" si="27">CG47</f>
        <v>0</v>
      </c>
      <c r="CI45" s="80">
        <f t="shared" ref="CI45" ca="1" si="28">CH47</f>
        <v>0</v>
      </c>
      <c r="CJ45" s="80">
        <f t="shared" ref="CJ45" ca="1" si="29">CI47</f>
        <v>0</v>
      </c>
      <c r="CK45" s="80">
        <f t="shared" ref="CK45" ca="1" si="30">CJ47</f>
        <v>0</v>
      </c>
    </row>
    <row r="46" spans="2:89" ht="15.75" thickBot="1">
      <c r="B46" s="77" t="s">
        <v>544</v>
      </c>
      <c r="C46" s="78"/>
      <c r="D46" s="98">
        <f ca="1">SUM(F46:CK46)</f>
        <v>-10000</v>
      </c>
      <c r="E46" s="79"/>
      <c r="F46" s="80">
        <f t="shared" ref="F46:AK46" ca="1" si="31">-F52</f>
        <v>-10000</v>
      </c>
      <c r="G46" s="80">
        <f t="shared" ca="1" si="31"/>
        <v>0</v>
      </c>
      <c r="H46" s="80">
        <f t="shared" ca="1" si="31"/>
        <v>0</v>
      </c>
      <c r="I46" s="80">
        <f t="shared" ca="1" si="31"/>
        <v>0</v>
      </c>
      <c r="J46" s="80">
        <f t="shared" ca="1" si="31"/>
        <v>0</v>
      </c>
      <c r="K46" s="80">
        <f t="shared" ca="1" si="31"/>
        <v>0</v>
      </c>
      <c r="L46" s="80">
        <f t="shared" ca="1" si="31"/>
        <v>0</v>
      </c>
      <c r="M46" s="80">
        <f t="shared" ca="1" si="31"/>
        <v>0</v>
      </c>
      <c r="N46" s="80">
        <f t="shared" ca="1" si="31"/>
        <v>0</v>
      </c>
      <c r="O46" s="80">
        <f t="shared" ca="1" si="31"/>
        <v>0</v>
      </c>
      <c r="P46" s="80">
        <f t="shared" ca="1" si="31"/>
        <v>0</v>
      </c>
      <c r="Q46" s="80">
        <f t="shared" ca="1" si="31"/>
        <v>0</v>
      </c>
      <c r="R46" s="80">
        <f t="shared" ca="1" si="31"/>
        <v>0</v>
      </c>
      <c r="S46" s="80">
        <f t="shared" ca="1" si="31"/>
        <v>0</v>
      </c>
      <c r="T46" s="80">
        <f t="shared" ca="1" si="31"/>
        <v>0</v>
      </c>
      <c r="U46" s="80">
        <f t="shared" ca="1" si="31"/>
        <v>0</v>
      </c>
      <c r="V46" s="80">
        <f t="shared" ca="1" si="31"/>
        <v>0</v>
      </c>
      <c r="W46" s="80">
        <f t="shared" ca="1" si="31"/>
        <v>0</v>
      </c>
      <c r="X46" s="80">
        <f t="shared" ca="1" si="31"/>
        <v>0</v>
      </c>
      <c r="Y46" s="80">
        <f t="shared" ca="1" si="31"/>
        <v>0</v>
      </c>
      <c r="Z46" s="80">
        <f t="shared" ca="1" si="31"/>
        <v>0</v>
      </c>
      <c r="AA46" s="80">
        <f t="shared" ca="1" si="31"/>
        <v>0</v>
      </c>
      <c r="AB46" s="80">
        <f t="shared" ca="1" si="31"/>
        <v>0</v>
      </c>
      <c r="AC46" s="80">
        <f t="shared" ca="1" si="31"/>
        <v>0</v>
      </c>
      <c r="AD46" s="80">
        <f t="shared" ca="1" si="31"/>
        <v>0</v>
      </c>
      <c r="AE46" s="80">
        <f t="shared" ca="1" si="31"/>
        <v>0</v>
      </c>
      <c r="AF46" s="80">
        <f t="shared" ca="1" si="31"/>
        <v>0</v>
      </c>
      <c r="AG46" s="80">
        <f t="shared" ca="1" si="31"/>
        <v>0</v>
      </c>
      <c r="AH46" s="80">
        <f t="shared" ca="1" si="31"/>
        <v>0</v>
      </c>
      <c r="AI46" s="80">
        <f t="shared" ca="1" si="31"/>
        <v>0</v>
      </c>
      <c r="AJ46" s="80">
        <f t="shared" ca="1" si="31"/>
        <v>0</v>
      </c>
      <c r="AK46" s="80">
        <f t="shared" ca="1" si="31"/>
        <v>0</v>
      </c>
      <c r="AL46" s="80">
        <f t="shared" ref="AL46:BM46" ca="1" si="32">-AL52</f>
        <v>0</v>
      </c>
      <c r="AM46" s="80">
        <f t="shared" ca="1" si="32"/>
        <v>0</v>
      </c>
      <c r="AN46" s="80">
        <f t="shared" ca="1" si="32"/>
        <v>0</v>
      </c>
      <c r="AO46" s="80">
        <f t="shared" ca="1" si="32"/>
        <v>0</v>
      </c>
      <c r="AP46" s="80">
        <f t="shared" ca="1" si="32"/>
        <v>0</v>
      </c>
      <c r="AQ46" s="80">
        <f t="shared" ca="1" si="32"/>
        <v>0</v>
      </c>
      <c r="AR46" s="80">
        <f t="shared" ca="1" si="32"/>
        <v>0</v>
      </c>
      <c r="AS46" s="80">
        <f t="shared" ca="1" si="32"/>
        <v>0</v>
      </c>
      <c r="AT46" s="80">
        <f t="shared" ca="1" si="32"/>
        <v>0</v>
      </c>
      <c r="AU46" s="80">
        <f t="shared" ca="1" si="32"/>
        <v>0</v>
      </c>
      <c r="AV46" s="80">
        <f t="shared" ca="1" si="32"/>
        <v>0</v>
      </c>
      <c r="AW46" s="80">
        <f t="shared" ca="1" si="32"/>
        <v>0</v>
      </c>
      <c r="AX46" s="80">
        <f t="shared" ca="1" si="32"/>
        <v>0</v>
      </c>
      <c r="AY46" s="80">
        <f t="shared" ca="1" si="32"/>
        <v>0</v>
      </c>
      <c r="AZ46" s="80">
        <f t="shared" ca="1" si="32"/>
        <v>0</v>
      </c>
      <c r="BA46" s="80">
        <f t="shared" ca="1" si="32"/>
        <v>0</v>
      </c>
      <c r="BB46" s="80">
        <f t="shared" ca="1" si="32"/>
        <v>0</v>
      </c>
      <c r="BC46" s="80">
        <f t="shared" ca="1" si="32"/>
        <v>0</v>
      </c>
      <c r="BD46" s="80">
        <f t="shared" ca="1" si="32"/>
        <v>0</v>
      </c>
      <c r="BE46" s="80">
        <f t="shared" ca="1" si="32"/>
        <v>0</v>
      </c>
      <c r="BF46" s="80">
        <f t="shared" ca="1" si="32"/>
        <v>0</v>
      </c>
      <c r="BG46" s="80">
        <f t="shared" ca="1" si="32"/>
        <v>0</v>
      </c>
      <c r="BH46" s="80">
        <f t="shared" ca="1" si="32"/>
        <v>0</v>
      </c>
      <c r="BI46" s="80">
        <f t="shared" ca="1" si="32"/>
        <v>0</v>
      </c>
      <c r="BJ46" s="80">
        <f t="shared" ca="1" si="32"/>
        <v>0</v>
      </c>
      <c r="BK46" s="80">
        <f t="shared" ca="1" si="32"/>
        <v>0</v>
      </c>
      <c r="BL46" s="80">
        <f t="shared" ca="1" si="32"/>
        <v>0</v>
      </c>
      <c r="BM46" s="80">
        <f t="shared" ca="1" si="32"/>
        <v>0</v>
      </c>
      <c r="BN46" s="80">
        <f t="shared" ref="BN46:CK46" ca="1" si="33">-BN52</f>
        <v>0</v>
      </c>
      <c r="BO46" s="80">
        <f t="shared" ca="1" si="33"/>
        <v>0</v>
      </c>
      <c r="BP46" s="80">
        <f t="shared" ca="1" si="33"/>
        <v>0</v>
      </c>
      <c r="BQ46" s="80">
        <f t="shared" ca="1" si="33"/>
        <v>0</v>
      </c>
      <c r="BR46" s="80">
        <f t="shared" ca="1" si="33"/>
        <v>0</v>
      </c>
      <c r="BS46" s="80">
        <f t="shared" ca="1" si="33"/>
        <v>0</v>
      </c>
      <c r="BT46" s="80">
        <f t="shared" ca="1" si="33"/>
        <v>0</v>
      </c>
      <c r="BU46" s="80">
        <f t="shared" ca="1" si="33"/>
        <v>0</v>
      </c>
      <c r="BV46" s="80">
        <f t="shared" ca="1" si="33"/>
        <v>0</v>
      </c>
      <c r="BW46" s="80">
        <f t="shared" ca="1" si="33"/>
        <v>0</v>
      </c>
      <c r="BX46" s="80">
        <f t="shared" ca="1" si="33"/>
        <v>0</v>
      </c>
      <c r="BY46" s="80">
        <f t="shared" ca="1" si="33"/>
        <v>0</v>
      </c>
      <c r="BZ46" s="80">
        <f t="shared" ca="1" si="33"/>
        <v>0</v>
      </c>
      <c r="CA46" s="80">
        <f t="shared" ca="1" si="33"/>
        <v>0</v>
      </c>
      <c r="CB46" s="80">
        <f t="shared" ca="1" si="33"/>
        <v>0</v>
      </c>
      <c r="CC46" s="80">
        <f t="shared" ca="1" si="33"/>
        <v>0</v>
      </c>
      <c r="CD46" s="80">
        <f t="shared" ca="1" si="33"/>
        <v>0</v>
      </c>
      <c r="CE46" s="80">
        <f t="shared" ca="1" si="33"/>
        <v>0</v>
      </c>
      <c r="CF46" s="80">
        <f t="shared" ca="1" si="33"/>
        <v>0</v>
      </c>
      <c r="CG46" s="80">
        <f t="shared" ca="1" si="33"/>
        <v>0</v>
      </c>
      <c r="CH46" s="80">
        <f t="shared" ca="1" si="33"/>
        <v>0</v>
      </c>
      <c r="CI46" s="80">
        <f t="shared" ca="1" si="33"/>
        <v>0</v>
      </c>
      <c r="CJ46" s="80">
        <f t="shared" ca="1" si="33"/>
        <v>0</v>
      </c>
      <c r="CK46" s="80">
        <f t="shared" ca="1" si="33"/>
        <v>0</v>
      </c>
    </row>
    <row r="47" spans="2:89" ht="15.75" thickTop="1">
      <c r="B47" s="50" t="s">
        <v>99</v>
      </c>
      <c r="C47" s="51"/>
      <c r="D47" s="52">
        <f ca="1">SUM(D45:D46)</f>
        <v>0</v>
      </c>
      <c r="E47" s="53">
        <f>D45</f>
        <v>10000</v>
      </c>
      <c r="F47" s="54">
        <f ca="1">SUM(F45:F46)</f>
        <v>0</v>
      </c>
      <c r="G47" s="54">
        <f t="shared" ref="G47:BM47" ca="1" si="34">SUM(G45:G46)</f>
        <v>0</v>
      </c>
      <c r="H47" s="54">
        <f t="shared" ca="1" si="34"/>
        <v>0</v>
      </c>
      <c r="I47" s="54">
        <f t="shared" ca="1" si="34"/>
        <v>0</v>
      </c>
      <c r="J47" s="54">
        <f t="shared" ca="1" si="34"/>
        <v>0</v>
      </c>
      <c r="K47" s="54">
        <f t="shared" ca="1" si="34"/>
        <v>0</v>
      </c>
      <c r="L47" s="54">
        <f t="shared" ca="1" si="34"/>
        <v>0</v>
      </c>
      <c r="M47" s="54">
        <f t="shared" ca="1" si="34"/>
        <v>0</v>
      </c>
      <c r="N47" s="54">
        <f t="shared" ca="1" si="34"/>
        <v>0</v>
      </c>
      <c r="O47" s="54">
        <f t="shared" ca="1" si="34"/>
        <v>0</v>
      </c>
      <c r="P47" s="54">
        <f t="shared" ca="1" si="34"/>
        <v>0</v>
      </c>
      <c r="Q47" s="54">
        <f t="shared" ca="1" si="34"/>
        <v>0</v>
      </c>
      <c r="R47" s="54">
        <f t="shared" ca="1" si="34"/>
        <v>0</v>
      </c>
      <c r="S47" s="54">
        <f t="shared" ca="1" si="34"/>
        <v>0</v>
      </c>
      <c r="T47" s="54">
        <f t="shared" ca="1" si="34"/>
        <v>0</v>
      </c>
      <c r="U47" s="54">
        <f t="shared" ca="1" si="34"/>
        <v>0</v>
      </c>
      <c r="V47" s="54">
        <f t="shared" ca="1" si="34"/>
        <v>0</v>
      </c>
      <c r="W47" s="54">
        <f t="shared" ca="1" si="34"/>
        <v>0</v>
      </c>
      <c r="X47" s="54">
        <f t="shared" ca="1" si="34"/>
        <v>0</v>
      </c>
      <c r="Y47" s="54">
        <f t="shared" ca="1" si="34"/>
        <v>0</v>
      </c>
      <c r="Z47" s="54">
        <f t="shared" ca="1" si="34"/>
        <v>0</v>
      </c>
      <c r="AA47" s="54">
        <f t="shared" ca="1" si="34"/>
        <v>0</v>
      </c>
      <c r="AB47" s="54">
        <f t="shared" ca="1" si="34"/>
        <v>0</v>
      </c>
      <c r="AC47" s="54">
        <f t="shared" ca="1" si="34"/>
        <v>0</v>
      </c>
      <c r="AD47" s="54">
        <f t="shared" ca="1" si="34"/>
        <v>0</v>
      </c>
      <c r="AE47" s="54">
        <f t="shared" ca="1" si="34"/>
        <v>0</v>
      </c>
      <c r="AF47" s="54">
        <f t="shared" ca="1" si="34"/>
        <v>0</v>
      </c>
      <c r="AG47" s="54">
        <f t="shared" ca="1" si="34"/>
        <v>0</v>
      </c>
      <c r="AH47" s="54">
        <f t="shared" ca="1" si="34"/>
        <v>0</v>
      </c>
      <c r="AI47" s="54">
        <f t="shared" ca="1" si="34"/>
        <v>0</v>
      </c>
      <c r="AJ47" s="54">
        <f t="shared" ca="1" si="34"/>
        <v>0</v>
      </c>
      <c r="AK47" s="54">
        <f t="shared" ca="1" si="34"/>
        <v>0</v>
      </c>
      <c r="AL47" s="54">
        <f t="shared" ca="1" si="34"/>
        <v>0</v>
      </c>
      <c r="AM47" s="54">
        <f t="shared" ca="1" si="34"/>
        <v>0</v>
      </c>
      <c r="AN47" s="54">
        <f t="shared" ca="1" si="34"/>
        <v>0</v>
      </c>
      <c r="AO47" s="54">
        <f t="shared" ca="1" si="34"/>
        <v>0</v>
      </c>
      <c r="AP47" s="54">
        <f t="shared" ca="1" si="34"/>
        <v>0</v>
      </c>
      <c r="AQ47" s="54">
        <f t="shared" ca="1" si="34"/>
        <v>0</v>
      </c>
      <c r="AR47" s="54">
        <f t="shared" ca="1" si="34"/>
        <v>0</v>
      </c>
      <c r="AS47" s="54">
        <f t="shared" ca="1" si="34"/>
        <v>0</v>
      </c>
      <c r="AT47" s="54">
        <f t="shared" ca="1" si="34"/>
        <v>0</v>
      </c>
      <c r="AU47" s="54">
        <f t="shared" ca="1" si="34"/>
        <v>0</v>
      </c>
      <c r="AV47" s="54">
        <f t="shared" ca="1" si="34"/>
        <v>0</v>
      </c>
      <c r="AW47" s="54">
        <f t="shared" ca="1" si="34"/>
        <v>0</v>
      </c>
      <c r="AX47" s="54">
        <f t="shared" ca="1" si="34"/>
        <v>0</v>
      </c>
      <c r="AY47" s="54">
        <f t="shared" ca="1" si="34"/>
        <v>0</v>
      </c>
      <c r="AZ47" s="54">
        <f t="shared" ca="1" si="34"/>
        <v>0</v>
      </c>
      <c r="BA47" s="54">
        <f t="shared" ca="1" si="34"/>
        <v>0</v>
      </c>
      <c r="BB47" s="54">
        <f t="shared" ca="1" si="34"/>
        <v>0</v>
      </c>
      <c r="BC47" s="54">
        <f t="shared" ca="1" si="34"/>
        <v>0</v>
      </c>
      <c r="BD47" s="54">
        <f t="shared" ca="1" si="34"/>
        <v>0</v>
      </c>
      <c r="BE47" s="54">
        <f t="shared" ca="1" si="34"/>
        <v>0</v>
      </c>
      <c r="BF47" s="54">
        <f t="shared" ca="1" si="34"/>
        <v>0</v>
      </c>
      <c r="BG47" s="54">
        <f t="shared" ca="1" si="34"/>
        <v>0</v>
      </c>
      <c r="BH47" s="54">
        <f t="shared" ca="1" si="34"/>
        <v>0</v>
      </c>
      <c r="BI47" s="54">
        <f t="shared" ca="1" si="34"/>
        <v>0</v>
      </c>
      <c r="BJ47" s="54">
        <f t="shared" ca="1" si="34"/>
        <v>0</v>
      </c>
      <c r="BK47" s="54">
        <f t="shared" ca="1" si="34"/>
        <v>0</v>
      </c>
      <c r="BL47" s="54">
        <f t="shared" ca="1" si="34"/>
        <v>0</v>
      </c>
      <c r="BM47" s="54">
        <f t="shared" ca="1" si="34"/>
        <v>0</v>
      </c>
      <c r="BN47" s="54">
        <f t="shared" ref="BN47:CK47" ca="1" si="35">SUM(BN45:BN46)</f>
        <v>0</v>
      </c>
      <c r="BO47" s="54">
        <f t="shared" ca="1" si="35"/>
        <v>0</v>
      </c>
      <c r="BP47" s="54">
        <f t="shared" ca="1" si="35"/>
        <v>0</v>
      </c>
      <c r="BQ47" s="54">
        <f t="shared" ca="1" si="35"/>
        <v>0</v>
      </c>
      <c r="BR47" s="54">
        <f t="shared" ca="1" si="35"/>
        <v>0</v>
      </c>
      <c r="BS47" s="54">
        <f t="shared" ca="1" si="35"/>
        <v>0</v>
      </c>
      <c r="BT47" s="54">
        <f t="shared" ca="1" si="35"/>
        <v>0</v>
      </c>
      <c r="BU47" s="54">
        <f t="shared" ca="1" si="35"/>
        <v>0</v>
      </c>
      <c r="BV47" s="54">
        <f t="shared" ca="1" si="35"/>
        <v>0</v>
      </c>
      <c r="BW47" s="54">
        <f t="shared" ca="1" si="35"/>
        <v>0</v>
      </c>
      <c r="BX47" s="54">
        <f t="shared" ca="1" si="35"/>
        <v>0</v>
      </c>
      <c r="BY47" s="54">
        <f t="shared" ca="1" si="35"/>
        <v>0</v>
      </c>
      <c r="BZ47" s="54">
        <f t="shared" ca="1" si="35"/>
        <v>0</v>
      </c>
      <c r="CA47" s="54">
        <f t="shared" ca="1" si="35"/>
        <v>0</v>
      </c>
      <c r="CB47" s="54">
        <f t="shared" ca="1" si="35"/>
        <v>0</v>
      </c>
      <c r="CC47" s="54">
        <f t="shared" ca="1" si="35"/>
        <v>0</v>
      </c>
      <c r="CD47" s="54">
        <f t="shared" ca="1" si="35"/>
        <v>0</v>
      </c>
      <c r="CE47" s="54">
        <f t="shared" ca="1" si="35"/>
        <v>0</v>
      </c>
      <c r="CF47" s="54">
        <f t="shared" ca="1" si="35"/>
        <v>0</v>
      </c>
      <c r="CG47" s="54">
        <f t="shared" ca="1" si="35"/>
        <v>0</v>
      </c>
      <c r="CH47" s="54">
        <f t="shared" ca="1" si="35"/>
        <v>0</v>
      </c>
      <c r="CI47" s="54">
        <f t="shared" ca="1" si="35"/>
        <v>0</v>
      </c>
      <c r="CJ47" s="54">
        <f t="shared" ca="1" si="35"/>
        <v>0</v>
      </c>
      <c r="CK47" s="54">
        <f t="shared" ca="1" si="35"/>
        <v>0</v>
      </c>
    </row>
    <row r="48" spans="2:89" ht="1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</row>
    <row r="49" spans="2:89" ht="15.75" thickBot="1">
      <c r="B49" s="96" t="str">
        <f>"Оплата уставного капитала, в "&amp;Ед_измерения_денег</f>
        <v>Оплата уставного капитала, в  руб.</v>
      </c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</row>
    <row r="50" spans="2:89" ht="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</row>
    <row r="51" spans="2:89" ht="15">
      <c r="B51" s="77" t="s">
        <v>97</v>
      </c>
      <c r="C51" s="78"/>
      <c r="D51" s="98">
        <v>0</v>
      </c>
      <c r="E51" s="79"/>
      <c r="F51" s="80">
        <f>E53</f>
        <v>0</v>
      </c>
      <c r="G51" s="80">
        <f t="shared" ref="G51:AG51" ca="1" si="36">F53</f>
        <v>10000</v>
      </c>
      <c r="H51" s="80">
        <f t="shared" ca="1" si="36"/>
        <v>10000</v>
      </c>
      <c r="I51" s="80">
        <f t="shared" ca="1" si="36"/>
        <v>10000</v>
      </c>
      <c r="J51" s="80">
        <f t="shared" ca="1" si="36"/>
        <v>10000</v>
      </c>
      <c r="K51" s="80">
        <f t="shared" ca="1" si="36"/>
        <v>10000</v>
      </c>
      <c r="L51" s="80">
        <f t="shared" ca="1" si="36"/>
        <v>10000</v>
      </c>
      <c r="M51" s="80">
        <f t="shared" ca="1" si="36"/>
        <v>10000</v>
      </c>
      <c r="N51" s="80">
        <f t="shared" ca="1" si="36"/>
        <v>10000</v>
      </c>
      <c r="O51" s="80">
        <f t="shared" ca="1" si="36"/>
        <v>10000</v>
      </c>
      <c r="P51" s="80">
        <f t="shared" ca="1" si="36"/>
        <v>10000</v>
      </c>
      <c r="Q51" s="80">
        <f t="shared" ca="1" si="36"/>
        <v>10000</v>
      </c>
      <c r="R51" s="80">
        <f t="shared" ca="1" si="36"/>
        <v>10000</v>
      </c>
      <c r="S51" s="80">
        <f t="shared" ca="1" si="36"/>
        <v>10000</v>
      </c>
      <c r="T51" s="80">
        <f t="shared" ca="1" si="36"/>
        <v>10000</v>
      </c>
      <c r="U51" s="80">
        <f t="shared" ca="1" si="36"/>
        <v>10000</v>
      </c>
      <c r="V51" s="80">
        <f t="shared" ca="1" si="36"/>
        <v>10000</v>
      </c>
      <c r="W51" s="80">
        <f t="shared" ca="1" si="36"/>
        <v>10000</v>
      </c>
      <c r="X51" s="80">
        <f t="shared" ca="1" si="36"/>
        <v>10000</v>
      </c>
      <c r="Y51" s="80">
        <f t="shared" ca="1" si="36"/>
        <v>10000</v>
      </c>
      <c r="Z51" s="80">
        <f t="shared" ca="1" si="36"/>
        <v>10000</v>
      </c>
      <c r="AA51" s="80">
        <f t="shared" ca="1" si="36"/>
        <v>10000</v>
      </c>
      <c r="AB51" s="80">
        <f t="shared" ca="1" si="36"/>
        <v>10000</v>
      </c>
      <c r="AC51" s="80">
        <f t="shared" ca="1" si="36"/>
        <v>10000</v>
      </c>
      <c r="AD51" s="80">
        <f t="shared" ca="1" si="36"/>
        <v>10000</v>
      </c>
      <c r="AE51" s="80">
        <f t="shared" ca="1" si="36"/>
        <v>10000</v>
      </c>
      <c r="AF51" s="80">
        <f t="shared" ca="1" si="36"/>
        <v>10000</v>
      </c>
      <c r="AG51" s="80">
        <f t="shared" ca="1" si="36"/>
        <v>10000</v>
      </c>
      <c r="AH51" s="80">
        <f t="shared" ref="AH51:BM51" ca="1" si="37">AG53</f>
        <v>10000</v>
      </c>
      <c r="AI51" s="80">
        <f t="shared" ca="1" si="37"/>
        <v>10000</v>
      </c>
      <c r="AJ51" s="80">
        <f t="shared" ca="1" si="37"/>
        <v>10000</v>
      </c>
      <c r="AK51" s="80">
        <f t="shared" ca="1" si="37"/>
        <v>10000</v>
      </c>
      <c r="AL51" s="80">
        <f t="shared" ca="1" si="37"/>
        <v>10000</v>
      </c>
      <c r="AM51" s="80">
        <f t="shared" ca="1" si="37"/>
        <v>10000</v>
      </c>
      <c r="AN51" s="80">
        <f t="shared" ca="1" si="37"/>
        <v>10000</v>
      </c>
      <c r="AO51" s="80">
        <f t="shared" ca="1" si="37"/>
        <v>10000</v>
      </c>
      <c r="AP51" s="80">
        <f t="shared" ca="1" si="37"/>
        <v>10000</v>
      </c>
      <c r="AQ51" s="80">
        <f t="shared" ca="1" si="37"/>
        <v>10000</v>
      </c>
      <c r="AR51" s="80">
        <f t="shared" ca="1" si="37"/>
        <v>10000</v>
      </c>
      <c r="AS51" s="80">
        <f t="shared" ca="1" si="37"/>
        <v>10000</v>
      </c>
      <c r="AT51" s="80">
        <f t="shared" ca="1" si="37"/>
        <v>10000</v>
      </c>
      <c r="AU51" s="80">
        <f t="shared" ca="1" si="37"/>
        <v>10000</v>
      </c>
      <c r="AV51" s="80">
        <f t="shared" ca="1" si="37"/>
        <v>10000</v>
      </c>
      <c r="AW51" s="80">
        <f t="shared" ca="1" si="37"/>
        <v>10000</v>
      </c>
      <c r="AX51" s="80">
        <f t="shared" ca="1" si="37"/>
        <v>10000</v>
      </c>
      <c r="AY51" s="80">
        <f t="shared" ca="1" si="37"/>
        <v>10000</v>
      </c>
      <c r="AZ51" s="80">
        <f t="shared" ca="1" si="37"/>
        <v>10000</v>
      </c>
      <c r="BA51" s="80">
        <f t="shared" ca="1" si="37"/>
        <v>10000</v>
      </c>
      <c r="BB51" s="80">
        <f t="shared" ca="1" si="37"/>
        <v>10000</v>
      </c>
      <c r="BC51" s="80">
        <f t="shared" ca="1" si="37"/>
        <v>10000</v>
      </c>
      <c r="BD51" s="80">
        <f t="shared" ca="1" si="37"/>
        <v>10000</v>
      </c>
      <c r="BE51" s="80">
        <f t="shared" ca="1" si="37"/>
        <v>10000</v>
      </c>
      <c r="BF51" s="80">
        <f t="shared" ca="1" si="37"/>
        <v>10000</v>
      </c>
      <c r="BG51" s="80">
        <f t="shared" ca="1" si="37"/>
        <v>10000</v>
      </c>
      <c r="BH51" s="80">
        <f t="shared" ca="1" si="37"/>
        <v>10000</v>
      </c>
      <c r="BI51" s="80">
        <f t="shared" ca="1" si="37"/>
        <v>10000</v>
      </c>
      <c r="BJ51" s="80">
        <f t="shared" ca="1" si="37"/>
        <v>10000</v>
      </c>
      <c r="BK51" s="80">
        <f t="shared" ca="1" si="37"/>
        <v>10000</v>
      </c>
      <c r="BL51" s="80">
        <f t="shared" ca="1" si="37"/>
        <v>10000</v>
      </c>
      <c r="BM51" s="80">
        <f t="shared" ca="1" si="37"/>
        <v>10000</v>
      </c>
      <c r="BN51" s="80">
        <f t="shared" ref="BN51" ca="1" si="38">BM53</f>
        <v>10000</v>
      </c>
      <c r="BO51" s="80">
        <f t="shared" ref="BO51" ca="1" si="39">BN53</f>
        <v>10000</v>
      </c>
      <c r="BP51" s="80">
        <f t="shared" ref="BP51" ca="1" si="40">BO53</f>
        <v>10000</v>
      </c>
      <c r="BQ51" s="80">
        <f t="shared" ref="BQ51" ca="1" si="41">BP53</f>
        <v>10000</v>
      </c>
      <c r="BR51" s="80">
        <f t="shared" ref="BR51" ca="1" si="42">BQ53</f>
        <v>10000</v>
      </c>
      <c r="BS51" s="80">
        <f t="shared" ref="BS51" ca="1" si="43">BR53</f>
        <v>10000</v>
      </c>
      <c r="BT51" s="80">
        <f t="shared" ref="BT51" ca="1" si="44">BS53</f>
        <v>10000</v>
      </c>
      <c r="BU51" s="80">
        <f t="shared" ref="BU51" ca="1" si="45">BT53</f>
        <v>10000</v>
      </c>
      <c r="BV51" s="80">
        <f t="shared" ref="BV51" ca="1" si="46">BU53</f>
        <v>10000</v>
      </c>
      <c r="BW51" s="80">
        <f t="shared" ref="BW51" ca="1" si="47">BV53</f>
        <v>10000</v>
      </c>
      <c r="BX51" s="80">
        <f t="shared" ref="BX51" ca="1" si="48">BW53</f>
        <v>10000</v>
      </c>
      <c r="BY51" s="80">
        <f t="shared" ref="BY51" ca="1" si="49">BX53</f>
        <v>10000</v>
      </c>
      <c r="BZ51" s="80">
        <f t="shared" ref="BZ51" ca="1" si="50">BY53</f>
        <v>10000</v>
      </c>
      <c r="CA51" s="80">
        <f t="shared" ref="CA51" ca="1" si="51">BZ53</f>
        <v>10000</v>
      </c>
      <c r="CB51" s="80">
        <f t="shared" ref="CB51" ca="1" si="52">CA53</f>
        <v>10000</v>
      </c>
      <c r="CC51" s="80">
        <f t="shared" ref="CC51" ca="1" si="53">CB53</f>
        <v>10000</v>
      </c>
      <c r="CD51" s="80">
        <f t="shared" ref="CD51" ca="1" si="54">CC53</f>
        <v>10000</v>
      </c>
      <c r="CE51" s="80">
        <f t="shared" ref="CE51" ca="1" si="55">CD53</f>
        <v>10000</v>
      </c>
      <c r="CF51" s="80">
        <f t="shared" ref="CF51" ca="1" si="56">CE53</f>
        <v>10000</v>
      </c>
      <c r="CG51" s="80">
        <f t="shared" ref="CG51" ca="1" si="57">CF53</f>
        <v>10000</v>
      </c>
      <c r="CH51" s="80">
        <f t="shared" ref="CH51" ca="1" si="58">CG53</f>
        <v>10000</v>
      </c>
      <c r="CI51" s="80">
        <f t="shared" ref="CI51" ca="1" si="59">CH53</f>
        <v>10000</v>
      </c>
      <c r="CJ51" s="80">
        <f t="shared" ref="CJ51" ca="1" si="60">CI53</f>
        <v>10000</v>
      </c>
      <c r="CK51" s="80">
        <f t="shared" ref="CK51" ca="1" si="61">CJ53</f>
        <v>10000</v>
      </c>
    </row>
    <row r="52" spans="2:89" ht="15.75" thickBot="1">
      <c r="B52" s="45" t="s">
        <v>98</v>
      </c>
      <c r="C52" s="46"/>
      <c r="D52" s="47">
        <f ca="1">SUM(F52:CK52)</f>
        <v>10000</v>
      </c>
      <c r="E52" s="48"/>
      <c r="F52" s="49">
        <f t="shared" ref="F52:AK52" ca="1" si="62">IF(F39&lt;0,MIN(-F39,E47),0)</f>
        <v>10000</v>
      </c>
      <c r="G52" s="49">
        <f t="shared" ca="1" si="62"/>
        <v>0</v>
      </c>
      <c r="H52" s="49">
        <f t="shared" ca="1" si="62"/>
        <v>0</v>
      </c>
      <c r="I52" s="49">
        <f t="shared" ca="1" si="62"/>
        <v>0</v>
      </c>
      <c r="J52" s="49">
        <f t="shared" ca="1" si="62"/>
        <v>0</v>
      </c>
      <c r="K52" s="49">
        <f t="shared" ca="1" si="62"/>
        <v>0</v>
      </c>
      <c r="L52" s="49">
        <f t="shared" ca="1" si="62"/>
        <v>0</v>
      </c>
      <c r="M52" s="49">
        <f t="shared" ca="1" si="62"/>
        <v>0</v>
      </c>
      <c r="N52" s="49">
        <f t="shared" ca="1" si="62"/>
        <v>0</v>
      </c>
      <c r="O52" s="49">
        <f t="shared" ca="1" si="62"/>
        <v>0</v>
      </c>
      <c r="P52" s="49">
        <f t="shared" ca="1" si="62"/>
        <v>0</v>
      </c>
      <c r="Q52" s="49">
        <f t="shared" ca="1" si="62"/>
        <v>0</v>
      </c>
      <c r="R52" s="49">
        <f t="shared" ca="1" si="62"/>
        <v>0</v>
      </c>
      <c r="S52" s="49">
        <f t="shared" ca="1" si="62"/>
        <v>0</v>
      </c>
      <c r="T52" s="49">
        <f t="shared" ca="1" si="62"/>
        <v>0</v>
      </c>
      <c r="U52" s="49">
        <f t="shared" ca="1" si="62"/>
        <v>0</v>
      </c>
      <c r="V52" s="49">
        <f t="shared" ca="1" si="62"/>
        <v>0</v>
      </c>
      <c r="W52" s="49">
        <f t="shared" ca="1" si="62"/>
        <v>0</v>
      </c>
      <c r="X52" s="49">
        <f t="shared" ca="1" si="62"/>
        <v>0</v>
      </c>
      <c r="Y52" s="49">
        <f t="shared" ca="1" si="62"/>
        <v>0</v>
      </c>
      <c r="Z52" s="49">
        <f t="shared" ca="1" si="62"/>
        <v>0</v>
      </c>
      <c r="AA52" s="49">
        <f t="shared" ca="1" si="62"/>
        <v>0</v>
      </c>
      <c r="AB52" s="49">
        <f t="shared" ca="1" si="62"/>
        <v>0</v>
      </c>
      <c r="AC52" s="49">
        <f t="shared" ca="1" si="62"/>
        <v>0</v>
      </c>
      <c r="AD52" s="49">
        <f t="shared" ca="1" si="62"/>
        <v>0</v>
      </c>
      <c r="AE52" s="49">
        <f t="shared" ca="1" si="62"/>
        <v>0</v>
      </c>
      <c r="AF52" s="49">
        <f t="shared" ca="1" si="62"/>
        <v>0</v>
      </c>
      <c r="AG52" s="49">
        <f t="shared" ca="1" si="62"/>
        <v>0</v>
      </c>
      <c r="AH52" s="49">
        <f t="shared" ca="1" si="62"/>
        <v>0</v>
      </c>
      <c r="AI52" s="49">
        <f t="shared" ca="1" si="62"/>
        <v>0</v>
      </c>
      <c r="AJ52" s="49">
        <f t="shared" ca="1" si="62"/>
        <v>0</v>
      </c>
      <c r="AK52" s="49">
        <f t="shared" ca="1" si="62"/>
        <v>0</v>
      </c>
      <c r="AL52" s="49">
        <f t="shared" ref="AL52:BM52" ca="1" si="63">IF(AL39&lt;0,MIN(-AL39,AK47),0)</f>
        <v>0</v>
      </c>
      <c r="AM52" s="49">
        <f t="shared" ca="1" si="63"/>
        <v>0</v>
      </c>
      <c r="AN52" s="49">
        <f t="shared" ca="1" si="63"/>
        <v>0</v>
      </c>
      <c r="AO52" s="49">
        <f t="shared" ca="1" si="63"/>
        <v>0</v>
      </c>
      <c r="AP52" s="49">
        <f t="shared" ca="1" si="63"/>
        <v>0</v>
      </c>
      <c r="AQ52" s="49">
        <f t="shared" ca="1" si="63"/>
        <v>0</v>
      </c>
      <c r="AR52" s="49">
        <f t="shared" ca="1" si="63"/>
        <v>0</v>
      </c>
      <c r="AS52" s="49">
        <f t="shared" ca="1" si="63"/>
        <v>0</v>
      </c>
      <c r="AT52" s="49">
        <f t="shared" ca="1" si="63"/>
        <v>0</v>
      </c>
      <c r="AU52" s="49">
        <f t="shared" ca="1" si="63"/>
        <v>0</v>
      </c>
      <c r="AV52" s="49">
        <f t="shared" ca="1" si="63"/>
        <v>0</v>
      </c>
      <c r="AW52" s="49">
        <f t="shared" ca="1" si="63"/>
        <v>0</v>
      </c>
      <c r="AX52" s="49">
        <f t="shared" ca="1" si="63"/>
        <v>0</v>
      </c>
      <c r="AY52" s="49">
        <f t="shared" ca="1" si="63"/>
        <v>0</v>
      </c>
      <c r="AZ52" s="49">
        <f t="shared" ca="1" si="63"/>
        <v>0</v>
      </c>
      <c r="BA52" s="49">
        <f t="shared" ca="1" si="63"/>
        <v>0</v>
      </c>
      <c r="BB52" s="49">
        <f t="shared" ca="1" si="63"/>
        <v>0</v>
      </c>
      <c r="BC52" s="49">
        <f t="shared" ca="1" si="63"/>
        <v>0</v>
      </c>
      <c r="BD52" s="49">
        <f t="shared" ca="1" si="63"/>
        <v>0</v>
      </c>
      <c r="BE52" s="49">
        <f t="shared" ca="1" si="63"/>
        <v>0</v>
      </c>
      <c r="BF52" s="49">
        <f t="shared" ca="1" si="63"/>
        <v>0</v>
      </c>
      <c r="BG52" s="49">
        <f t="shared" ca="1" si="63"/>
        <v>0</v>
      </c>
      <c r="BH52" s="49">
        <f t="shared" ca="1" si="63"/>
        <v>0</v>
      </c>
      <c r="BI52" s="49">
        <f t="shared" ca="1" si="63"/>
        <v>0</v>
      </c>
      <c r="BJ52" s="49">
        <f t="shared" ca="1" si="63"/>
        <v>0</v>
      </c>
      <c r="BK52" s="49">
        <f t="shared" ca="1" si="63"/>
        <v>0</v>
      </c>
      <c r="BL52" s="49">
        <f t="shared" ca="1" si="63"/>
        <v>0</v>
      </c>
      <c r="BM52" s="49">
        <f t="shared" ca="1" si="63"/>
        <v>0</v>
      </c>
      <c r="BN52" s="49">
        <f t="shared" ref="BN52" ca="1" si="64">IF(BN39&lt;0,MIN(-BN39,BM47),0)</f>
        <v>0</v>
      </c>
      <c r="BO52" s="49">
        <f t="shared" ref="BO52" ca="1" si="65">IF(BO39&lt;0,MIN(-BO39,BN47),0)</f>
        <v>0</v>
      </c>
      <c r="BP52" s="49">
        <f t="shared" ref="BP52" ca="1" si="66">IF(BP39&lt;0,MIN(-BP39,BO47),0)</f>
        <v>0</v>
      </c>
      <c r="BQ52" s="49">
        <f t="shared" ref="BQ52" ca="1" si="67">IF(BQ39&lt;0,MIN(-BQ39,BP47),0)</f>
        <v>0</v>
      </c>
      <c r="BR52" s="49">
        <f t="shared" ref="BR52" ca="1" si="68">IF(BR39&lt;0,MIN(-BR39,BQ47),0)</f>
        <v>0</v>
      </c>
      <c r="BS52" s="49">
        <f t="shared" ref="BS52" ca="1" si="69">IF(BS39&lt;0,MIN(-BS39,BR47),0)</f>
        <v>0</v>
      </c>
      <c r="BT52" s="49">
        <f t="shared" ref="BT52" ca="1" si="70">IF(BT39&lt;0,MIN(-BT39,BS47),0)</f>
        <v>0</v>
      </c>
      <c r="BU52" s="49">
        <f t="shared" ref="BU52" ca="1" si="71">IF(BU39&lt;0,MIN(-BU39,BT47),0)</f>
        <v>0</v>
      </c>
      <c r="BV52" s="49">
        <f t="shared" ref="BV52" ca="1" si="72">IF(BV39&lt;0,MIN(-BV39,BU47),0)</f>
        <v>0</v>
      </c>
      <c r="BW52" s="49">
        <f t="shared" ref="BW52" ca="1" si="73">IF(BW39&lt;0,MIN(-BW39,BV47),0)</f>
        <v>0</v>
      </c>
      <c r="BX52" s="49">
        <f t="shared" ref="BX52" ca="1" si="74">IF(BX39&lt;0,MIN(-BX39,BW47),0)</f>
        <v>0</v>
      </c>
      <c r="BY52" s="49">
        <f t="shared" ref="BY52" ca="1" si="75">IF(BY39&lt;0,MIN(-BY39,BX47),0)</f>
        <v>0</v>
      </c>
      <c r="BZ52" s="49">
        <f t="shared" ref="BZ52" ca="1" si="76">IF(BZ39&lt;0,MIN(-BZ39,BY47),0)</f>
        <v>0</v>
      </c>
      <c r="CA52" s="49">
        <f t="shared" ref="CA52" ca="1" si="77">IF(CA39&lt;0,MIN(-CA39,BZ47),0)</f>
        <v>0</v>
      </c>
      <c r="CB52" s="49">
        <f t="shared" ref="CB52" ca="1" si="78">IF(CB39&lt;0,MIN(-CB39,CA47),0)</f>
        <v>0</v>
      </c>
      <c r="CC52" s="49">
        <f t="shared" ref="CC52" ca="1" si="79">IF(CC39&lt;0,MIN(-CC39,CB47),0)</f>
        <v>0</v>
      </c>
      <c r="CD52" s="49">
        <f t="shared" ref="CD52" ca="1" si="80">IF(CD39&lt;0,MIN(-CD39,CC47),0)</f>
        <v>0</v>
      </c>
      <c r="CE52" s="49">
        <f t="shared" ref="CE52" ca="1" si="81">IF(CE39&lt;0,MIN(-CE39,CD47),0)</f>
        <v>0</v>
      </c>
      <c r="CF52" s="49">
        <f t="shared" ref="CF52" ca="1" si="82">IF(CF39&lt;0,MIN(-CF39,CE47),0)</f>
        <v>0</v>
      </c>
      <c r="CG52" s="49">
        <f t="shared" ref="CG52" ca="1" si="83">IF(CG39&lt;0,MIN(-CG39,CF47),0)</f>
        <v>0</v>
      </c>
      <c r="CH52" s="49">
        <f t="shared" ref="CH52" ca="1" si="84">IF(CH39&lt;0,MIN(-CH39,CG47),0)</f>
        <v>0</v>
      </c>
      <c r="CI52" s="49">
        <f t="shared" ref="CI52" ca="1" si="85">IF(CI39&lt;0,MIN(-CI39,CH47),0)</f>
        <v>0</v>
      </c>
      <c r="CJ52" s="49">
        <f t="shared" ref="CJ52" ca="1" si="86">IF(CJ39&lt;0,MIN(-CJ39,CI47),0)</f>
        <v>0</v>
      </c>
      <c r="CK52" s="49">
        <f t="shared" ref="CK52" ca="1" si="87">IF(CK39&lt;0,MIN(-CK39,CJ47),0)</f>
        <v>0</v>
      </c>
    </row>
    <row r="53" spans="2:89" ht="15.75" thickTop="1">
      <c r="B53" s="50" t="s">
        <v>99</v>
      </c>
      <c r="C53" s="51"/>
      <c r="D53" s="52">
        <f ca="1">SUM(D51:D52)</f>
        <v>10000</v>
      </c>
      <c r="E53" s="53"/>
      <c r="F53" s="54">
        <f ca="1">SUM(F51:F52)</f>
        <v>10000</v>
      </c>
      <c r="G53" s="54">
        <f t="shared" ref="G53:AG53" ca="1" si="88">SUM(G51:G52)</f>
        <v>10000</v>
      </c>
      <c r="H53" s="54">
        <f t="shared" ca="1" si="88"/>
        <v>10000</v>
      </c>
      <c r="I53" s="54">
        <f t="shared" ca="1" si="88"/>
        <v>10000</v>
      </c>
      <c r="J53" s="54">
        <f t="shared" ca="1" si="88"/>
        <v>10000</v>
      </c>
      <c r="K53" s="54">
        <f t="shared" ca="1" si="88"/>
        <v>10000</v>
      </c>
      <c r="L53" s="54">
        <f t="shared" ca="1" si="88"/>
        <v>10000</v>
      </c>
      <c r="M53" s="54">
        <f t="shared" ca="1" si="88"/>
        <v>10000</v>
      </c>
      <c r="N53" s="54">
        <f t="shared" ca="1" si="88"/>
        <v>10000</v>
      </c>
      <c r="O53" s="54">
        <f t="shared" ca="1" si="88"/>
        <v>10000</v>
      </c>
      <c r="P53" s="54">
        <f t="shared" ca="1" si="88"/>
        <v>10000</v>
      </c>
      <c r="Q53" s="54">
        <f t="shared" ca="1" si="88"/>
        <v>10000</v>
      </c>
      <c r="R53" s="54">
        <f t="shared" ca="1" si="88"/>
        <v>10000</v>
      </c>
      <c r="S53" s="54">
        <f t="shared" ca="1" si="88"/>
        <v>10000</v>
      </c>
      <c r="T53" s="54">
        <f t="shared" ca="1" si="88"/>
        <v>10000</v>
      </c>
      <c r="U53" s="54">
        <f t="shared" ca="1" si="88"/>
        <v>10000</v>
      </c>
      <c r="V53" s="54">
        <f t="shared" ca="1" si="88"/>
        <v>10000</v>
      </c>
      <c r="W53" s="54">
        <f t="shared" ca="1" si="88"/>
        <v>10000</v>
      </c>
      <c r="X53" s="54">
        <f t="shared" ca="1" si="88"/>
        <v>10000</v>
      </c>
      <c r="Y53" s="54">
        <f t="shared" ca="1" si="88"/>
        <v>10000</v>
      </c>
      <c r="Z53" s="54">
        <f t="shared" ca="1" si="88"/>
        <v>10000</v>
      </c>
      <c r="AA53" s="54">
        <f t="shared" ca="1" si="88"/>
        <v>10000</v>
      </c>
      <c r="AB53" s="54">
        <f t="shared" ca="1" si="88"/>
        <v>10000</v>
      </c>
      <c r="AC53" s="54">
        <f t="shared" ca="1" si="88"/>
        <v>10000</v>
      </c>
      <c r="AD53" s="54">
        <f t="shared" ca="1" si="88"/>
        <v>10000</v>
      </c>
      <c r="AE53" s="54">
        <f t="shared" ca="1" si="88"/>
        <v>10000</v>
      </c>
      <c r="AF53" s="54">
        <f t="shared" ca="1" si="88"/>
        <v>10000</v>
      </c>
      <c r="AG53" s="54">
        <f t="shared" ca="1" si="88"/>
        <v>10000</v>
      </c>
      <c r="AH53" s="54">
        <f t="shared" ref="AH53:BM53" ca="1" si="89">SUM(AH51:AH52)</f>
        <v>10000</v>
      </c>
      <c r="AI53" s="54">
        <f t="shared" ca="1" si="89"/>
        <v>10000</v>
      </c>
      <c r="AJ53" s="54">
        <f t="shared" ca="1" si="89"/>
        <v>10000</v>
      </c>
      <c r="AK53" s="54">
        <f t="shared" ca="1" si="89"/>
        <v>10000</v>
      </c>
      <c r="AL53" s="54">
        <f t="shared" ca="1" si="89"/>
        <v>10000</v>
      </c>
      <c r="AM53" s="54">
        <f t="shared" ca="1" si="89"/>
        <v>10000</v>
      </c>
      <c r="AN53" s="54">
        <f t="shared" ca="1" si="89"/>
        <v>10000</v>
      </c>
      <c r="AO53" s="54">
        <f t="shared" ca="1" si="89"/>
        <v>10000</v>
      </c>
      <c r="AP53" s="54">
        <f t="shared" ca="1" si="89"/>
        <v>10000</v>
      </c>
      <c r="AQ53" s="54">
        <f t="shared" ca="1" si="89"/>
        <v>10000</v>
      </c>
      <c r="AR53" s="54">
        <f t="shared" ca="1" si="89"/>
        <v>10000</v>
      </c>
      <c r="AS53" s="54">
        <f t="shared" ca="1" si="89"/>
        <v>10000</v>
      </c>
      <c r="AT53" s="54">
        <f t="shared" ca="1" si="89"/>
        <v>10000</v>
      </c>
      <c r="AU53" s="54">
        <f t="shared" ca="1" si="89"/>
        <v>10000</v>
      </c>
      <c r="AV53" s="54">
        <f t="shared" ca="1" si="89"/>
        <v>10000</v>
      </c>
      <c r="AW53" s="54">
        <f t="shared" ca="1" si="89"/>
        <v>10000</v>
      </c>
      <c r="AX53" s="54">
        <f t="shared" ca="1" si="89"/>
        <v>10000</v>
      </c>
      <c r="AY53" s="54">
        <f t="shared" ca="1" si="89"/>
        <v>10000</v>
      </c>
      <c r="AZ53" s="54">
        <f t="shared" ca="1" si="89"/>
        <v>10000</v>
      </c>
      <c r="BA53" s="54">
        <f t="shared" ca="1" si="89"/>
        <v>10000</v>
      </c>
      <c r="BB53" s="54">
        <f t="shared" ca="1" si="89"/>
        <v>10000</v>
      </c>
      <c r="BC53" s="54">
        <f t="shared" ca="1" si="89"/>
        <v>10000</v>
      </c>
      <c r="BD53" s="54">
        <f t="shared" ca="1" si="89"/>
        <v>10000</v>
      </c>
      <c r="BE53" s="54">
        <f t="shared" ca="1" si="89"/>
        <v>10000</v>
      </c>
      <c r="BF53" s="54">
        <f t="shared" ca="1" si="89"/>
        <v>10000</v>
      </c>
      <c r="BG53" s="54">
        <f t="shared" ca="1" si="89"/>
        <v>10000</v>
      </c>
      <c r="BH53" s="54">
        <f t="shared" ca="1" si="89"/>
        <v>10000</v>
      </c>
      <c r="BI53" s="54">
        <f t="shared" ca="1" si="89"/>
        <v>10000</v>
      </c>
      <c r="BJ53" s="54">
        <f t="shared" ca="1" si="89"/>
        <v>10000</v>
      </c>
      <c r="BK53" s="54">
        <f t="shared" ca="1" si="89"/>
        <v>10000</v>
      </c>
      <c r="BL53" s="54">
        <f t="shared" ca="1" si="89"/>
        <v>10000</v>
      </c>
      <c r="BM53" s="54">
        <f t="shared" ca="1" si="89"/>
        <v>10000</v>
      </c>
      <c r="BN53" s="54">
        <f t="shared" ref="BN53:CK53" ca="1" si="90">SUM(BN51:BN52)</f>
        <v>10000</v>
      </c>
      <c r="BO53" s="54">
        <f t="shared" ca="1" si="90"/>
        <v>10000</v>
      </c>
      <c r="BP53" s="54">
        <f t="shared" ca="1" si="90"/>
        <v>10000</v>
      </c>
      <c r="BQ53" s="54">
        <f t="shared" ca="1" si="90"/>
        <v>10000</v>
      </c>
      <c r="BR53" s="54">
        <f t="shared" ca="1" si="90"/>
        <v>10000</v>
      </c>
      <c r="BS53" s="54">
        <f t="shared" ca="1" si="90"/>
        <v>10000</v>
      </c>
      <c r="BT53" s="54">
        <f t="shared" ca="1" si="90"/>
        <v>10000</v>
      </c>
      <c r="BU53" s="54">
        <f t="shared" ca="1" si="90"/>
        <v>10000</v>
      </c>
      <c r="BV53" s="54">
        <f t="shared" ca="1" si="90"/>
        <v>10000</v>
      </c>
      <c r="BW53" s="54">
        <f t="shared" ca="1" si="90"/>
        <v>10000</v>
      </c>
      <c r="BX53" s="54">
        <f t="shared" ca="1" si="90"/>
        <v>10000</v>
      </c>
      <c r="BY53" s="54">
        <f t="shared" ca="1" si="90"/>
        <v>10000</v>
      </c>
      <c r="BZ53" s="54">
        <f t="shared" ca="1" si="90"/>
        <v>10000</v>
      </c>
      <c r="CA53" s="54">
        <f t="shared" ca="1" si="90"/>
        <v>10000</v>
      </c>
      <c r="CB53" s="54">
        <f t="shared" ca="1" si="90"/>
        <v>10000</v>
      </c>
      <c r="CC53" s="54">
        <f t="shared" ca="1" si="90"/>
        <v>10000</v>
      </c>
      <c r="CD53" s="54">
        <f t="shared" ca="1" si="90"/>
        <v>10000</v>
      </c>
      <c r="CE53" s="54">
        <f t="shared" ca="1" si="90"/>
        <v>10000</v>
      </c>
      <c r="CF53" s="54">
        <f t="shared" ca="1" si="90"/>
        <v>10000</v>
      </c>
      <c r="CG53" s="54">
        <f t="shared" ca="1" si="90"/>
        <v>10000</v>
      </c>
      <c r="CH53" s="54">
        <f t="shared" ca="1" si="90"/>
        <v>10000</v>
      </c>
      <c r="CI53" s="54">
        <f t="shared" ca="1" si="90"/>
        <v>10000</v>
      </c>
      <c r="CJ53" s="54">
        <f t="shared" ca="1" si="90"/>
        <v>10000</v>
      </c>
      <c r="CK53" s="54">
        <f t="shared" ca="1" si="90"/>
        <v>10000</v>
      </c>
    </row>
    <row r="54" spans="2:89" ht="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</row>
    <row r="55" spans="2:89" ht="18" thickBot="1">
      <c r="B55" s="100" t="str">
        <f>"Денежный поток до привлечения долга, в "&amp;Ед_измерения_денег</f>
        <v>Денежный поток до привлечения долга, в  руб.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</row>
    <row r="56" spans="2:89" ht="15.75" thickTop="1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</row>
    <row r="57" spans="2:89" ht="15.75" thickBot="1">
      <c r="B57" s="77" t="s">
        <v>102</v>
      </c>
      <c r="C57" s="78"/>
      <c r="D57" s="98">
        <f ca="1">SUM(F57:CL57)</f>
        <v>3644994784.4412131</v>
      </c>
      <c r="E57" s="79"/>
      <c r="F57" s="80">
        <f t="shared" ref="F57:AK57" ca="1" si="91">SUM(F39,F52)</f>
        <v>-65730000.000000007</v>
      </c>
      <c r="G57" s="80">
        <f t="shared" ca="1" si="91"/>
        <v>-66619041.095890418</v>
      </c>
      <c r="H57" s="80">
        <f t="shared" ca="1" si="91"/>
        <v>-62120684.931506857</v>
      </c>
      <c r="I57" s="80">
        <f t="shared" ca="1" si="91"/>
        <v>-149109041.0958904</v>
      </c>
      <c r="J57" s="80">
        <f t="shared" ca="1" si="91"/>
        <v>-151020000</v>
      </c>
      <c r="K57" s="80">
        <f t="shared" ca="1" si="91"/>
        <v>-146600000</v>
      </c>
      <c r="L57" s="80">
        <f t="shared" ca="1" si="91"/>
        <v>-96990000</v>
      </c>
      <c r="M57" s="80">
        <f t="shared" ca="1" si="91"/>
        <v>-104824109.5890411</v>
      </c>
      <c r="N57" s="80">
        <f t="shared" ca="1" si="91"/>
        <v>-109488246.57534246</v>
      </c>
      <c r="O57" s="80">
        <f t="shared" ca="1" si="91"/>
        <v>-72634344.262295082</v>
      </c>
      <c r="P57" s="80">
        <f t="shared" ca="1" si="91"/>
        <v>-80810327.868852466</v>
      </c>
      <c r="Q57" s="80">
        <f t="shared" ca="1" si="91"/>
        <v>-93836620.052290335</v>
      </c>
      <c r="R57" s="80">
        <f t="shared" ca="1" si="91"/>
        <v>44979257.401060171</v>
      </c>
      <c r="S57" s="80">
        <f t="shared" ca="1" si="91"/>
        <v>19002632.750134803</v>
      </c>
      <c r="T57" s="80">
        <f t="shared" ca="1" si="91"/>
        <v>14051018.30149886</v>
      </c>
      <c r="U57" s="80">
        <f t="shared" ca="1" si="91"/>
        <v>14246950.861903673</v>
      </c>
      <c r="V57" s="80">
        <f t="shared" ca="1" si="91"/>
        <v>11727653.106332073</v>
      </c>
      <c r="W57" s="80">
        <f t="shared" ca="1" si="91"/>
        <v>9387563.9608971179</v>
      </c>
      <c r="X57" s="80">
        <f t="shared" ca="1" si="91"/>
        <v>14761740.910873815</v>
      </c>
      <c r="Y57" s="80">
        <f t="shared" ca="1" si="91"/>
        <v>9694140.6638971809</v>
      </c>
      <c r="Z57" s="80">
        <f t="shared" ca="1" si="91"/>
        <v>15084695.553546481</v>
      </c>
      <c r="AA57" s="80">
        <f t="shared" ca="1" si="91"/>
        <v>12526574.285117904</v>
      </c>
      <c r="AB57" s="80">
        <f t="shared" ca="1" si="91"/>
        <v>4427117.7704678224</v>
      </c>
      <c r="AC57" s="80">
        <f t="shared" ca="1" si="91"/>
        <v>21688868.526761971</v>
      </c>
      <c r="AD57" s="80">
        <f t="shared" ca="1" si="91"/>
        <v>9324141.4470595084</v>
      </c>
      <c r="AE57" s="80">
        <f t="shared" ca="1" si="91"/>
        <v>22335087.335750662</v>
      </c>
      <c r="AF57" s="80">
        <f t="shared" ca="1" si="91"/>
        <v>17567498.691184998</v>
      </c>
      <c r="AG57" s="80">
        <f t="shared" ca="1" si="91"/>
        <v>24536556.638303932</v>
      </c>
      <c r="AH57" s="80">
        <f t="shared" ca="1" si="91"/>
        <v>23082812.645262048</v>
      </c>
      <c r="AI57" s="80">
        <f t="shared" ca="1" si="91"/>
        <v>21798686.705558296</v>
      </c>
      <c r="AJ57" s="80">
        <f t="shared" ca="1" si="91"/>
        <v>30774138.03870675</v>
      </c>
      <c r="AK57" s="80">
        <f t="shared" ca="1" si="91"/>
        <v>26318887.617149122</v>
      </c>
      <c r="AL57" s="80">
        <f t="shared" ref="AL57:BM57" ca="1" si="92">SUM(AL39,AL52)</f>
        <v>37395356.44021266</v>
      </c>
      <c r="AM57" s="80">
        <f t="shared" ca="1" si="92"/>
        <v>35681446.375594676</v>
      </c>
      <c r="AN57" s="80">
        <f t="shared" ca="1" si="92"/>
        <v>26227856.175475601</v>
      </c>
      <c r="AO57" s="80">
        <f t="shared" ca="1" si="92"/>
        <v>60606449.682997905</v>
      </c>
      <c r="AP57" s="80">
        <f t="shared" ca="1" si="92"/>
        <v>48234175.558333471</v>
      </c>
      <c r="AQ57" s="80">
        <f t="shared" ca="1" si="92"/>
        <v>60737587.635688245</v>
      </c>
      <c r="AR57" s="80">
        <f t="shared" ca="1" si="92"/>
        <v>53362226.723915853</v>
      </c>
      <c r="AS57" s="80">
        <f t="shared" ca="1" si="92"/>
        <v>64099190.819403112</v>
      </c>
      <c r="AT57" s="80">
        <f t="shared" ca="1" si="92"/>
        <v>61963655.769154198</v>
      </c>
      <c r="AU57" s="80">
        <f t="shared" ca="1" si="92"/>
        <v>59798241.685721532</v>
      </c>
      <c r="AV57" s="80">
        <f t="shared" ca="1" si="92"/>
        <v>73473724.779396459</v>
      </c>
      <c r="AW57" s="80">
        <f t="shared" ca="1" si="92"/>
        <v>65813402.266630605</v>
      </c>
      <c r="AX57" s="80">
        <f t="shared" ca="1" si="92"/>
        <v>81289489.287931696</v>
      </c>
      <c r="AY57" s="80">
        <f t="shared" ca="1" si="92"/>
        <v>77465566.880925477</v>
      </c>
      <c r="AZ57" s="80">
        <f t="shared" ca="1" si="92"/>
        <v>61838541.925965711</v>
      </c>
      <c r="BA57" s="80">
        <f t="shared" ca="1" si="92"/>
        <v>106593558.33577903</v>
      </c>
      <c r="BB57" s="80">
        <f t="shared" ca="1" si="92"/>
        <v>83644096.876343325</v>
      </c>
      <c r="BC57" s="80">
        <f t="shared" ca="1" si="92"/>
        <v>97207522.670183271</v>
      </c>
      <c r="BD57" s="80">
        <f t="shared" ca="1" si="92"/>
        <v>84701714.609560668</v>
      </c>
      <c r="BE57" s="80">
        <f t="shared" ca="1" si="92"/>
        <v>96693551.237163067</v>
      </c>
      <c r="BF57" s="80">
        <f t="shared" ca="1" si="92"/>
        <v>90649182.018381506</v>
      </c>
      <c r="BG57" s="80">
        <f t="shared" ca="1" si="92"/>
        <v>84617441.693957612</v>
      </c>
      <c r="BH57" s="80">
        <f t="shared" ca="1" si="92"/>
        <v>98344070.82129994</v>
      </c>
      <c r="BI57" s="80">
        <f t="shared" ca="1" si="92"/>
        <v>85556115.477889389</v>
      </c>
      <c r="BJ57" s="80">
        <f t="shared" ca="1" si="92"/>
        <v>99539467.497323811</v>
      </c>
      <c r="BK57" s="80">
        <f t="shared" ca="1" si="92"/>
        <v>92939024.579061791</v>
      </c>
      <c r="BL57" s="80">
        <f t="shared" ca="1" si="92"/>
        <v>79525632.46381411</v>
      </c>
      <c r="BM57" s="80">
        <f t="shared" ca="1" si="92"/>
        <v>108213373.18306927</v>
      </c>
      <c r="BN57" s="80">
        <f t="shared" ref="BN57:CK57" ca="1" si="93">SUM(BN39,BN52)</f>
        <v>87694297.865640894</v>
      </c>
      <c r="BO57" s="80">
        <f t="shared" ca="1" si="93"/>
        <v>101980917.92947538</v>
      </c>
      <c r="BP57" s="80">
        <f t="shared" ca="1" si="93"/>
        <v>88789923.959401011</v>
      </c>
      <c r="BQ57" s="80">
        <f t="shared" ca="1" si="93"/>
        <v>102870072.38808712</v>
      </c>
      <c r="BR57" s="80">
        <f t="shared" ca="1" si="93"/>
        <v>96515297.226821974</v>
      </c>
      <c r="BS57" s="80">
        <f t="shared" ca="1" si="93"/>
        <v>90123452.579319164</v>
      </c>
      <c r="BT57" s="80">
        <f t="shared" ca="1" si="93"/>
        <v>104580166.57193311</v>
      </c>
      <c r="BU57" s="80">
        <f t="shared" ca="1" si="93"/>
        <v>91030243.813345507</v>
      </c>
      <c r="BV57" s="80">
        <f t="shared" ca="1" si="93"/>
        <v>105686510.0721927</v>
      </c>
      <c r="BW57" s="80">
        <f t="shared" ca="1" si="93"/>
        <v>98794553.280314937</v>
      </c>
      <c r="BX57" s="80">
        <f t="shared" ca="1" si="93"/>
        <v>76377710.059110358</v>
      </c>
      <c r="BY57" s="80">
        <f t="shared" ca="1" si="93"/>
        <v>122890936.7631439</v>
      </c>
      <c r="BZ57" s="80">
        <f t="shared" ca="1" si="93"/>
        <v>93023834.524620816</v>
      </c>
      <c r="CA57" s="80">
        <f t="shared" ca="1" si="93"/>
        <v>107988038.34786704</v>
      </c>
      <c r="CB57" s="80">
        <f t="shared" ca="1" si="93"/>
        <v>94036158.335081324</v>
      </c>
      <c r="CC57" s="80">
        <f t="shared" ca="1" si="93"/>
        <v>108803158.75493108</v>
      </c>
      <c r="CD57" s="80">
        <f t="shared" ca="1" si="93"/>
        <v>102059926.21111451</v>
      </c>
      <c r="CE57" s="80">
        <f t="shared" ca="1" si="93"/>
        <v>95253250.097888961</v>
      </c>
      <c r="CF57" s="80">
        <f t="shared" ca="1" si="93"/>
        <v>110385015.02135958</v>
      </c>
      <c r="CG57" s="80">
        <f t="shared" ca="1" si="93"/>
        <v>96134803.66058591</v>
      </c>
      <c r="CH57" s="80">
        <f t="shared" ca="1" si="93"/>
        <v>111544107.94036245</v>
      </c>
      <c r="CI57" s="80">
        <f t="shared" ca="1" si="93"/>
        <v>104332466.95745853</v>
      </c>
      <c r="CJ57" s="80">
        <f t="shared" ca="1" si="93"/>
        <v>80726876.691779926</v>
      </c>
      <c r="CK57" s="80">
        <f t="shared" ca="1" si="93"/>
        <v>129627794.17784578</v>
      </c>
    </row>
    <row r="58" spans="2:89" ht="15.75" thickTop="1">
      <c r="B58" s="50" t="s">
        <v>539</v>
      </c>
      <c r="C58" s="51"/>
      <c r="D58" s="52">
        <f ca="1">D57</f>
        <v>3644994784.4412131</v>
      </c>
      <c r="E58" s="53"/>
      <c r="F58" s="54">
        <f ca="1">E58+F57</f>
        <v>-65730000.000000007</v>
      </c>
      <c r="G58" s="54">
        <f t="shared" ref="G58:AG58" ca="1" si="94">F58+G57</f>
        <v>-132349041.09589043</v>
      </c>
      <c r="H58" s="54">
        <f t="shared" ca="1" si="94"/>
        <v>-194469726.02739727</v>
      </c>
      <c r="I58" s="54">
        <f t="shared" ca="1" si="94"/>
        <v>-343578767.12328768</v>
      </c>
      <c r="J58" s="54">
        <f t="shared" ca="1" si="94"/>
        <v>-494598767.12328768</v>
      </c>
      <c r="K58" s="54">
        <f t="shared" ca="1" si="94"/>
        <v>-641198767.12328768</v>
      </c>
      <c r="L58" s="54">
        <f t="shared" ca="1" si="94"/>
        <v>-738188767.12328768</v>
      </c>
      <c r="M58" s="54">
        <f t="shared" ca="1" si="94"/>
        <v>-843012876.71232879</v>
      </c>
      <c r="N58" s="54">
        <f t="shared" ca="1" si="94"/>
        <v>-952501123.28767121</v>
      </c>
      <c r="O58" s="54">
        <f t="shared" ca="1" si="94"/>
        <v>-1025135467.5499663</v>
      </c>
      <c r="P58" s="54">
        <f t="shared" ca="1" si="94"/>
        <v>-1105945795.4188187</v>
      </c>
      <c r="Q58" s="54">
        <f t="shared" ca="1" si="94"/>
        <v>-1199782415.4711092</v>
      </c>
      <c r="R58" s="54">
        <f t="shared" ca="1" si="94"/>
        <v>-1154803158.070049</v>
      </c>
      <c r="S58" s="54">
        <f t="shared" ca="1" si="94"/>
        <v>-1135800525.3199143</v>
      </c>
      <c r="T58" s="54">
        <f t="shared" ca="1" si="94"/>
        <v>-1121749507.0184155</v>
      </c>
      <c r="U58" s="54">
        <f t="shared" ca="1" si="94"/>
        <v>-1107502556.1565118</v>
      </c>
      <c r="V58" s="54">
        <f t="shared" ca="1" si="94"/>
        <v>-1095774903.0501797</v>
      </c>
      <c r="W58" s="54">
        <f t="shared" ca="1" si="94"/>
        <v>-1086387339.0892825</v>
      </c>
      <c r="X58" s="54">
        <f t="shared" ca="1" si="94"/>
        <v>-1071625598.1784087</v>
      </c>
      <c r="Y58" s="54">
        <f t="shared" ca="1" si="94"/>
        <v>-1061931457.5145116</v>
      </c>
      <c r="Z58" s="54">
        <f t="shared" ca="1" si="94"/>
        <v>-1046846761.9609652</v>
      </c>
      <c r="AA58" s="54">
        <f t="shared" ca="1" si="94"/>
        <v>-1034320187.6758473</v>
      </c>
      <c r="AB58" s="54">
        <f t="shared" ca="1" si="94"/>
        <v>-1029893069.9053794</v>
      </c>
      <c r="AC58" s="54">
        <f t="shared" ca="1" si="94"/>
        <v>-1008204201.3786174</v>
      </c>
      <c r="AD58" s="54">
        <f t="shared" ca="1" si="94"/>
        <v>-998880059.93155789</v>
      </c>
      <c r="AE58" s="54">
        <f t="shared" ca="1" si="94"/>
        <v>-976544972.59580719</v>
      </c>
      <c r="AF58" s="54">
        <f t="shared" ca="1" si="94"/>
        <v>-958977473.9046222</v>
      </c>
      <c r="AG58" s="54">
        <f t="shared" ca="1" si="94"/>
        <v>-934440917.26631832</v>
      </c>
      <c r="AH58" s="54">
        <f t="shared" ref="AH58:BM58" ca="1" si="95">AG58+AH57</f>
        <v>-911358104.62105632</v>
      </c>
      <c r="AI58" s="54">
        <f t="shared" ca="1" si="95"/>
        <v>-889559417.91549802</v>
      </c>
      <c r="AJ58" s="54">
        <f t="shared" ca="1" si="95"/>
        <v>-858785279.87679124</v>
      </c>
      <c r="AK58" s="54">
        <f t="shared" ca="1" si="95"/>
        <v>-832466392.25964212</v>
      </c>
      <c r="AL58" s="54">
        <f t="shared" ca="1" si="95"/>
        <v>-795071035.81942952</v>
      </c>
      <c r="AM58" s="54">
        <f t="shared" ca="1" si="95"/>
        <v>-759389589.44383478</v>
      </c>
      <c r="AN58" s="54">
        <f t="shared" ca="1" si="95"/>
        <v>-733161733.26835918</v>
      </c>
      <c r="AO58" s="54">
        <f t="shared" ca="1" si="95"/>
        <v>-672555283.58536124</v>
      </c>
      <c r="AP58" s="54">
        <f t="shared" ca="1" si="95"/>
        <v>-624321108.02702773</v>
      </c>
      <c r="AQ58" s="54">
        <f t="shared" ca="1" si="95"/>
        <v>-563583520.39133954</v>
      </c>
      <c r="AR58" s="54">
        <f t="shared" ca="1" si="95"/>
        <v>-510221293.66742367</v>
      </c>
      <c r="AS58" s="54">
        <f t="shared" ca="1" si="95"/>
        <v>-446122102.84802055</v>
      </c>
      <c r="AT58" s="54">
        <f t="shared" ca="1" si="95"/>
        <v>-384158447.07886636</v>
      </c>
      <c r="AU58" s="54">
        <f t="shared" ca="1" si="95"/>
        <v>-324360205.39314485</v>
      </c>
      <c r="AV58" s="54">
        <f t="shared" ca="1" si="95"/>
        <v>-250886480.61374837</v>
      </c>
      <c r="AW58" s="54">
        <f t="shared" ca="1" si="95"/>
        <v>-185073078.34711778</v>
      </c>
      <c r="AX58" s="54">
        <f t="shared" ca="1" si="95"/>
        <v>-103783589.05918609</v>
      </c>
      <c r="AY58" s="54">
        <f t="shared" ca="1" si="95"/>
        <v>-26318022.17826061</v>
      </c>
      <c r="AZ58" s="54">
        <f t="shared" ca="1" si="95"/>
        <v>35520519.747705102</v>
      </c>
      <c r="BA58" s="54">
        <f t="shared" ca="1" si="95"/>
        <v>142114078.08348411</v>
      </c>
      <c r="BB58" s="54">
        <f t="shared" ca="1" si="95"/>
        <v>225758174.95982742</v>
      </c>
      <c r="BC58" s="54">
        <f t="shared" ca="1" si="95"/>
        <v>322965697.63001072</v>
      </c>
      <c r="BD58" s="54">
        <f t="shared" ca="1" si="95"/>
        <v>407667412.23957139</v>
      </c>
      <c r="BE58" s="54">
        <f t="shared" ca="1" si="95"/>
        <v>504360963.47673446</v>
      </c>
      <c r="BF58" s="54">
        <f t="shared" ca="1" si="95"/>
        <v>595010145.495116</v>
      </c>
      <c r="BG58" s="54">
        <f t="shared" ca="1" si="95"/>
        <v>679627587.18907356</v>
      </c>
      <c r="BH58" s="54">
        <f t="shared" ca="1" si="95"/>
        <v>777971658.01037347</v>
      </c>
      <c r="BI58" s="54">
        <f t="shared" ca="1" si="95"/>
        <v>863527773.48826289</v>
      </c>
      <c r="BJ58" s="54">
        <f t="shared" ca="1" si="95"/>
        <v>963067240.98558664</v>
      </c>
      <c r="BK58" s="54">
        <f t="shared" ca="1" si="95"/>
        <v>1056006265.5646484</v>
      </c>
      <c r="BL58" s="54">
        <f t="shared" ca="1" si="95"/>
        <v>1135531898.0284624</v>
      </c>
      <c r="BM58" s="54">
        <f t="shared" ca="1" si="95"/>
        <v>1243745271.2115316</v>
      </c>
      <c r="BN58" s="54">
        <f t="shared" ref="BN58" ca="1" si="96">BM58+BN57</f>
        <v>1331439569.0771725</v>
      </c>
      <c r="BO58" s="54">
        <f t="shared" ref="BO58" ca="1" si="97">BN58+BO57</f>
        <v>1433420487.0066478</v>
      </c>
      <c r="BP58" s="54">
        <f t="shared" ref="BP58" ca="1" si="98">BO58+BP57</f>
        <v>1522210410.9660487</v>
      </c>
      <c r="BQ58" s="54">
        <f t="shared" ref="BQ58" ca="1" si="99">BP58+BQ57</f>
        <v>1625080483.3541358</v>
      </c>
      <c r="BR58" s="54">
        <f t="shared" ref="BR58" ca="1" si="100">BQ58+BR57</f>
        <v>1721595780.5809577</v>
      </c>
      <c r="BS58" s="54">
        <f t="shared" ref="BS58" ca="1" si="101">BR58+BS57</f>
        <v>1811719233.1602769</v>
      </c>
      <c r="BT58" s="54">
        <f t="shared" ref="BT58" ca="1" si="102">BS58+BT57</f>
        <v>1916299399.7322099</v>
      </c>
      <c r="BU58" s="54">
        <f t="shared" ref="BU58" ca="1" si="103">BT58+BU57</f>
        <v>2007329643.5455554</v>
      </c>
      <c r="BV58" s="54">
        <f t="shared" ref="BV58" ca="1" si="104">BU58+BV57</f>
        <v>2113016153.617748</v>
      </c>
      <c r="BW58" s="54">
        <f t="shared" ref="BW58" ca="1" si="105">BV58+BW57</f>
        <v>2211810706.8980632</v>
      </c>
      <c r="BX58" s="54">
        <f t="shared" ref="BX58" ca="1" si="106">BW58+BX57</f>
        <v>2288188416.9571733</v>
      </c>
      <c r="BY58" s="54">
        <f t="shared" ref="BY58" ca="1" si="107">BX58+BY57</f>
        <v>2411079353.7203174</v>
      </c>
      <c r="BZ58" s="54">
        <f t="shared" ref="BZ58" ca="1" si="108">BY58+BZ57</f>
        <v>2504103188.2449384</v>
      </c>
      <c r="CA58" s="54">
        <f t="shared" ref="CA58" ca="1" si="109">BZ58+CA57</f>
        <v>2612091226.5928054</v>
      </c>
      <c r="CB58" s="54">
        <f t="shared" ref="CB58" ca="1" si="110">CA58+CB57</f>
        <v>2706127384.9278865</v>
      </c>
      <c r="CC58" s="54">
        <f t="shared" ref="CC58" ca="1" si="111">CB58+CC57</f>
        <v>2814930543.6828175</v>
      </c>
      <c r="CD58" s="54">
        <f t="shared" ref="CD58" ca="1" si="112">CC58+CD57</f>
        <v>2916990469.8939319</v>
      </c>
      <c r="CE58" s="54">
        <f t="shared" ref="CE58" ca="1" si="113">CD58+CE57</f>
        <v>3012243719.9918208</v>
      </c>
      <c r="CF58" s="54">
        <f t="shared" ref="CF58" ca="1" si="114">CE58+CF57</f>
        <v>3122628735.0131803</v>
      </c>
      <c r="CG58" s="54">
        <f t="shared" ref="CG58" ca="1" si="115">CF58+CG57</f>
        <v>3218763538.6737661</v>
      </c>
      <c r="CH58" s="54">
        <f t="shared" ref="CH58" ca="1" si="116">CG58+CH57</f>
        <v>3330307646.6141286</v>
      </c>
      <c r="CI58" s="54">
        <f t="shared" ref="CI58" ca="1" si="117">CH58+CI57</f>
        <v>3434640113.5715871</v>
      </c>
      <c r="CJ58" s="54">
        <f t="shared" ref="CJ58" ca="1" si="118">CI58+CJ57</f>
        <v>3515366990.2633672</v>
      </c>
      <c r="CK58" s="54">
        <f t="shared" ref="CK58" ca="1" si="119">CJ58+CK57</f>
        <v>3644994784.4412131</v>
      </c>
    </row>
    <row r="59" spans="2:89" ht="15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</row>
    <row r="60" spans="2:89" ht="18" thickBot="1">
      <c r="B60" s="100" t="s">
        <v>100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</row>
    <row r="61" spans="2:89" ht="15.75" thickTop="1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</row>
    <row r="62" spans="2:89" ht="18" thickBot="1">
      <c r="B62" s="100" t="s">
        <v>751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</row>
    <row r="63" spans="2:89" ht="15.75" thickTop="1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</row>
    <row r="64" spans="2:89" ht="15">
      <c r="B64" s="170" t="s">
        <v>752</v>
      </c>
      <c r="C64" s="171"/>
      <c r="D64" s="172">
        <f>SUM(F64:CK64)</f>
        <v>1</v>
      </c>
      <c r="E64" s="173"/>
      <c r="F64" s="159">
        <f t="array" ref="F64:CK65">Предпосылки!J205:CO206</f>
        <v>0.23</v>
      </c>
      <c r="G64" s="174">
        <v>0</v>
      </c>
      <c r="H64" s="174">
        <v>0</v>
      </c>
      <c r="I64" s="174">
        <v>0.5</v>
      </c>
      <c r="J64" s="174">
        <v>0</v>
      </c>
      <c r="K64" s="174">
        <v>0</v>
      </c>
      <c r="L64" s="174">
        <v>0.11</v>
      </c>
      <c r="M64" s="174">
        <v>0</v>
      </c>
      <c r="N64" s="174">
        <v>0</v>
      </c>
      <c r="O64" s="174">
        <v>0.16</v>
      </c>
      <c r="P64" s="174">
        <v>0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0</v>
      </c>
      <c r="AC64" s="174">
        <v>0</v>
      </c>
      <c r="AD64" s="174">
        <v>0</v>
      </c>
      <c r="AE64" s="174">
        <v>0</v>
      </c>
      <c r="AF64" s="174">
        <v>0</v>
      </c>
      <c r="AG64" s="174">
        <v>0</v>
      </c>
      <c r="AH64" s="174">
        <v>0</v>
      </c>
      <c r="AI64" s="174">
        <v>0</v>
      </c>
      <c r="AJ64" s="174">
        <v>0</v>
      </c>
      <c r="AK64" s="174">
        <v>0</v>
      </c>
      <c r="AL64" s="174">
        <v>0</v>
      </c>
      <c r="AM64" s="174">
        <v>0</v>
      </c>
      <c r="AN64" s="174">
        <v>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74">
        <v>0</v>
      </c>
      <c r="BP64" s="174">
        <v>0</v>
      </c>
      <c r="BQ64" s="174">
        <v>0</v>
      </c>
      <c r="BR64" s="174">
        <v>0</v>
      </c>
      <c r="BS64" s="174">
        <v>0</v>
      </c>
      <c r="BT64" s="174">
        <v>0</v>
      </c>
      <c r="BU64" s="174">
        <v>0</v>
      </c>
      <c r="BV64" s="174">
        <v>0</v>
      </c>
      <c r="BW64" s="174">
        <v>0</v>
      </c>
      <c r="BX64" s="174">
        <v>0</v>
      </c>
      <c r="BY64" s="174">
        <v>0</v>
      </c>
      <c r="BZ64" s="174">
        <v>0</v>
      </c>
      <c r="CA64" s="174">
        <v>0</v>
      </c>
      <c r="CB64" s="174">
        <v>0</v>
      </c>
      <c r="CC64" s="174">
        <v>0</v>
      </c>
      <c r="CD64" s="174">
        <v>0</v>
      </c>
      <c r="CE64" s="174">
        <v>0</v>
      </c>
      <c r="CF64" s="174">
        <v>0</v>
      </c>
      <c r="CG64" s="174">
        <v>0</v>
      </c>
      <c r="CH64" s="174">
        <v>0</v>
      </c>
      <c r="CI64" s="174">
        <v>0</v>
      </c>
      <c r="CJ64" s="174">
        <v>0</v>
      </c>
      <c r="CK64" s="174">
        <v>0</v>
      </c>
    </row>
    <row r="65" spans="2:89" ht="15">
      <c r="B65" s="175" t="s">
        <v>753</v>
      </c>
      <c r="C65" s="171"/>
      <c r="D65" s="172">
        <f t="shared" ref="D65" si="120">SUM(F65:CK65)</f>
        <v>1</v>
      </c>
      <c r="E65" s="173"/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0.67</v>
      </c>
      <c r="M65" s="174">
        <v>0</v>
      </c>
      <c r="N65" s="174">
        <v>0</v>
      </c>
      <c r="O65" s="174">
        <v>0.33</v>
      </c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0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74">
        <v>0</v>
      </c>
      <c r="BP65" s="174">
        <v>0</v>
      </c>
      <c r="BQ65" s="174">
        <v>0</v>
      </c>
      <c r="BR65" s="174">
        <v>0</v>
      </c>
      <c r="BS65" s="174">
        <v>0</v>
      </c>
      <c r="BT65" s="174">
        <v>0</v>
      </c>
      <c r="BU65" s="174">
        <v>0</v>
      </c>
      <c r="BV65" s="174">
        <v>0</v>
      </c>
      <c r="BW65" s="174">
        <v>0</v>
      </c>
      <c r="BX65" s="174">
        <v>0</v>
      </c>
      <c r="BY65" s="174">
        <v>0</v>
      </c>
      <c r="BZ65" s="174">
        <v>0</v>
      </c>
      <c r="CA65" s="174">
        <v>0</v>
      </c>
      <c r="CB65" s="174">
        <v>0</v>
      </c>
      <c r="CC65" s="174">
        <v>0</v>
      </c>
      <c r="CD65" s="174">
        <v>0</v>
      </c>
      <c r="CE65" s="174">
        <v>0</v>
      </c>
      <c r="CF65" s="174">
        <v>0</v>
      </c>
      <c r="CG65" s="174">
        <v>0</v>
      </c>
      <c r="CH65" s="174">
        <v>0</v>
      </c>
      <c r="CI65" s="174">
        <v>0</v>
      </c>
      <c r="CJ65" s="174">
        <v>0</v>
      </c>
      <c r="CK65" s="174">
        <v>0</v>
      </c>
    </row>
    <row r="66" spans="2:89" ht="15"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</row>
    <row r="67" spans="2:89" ht="15.75" thickBot="1">
      <c r="B67" s="96" t="str">
        <f>"Выдача заемных средств, в "&amp;Ед_измерения_денег&amp;""</f>
        <v>Выдача заемных средств, в  руб.</v>
      </c>
      <c r="C67" s="96"/>
      <c r="D67" s="127"/>
      <c r="E67" s="96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</row>
    <row r="68" spans="2:89" ht="15"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</row>
    <row r="69" spans="2:89" ht="15">
      <c r="B69" s="45" t="str">
        <f t="array" ref="B69:B70">B64:B65</f>
        <v>Выдача средств банка</v>
      </c>
      <c r="C69" s="46"/>
      <c r="D69" s="47">
        <f>SUM(F69:CK69)</f>
        <v>900000000</v>
      </c>
      <c r="E69" s="48"/>
      <c r="F69" s="49">
        <f t="array" ref="F69:CK70">Предпосылки!D205:D206*Финансирование!F64:CK65</f>
        <v>207000000</v>
      </c>
      <c r="G69" s="49">
        <v>0</v>
      </c>
      <c r="H69" s="49">
        <v>0</v>
      </c>
      <c r="I69" s="49">
        <v>450000000</v>
      </c>
      <c r="J69" s="49">
        <v>0</v>
      </c>
      <c r="K69" s="49">
        <v>0</v>
      </c>
      <c r="L69" s="49">
        <v>99000000</v>
      </c>
      <c r="M69" s="49">
        <v>0</v>
      </c>
      <c r="N69" s="49">
        <v>0</v>
      </c>
      <c r="O69" s="49">
        <v>144000000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49">
        <v>0</v>
      </c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49">
        <v>0</v>
      </c>
      <c r="BY69" s="49">
        <v>0</v>
      </c>
      <c r="BZ69" s="49">
        <v>0</v>
      </c>
      <c r="CA69" s="49">
        <v>0</v>
      </c>
      <c r="CB69" s="49">
        <v>0</v>
      </c>
      <c r="CC69" s="49">
        <v>0</v>
      </c>
      <c r="CD69" s="49">
        <v>0</v>
      </c>
      <c r="CE69" s="49">
        <v>0</v>
      </c>
      <c r="CF69" s="49">
        <v>0</v>
      </c>
      <c r="CG69" s="49">
        <v>0</v>
      </c>
      <c r="CH69" s="49">
        <v>0</v>
      </c>
      <c r="CI69" s="49">
        <v>0</v>
      </c>
      <c r="CJ69" s="49">
        <v>0</v>
      </c>
      <c r="CK69" s="49">
        <v>0</v>
      </c>
    </row>
    <row r="70" spans="2:89" ht="15.75" thickBot="1">
      <c r="B70" s="86" t="str">
        <v>Выдача средств инвестора</v>
      </c>
      <c r="C70" s="46"/>
      <c r="D70" s="47">
        <f t="shared" ref="D70" si="121">SUM(F70:CK70)</f>
        <v>300000000</v>
      </c>
      <c r="E70" s="48"/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201000000</v>
      </c>
      <c r="M70" s="176">
        <v>0</v>
      </c>
      <c r="N70" s="176">
        <v>0</v>
      </c>
      <c r="O70" s="176">
        <v>99000000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 s="176">
        <v>0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 s="176">
        <v>0</v>
      </c>
      <c r="BD70" s="176">
        <v>0</v>
      </c>
      <c r="BE70" s="176">
        <v>0</v>
      </c>
      <c r="BF70" s="176">
        <v>0</v>
      </c>
      <c r="BG70" s="176">
        <v>0</v>
      </c>
      <c r="BH70" s="176">
        <v>0</v>
      </c>
      <c r="BI70" s="176">
        <v>0</v>
      </c>
      <c r="BJ70" s="176">
        <v>0</v>
      </c>
      <c r="BK70" s="176">
        <v>0</v>
      </c>
      <c r="BL70" s="176">
        <v>0</v>
      </c>
      <c r="BM70" s="176">
        <v>0</v>
      </c>
      <c r="BN70" s="176">
        <v>0</v>
      </c>
      <c r="BO70" s="176">
        <v>0</v>
      </c>
      <c r="BP70" s="176">
        <v>0</v>
      </c>
      <c r="BQ70" s="176">
        <v>0</v>
      </c>
      <c r="BR70" s="176">
        <v>0</v>
      </c>
      <c r="BS70" s="176">
        <v>0</v>
      </c>
      <c r="BT70" s="176">
        <v>0</v>
      </c>
      <c r="BU70" s="176">
        <v>0</v>
      </c>
      <c r="BV70" s="176">
        <v>0</v>
      </c>
      <c r="BW70" s="176">
        <v>0</v>
      </c>
      <c r="BX70" s="176">
        <v>0</v>
      </c>
      <c r="BY70" s="176">
        <v>0</v>
      </c>
      <c r="BZ70" s="176">
        <v>0</v>
      </c>
      <c r="CA70" s="176">
        <v>0</v>
      </c>
      <c r="CB70" s="176">
        <v>0</v>
      </c>
      <c r="CC70" s="176">
        <v>0</v>
      </c>
      <c r="CD70" s="176">
        <v>0</v>
      </c>
      <c r="CE70" s="176">
        <v>0</v>
      </c>
      <c r="CF70" s="176">
        <v>0</v>
      </c>
      <c r="CG70" s="176">
        <v>0</v>
      </c>
      <c r="CH70" s="176">
        <v>0</v>
      </c>
      <c r="CI70" s="176">
        <v>0</v>
      </c>
      <c r="CJ70" s="176">
        <v>0</v>
      </c>
      <c r="CK70" s="176">
        <v>0</v>
      </c>
    </row>
    <row r="71" spans="2:89" ht="15.75" thickTop="1">
      <c r="B71" s="50" t="s">
        <v>50</v>
      </c>
      <c r="C71" s="51"/>
      <c r="D71" s="52">
        <f>SUM(D69:D70)</f>
        <v>1200000000</v>
      </c>
      <c r="E71" s="53"/>
      <c r="F71" s="54">
        <f t="shared" ref="F71:AK71" si="122">SUM(F69:F70)</f>
        <v>207000000</v>
      </c>
      <c r="G71" s="54">
        <f t="shared" si="122"/>
        <v>0</v>
      </c>
      <c r="H71" s="54">
        <f t="shared" si="122"/>
        <v>0</v>
      </c>
      <c r="I71" s="54">
        <f t="shared" si="122"/>
        <v>450000000</v>
      </c>
      <c r="J71" s="54">
        <f t="shared" si="122"/>
        <v>0</v>
      </c>
      <c r="K71" s="54">
        <f t="shared" si="122"/>
        <v>0</v>
      </c>
      <c r="L71" s="54">
        <f t="shared" si="122"/>
        <v>300000000</v>
      </c>
      <c r="M71" s="54">
        <f t="shared" si="122"/>
        <v>0</v>
      </c>
      <c r="N71" s="54">
        <f t="shared" si="122"/>
        <v>0</v>
      </c>
      <c r="O71" s="54">
        <f t="shared" si="122"/>
        <v>243000000</v>
      </c>
      <c r="P71" s="54">
        <f t="shared" si="122"/>
        <v>0</v>
      </c>
      <c r="Q71" s="54">
        <f t="shared" si="122"/>
        <v>0</v>
      </c>
      <c r="R71" s="54">
        <f t="shared" si="122"/>
        <v>0</v>
      </c>
      <c r="S71" s="54">
        <f t="shared" si="122"/>
        <v>0</v>
      </c>
      <c r="T71" s="54">
        <f t="shared" si="122"/>
        <v>0</v>
      </c>
      <c r="U71" s="54">
        <f t="shared" si="122"/>
        <v>0</v>
      </c>
      <c r="V71" s="54">
        <f t="shared" si="122"/>
        <v>0</v>
      </c>
      <c r="W71" s="54">
        <f t="shared" si="122"/>
        <v>0</v>
      </c>
      <c r="X71" s="54">
        <f t="shared" si="122"/>
        <v>0</v>
      </c>
      <c r="Y71" s="54">
        <f t="shared" si="122"/>
        <v>0</v>
      </c>
      <c r="Z71" s="54">
        <f t="shared" si="122"/>
        <v>0</v>
      </c>
      <c r="AA71" s="54">
        <f t="shared" si="122"/>
        <v>0</v>
      </c>
      <c r="AB71" s="54">
        <f t="shared" si="122"/>
        <v>0</v>
      </c>
      <c r="AC71" s="54">
        <f t="shared" si="122"/>
        <v>0</v>
      </c>
      <c r="AD71" s="54">
        <f t="shared" si="122"/>
        <v>0</v>
      </c>
      <c r="AE71" s="54">
        <f t="shared" si="122"/>
        <v>0</v>
      </c>
      <c r="AF71" s="54">
        <f t="shared" si="122"/>
        <v>0</v>
      </c>
      <c r="AG71" s="54">
        <f t="shared" si="122"/>
        <v>0</v>
      </c>
      <c r="AH71" s="54">
        <f t="shared" si="122"/>
        <v>0</v>
      </c>
      <c r="AI71" s="54">
        <f t="shared" si="122"/>
        <v>0</v>
      </c>
      <c r="AJ71" s="54">
        <f t="shared" si="122"/>
        <v>0</v>
      </c>
      <c r="AK71" s="54">
        <f t="shared" si="122"/>
        <v>0</v>
      </c>
      <c r="AL71" s="54">
        <f t="shared" ref="AL71:BQ71" si="123">SUM(AL69:AL70)</f>
        <v>0</v>
      </c>
      <c r="AM71" s="54">
        <f t="shared" si="123"/>
        <v>0</v>
      </c>
      <c r="AN71" s="54">
        <f t="shared" si="123"/>
        <v>0</v>
      </c>
      <c r="AO71" s="54">
        <f t="shared" si="123"/>
        <v>0</v>
      </c>
      <c r="AP71" s="54">
        <f t="shared" si="123"/>
        <v>0</v>
      </c>
      <c r="AQ71" s="54">
        <f t="shared" si="123"/>
        <v>0</v>
      </c>
      <c r="AR71" s="54">
        <f t="shared" si="123"/>
        <v>0</v>
      </c>
      <c r="AS71" s="54">
        <f t="shared" si="123"/>
        <v>0</v>
      </c>
      <c r="AT71" s="54">
        <f t="shared" si="123"/>
        <v>0</v>
      </c>
      <c r="AU71" s="54">
        <f t="shared" si="123"/>
        <v>0</v>
      </c>
      <c r="AV71" s="54">
        <f t="shared" si="123"/>
        <v>0</v>
      </c>
      <c r="AW71" s="54">
        <f t="shared" si="123"/>
        <v>0</v>
      </c>
      <c r="AX71" s="54">
        <f t="shared" si="123"/>
        <v>0</v>
      </c>
      <c r="AY71" s="54">
        <f t="shared" si="123"/>
        <v>0</v>
      </c>
      <c r="AZ71" s="54">
        <f t="shared" si="123"/>
        <v>0</v>
      </c>
      <c r="BA71" s="54">
        <f t="shared" si="123"/>
        <v>0</v>
      </c>
      <c r="BB71" s="54">
        <f t="shared" si="123"/>
        <v>0</v>
      </c>
      <c r="BC71" s="54">
        <f t="shared" si="123"/>
        <v>0</v>
      </c>
      <c r="BD71" s="54">
        <f t="shared" si="123"/>
        <v>0</v>
      </c>
      <c r="BE71" s="54">
        <f t="shared" si="123"/>
        <v>0</v>
      </c>
      <c r="BF71" s="54">
        <f t="shared" si="123"/>
        <v>0</v>
      </c>
      <c r="BG71" s="54">
        <f t="shared" si="123"/>
        <v>0</v>
      </c>
      <c r="BH71" s="54">
        <f t="shared" si="123"/>
        <v>0</v>
      </c>
      <c r="BI71" s="54">
        <f t="shared" si="123"/>
        <v>0</v>
      </c>
      <c r="BJ71" s="54">
        <f t="shared" si="123"/>
        <v>0</v>
      </c>
      <c r="BK71" s="54">
        <f t="shared" si="123"/>
        <v>0</v>
      </c>
      <c r="BL71" s="54">
        <f t="shared" si="123"/>
        <v>0</v>
      </c>
      <c r="BM71" s="54">
        <f t="shared" si="123"/>
        <v>0</v>
      </c>
      <c r="BN71" s="54">
        <f t="shared" si="123"/>
        <v>0</v>
      </c>
      <c r="BO71" s="54">
        <f t="shared" si="123"/>
        <v>0</v>
      </c>
      <c r="BP71" s="54">
        <f t="shared" si="123"/>
        <v>0</v>
      </c>
      <c r="BQ71" s="54">
        <f t="shared" si="123"/>
        <v>0</v>
      </c>
      <c r="BR71" s="54">
        <f t="shared" ref="BR71:CK71" si="124">SUM(BR69:BR70)</f>
        <v>0</v>
      </c>
      <c r="BS71" s="54">
        <f t="shared" si="124"/>
        <v>0</v>
      </c>
      <c r="BT71" s="54">
        <f t="shared" si="124"/>
        <v>0</v>
      </c>
      <c r="BU71" s="54">
        <f t="shared" si="124"/>
        <v>0</v>
      </c>
      <c r="BV71" s="54">
        <f t="shared" si="124"/>
        <v>0</v>
      </c>
      <c r="BW71" s="54">
        <f t="shared" si="124"/>
        <v>0</v>
      </c>
      <c r="BX71" s="54">
        <f t="shared" si="124"/>
        <v>0</v>
      </c>
      <c r="BY71" s="54">
        <f t="shared" si="124"/>
        <v>0</v>
      </c>
      <c r="BZ71" s="54">
        <f t="shared" si="124"/>
        <v>0</v>
      </c>
      <c r="CA71" s="54">
        <f t="shared" si="124"/>
        <v>0</v>
      </c>
      <c r="CB71" s="54">
        <f t="shared" si="124"/>
        <v>0</v>
      </c>
      <c r="CC71" s="54">
        <f t="shared" si="124"/>
        <v>0</v>
      </c>
      <c r="CD71" s="54">
        <f t="shared" si="124"/>
        <v>0</v>
      </c>
      <c r="CE71" s="54">
        <f t="shared" si="124"/>
        <v>0</v>
      </c>
      <c r="CF71" s="54">
        <f t="shared" si="124"/>
        <v>0</v>
      </c>
      <c r="CG71" s="54">
        <f t="shared" si="124"/>
        <v>0</v>
      </c>
      <c r="CH71" s="54">
        <f t="shared" si="124"/>
        <v>0</v>
      </c>
      <c r="CI71" s="54">
        <f t="shared" si="124"/>
        <v>0</v>
      </c>
      <c r="CJ71" s="54">
        <f t="shared" si="124"/>
        <v>0</v>
      </c>
      <c r="CK71" s="54">
        <f t="shared" si="124"/>
        <v>0</v>
      </c>
    </row>
    <row r="72" spans="2:89" ht="15"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</row>
    <row r="73" spans="2:89" ht="15">
      <c r="B73" s="77" t="s">
        <v>754</v>
      </c>
      <c r="C73" s="124"/>
      <c r="D73" s="152"/>
      <c r="E73" s="153">
        <f>IF(Предпосылки!D207=D71,1,0)</f>
        <v>1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</row>
    <row r="74" spans="2:89" ht="15"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</row>
    <row r="75" spans="2:89" ht="15">
      <c r="B75" s="77" t="s">
        <v>97</v>
      </c>
      <c r="C75" s="78"/>
      <c r="D75" s="98">
        <v>0</v>
      </c>
      <c r="E75" s="79"/>
      <c r="F75" s="80">
        <f>E78</f>
        <v>0</v>
      </c>
      <c r="G75" s="80">
        <f t="shared" ref="G75" si="125">F78</f>
        <v>207000000</v>
      </c>
      <c r="H75" s="80">
        <f t="shared" ref="H75" si="126">G78</f>
        <v>207000000</v>
      </c>
      <c r="I75" s="80">
        <f t="shared" ref="I75" si="127">H78</f>
        <v>207000000</v>
      </c>
      <c r="J75" s="80">
        <f t="shared" ref="J75" si="128">I78</f>
        <v>657000000</v>
      </c>
      <c r="K75" s="80">
        <f t="shared" ref="K75" si="129">J78</f>
        <v>657000000</v>
      </c>
      <c r="L75" s="80">
        <f t="shared" ref="L75" si="130">K78</f>
        <v>657000000</v>
      </c>
      <c r="M75" s="80">
        <f t="shared" ref="M75" si="131">L78</f>
        <v>756000000</v>
      </c>
      <c r="N75" s="80">
        <f t="shared" ref="N75" si="132">M78</f>
        <v>756000000</v>
      </c>
      <c r="O75" s="80">
        <f t="shared" ref="O75" si="133">N78</f>
        <v>756000000</v>
      </c>
      <c r="P75" s="80">
        <f t="shared" ref="P75" si="134">O78</f>
        <v>900000000</v>
      </c>
      <c r="Q75" s="80">
        <f t="shared" ref="Q75" si="135">P78</f>
        <v>900000000</v>
      </c>
      <c r="R75" s="80">
        <f t="shared" ref="R75" si="136">Q78</f>
        <v>900000000</v>
      </c>
      <c r="S75" s="80">
        <f t="shared" ref="S75" si="137">R78</f>
        <v>887500000</v>
      </c>
      <c r="T75" s="80">
        <f t="shared" ref="T75" si="138">S78</f>
        <v>875000000</v>
      </c>
      <c r="U75" s="80">
        <f t="shared" ref="U75" si="139">T78</f>
        <v>862500000</v>
      </c>
      <c r="V75" s="80">
        <f t="shared" ref="V75" si="140">U78</f>
        <v>850000000</v>
      </c>
      <c r="W75" s="80">
        <f t="shared" ref="W75" si="141">V78</f>
        <v>837500000</v>
      </c>
      <c r="X75" s="80">
        <f t="shared" ref="X75" si="142">W78</f>
        <v>825000000</v>
      </c>
      <c r="Y75" s="80">
        <f t="shared" ref="Y75" si="143">X78</f>
        <v>812500000</v>
      </c>
      <c r="Z75" s="80">
        <f t="shared" ref="Z75" si="144">Y78</f>
        <v>800000000</v>
      </c>
      <c r="AA75" s="80">
        <f t="shared" ref="AA75" si="145">Z78</f>
        <v>787500000</v>
      </c>
      <c r="AB75" s="80">
        <f t="shared" ref="AB75" si="146">AA78</f>
        <v>775000000</v>
      </c>
      <c r="AC75" s="80">
        <f t="shared" ref="AC75" si="147">AB78</f>
        <v>762500000</v>
      </c>
      <c r="AD75" s="80">
        <f t="shared" ref="AD75" si="148">AC78</f>
        <v>750000000</v>
      </c>
      <c r="AE75" s="80">
        <f t="shared" ref="AE75" si="149">AD78</f>
        <v>737500000</v>
      </c>
      <c r="AF75" s="80">
        <f t="shared" ref="AF75" si="150">AE78</f>
        <v>725000000</v>
      </c>
      <c r="AG75" s="80">
        <f t="shared" ref="AG75" si="151">AF78</f>
        <v>712500000</v>
      </c>
      <c r="AH75" s="80">
        <f t="shared" ref="AH75" si="152">AG78</f>
        <v>700000000</v>
      </c>
      <c r="AI75" s="80">
        <f t="shared" ref="AI75" si="153">AH78</f>
        <v>687500000</v>
      </c>
      <c r="AJ75" s="80">
        <f t="shared" ref="AJ75" si="154">AI78</f>
        <v>675000000</v>
      </c>
      <c r="AK75" s="80">
        <f t="shared" ref="AK75" si="155">AJ78</f>
        <v>662500000</v>
      </c>
      <c r="AL75" s="80">
        <f t="shared" ref="AL75" si="156">AK78</f>
        <v>650000000</v>
      </c>
      <c r="AM75" s="80">
        <f t="shared" ref="AM75" si="157">AL78</f>
        <v>637500000</v>
      </c>
      <c r="AN75" s="80">
        <f t="shared" ref="AN75" si="158">AM78</f>
        <v>625000000</v>
      </c>
      <c r="AO75" s="80">
        <f t="shared" ref="AO75" si="159">AN78</f>
        <v>612500000</v>
      </c>
      <c r="AP75" s="80">
        <f t="shared" ref="AP75" si="160">AO78</f>
        <v>600000000</v>
      </c>
      <c r="AQ75" s="80">
        <f t="shared" ref="AQ75" si="161">AP78</f>
        <v>587500000</v>
      </c>
      <c r="AR75" s="80">
        <f t="shared" ref="AR75" si="162">AQ78</f>
        <v>575000000</v>
      </c>
      <c r="AS75" s="80">
        <f t="shared" ref="AS75" si="163">AR78</f>
        <v>562500000</v>
      </c>
      <c r="AT75" s="80">
        <f t="shared" ref="AT75" si="164">AS78</f>
        <v>550000000</v>
      </c>
      <c r="AU75" s="80">
        <f t="shared" ref="AU75" si="165">AT78</f>
        <v>537500000</v>
      </c>
      <c r="AV75" s="80">
        <f t="shared" ref="AV75" si="166">AU78</f>
        <v>525000000</v>
      </c>
      <c r="AW75" s="80">
        <f t="shared" ref="AW75" si="167">AV78</f>
        <v>512500000</v>
      </c>
      <c r="AX75" s="80">
        <f t="shared" ref="AX75" si="168">AW78</f>
        <v>500000000</v>
      </c>
      <c r="AY75" s="80">
        <f t="shared" ref="AY75" si="169">AX78</f>
        <v>487500000</v>
      </c>
      <c r="AZ75" s="80">
        <f t="shared" ref="AZ75" si="170">AY78</f>
        <v>475000000</v>
      </c>
      <c r="BA75" s="80">
        <f t="shared" ref="BA75" si="171">AZ78</f>
        <v>462500000</v>
      </c>
      <c r="BB75" s="80">
        <f t="shared" ref="BB75" si="172">BA78</f>
        <v>450000000</v>
      </c>
      <c r="BC75" s="80">
        <f t="shared" ref="BC75" si="173">BB78</f>
        <v>437500000</v>
      </c>
      <c r="BD75" s="80">
        <f t="shared" ref="BD75" si="174">BC78</f>
        <v>425000000</v>
      </c>
      <c r="BE75" s="80">
        <f t="shared" ref="BE75" si="175">BD78</f>
        <v>412500000</v>
      </c>
      <c r="BF75" s="80">
        <f t="shared" ref="BF75" si="176">BE78</f>
        <v>400000000</v>
      </c>
      <c r="BG75" s="80">
        <f t="shared" ref="BG75" si="177">BF78</f>
        <v>387500000</v>
      </c>
      <c r="BH75" s="80">
        <f t="shared" ref="BH75" si="178">BG78</f>
        <v>375000000</v>
      </c>
      <c r="BI75" s="80">
        <f t="shared" ref="BI75" si="179">BH78</f>
        <v>362500000</v>
      </c>
      <c r="BJ75" s="80">
        <f t="shared" ref="BJ75" si="180">BI78</f>
        <v>350000000</v>
      </c>
      <c r="BK75" s="80">
        <f t="shared" ref="BK75" si="181">BJ78</f>
        <v>337500000</v>
      </c>
      <c r="BL75" s="80">
        <f t="shared" ref="BL75" si="182">BK78</f>
        <v>325000000</v>
      </c>
      <c r="BM75" s="80">
        <f t="shared" ref="BM75" si="183">BL78</f>
        <v>312500000</v>
      </c>
      <c r="BN75" s="80">
        <f t="shared" ref="BN75" si="184">BM78</f>
        <v>300000000</v>
      </c>
      <c r="BO75" s="80">
        <f t="shared" ref="BO75" si="185">BN78</f>
        <v>287500000</v>
      </c>
      <c r="BP75" s="80">
        <f t="shared" ref="BP75" si="186">BO78</f>
        <v>275000000</v>
      </c>
      <c r="BQ75" s="80">
        <f t="shared" ref="BQ75" si="187">BP78</f>
        <v>262500000</v>
      </c>
      <c r="BR75" s="80">
        <f t="shared" ref="BR75" si="188">BQ78</f>
        <v>250000000</v>
      </c>
      <c r="BS75" s="80">
        <f t="shared" ref="BS75" si="189">BR78</f>
        <v>237500000</v>
      </c>
      <c r="BT75" s="80">
        <f t="shared" ref="BT75" si="190">BS78</f>
        <v>225000000</v>
      </c>
      <c r="BU75" s="80">
        <f t="shared" ref="BU75" si="191">BT78</f>
        <v>212500000</v>
      </c>
      <c r="BV75" s="80">
        <f t="shared" ref="BV75" si="192">BU78</f>
        <v>200000000</v>
      </c>
      <c r="BW75" s="80">
        <f t="shared" ref="BW75" si="193">BV78</f>
        <v>187500000</v>
      </c>
      <c r="BX75" s="80">
        <f t="shared" ref="BX75" si="194">BW78</f>
        <v>175000000</v>
      </c>
      <c r="BY75" s="80">
        <f t="shared" ref="BY75" si="195">BX78</f>
        <v>162500000</v>
      </c>
      <c r="BZ75" s="80">
        <f t="shared" ref="BZ75" si="196">BY78</f>
        <v>150000000</v>
      </c>
      <c r="CA75" s="80">
        <f t="shared" ref="CA75" si="197">BZ78</f>
        <v>137500000</v>
      </c>
      <c r="CB75" s="80">
        <f t="shared" ref="CB75" si="198">CA78</f>
        <v>125000000</v>
      </c>
      <c r="CC75" s="80">
        <f t="shared" ref="CC75" si="199">CB78</f>
        <v>112500000</v>
      </c>
      <c r="CD75" s="80">
        <f t="shared" ref="CD75" si="200">CC78</f>
        <v>100000000</v>
      </c>
      <c r="CE75" s="80">
        <f t="shared" ref="CE75" si="201">CD78</f>
        <v>87500000</v>
      </c>
      <c r="CF75" s="80">
        <f t="shared" ref="CF75" si="202">CE78</f>
        <v>75000000</v>
      </c>
      <c r="CG75" s="80">
        <f t="shared" ref="CG75" si="203">CF78</f>
        <v>62500000</v>
      </c>
      <c r="CH75" s="80">
        <f t="shared" ref="CH75" si="204">CG78</f>
        <v>50000000</v>
      </c>
      <c r="CI75" s="80">
        <f t="shared" ref="CI75" si="205">CH78</f>
        <v>37500000</v>
      </c>
      <c r="CJ75" s="80">
        <f t="shared" ref="CJ75" si="206">CI78</f>
        <v>25000000</v>
      </c>
      <c r="CK75" s="80">
        <f t="shared" ref="CK75" si="207">CJ78</f>
        <v>12500000</v>
      </c>
    </row>
    <row r="76" spans="2:89" ht="15">
      <c r="B76" s="77" t="s">
        <v>736</v>
      </c>
      <c r="C76" s="78"/>
      <c r="D76" s="98">
        <f>SUM(F76:CK76)</f>
        <v>900000000</v>
      </c>
      <c r="E76" s="79"/>
      <c r="F76" s="80">
        <f>F69</f>
        <v>207000000</v>
      </c>
      <c r="G76" s="80">
        <f t="shared" ref="G76:BR76" si="208">G69</f>
        <v>0</v>
      </c>
      <c r="H76" s="80">
        <f t="shared" si="208"/>
        <v>0</v>
      </c>
      <c r="I76" s="80">
        <f t="shared" si="208"/>
        <v>450000000</v>
      </c>
      <c r="J76" s="80">
        <f t="shared" si="208"/>
        <v>0</v>
      </c>
      <c r="K76" s="80">
        <f t="shared" si="208"/>
        <v>0</v>
      </c>
      <c r="L76" s="80">
        <f t="shared" si="208"/>
        <v>99000000</v>
      </c>
      <c r="M76" s="80">
        <f t="shared" si="208"/>
        <v>0</v>
      </c>
      <c r="N76" s="80">
        <f t="shared" si="208"/>
        <v>0</v>
      </c>
      <c r="O76" s="80">
        <f t="shared" si="208"/>
        <v>144000000</v>
      </c>
      <c r="P76" s="80">
        <f t="shared" si="208"/>
        <v>0</v>
      </c>
      <c r="Q76" s="80">
        <f t="shared" si="208"/>
        <v>0</v>
      </c>
      <c r="R76" s="80">
        <f t="shared" si="208"/>
        <v>0</v>
      </c>
      <c r="S76" s="80">
        <f t="shared" si="208"/>
        <v>0</v>
      </c>
      <c r="T76" s="80">
        <f t="shared" si="208"/>
        <v>0</v>
      </c>
      <c r="U76" s="80">
        <f t="shared" si="208"/>
        <v>0</v>
      </c>
      <c r="V76" s="80">
        <f t="shared" si="208"/>
        <v>0</v>
      </c>
      <c r="W76" s="80">
        <f t="shared" si="208"/>
        <v>0</v>
      </c>
      <c r="X76" s="80">
        <f t="shared" si="208"/>
        <v>0</v>
      </c>
      <c r="Y76" s="80">
        <f t="shared" si="208"/>
        <v>0</v>
      </c>
      <c r="Z76" s="80">
        <f t="shared" si="208"/>
        <v>0</v>
      </c>
      <c r="AA76" s="80">
        <f t="shared" si="208"/>
        <v>0</v>
      </c>
      <c r="AB76" s="80">
        <f t="shared" si="208"/>
        <v>0</v>
      </c>
      <c r="AC76" s="80">
        <f t="shared" si="208"/>
        <v>0</v>
      </c>
      <c r="AD76" s="80">
        <f t="shared" si="208"/>
        <v>0</v>
      </c>
      <c r="AE76" s="80">
        <f t="shared" si="208"/>
        <v>0</v>
      </c>
      <c r="AF76" s="80">
        <f t="shared" si="208"/>
        <v>0</v>
      </c>
      <c r="AG76" s="80">
        <f t="shared" si="208"/>
        <v>0</v>
      </c>
      <c r="AH76" s="80">
        <f t="shared" si="208"/>
        <v>0</v>
      </c>
      <c r="AI76" s="80">
        <f t="shared" si="208"/>
        <v>0</v>
      </c>
      <c r="AJ76" s="80">
        <f t="shared" si="208"/>
        <v>0</v>
      </c>
      <c r="AK76" s="80">
        <f t="shared" si="208"/>
        <v>0</v>
      </c>
      <c r="AL76" s="80">
        <f t="shared" si="208"/>
        <v>0</v>
      </c>
      <c r="AM76" s="80">
        <f t="shared" si="208"/>
        <v>0</v>
      </c>
      <c r="AN76" s="80">
        <f t="shared" si="208"/>
        <v>0</v>
      </c>
      <c r="AO76" s="80">
        <f t="shared" si="208"/>
        <v>0</v>
      </c>
      <c r="AP76" s="80">
        <f t="shared" si="208"/>
        <v>0</v>
      </c>
      <c r="AQ76" s="80">
        <f t="shared" si="208"/>
        <v>0</v>
      </c>
      <c r="AR76" s="80">
        <f t="shared" si="208"/>
        <v>0</v>
      </c>
      <c r="AS76" s="80">
        <f t="shared" si="208"/>
        <v>0</v>
      </c>
      <c r="AT76" s="80">
        <f t="shared" si="208"/>
        <v>0</v>
      </c>
      <c r="AU76" s="80">
        <f t="shared" si="208"/>
        <v>0</v>
      </c>
      <c r="AV76" s="80">
        <f t="shared" si="208"/>
        <v>0</v>
      </c>
      <c r="AW76" s="80">
        <f t="shared" si="208"/>
        <v>0</v>
      </c>
      <c r="AX76" s="80">
        <f t="shared" si="208"/>
        <v>0</v>
      </c>
      <c r="AY76" s="80">
        <f t="shared" si="208"/>
        <v>0</v>
      </c>
      <c r="AZ76" s="80">
        <f t="shared" si="208"/>
        <v>0</v>
      </c>
      <c r="BA76" s="80">
        <f t="shared" si="208"/>
        <v>0</v>
      </c>
      <c r="BB76" s="80">
        <f t="shared" si="208"/>
        <v>0</v>
      </c>
      <c r="BC76" s="80">
        <f t="shared" si="208"/>
        <v>0</v>
      </c>
      <c r="BD76" s="80">
        <f t="shared" si="208"/>
        <v>0</v>
      </c>
      <c r="BE76" s="80">
        <f t="shared" si="208"/>
        <v>0</v>
      </c>
      <c r="BF76" s="80">
        <f t="shared" si="208"/>
        <v>0</v>
      </c>
      <c r="BG76" s="80">
        <f t="shared" si="208"/>
        <v>0</v>
      </c>
      <c r="BH76" s="80">
        <f t="shared" si="208"/>
        <v>0</v>
      </c>
      <c r="BI76" s="80">
        <f t="shared" si="208"/>
        <v>0</v>
      </c>
      <c r="BJ76" s="80">
        <f t="shared" si="208"/>
        <v>0</v>
      </c>
      <c r="BK76" s="80">
        <f t="shared" si="208"/>
        <v>0</v>
      </c>
      <c r="BL76" s="80">
        <f t="shared" si="208"/>
        <v>0</v>
      </c>
      <c r="BM76" s="80">
        <f t="shared" si="208"/>
        <v>0</v>
      </c>
      <c r="BN76" s="80">
        <f t="shared" si="208"/>
        <v>0</v>
      </c>
      <c r="BO76" s="80">
        <f t="shared" si="208"/>
        <v>0</v>
      </c>
      <c r="BP76" s="80">
        <f t="shared" si="208"/>
        <v>0</v>
      </c>
      <c r="BQ76" s="80">
        <f t="shared" si="208"/>
        <v>0</v>
      </c>
      <c r="BR76" s="80">
        <f t="shared" si="208"/>
        <v>0</v>
      </c>
      <c r="BS76" s="80">
        <f t="shared" ref="BS76:CK76" si="209">BS69</f>
        <v>0</v>
      </c>
      <c r="BT76" s="80">
        <f t="shared" si="209"/>
        <v>0</v>
      </c>
      <c r="BU76" s="80">
        <f t="shared" si="209"/>
        <v>0</v>
      </c>
      <c r="BV76" s="80">
        <f t="shared" si="209"/>
        <v>0</v>
      </c>
      <c r="BW76" s="80">
        <f t="shared" si="209"/>
        <v>0</v>
      </c>
      <c r="BX76" s="80">
        <f t="shared" si="209"/>
        <v>0</v>
      </c>
      <c r="BY76" s="80">
        <f t="shared" si="209"/>
        <v>0</v>
      </c>
      <c r="BZ76" s="80">
        <f t="shared" si="209"/>
        <v>0</v>
      </c>
      <c r="CA76" s="80">
        <f t="shared" si="209"/>
        <v>0</v>
      </c>
      <c r="CB76" s="80">
        <f t="shared" si="209"/>
        <v>0</v>
      </c>
      <c r="CC76" s="80">
        <f t="shared" si="209"/>
        <v>0</v>
      </c>
      <c r="CD76" s="80">
        <f t="shared" si="209"/>
        <v>0</v>
      </c>
      <c r="CE76" s="80">
        <f t="shared" si="209"/>
        <v>0</v>
      </c>
      <c r="CF76" s="80">
        <f t="shared" si="209"/>
        <v>0</v>
      </c>
      <c r="CG76" s="80">
        <f t="shared" si="209"/>
        <v>0</v>
      </c>
      <c r="CH76" s="80">
        <f t="shared" si="209"/>
        <v>0</v>
      </c>
      <c r="CI76" s="80">
        <f t="shared" si="209"/>
        <v>0</v>
      </c>
      <c r="CJ76" s="80">
        <f t="shared" si="209"/>
        <v>0</v>
      </c>
      <c r="CK76" s="80">
        <f t="shared" si="209"/>
        <v>0</v>
      </c>
    </row>
    <row r="77" spans="2:89" ht="15.75" thickBot="1">
      <c r="B77" s="77" t="s">
        <v>738</v>
      </c>
      <c r="C77" s="78"/>
      <c r="D77" s="98">
        <f t="shared" ref="D77" si="210">SUM(F77:CK77)</f>
        <v>-900000000</v>
      </c>
      <c r="E77" s="48"/>
      <c r="F77" s="49">
        <f>IF(AND(F18-Предпосылки!$E$214&gt;=0,E78&gt;0.1),-Предпосылки!$D$205/(Предпосылки!$D$216-Предпосылки!$D$214),0)</f>
        <v>0</v>
      </c>
      <c r="G77" s="49">
        <f>IF(AND(G18-Предпосылки!$E$214&gt;=0,F78&gt;0.1),-Предпосылки!$D$205/(Предпосылки!$D$216-Предпосылки!$D$214),0)</f>
        <v>0</v>
      </c>
      <c r="H77" s="49">
        <f>IF(AND(H18-Предпосылки!$E$214&gt;=0,G78&gt;0.1),-Предпосылки!$D$205/(Предпосылки!$D$216-Предпосылки!$D$214),0)</f>
        <v>0</v>
      </c>
      <c r="I77" s="49">
        <f>IF(AND(I18-Предпосылки!$E$214&gt;=0,H78&gt;0.1),-Предпосылки!$D$205/(Предпосылки!$D$216-Предпосылки!$D$214),0)</f>
        <v>0</v>
      </c>
      <c r="J77" s="49">
        <f>IF(AND(J18-Предпосылки!$E$214&gt;=0,I78&gt;0.1),-Предпосылки!$D$205/(Предпосылки!$D$216-Предпосылки!$D$214),0)</f>
        <v>0</v>
      </c>
      <c r="K77" s="49">
        <f>IF(AND(K18-Предпосылки!$E$214&gt;=0,J78&gt;0.1),-Предпосылки!$D$205/(Предпосылки!$D$216-Предпосылки!$D$214),0)</f>
        <v>0</v>
      </c>
      <c r="L77" s="49">
        <f>IF(AND(L18-Предпосылки!$E$214&gt;=0,K78&gt;0.1),-Предпосылки!$D$205/(Предпосылки!$D$216-Предпосылки!$D$214),0)</f>
        <v>0</v>
      </c>
      <c r="M77" s="49">
        <f>IF(AND(M18-Предпосылки!$E$214&gt;=0,L78&gt;0.1),-Предпосылки!$D$205/(Предпосылки!$D$216-Предпосылки!$D$214),0)</f>
        <v>0</v>
      </c>
      <c r="N77" s="49">
        <f>IF(AND(N18-Предпосылки!$E$214&gt;=0,M78&gt;0.1),-Предпосылки!$D$205/(Предпосылки!$D$216-Предпосылки!$D$214),0)</f>
        <v>0</v>
      </c>
      <c r="O77" s="49">
        <f>IF(AND(O18-Предпосылки!$E$214&gt;=0,N78&gt;0.1),-Предпосылки!$D$205/(Предпосылки!$D$216-Предпосылки!$D$214),0)</f>
        <v>0</v>
      </c>
      <c r="P77" s="49">
        <f>IF(AND(P18-Предпосылки!$E$214&gt;=0,O78&gt;0.1),-Предпосылки!$D$205/(Предпосылки!$D$216-Предпосылки!$D$214),0)</f>
        <v>0</v>
      </c>
      <c r="Q77" s="49">
        <f>IF(AND(Q18-Предпосылки!$E$214&gt;=0,P78&gt;0.1),-Предпосылки!$D$205/(Предпосылки!$D$216-Предпосылки!$D$214),0)</f>
        <v>0</v>
      </c>
      <c r="R77" s="49">
        <f>IF(AND(R18-Предпосылки!$E$214&gt;=0,Q78&gt;0.1),-Предпосылки!$D$205/(Предпосылки!$D$216-Предпосылки!$D$214),0)</f>
        <v>-12500000</v>
      </c>
      <c r="S77" s="49">
        <f>IF(AND(S18-Предпосылки!$E$214&gt;=0,R78&gt;0.1),-Предпосылки!$D$205/(Предпосылки!$D$216-Предпосылки!$D$214),0)</f>
        <v>-12500000</v>
      </c>
      <c r="T77" s="49">
        <f>IF(AND(T18-Предпосылки!$E$214&gt;=0,S78&gt;0.1),-Предпосылки!$D$205/(Предпосылки!$D$216-Предпосылки!$D$214),0)</f>
        <v>-12500000</v>
      </c>
      <c r="U77" s="49">
        <f>IF(AND(U18-Предпосылки!$E$214&gt;=0,T78&gt;0.1),-Предпосылки!$D$205/(Предпосылки!$D$216-Предпосылки!$D$214),0)</f>
        <v>-12500000</v>
      </c>
      <c r="V77" s="49">
        <f>IF(AND(V18-Предпосылки!$E$214&gt;=0,U78&gt;0.1),-Предпосылки!$D$205/(Предпосылки!$D$216-Предпосылки!$D$214),0)</f>
        <v>-12500000</v>
      </c>
      <c r="W77" s="49">
        <f>IF(AND(W18-Предпосылки!$E$214&gt;=0,V78&gt;0.1),-Предпосылки!$D$205/(Предпосылки!$D$216-Предпосылки!$D$214),0)</f>
        <v>-12500000</v>
      </c>
      <c r="X77" s="49">
        <f>IF(AND(X18-Предпосылки!$E$214&gt;=0,W78&gt;0.1),-Предпосылки!$D$205/(Предпосылки!$D$216-Предпосылки!$D$214),0)</f>
        <v>-12500000</v>
      </c>
      <c r="Y77" s="49">
        <f>IF(AND(Y18-Предпосылки!$E$214&gt;=0,X78&gt;0.1),-Предпосылки!$D$205/(Предпосылки!$D$216-Предпосылки!$D$214),0)</f>
        <v>-12500000</v>
      </c>
      <c r="Z77" s="49">
        <f>IF(AND(Z18-Предпосылки!$E$214&gt;=0,Y78&gt;0.1),-Предпосылки!$D$205/(Предпосылки!$D$216-Предпосылки!$D$214),0)</f>
        <v>-12500000</v>
      </c>
      <c r="AA77" s="49">
        <f>IF(AND(AA18-Предпосылки!$E$214&gt;=0,Z78&gt;0.1),-Предпосылки!$D$205/(Предпосылки!$D$216-Предпосылки!$D$214),0)</f>
        <v>-12500000</v>
      </c>
      <c r="AB77" s="49">
        <f>IF(AND(AB18-Предпосылки!$E$214&gt;=0,AA78&gt;0.1),-Предпосылки!$D$205/(Предпосылки!$D$216-Предпосылки!$D$214),0)</f>
        <v>-12500000</v>
      </c>
      <c r="AC77" s="49">
        <f>IF(AND(AC18-Предпосылки!$E$214&gt;=0,AB78&gt;0.1),-Предпосылки!$D$205/(Предпосылки!$D$216-Предпосылки!$D$214),0)</f>
        <v>-12500000</v>
      </c>
      <c r="AD77" s="49">
        <f>IF(AND(AD18-Предпосылки!$E$214&gt;=0,AC78&gt;0.1),-Предпосылки!$D$205/(Предпосылки!$D$216-Предпосылки!$D$214),0)</f>
        <v>-12500000</v>
      </c>
      <c r="AE77" s="49">
        <f>IF(AND(AE18-Предпосылки!$E$214&gt;=0,AD78&gt;0.1),-Предпосылки!$D$205/(Предпосылки!$D$216-Предпосылки!$D$214),0)</f>
        <v>-12500000</v>
      </c>
      <c r="AF77" s="49">
        <f>IF(AND(AF18-Предпосылки!$E$214&gt;=0,AE78&gt;0.1),-Предпосылки!$D$205/(Предпосылки!$D$216-Предпосылки!$D$214),0)</f>
        <v>-12500000</v>
      </c>
      <c r="AG77" s="49">
        <f>IF(AND(AG18-Предпосылки!$E$214&gt;=0,AF78&gt;0.1),-Предпосылки!$D$205/(Предпосылки!$D$216-Предпосылки!$D$214),0)</f>
        <v>-12500000</v>
      </c>
      <c r="AH77" s="49">
        <f>IF(AND(AH18-Предпосылки!$E$214&gt;=0,AG78&gt;0.1),-Предпосылки!$D$205/(Предпосылки!$D$216-Предпосылки!$D$214),0)</f>
        <v>-12500000</v>
      </c>
      <c r="AI77" s="49">
        <f>IF(AND(AI18-Предпосылки!$E$214&gt;=0,AH78&gt;0.1),-Предпосылки!$D$205/(Предпосылки!$D$216-Предпосылки!$D$214),0)</f>
        <v>-12500000</v>
      </c>
      <c r="AJ77" s="49">
        <f>IF(AND(AJ18-Предпосылки!$E$214&gt;=0,AI78&gt;0.1),-Предпосылки!$D$205/(Предпосылки!$D$216-Предпосылки!$D$214),0)</f>
        <v>-12500000</v>
      </c>
      <c r="AK77" s="49">
        <f>IF(AND(AK18-Предпосылки!$E$214&gt;=0,AJ78&gt;0.1),-Предпосылки!$D$205/(Предпосылки!$D$216-Предпосылки!$D$214),0)</f>
        <v>-12500000</v>
      </c>
      <c r="AL77" s="49">
        <f>IF(AND(AL18-Предпосылки!$E$214&gt;=0,AK78&gt;0.1),-Предпосылки!$D$205/(Предпосылки!$D$216-Предпосылки!$D$214),0)</f>
        <v>-12500000</v>
      </c>
      <c r="AM77" s="49">
        <f>IF(AND(AM18-Предпосылки!$E$214&gt;=0,AL78&gt;0.1),-Предпосылки!$D$205/(Предпосылки!$D$216-Предпосылки!$D$214),0)</f>
        <v>-12500000</v>
      </c>
      <c r="AN77" s="49">
        <f>IF(AND(AN18-Предпосылки!$E$214&gt;=0,AM78&gt;0.1),-Предпосылки!$D$205/(Предпосылки!$D$216-Предпосылки!$D$214),0)</f>
        <v>-12500000</v>
      </c>
      <c r="AO77" s="49">
        <f>IF(AND(AO18-Предпосылки!$E$214&gt;=0,AN78&gt;0.1),-Предпосылки!$D$205/(Предпосылки!$D$216-Предпосылки!$D$214),0)</f>
        <v>-12500000</v>
      </c>
      <c r="AP77" s="49">
        <f>IF(AND(AP18-Предпосылки!$E$214&gt;=0,AO78&gt;0.1),-Предпосылки!$D$205/(Предпосылки!$D$216-Предпосылки!$D$214),0)</f>
        <v>-12500000</v>
      </c>
      <c r="AQ77" s="49">
        <f>IF(AND(AQ18-Предпосылки!$E$214&gt;=0,AP78&gt;0.1),-Предпосылки!$D$205/(Предпосылки!$D$216-Предпосылки!$D$214),0)</f>
        <v>-12500000</v>
      </c>
      <c r="AR77" s="49">
        <f>IF(AND(AR18-Предпосылки!$E$214&gt;=0,AQ78&gt;0.1),-Предпосылки!$D$205/(Предпосылки!$D$216-Предпосылки!$D$214),0)</f>
        <v>-12500000</v>
      </c>
      <c r="AS77" s="49">
        <f>IF(AND(AS18-Предпосылки!$E$214&gt;=0,AR78&gt;0.1),-Предпосылки!$D$205/(Предпосылки!$D$216-Предпосылки!$D$214),0)</f>
        <v>-12500000</v>
      </c>
      <c r="AT77" s="49">
        <f>IF(AND(AT18-Предпосылки!$E$214&gt;=0,AS78&gt;0.1),-Предпосылки!$D$205/(Предпосылки!$D$216-Предпосылки!$D$214),0)</f>
        <v>-12500000</v>
      </c>
      <c r="AU77" s="49">
        <f>IF(AND(AU18-Предпосылки!$E$214&gt;=0,AT78&gt;0.1),-Предпосылки!$D$205/(Предпосылки!$D$216-Предпосылки!$D$214),0)</f>
        <v>-12500000</v>
      </c>
      <c r="AV77" s="49">
        <f>IF(AND(AV18-Предпосылки!$E$214&gt;=0,AU78&gt;0.1),-Предпосылки!$D$205/(Предпосылки!$D$216-Предпосылки!$D$214),0)</f>
        <v>-12500000</v>
      </c>
      <c r="AW77" s="49">
        <f>IF(AND(AW18-Предпосылки!$E$214&gt;=0,AV78&gt;0.1),-Предпосылки!$D$205/(Предпосылки!$D$216-Предпосылки!$D$214),0)</f>
        <v>-12500000</v>
      </c>
      <c r="AX77" s="49">
        <f>IF(AND(AX18-Предпосылки!$E$214&gt;=0,AW78&gt;0.1),-Предпосылки!$D$205/(Предпосылки!$D$216-Предпосылки!$D$214),0)</f>
        <v>-12500000</v>
      </c>
      <c r="AY77" s="49">
        <f>IF(AND(AY18-Предпосылки!$E$214&gt;=0,AX78&gt;0.1),-Предпосылки!$D$205/(Предпосылки!$D$216-Предпосылки!$D$214),0)</f>
        <v>-12500000</v>
      </c>
      <c r="AZ77" s="49">
        <f>IF(AND(AZ18-Предпосылки!$E$214&gt;=0,AY78&gt;0.1),-Предпосылки!$D$205/(Предпосылки!$D$216-Предпосылки!$D$214),0)</f>
        <v>-12500000</v>
      </c>
      <c r="BA77" s="49">
        <f>IF(AND(BA18-Предпосылки!$E$214&gt;=0,AZ78&gt;0.1),-Предпосылки!$D$205/(Предпосылки!$D$216-Предпосылки!$D$214),0)</f>
        <v>-12500000</v>
      </c>
      <c r="BB77" s="49">
        <f>IF(AND(BB18-Предпосылки!$E$214&gt;=0,BA78&gt;0.1),-Предпосылки!$D$205/(Предпосылки!$D$216-Предпосылки!$D$214),0)</f>
        <v>-12500000</v>
      </c>
      <c r="BC77" s="49">
        <f>IF(AND(BC18-Предпосылки!$E$214&gt;=0,BB78&gt;0.1),-Предпосылки!$D$205/(Предпосылки!$D$216-Предпосылки!$D$214),0)</f>
        <v>-12500000</v>
      </c>
      <c r="BD77" s="49">
        <f>IF(AND(BD18-Предпосылки!$E$214&gt;=0,BC78&gt;0.1),-Предпосылки!$D$205/(Предпосылки!$D$216-Предпосылки!$D$214),0)</f>
        <v>-12500000</v>
      </c>
      <c r="BE77" s="49">
        <f>IF(AND(BE18-Предпосылки!$E$214&gt;=0,BD78&gt;0.1),-Предпосылки!$D$205/(Предпосылки!$D$216-Предпосылки!$D$214),0)</f>
        <v>-12500000</v>
      </c>
      <c r="BF77" s="49">
        <f>IF(AND(BF18-Предпосылки!$E$214&gt;=0,BE78&gt;0.1),-Предпосылки!$D$205/(Предпосылки!$D$216-Предпосылки!$D$214),0)</f>
        <v>-12500000</v>
      </c>
      <c r="BG77" s="49">
        <f>IF(AND(BG18-Предпосылки!$E$214&gt;=0,BF78&gt;0.1),-Предпосылки!$D$205/(Предпосылки!$D$216-Предпосылки!$D$214),0)</f>
        <v>-12500000</v>
      </c>
      <c r="BH77" s="49">
        <f>IF(AND(BH18-Предпосылки!$E$214&gt;=0,BG78&gt;0.1),-Предпосылки!$D$205/(Предпосылки!$D$216-Предпосылки!$D$214),0)</f>
        <v>-12500000</v>
      </c>
      <c r="BI77" s="49">
        <f>IF(AND(BI18-Предпосылки!$E$214&gt;=0,BH78&gt;0.1),-Предпосылки!$D$205/(Предпосылки!$D$216-Предпосылки!$D$214),0)</f>
        <v>-12500000</v>
      </c>
      <c r="BJ77" s="49">
        <f>IF(AND(BJ18-Предпосылки!$E$214&gt;=0,BI78&gt;0.1),-Предпосылки!$D$205/(Предпосылки!$D$216-Предпосылки!$D$214),0)</f>
        <v>-12500000</v>
      </c>
      <c r="BK77" s="49">
        <f>IF(AND(BK18-Предпосылки!$E$214&gt;=0,BJ78&gt;0.1),-Предпосылки!$D$205/(Предпосылки!$D$216-Предпосылки!$D$214),0)</f>
        <v>-12500000</v>
      </c>
      <c r="BL77" s="49">
        <f>IF(AND(BL18-Предпосылки!$E$214&gt;=0,BK78&gt;0.1),-Предпосылки!$D$205/(Предпосылки!$D$216-Предпосылки!$D$214),0)</f>
        <v>-12500000</v>
      </c>
      <c r="BM77" s="49">
        <f>IF(AND(BM18-Предпосылки!$E$214&gt;=0,BL78&gt;0.1),-Предпосылки!$D$205/(Предпосылки!$D$216-Предпосылки!$D$214),0)</f>
        <v>-12500000</v>
      </c>
      <c r="BN77" s="49">
        <f>IF(AND(BN18-Предпосылки!$E$214&gt;=0,BM78&gt;0.1),-Предпосылки!$D$205/(Предпосылки!$D$216-Предпосылки!$D$214),0)</f>
        <v>-12500000</v>
      </c>
      <c r="BO77" s="49">
        <f>IF(AND(BO18-Предпосылки!$E$214&gt;=0,BN78&gt;0.1),-Предпосылки!$D$205/(Предпосылки!$D$216-Предпосылки!$D$214),0)</f>
        <v>-12500000</v>
      </c>
      <c r="BP77" s="49">
        <f>IF(AND(BP18-Предпосылки!$E$214&gt;=0,BO78&gt;0.1),-Предпосылки!$D$205/(Предпосылки!$D$216-Предпосылки!$D$214),0)</f>
        <v>-12500000</v>
      </c>
      <c r="BQ77" s="49">
        <f>IF(AND(BQ18-Предпосылки!$E$214&gt;=0,BP78&gt;0.1),-Предпосылки!$D$205/(Предпосылки!$D$216-Предпосылки!$D$214),0)</f>
        <v>-12500000</v>
      </c>
      <c r="BR77" s="49">
        <f>IF(AND(BR18-Предпосылки!$E$214&gt;=0,BQ78&gt;0.1),-Предпосылки!$D$205/(Предпосылки!$D$216-Предпосылки!$D$214),0)</f>
        <v>-12500000</v>
      </c>
      <c r="BS77" s="49">
        <f>IF(AND(BS18-Предпосылки!$E$214&gt;=0,BR78&gt;0.1),-Предпосылки!$D$205/(Предпосылки!$D$216-Предпосылки!$D$214),0)</f>
        <v>-12500000</v>
      </c>
      <c r="BT77" s="49">
        <f>IF(AND(BT18-Предпосылки!$E$214&gt;=0,BS78&gt;0.1),-Предпосылки!$D$205/(Предпосылки!$D$216-Предпосылки!$D$214),0)</f>
        <v>-12500000</v>
      </c>
      <c r="BU77" s="49">
        <f>IF(AND(BU18-Предпосылки!$E$214&gt;=0,BT78&gt;0.1),-Предпосылки!$D$205/(Предпосылки!$D$216-Предпосылки!$D$214),0)</f>
        <v>-12500000</v>
      </c>
      <c r="BV77" s="49">
        <f>IF(AND(BV18-Предпосылки!$E$214&gt;=0,BU78&gt;0.1),-Предпосылки!$D$205/(Предпосылки!$D$216-Предпосылки!$D$214),0)</f>
        <v>-12500000</v>
      </c>
      <c r="BW77" s="49">
        <f>IF(AND(BW18-Предпосылки!$E$214&gt;=0,BV78&gt;0.1),-Предпосылки!$D$205/(Предпосылки!$D$216-Предпосылки!$D$214),0)</f>
        <v>-12500000</v>
      </c>
      <c r="BX77" s="49">
        <f>IF(AND(BX18-Предпосылки!$E$214&gt;=0,BW78&gt;0.1),-Предпосылки!$D$205/(Предпосылки!$D$216-Предпосылки!$D$214),0)</f>
        <v>-12500000</v>
      </c>
      <c r="BY77" s="49">
        <f>IF(AND(BY18-Предпосылки!$E$214&gt;=0,BX78&gt;0.1),-Предпосылки!$D$205/(Предпосылки!$D$216-Предпосылки!$D$214),0)</f>
        <v>-12500000</v>
      </c>
      <c r="BZ77" s="49">
        <f>IF(AND(BZ18-Предпосылки!$E$214&gt;=0,BY78&gt;0.1),-Предпосылки!$D$205/(Предпосылки!$D$216-Предпосылки!$D$214),0)</f>
        <v>-12500000</v>
      </c>
      <c r="CA77" s="49">
        <f>IF(AND(CA18-Предпосылки!$E$214&gt;=0,BZ78&gt;0.1),-Предпосылки!$D$205/(Предпосылки!$D$216-Предпосылки!$D$214),0)</f>
        <v>-12500000</v>
      </c>
      <c r="CB77" s="49">
        <f>IF(AND(CB18-Предпосылки!$E$214&gt;=0,CA78&gt;0.1),-Предпосылки!$D$205/(Предпосылки!$D$216-Предпосылки!$D$214),0)</f>
        <v>-12500000</v>
      </c>
      <c r="CC77" s="49">
        <f>IF(AND(CC18-Предпосылки!$E$214&gt;=0,CB78&gt;0.1),-Предпосылки!$D$205/(Предпосылки!$D$216-Предпосылки!$D$214),0)</f>
        <v>-12500000</v>
      </c>
      <c r="CD77" s="49">
        <f>IF(AND(CD18-Предпосылки!$E$214&gt;=0,CC78&gt;0.1),-Предпосылки!$D$205/(Предпосылки!$D$216-Предпосылки!$D$214),0)</f>
        <v>-12500000</v>
      </c>
      <c r="CE77" s="49">
        <f>IF(AND(CE18-Предпосылки!$E$214&gt;=0,CD78&gt;0.1),-Предпосылки!$D$205/(Предпосылки!$D$216-Предпосылки!$D$214),0)</f>
        <v>-12500000</v>
      </c>
      <c r="CF77" s="49">
        <f>IF(AND(CF18-Предпосылки!$E$214&gt;=0,CE78&gt;0.1),-Предпосылки!$D$205/(Предпосылки!$D$216-Предпосылки!$D$214),0)</f>
        <v>-12500000</v>
      </c>
      <c r="CG77" s="49">
        <f>IF(AND(CG18-Предпосылки!$E$214&gt;=0,CF78&gt;0.1),-Предпосылки!$D$205/(Предпосылки!$D$216-Предпосылки!$D$214),0)</f>
        <v>-12500000</v>
      </c>
      <c r="CH77" s="49">
        <f>IF(AND(CH18-Предпосылки!$E$214&gt;=0,CG78&gt;0.1),-Предпосылки!$D$205/(Предпосылки!$D$216-Предпосылки!$D$214),0)</f>
        <v>-12500000</v>
      </c>
      <c r="CI77" s="49">
        <f>IF(AND(CI18-Предпосылки!$E$214&gt;=0,CH78&gt;0.1),-Предпосылки!$D$205/(Предпосылки!$D$216-Предпосылки!$D$214),0)</f>
        <v>-12500000</v>
      </c>
      <c r="CJ77" s="49">
        <f>IF(AND(CJ18-Предпосылки!$E$214&gt;=0,CI78&gt;0.1),-Предпосылки!$D$205/(Предпосылки!$D$216-Предпосылки!$D$214),0)</f>
        <v>-12500000</v>
      </c>
      <c r="CK77" s="49">
        <f>IF(AND(CK18-Предпосылки!$E$214&gt;=0,CJ78&gt;0.1),-Предпосылки!$D$205/(Предпосылки!$D$216-Предпосылки!$D$214),0)</f>
        <v>-12500000</v>
      </c>
    </row>
    <row r="78" spans="2:89" ht="15.75" thickTop="1">
      <c r="B78" s="50" t="s">
        <v>99</v>
      </c>
      <c r="C78" s="51"/>
      <c r="D78" s="52">
        <f>SUM(D75:D77)</f>
        <v>0</v>
      </c>
      <c r="E78" s="53"/>
      <c r="F78" s="54">
        <f t="shared" ref="F78:AK78" si="211">SUM(F75:F77)</f>
        <v>207000000</v>
      </c>
      <c r="G78" s="54">
        <f t="shared" si="211"/>
        <v>207000000</v>
      </c>
      <c r="H78" s="54">
        <f t="shared" si="211"/>
        <v>207000000</v>
      </c>
      <c r="I78" s="54">
        <f t="shared" si="211"/>
        <v>657000000</v>
      </c>
      <c r="J78" s="54">
        <f t="shared" si="211"/>
        <v>657000000</v>
      </c>
      <c r="K78" s="54">
        <f t="shared" si="211"/>
        <v>657000000</v>
      </c>
      <c r="L78" s="54">
        <f t="shared" si="211"/>
        <v>756000000</v>
      </c>
      <c r="M78" s="54">
        <f t="shared" si="211"/>
        <v>756000000</v>
      </c>
      <c r="N78" s="54">
        <f t="shared" si="211"/>
        <v>756000000</v>
      </c>
      <c r="O78" s="54">
        <f t="shared" si="211"/>
        <v>900000000</v>
      </c>
      <c r="P78" s="54">
        <f t="shared" si="211"/>
        <v>900000000</v>
      </c>
      <c r="Q78" s="54">
        <f t="shared" si="211"/>
        <v>900000000</v>
      </c>
      <c r="R78" s="54">
        <f t="shared" si="211"/>
        <v>887500000</v>
      </c>
      <c r="S78" s="54">
        <f t="shared" si="211"/>
        <v>875000000</v>
      </c>
      <c r="T78" s="54">
        <f t="shared" si="211"/>
        <v>862500000</v>
      </c>
      <c r="U78" s="54">
        <f t="shared" si="211"/>
        <v>850000000</v>
      </c>
      <c r="V78" s="54">
        <f t="shared" si="211"/>
        <v>837500000</v>
      </c>
      <c r="W78" s="54">
        <f t="shared" si="211"/>
        <v>825000000</v>
      </c>
      <c r="X78" s="54">
        <f t="shared" si="211"/>
        <v>812500000</v>
      </c>
      <c r="Y78" s="54">
        <f t="shared" si="211"/>
        <v>800000000</v>
      </c>
      <c r="Z78" s="54">
        <f t="shared" si="211"/>
        <v>787500000</v>
      </c>
      <c r="AA78" s="54">
        <f t="shared" si="211"/>
        <v>775000000</v>
      </c>
      <c r="AB78" s="54">
        <f t="shared" si="211"/>
        <v>762500000</v>
      </c>
      <c r="AC78" s="54">
        <f t="shared" si="211"/>
        <v>750000000</v>
      </c>
      <c r="AD78" s="54">
        <f t="shared" si="211"/>
        <v>737500000</v>
      </c>
      <c r="AE78" s="54">
        <f t="shared" si="211"/>
        <v>725000000</v>
      </c>
      <c r="AF78" s="54">
        <f t="shared" si="211"/>
        <v>712500000</v>
      </c>
      <c r="AG78" s="54">
        <f t="shared" si="211"/>
        <v>700000000</v>
      </c>
      <c r="AH78" s="54">
        <f t="shared" si="211"/>
        <v>687500000</v>
      </c>
      <c r="AI78" s="54">
        <f t="shared" si="211"/>
        <v>675000000</v>
      </c>
      <c r="AJ78" s="54">
        <f t="shared" si="211"/>
        <v>662500000</v>
      </c>
      <c r="AK78" s="54">
        <f t="shared" si="211"/>
        <v>650000000</v>
      </c>
      <c r="AL78" s="54">
        <f t="shared" ref="AL78:BQ78" si="212">SUM(AL75:AL77)</f>
        <v>637500000</v>
      </c>
      <c r="AM78" s="54">
        <f t="shared" si="212"/>
        <v>625000000</v>
      </c>
      <c r="AN78" s="54">
        <f t="shared" si="212"/>
        <v>612500000</v>
      </c>
      <c r="AO78" s="54">
        <f t="shared" si="212"/>
        <v>600000000</v>
      </c>
      <c r="AP78" s="54">
        <f t="shared" si="212"/>
        <v>587500000</v>
      </c>
      <c r="AQ78" s="54">
        <f t="shared" si="212"/>
        <v>575000000</v>
      </c>
      <c r="AR78" s="54">
        <f t="shared" si="212"/>
        <v>562500000</v>
      </c>
      <c r="AS78" s="54">
        <f t="shared" si="212"/>
        <v>550000000</v>
      </c>
      <c r="AT78" s="54">
        <f t="shared" si="212"/>
        <v>537500000</v>
      </c>
      <c r="AU78" s="54">
        <f t="shared" si="212"/>
        <v>525000000</v>
      </c>
      <c r="AV78" s="54">
        <f t="shared" si="212"/>
        <v>512500000</v>
      </c>
      <c r="AW78" s="54">
        <f t="shared" si="212"/>
        <v>500000000</v>
      </c>
      <c r="AX78" s="54">
        <f t="shared" si="212"/>
        <v>487500000</v>
      </c>
      <c r="AY78" s="54">
        <f t="shared" si="212"/>
        <v>475000000</v>
      </c>
      <c r="AZ78" s="54">
        <f t="shared" si="212"/>
        <v>462500000</v>
      </c>
      <c r="BA78" s="54">
        <f t="shared" si="212"/>
        <v>450000000</v>
      </c>
      <c r="BB78" s="54">
        <f t="shared" si="212"/>
        <v>437500000</v>
      </c>
      <c r="BC78" s="54">
        <f t="shared" si="212"/>
        <v>425000000</v>
      </c>
      <c r="BD78" s="54">
        <f t="shared" si="212"/>
        <v>412500000</v>
      </c>
      <c r="BE78" s="54">
        <f t="shared" si="212"/>
        <v>400000000</v>
      </c>
      <c r="BF78" s="54">
        <f t="shared" si="212"/>
        <v>387500000</v>
      </c>
      <c r="BG78" s="54">
        <f t="shared" si="212"/>
        <v>375000000</v>
      </c>
      <c r="BH78" s="54">
        <f t="shared" si="212"/>
        <v>362500000</v>
      </c>
      <c r="BI78" s="54">
        <f t="shared" si="212"/>
        <v>350000000</v>
      </c>
      <c r="BJ78" s="54">
        <f t="shared" si="212"/>
        <v>337500000</v>
      </c>
      <c r="BK78" s="54">
        <f t="shared" si="212"/>
        <v>325000000</v>
      </c>
      <c r="BL78" s="54">
        <f t="shared" si="212"/>
        <v>312500000</v>
      </c>
      <c r="BM78" s="54">
        <f t="shared" si="212"/>
        <v>300000000</v>
      </c>
      <c r="BN78" s="54">
        <f t="shared" si="212"/>
        <v>287500000</v>
      </c>
      <c r="BO78" s="54">
        <f t="shared" si="212"/>
        <v>275000000</v>
      </c>
      <c r="BP78" s="54">
        <f t="shared" si="212"/>
        <v>262500000</v>
      </c>
      <c r="BQ78" s="54">
        <f t="shared" si="212"/>
        <v>250000000</v>
      </c>
      <c r="BR78" s="54">
        <f t="shared" ref="BR78:CK78" si="213">SUM(BR75:BR77)</f>
        <v>237500000</v>
      </c>
      <c r="BS78" s="54">
        <f t="shared" si="213"/>
        <v>225000000</v>
      </c>
      <c r="BT78" s="54">
        <f t="shared" si="213"/>
        <v>212500000</v>
      </c>
      <c r="BU78" s="54">
        <f t="shared" si="213"/>
        <v>200000000</v>
      </c>
      <c r="BV78" s="54">
        <f t="shared" si="213"/>
        <v>187500000</v>
      </c>
      <c r="BW78" s="54">
        <f t="shared" si="213"/>
        <v>175000000</v>
      </c>
      <c r="BX78" s="54">
        <f t="shared" si="213"/>
        <v>162500000</v>
      </c>
      <c r="BY78" s="54">
        <f t="shared" si="213"/>
        <v>150000000</v>
      </c>
      <c r="BZ78" s="54">
        <f t="shared" si="213"/>
        <v>137500000</v>
      </c>
      <c r="CA78" s="54">
        <f t="shared" si="213"/>
        <v>125000000</v>
      </c>
      <c r="CB78" s="54">
        <f t="shared" si="213"/>
        <v>112500000</v>
      </c>
      <c r="CC78" s="54">
        <f t="shared" si="213"/>
        <v>100000000</v>
      </c>
      <c r="CD78" s="54">
        <f t="shared" si="213"/>
        <v>87500000</v>
      </c>
      <c r="CE78" s="54">
        <f t="shared" si="213"/>
        <v>75000000</v>
      </c>
      <c r="CF78" s="54">
        <f t="shared" si="213"/>
        <v>62500000</v>
      </c>
      <c r="CG78" s="54">
        <f t="shared" si="213"/>
        <v>50000000</v>
      </c>
      <c r="CH78" s="54">
        <f t="shared" si="213"/>
        <v>37500000</v>
      </c>
      <c r="CI78" s="54">
        <f t="shared" si="213"/>
        <v>25000000</v>
      </c>
      <c r="CJ78" s="54">
        <f t="shared" si="213"/>
        <v>12500000</v>
      </c>
      <c r="CK78" s="54">
        <f t="shared" si="213"/>
        <v>0</v>
      </c>
    </row>
    <row r="79" spans="2:89" ht="15"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</row>
    <row r="80" spans="2:89" ht="15">
      <c r="B80" s="77" t="s">
        <v>97</v>
      </c>
      <c r="C80" s="78"/>
      <c r="D80" s="98">
        <v>0</v>
      </c>
      <c r="E80" s="79"/>
      <c r="F80" s="80">
        <f>E83</f>
        <v>0</v>
      </c>
      <c r="G80" s="80">
        <f t="shared" ref="G80" si="214">F83</f>
        <v>0</v>
      </c>
      <c r="H80" s="80">
        <f t="shared" ref="H80" si="215">G83</f>
        <v>0</v>
      </c>
      <c r="I80" s="80">
        <f t="shared" ref="I80" si="216">H83</f>
        <v>0</v>
      </c>
      <c r="J80" s="80">
        <f t="shared" ref="J80" si="217">I83</f>
        <v>0</v>
      </c>
      <c r="K80" s="80">
        <f t="shared" ref="K80" si="218">J83</f>
        <v>0</v>
      </c>
      <c r="L80" s="80">
        <f t="shared" ref="L80" si="219">K83</f>
        <v>0</v>
      </c>
      <c r="M80" s="80">
        <f t="shared" ref="M80" si="220">L83</f>
        <v>201000000</v>
      </c>
      <c r="N80" s="80">
        <f t="shared" ref="N80" si="221">M83</f>
        <v>201000000</v>
      </c>
      <c r="O80" s="80">
        <f t="shared" ref="O80" si="222">N83</f>
        <v>201000000</v>
      </c>
      <c r="P80" s="80">
        <f t="shared" ref="P80" si="223">O83</f>
        <v>300000000</v>
      </c>
      <c r="Q80" s="80">
        <f t="shared" ref="Q80" si="224">P83</f>
        <v>300000000</v>
      </c>
      <c r="R80" s="80">
        <f t="shared" ref="R80" si="225">Q83</f>
        <v>300000000</v>
      </c>
      <c r="S80" s="80">
        <f t="shared" ref="S80" si="226">R83</f>
        <v>300000000</v>
      </c>
      <c r="T80" s="80">
        <f t="shared" ref="T80" si="227">S83</f>
        <v>300000000</v>
      </c>
      <c r="U80" s="80">
        <f t="shared" ref="U80" si="228">T83</f>
        <v>300000000</v>
      </c>
      <c r="V80" s="80">
        <f t="shared" ref="V80" si="229">U83</f>
        <v>300000000</v>
      </c>
      <c r="W80" s="80">
        <f t="shared" ref="W80" si="230">V83</f>
        <v>300000000</v>
      </c>
      <c r="X80" s="80">
        <f t="shared" ref="X80" si="231">W83</f>
        <v>300000000</v>
      </c>
      <c r="Y80" s="80">
        <f t="shared" ref="Y80" si="232">X83</f>
        <v>300000000</v>
      </c>
      <c r="Z80" s="80">
        <f t="shared" ref="Z80" si="233">Y83</f>
        <v>300000000</v>
      </c>
      <c r="AA80" s="80">
        <f t="shared" ref="AA80" si="234">Z83</f>
        <v>300000000</v>
      </c>
      <c r="AB80" s="80">
        <f t="shared" ref="AB80" si="235">AA83</f>
        <v>300000000</v>
      </c>
      <c r="AC80" s="80">
        <f t="shared" ref="AC80" si="236">AB83</f>
        <v>300000000</v>
      </c>
      <c r="AD80" s="80">
        <f t="shared" ref="AD80" si="237">AC83</f>
        <v>300000000</v>
      </c>
      <c r="AE80" s="80">
        <f t="shared" ref="AE80" si="238">AD83</f>
        <v>292857142.85714287</v>
      </c>
      <c r="AF80" s="80">
        <f t="shared" ref="AF80" si="239">AE83</f>
        <v>285714285.71428573</v>
      </c>
      <c r="AG80" s="80">
        <f t="shared" ref="AG80" si="240">AF83</f>
        <v>278571428.5714286</v>
      </c>
      <c r="AH80" s="80">
        <f t="shared" ref="AH80" si="241">AG83</f>
        <v>271428571.42857146</v>
      </c>
      <c r="AI80" s="80">
        <f t="shared" ref="AI80" si="242">AH83</f>
        <v>264285714.28571433</v>
      </c>
      <c r="AJ80" s="80">
        <f t="shared" ref="AJ80" si="243">AI83</f>
        <v>257142857.14285719</v>
      </c>
      <c r="AK80" s="80">
        <f t="shared" ref="AK80" si="244">AJ83</f>
        <v>250000000.00000006</v>
      </c>
      <c r="AL80" s="80">
        <f t="shared" ref="AL80" si="245">AK83</f>
        <v>242857142.85714293</v>
      </c>
      <c r="AM80" s="80">
        <f t="shared" ref="AM80" si="246">AL83</f>
        <v>235714285.71428579</v>
      </c>
      <c r="AN80" s="80">
        <f t="shared" ref="AN80" si="247">AM83</f>
        <v>228571428.57142866</v>
      </c>
      <c r="AO80" s="80">
        <f t="shared" ref="AO80" si="248">AN83</f>
        <v>221428571.42857152</v>
      </c>
      <c r="AP80" s="80">
        <f t="shared" ref="AP80" si="249">AO83</f>
        <v>214285714.28571439</v>
      </c>
      <c r="AQ80" s="80">
        <f t="shared" ref="AQ80" si="250">AP83</f>
        <v>207142857.14285725</v>
      </c>
      <c r="AR80" s="80">
        <f t="shared" ref="AR80" si="251">AQ83</f>
        <v>200000000.00000012</v>
      </c>
      <c r="AS80" s="80">
        <f t="shared" ref="AS80" si="252">AR83</f>
        <v>192857142.85714298</v>
      </c>
      <c r="AT80" s="80">
        <f t="shared" ref="AT80" si="253">AS83</f>
        <v>185714285.71428585</v>
      </c>
      <c r="AU80" s="80">
        <f t="shared" ref="AU80" si="254">AT83</f>
        <v>178571428.57142872</v>
      </c>
      <c r="AV80" s="80">
        <f t="shared" ref="AV80" si="255">AU83</f>
        <v>171428571.42857158</v>
      </c>
      <c r="AW80" s="80">
        <f t="shared" ref="AW80" si="256">AV83</f>
        <v>164285714.28571445</v>
      </c>
      <c r="AX80" s="80">
        <f t="shared" ref="AX80" si="257">AW83</f>
        <v>157142857.14285731</v>
      </c>
      <c r="AY80" s="80">
        <f t="shared" ref="AY80" si="258">AX83</f>
        <v>150000000.00000018</v>
      </c>
      <c r="AZ80" s="80">
        <f t="shared" ref="AZ80" si="259">AY83</f>
        <v>142857142.85714304</v>
      </c>
      <c r="BA80" s="80">
        <f t="shared" ref="BA80" si="260">AZ83</f>
        <v>135714285.71428591</v>
      </c>
      <c r="BB80" s="80">
        <f t="shared" ref="BB80" si="261">BA83</f>
        <v>128571428.57142876</v>
      </c>
      <c r="BC80" s="80">
        <f t="shared" ref="BC80" si="262">BB83</f>
        <v>121428571.42857161</v>
      </c>
      <c r="BD80" s="80">
        <f t="shared" ref="BD80" si="263">BC83</f>
        <v>114285714.28571446</v>
      </c>
      <c r="BE80" s="80">
        <f t="shared" ref="BE80" si="264">BD83</f>
        <v>107142857.14285731</v>
      </c>
      <c r="BF80" s="80">
        <f t="shared" ref="BF80" si="265">BE83</f>
        <v>100000000.00000016</v>
      </c>
      <c r="BG80" s="80">
        <f t="shared" ref="BG80" si="266">BF83</f>
        <v>92857142.857143015</v>
      </c>
      <c r="BH80" s="80">
        <f t="shared" ref="BH80" si="267">BG83</f>
        <v>85714285.714285865</v>
      </c>
      <c r="BI80" s="80">
        <f t="shared" ref="BI80" si="268">BH83</f>
        <v>78571428.571428716</v>
      </c>
      <c r="BJ80" s="80">
        <f t="shared" ref="BJ80" si="269">BI83</f>
        <v>71428571.428571567</v>
      </c>
      <c r="BK80" s="80">
        <f t="shared" ref="BK80" si="270">BJ83</f>
        <v>64285714.285714425</v>
      </c>
      <c r="BL80" s="80">
        <f t="shared" ref="BL80" si="271">BK83</f>
        <v>57142857.142857283</v>
      </c>
      <c r="BM80" s="80">
        <f t="shared" ref="BM80" si="272">BL83</f>
        <v>50000000.000000142</v>
      </c>
      <c r="BN80" s="80">
        <f t="shared" ref="BN80" si="273">BM83</f>
        <v>42857142.857143</v>
      </c>
      <c r="BO80" s="80">
        <f t="shared" ref="BO80" si="274">BN83</f>
        <v>35714285.714285858</v>
      </c>
      <c r="BP80" s="80">
        <f t="shared" ref="BP80" si="275">BO83</f>
        <v>28571428.571428716</v>
      </c>
      <c r="BQ80" s="80">
        <f t="shared" ref="BQ80" si="276">BP83</f>
        <v>21428571.428571574</v>
      </c>
      <c r="BR80" s="80">
        <f t="shared" ref="BR80" si="277">BQ83</f>
        <v>14285714.285714433</v>
      </c>
      <c r="BS80" s="80">
        <f t="shared" ref="BS80" si="278">BR83</f>
        <v>7142857.1428572899</v>
      </c>
      <c r="BT80" s="80">
        <f t="shared" ref="BT80" si="279">BS83</f>
        <v>1.4714896678924561E-7</v>
      </c>
      <c r="BU80" s="80">
        <f t="shared" ref="BU80" si="280">BT83</f>
        <v>1.4714896678924561E-7</v>
      </c>
      <c r="BV80" s="80">
        <f t="shared" ref="BV80" si="281">BU83</f>
        <v>1.4714896678924561E-7</v>
      </c>
      <c r="BW80" s="80">
        <f t="shared" ref="BW80" si="282">BV83</f>
        <v>1.4714896678924561E-7</v>
      </c>
      <c r="BX80" s="80">
        <f t="shared" ref="BX80" si="283">BW83</f>
        <v>1.4714896678924561E-7</v>
      </c>
      <c r="BY80" s="80">
        <f t="shared" ref="BY80" si="284">BX83</f>
        <v>1.4714896678924561E-7</v>
      </c>
      <c r="BZ80" s="80">
        <f t="shared" ref="BZ80" si="285">BY83</f>
        <v>1.4714896678924561E-7</v>
      </c>
      <c r="CA80" s="80">
        <f t="shared" ref="CA80" si="286">BZ83</f>
        <v>1.4714896678924561E-7</v>
      </c>
      <c r="CB80" s="80">
        <f t="shared" ref="CB80" si="287">CA83</f>
        <v>1.4714896678924561E-7</v>
      </c>
      <c r="CC80" s="80">
        <f t="shared" ref="CC80" si="288">CB83</f>
        <v>1.4714896678924561E-7</v>
      </c>
      <c r="CD80" s="80">
        <f t="shared" ref="CD80" si="289">CC83</f>
        <v>1.4714896678924561E-7</v>
      </c>
      <c r="CE80" s="80">
        <f t="shared" ref="CE80" si="290">CD83</f>
        <v>1.4714896678924561E-7</v>
      </c>
      <c r="CF80" s="80">
        <f t="shared" ref="CF80" si="291">CE83</f>
        <v>1.4714896678924561E-7</v>
      </c>
      <c r="CG80" s="80">
        <f t="shared" ref="CG80" si="292">CF83</f>
        <v>1.4714896678924561E-7</v>
      </c>
      <c r="CH80" s="80">
        <f t="shared" ref="CH80" si="293">CG83</f>
        <v>1.4714896678924561E-7</v>
      </c>
      <c r="CI80" s="80">
        <f t="shared" ref="CI80" si="294">CH83</f>
        <v>1.4714896678924561E-7</v>
      </c>
      <c r="CJ80" s="80">
        <f t="shared" ref="CJ80" si="295">CI83</f>
        <v>1.4714896678924561E-7</v>
      </c>
      <c r="CK80" s="80">
        <f t="shared" ref="CK80" si="296">CJ83</f>
        <v>1.4714896678924561E-7</v>
      </c>
    </row>
    <row r="81" spans="2:89" ht="15">
      <c r="B81" s="77" t="s">
        <v>737</v>
      </c>
      <c r="C81" s="78"/>
      <c r="D81" s="98">
        <f>SUM(F81:CK81)</f>
        <v>300000000</v>
      </c>
      <c r="E81" s="79"/>
      <c r="F81" s="80">
        <f>F70</f>
        <v>0</v>
      </c>
      <c r="G81" s="80">
        <f t="shared" ref="G81:BR81" si="297">G70</f>
        <v>0</v>
      </c>
      <c r="H81" s="80">
        <f t="shared" si="297"/>
        <v>0</v>
      </c>
      <c r="I81" s="80">
        <f t="shared" si="297"/>
        <v>0</v>
      </c>
      <c r="J81" s="80">
        <f t="shared" si="297"/>
        <v>0</v>
      </c>
      <c r="K81" s="80">
        <f t="shared" si="297"/>
        <v>0</v>
      </c>
      <c r="L81" s="80">
        <f t="shared" si="297"/>
        <v>201000000</v>
      </c>
      <c r="M81" s="80">
        <f t="shared" si="297"/>
        <v>0</v>
      </c>
      <c r="N81" s="80">
        <f t="shared" si="297"/>
        <v>0</v>
      </c>
      <c r="O81" s="80">
        <f t="shared" si="297"/>
        <v>99000000</v>
      </c>
      <c r="P81" s="80">
        <f t="shared" si="297"/>
        <v>0</v>
      </c>
      <c r="Q81" s="80">
        <f t="shared" si="297"/>
        <v>0</v>
      </c>
      <c r="R81" s="80">
        <f t="shared" si="297"/>
        <v>0</v>
      </c>
      <c r="S81" s="80">
        <f t="shared" si="297"/>
        <v>0</v>
      </c>
      <c r="T81" s="80">
        <f t="shared" si="297"/>
        <v>0</v>
      </c>
      <c r="U81" s="80">
        <f t="shared" si="297"/>
        <v>0</v>
      </c>
      <c r="V81" s="80">
        <f t="shared" si="297"/>
        <v>0</v>
      </c>
      <c r="W81" s="80">
        <f t="shared" si="297"/>
        <v>0</v>
      </c>
      <c r="X81" s="80">
        <f t="shared" si="297"/>
        <v>0</v>
      </c>
      <c r="Y81" s="80">
        <f t="shared" si="297"/>
        <v>0</v>
      </c>
      <c r="Z81" s="80">
        <f t="shared" si="297"/>
        <v>0</v>
      </c>
      <c r="AA81" s="80">
        <f t="shared" si="297"/>
        <v>0</v>
      </c>
      <c r="AB81" s="80">
        <f t="shared" si="297"/>
        <v>0</v>
      </c>
      <c r="AC81" s="80">
        <f t="shared" si="297"/>
        <v>0</v>
      </c>
      <c r="AD81" s="80">
        <f t="shared" si="297"/>
        <v>0</v>
      </c>
      <c r="AE81" s="80">
        <f t="shared" si="297"/>
        <v>0</v>
      </c>
      <c r="AF81" s="80">
        <f t="shared" si="297"/>
        <v>0</v>
      </c>
      <c r="AG81" s="80">
        <f t="shared" si="297"/>
        <v>0</v>
      </c>
      <c r="AH81" s="80">
        <f t="shared" si="297"/>
        <v>0</v>
      </c>
      <c r="AI81" s="80">
        <f t="shared" si="297"/>
        <v>0</v>
      </c>
      <c r="AJ81" s="80">
        <f t="shared" si="297"/>
        <v>0</v>
      </c>
      <c r="AK81" s="80">
        <f t="shared" si="297"/>
        <v>0</v>
      </c>
      <c r="AL81" s="80">
        <f t="shared" si="297"/>
        <v>0</v>
      </c>
      <c r="AM81" s="80">
        <f t="shared" si="297"/>
        <v>0</v>
      </c>
      <c r="AN81" s="80">
        <f t="shared" si="297"/>
        <v>0</v>
      </c>
      <c r="AO81" s="80">
        <f t="shared" si="297"/>
        <v>0</v>
      </c>
      <c r="AP81" s="80">
        <f t="shared" si="297"/>
        <v>0</v>
      </c>
      <c r="AQ81" s="80">
        <f t="shared" si="297"/>
        <v>0</v>
      </c>
      <c r="AR81" s="80">
        <f t="shared" si="297"/>
        <v>0</v>
      </c>
      <c r="AS81" s="80">
        <f t="shared" si="297"/>
        <v>0</v>
      </c>
      <c r="AT81" s="80">
        <f t="shared" si="297"/>
        <v>0</v>
      </c>
      <c r="AU81" s="80">
        <f t="shared" si="297"/>
        <v>0</v>
      </c>
      <c r="AV81" s="80">
        <f t="shared" si="297"/>
        <v>0</v>
      </c>
      <c r="AW81" s="80">
        <f t="shared" si="297"/>
        <v>0</v>
      </c>
      <c r="AX81" s="80">
        <f t="shared" si="297"/>
        <v>0</v>
      </c>
      <c r="AY81" s="80">
        <f t="shared" si="297"/>
        <v>0</v>
      </c>
      <c r="AZ81" s="80">
        <f t="shared" si="297"/>
        <v>0</v>
      </c>
      <c r="BA81" s="80">
        <f t="shared" si="297"/>
        <v>0</v>
      </c>
      <c r="BB81" s="80">
        <f t="shared" si="297"/>
        <v>0</v>
      </c>
      <c r="BC81" s="80">
        <f t="shared" si="297"/>
        <v>0</v>
      </c>
      <c r="BD81" s="80">
        <f t="shared" si="297"/>
        <v>0</v>
      </c>
      <c r="BE81" s="80">
        <f t="shared" si="297"/>
        <v>0</v>
      </c>
      <c r="BF81" s="80">
        <f t="shared" si="297"/>
        <v>0</v>
      </c>
      <c r="BG81" s="80">
        <f t="shared" si="297"/>
        <v>0</v>
      </c>
      <c r="BH81" s="80">
        <f t="shared" si="297"/>
        <v>0</v>
      </c>
      <c r="BI81" s="80">
        <f t="shared" si="297"/>
        <v>0</v>
      </c>
      <c r="BJ81" s="80">
        <f t="shared" si="297"/>
        <v>0</v>
      </c>
      <c r="BK81" s="80">
        <f t="shared" si="297"/>
        <v>0</v>
      </c>
      <c r="BL81" s="80">
        <f t="shared" si="297"/>
        <v>0</v>
      </c>
      <c r="BM81" s="80">
        <f t="shared" si="297"/>
        <v>0</v>
      </c>
      <c r="BN81" s="80">
        <f t="shared" si="297"/>
        <v>0</v>
      </c>
      <c r="BO81" s="80">
        <f t="shared" si="297"/>
        <v>0</v>
      </c>
      <c r="BP81" s="80">
        <f t="shared" si="297"/>
        <v>0</v>
      </c>
      <c r="BQ81" s="80">
        <f t="shared" si="297"/>
        <v>0</v>
      </c>
      <c r="BR81" s="80">
        <f t="shared" si="297"/>
        <v>0</v>
      </c>
      <c r="BS81" s="80">
        <f t="shared" ref="BS81:CK81" si="298">BS70</f>
        <v>0</v>
      </c>
      <c r="BT81" s="80">
        <f t="shared" si="298"/>
        <v>0</v>
      </c>
      <c r="BU81" s="80">
        <f t="shared" si="298"/>
        <v>0</v>
      </c>
      <c r="BV81" s="80">
        <f t="shared" si="298"/>
        <v>0</v>
      </c>
      <c r="BW81" s="80">
        <f t="shared" si="298"/>
        <v>0</v>
      </c>
      <c r="BX81" s="80">
        <f t="shared" si="298"/>
        <v>0</v>
      </c>
      <c r="BY81" s="80">
        <f t="shared" si="298"/>
        <v>0</v>
      </c>
      <c r="BZ81" s="80">
        <f t="shared" si="298"/>
        <v>0</v>
      </c>
      <c r="CA81" s="80">
        <f t="shared" si="298"/>
        <v>0</v>
      </c>
      <c r="CB81" s="80">
        <f t="shared" si="298"/>
        <v>0</v>
      </c>
      <c r="CC81" s="80">
        <f t="shared" si="298"/>
        <v>0</v>
      </c>
      <c r="CD81" s="80">
        <f t="shared" si="298"/>
        <v>0</v>
      </c>
      <c r="CE81" s="80">
        <f t="shared" si="298"/>
        <v>0</v>
      </c>
      <c r="CF81" s="80">
        <f t="shared" si="298"/>
        <v>0</v>
      </c>
      <c r="CG81" s="80">
        <f t="shared" si="298"/>
        <v>0</v>
      </c>
      <c r="CH81" s="80">
        <f t="shared" si="298"/>
        <v>0</v>
      </c>
      <c r="CI81" s="80">
        <f t="shared" si="298"/>
        <v>0</v>
      </c>
      <c r="CJ81" s="80">
        <f t="shared" si="298"/>
        <v>0</v>
      </c>
      <c r="CK81" s="80">
        <f t="shared" si="298"/>
        <v>0</v>
      </c>
    </row>
    <row r="82" spans="2:89" ht="15.75" thickBot="1">
      <c r="B82" s="77" t="s">
        <v>756</v>
      </c>
      <c r="C82" s="78"/>
      <c r="D82" s="98">
        <f t="shared" ref="D82" si="299">SUM(F82:CK82)</f>
        <v>-299999999.99999988</v>
      </c>
      <c r="E82" s="48"/>
      <c r="F82" s="49">
        <f>IF(AND(F18-Предпосылки!$E$211&gt;=0,E83&gt;0.1),-Предпосылки!$D$206/(Предпосылки!$D$213-Предпосылки!$D$211),0)</f>
        <v>0</v>
      </c>
      <c r="G82" s="49">
        <f>IF(AND(G18-Предпосылки!$E$211&gt;=0,F83&gt;0.1),-Предпосылки!$D$206/(Предпосылки!$D$213-Предпосылки!$D$211),0)</f>
        <v>0</v>
      </c>
      <c r="H82" s="49">
        <f>IF(AND(H18-Предпосылки!$E$211&gt;=0,G83&gt;0.1),-Предпосылки!$D$206/(Предпосылки!$D$213-Предпосылки!$D$211),0)</f>
        <v>0</v>
      </c>
      <c r="I82" s="49">
        <f>IF(AND(I18-Предпосылки!$E$211&gt;=0,H83&gt;0.1),-Предпосылки!$D$206/(Предпосылки!$D$213-Предпосылки!$D$211),0)</f>
        <v>0</v>
      </c>
      <c r="J82" s="49">
        <f>IF(AND(J18-Предпосылки!$E$211&gt;=0,I83&gt;0.1),-Предпосылки!$D$206/(Предпосылки!$D$213-Предпосылки!$D$211),0)</f>
        <v>0</v>
      </c>
      <c r="K82" s="49">
        <f>IF(AND(K18-Предпосылки!$E$211&gt;=0,J83&gt;0.1),-Предпосылки!$D$206/(Предпосылки!$D$213-Предпосылки!$D$211),0)</f>
        <v>0</v>
      </c>
      <c r="L82" s="49">
        <f>IF(AND(L18-Предпосылки!$E$211&gt;=0,K83&gt;0.1),-Предпосылки!$D$206/(Предпосылки!$D$213-Предпосылки!$D$211),0)</f>
        <v>0</v>
      </c>
      <c r="M82" s="49">
        <f>IF(AND(M18-Предпосылки!$E$211&gt;=0,L83&gt;0.1),-Предпосылки!$D$206/(Предпосылки!$D$213-Предпосылки!$D$211),0)</f>
        <v>0</v>
      </c>
      <c r="N82" s="49">
        <f>IF(AND(N18-Предпосылки!$E$211&gt;=0,M83&gt;0.1),-Предпосылки!$D$206/(Предпосылки!$D$213-Предпосылки!$D$211),0)</f>
        <v>0</v>
      </c>
      <c r="O82" s="49">
        <f>IF(AND(O18-Предпосылки!$E$211&gt;=0,N83&gt;0.1),-Предпосылки!$D$206/(Предпосылки!$D$213-Предпосылки!$D$211),0)</f>
        <v>0</v>
      </c>
      <c r="P82" s="49">
        <f>IF(AND(P18-Предпосылки!$E$211&gt;=0,O83&gt;0.1),-Предпосылки!$D$206/(Предпосылки!$D$213-Предпосылки!$D$211),0)</f>
        <v>0</v>
      </c>
      <c r="Q82" s="49">
        <f>IF(AND(Q18-Предпосылки!$E$211&gt;=0,P83&gt;0.1),-Предпосылки!$D$206/(Предпосылки!$D$213-Предпосылки!$D$211),0)</f>
        <v>0</v>
      </c>
      <c r="R82" s="49">
        <f>IF(AND(R18-Предпосылки!$E$211&gt;=0,Q83&gt;0.1),-Предпосылки!$D$206/(Предпосылки!$D$213-Предпосылки!$D$211),0)</f>
        <v>0</v>
      </c>
      <c r="S82" s="49">
        <f>IF(AND(S18-Предпосылки!$E$211&gt;=0,R83&gt;0.1),-Предпосылки!$D$206/(Предпосылки!$D$213-Предпосылки!$D$211),0)</f>
        <v>0</v>
      </c>
      <c r="T82" s="49">
        <f>IF(AND(T18-Предпосылки!$E$211&gt;=0,S83&gt;0.1),-Предпосылки!$D$206/(Предпосылки!$D$213-Предпосылки!$D$211),0)</f>
        <v>0</v>
      </c>
      <c r="U82" s="49">
        <f>IF(AND(U18-Предпосылки!$E$211&gt;=0,T83&gt;0.1),-Предпосылки!$D$206/(Предпосылки!$D$213-Предпосылки!$D$211),0)</f>
        <v>0</v>
      </c>
      <c r="V82" s="49">
        <f>IF(AND(V18-Предпосылки!$E$211&gt;=0,U83&gt;0.1),-Предпосылки!$D$206/(Предпосылки!$D$213-Предпосылки!$D$211),0)</f>
        <v>0</v>
      </c>
      <c r="W82" s="49">
        <f>IF(AND(W18-Предпосылки!$E$211&gt;=0,V83&gt;0.1),-Предпосылки!$D$206/(Предпосылки!$D$213-Предпосылки!$D$211),0)</f>
        <v>0</v>
      </c>
      <c r="X82" s="49">
        <f>IF(AND(X18-Предпосылки!$E$211&gt;=0,W83&gt;0.1),-Предпосылки!$D$206/(Предпосылки!$D$213-Предпосылки!$D$211),0)</f>
        <v>0</v>
      </c>
      <c r="Y82" s="49">
        <f>IF(AND(Y18-Предпосылки!$E$211&gt;=0,X83&gt;0.1),-Предпосылки!$D$206/(Предпосылки!$D$213-Предпосылки!$D$211),0)</f>
        <v>0</v>
      </c>
      <c r="Z82" s="49">
        <f>IF(AND(Z18-Предпосылки!$E$211&gt;=0,Y83&gt;0.1),-Предпосылки!$D$206/(Предпосылки!$D$213-Предпосылки!$D$211),0)</f>
        <v>0</v>
      </c>
      <c r="AA82" s="49">
        <f>IF(AND(AA18-Предпосылки!$E$211&gt;=0,Z83&gt;0.1),-Предпосылки!$D$206/(Предпосылки!$D$213-Предпосылки!$D$211),0)</f>
        <v>0</v>
      </c>
      <c r="AB82" s="49">
        <f>IF(AND(AB18-Предпосылки!$E$211&gt;=0,AA83&gt;0.1),-Предпосылки!$D$206/(Предпосылки!$D$213-Предпосылки!$D$211),0)</f>
        <v>0</v>
      </c>
      <c r="AC82" s="49">
        <f>IF(AND(AC18-Предпосылки!$E$211&gt;=0,AB83&gt;0.1),-Предпосылки!$D$206/(Предпосылки!$D$213-Предпосылки!$D$211),0)</f>
        <v>0</v>
      </c>
      <c r="AD82" s="49">
        <f>IF(AND(AD18-Предпосылки!$E$211&gt;=0,AC83&gt;0.1),-Предпосылки!$D$206/(Предпосылки!$D$213-Предпосылки!$D$211),0)</f>
        <v>-7142857.1428571427</v>
      </c>
      <c r="AE82" s="49">
        <f>IF(AND(AE18-Предпосылки!$E$211&gt;=0,AD83&gt;0.1),-Предпосылки!$D$206/(Предпосылки!$D$213-Предпосылки!$D$211),0)</f>
        <v>-7142857.1428571427</v>
      </c>
      <c r="AF82" s="49">
        <f>IF(AND(AF18-Предпосылки!$E$211&gt;=0,AE83&gt;0.1),-Предпосылки!$D$206/(Предпосылки!$D$213-Предпосылки!$D$211),0)</f>
        <v>-7142857.1428571427</v>
      </c>
      <c r="AG82" s="49">
        <f>IF(AND(AG18-Предпосылки!$E$211&gt;=0,AF83&gt;0.1),-Предпосылки!$D$206/(Предпосылки!$D$213-Предпосылки!$D$211),0)</f>
        <v>-7142857.1428571427</v>
      </c>
      <c r="AH82" s="49">
        <f>IF(AND(AH18-Предпосылки!$E$211&gt;=0,AG83&gt;0.1),-Предпосылки!$D$206/(Предпосылки!$D$213-Предпосылки!$D$211),0)</f>
        <v>-7142857.1428571427</v>
      </c>
      <c r="AI82" s="49">
        <f>IF(AND(AI18-Предпосылки!$E$211&gt;=0,AH83&gt;0.1),-Предпосылки!$D$206/(Предпосылки!$D$213-Предпосылки!$D$211),0)</f>
        <v>-7142857.1428571427</v>
      </c>
      <c r="AJ82" s="49">
        <f>IF(AND(AJ18-Предпосылки!$E$211&gt;=0,AI83&gt;0.1),-Предпосылки!$D$206/(Предпосылки!$D$213-Предпосылки!$D$211),0)</f>
        <v>-7142857.1428571427</v>
      </c>
      <c r="AK82" s="49">
        <f>IF(AND(AK18-Предпосылки!$E$211&gt;=0,AJ83&gt;0.1),-Предпосылки!$D$206/(Предпосылки!$D$213-Предпосылки!$D$211),0)</f>
        <v>-7142857.1428571427</v>
      </c>
      <c r="AL82" s="49">
        <f>IF(AND(AL18-Предпосылки!$E$211&gt;=0,AK83&gt;0.1),-Предпосылки!$D$206/(Предпосылки!$D$213-Предпосылки!$D$211),0)</f>
        <v>-7142857.1428571427</v>
      </c>
      <c r="AM82" s="49">
        <f>IF(AND(AM18-Предпосылки!$E$211&gt;=0,AL83&gt;0.1),-Предпосылки!$D$206/(Предпосылки!$D$213-Предпосылки!$D$211),0)</f>
        <v>-7142857.1428571427</v>
      </c>
      <c r="AN82" s="49">
        <f>IF(AND(AN18-Предпосылки!$E$211&gt;=0,AM83&gt;0.1),-Предпосылки!$D$206/(Предпосылки!$D$213-Предпосылки!$D$211),0)</f>
        <v>-7142857.1428571427</v>
      </c>
      <c r="AO82" s="49">
        <f>IF(AND(AO18-Предпосылки!$E$211&gt;=0,AN83&gt;0.1),-Предпосылки!$D$206/(Предпосылки!$D$213-Предпосылки!$D$211),0)</f>
        <v>-7142857.1428571427</v>
      </c>
      <c r="AP82" s="49">
        <f>IF(AND(AP18-Предпосылки!$E$211&gt;=0,AO83&gt;0.1),-Предпосылки!$D$206/(Предпосылки!$D$213-Предпосылки!$D$211),0)</f>
        <v>-7142857.1428571427</v>
      </c>
      <c r="AQ82" s="49">
        <f>IF(AND(AQ18-Предпосылки!$E$211&gt;=0,AP83&gt;0.1),-Предпосылки!$D$206/(Предпосылки!$D$213-Предпосылки!$D$211),0)</f>
        <v>-7142857.1428571427</v>
      </c>
      <c r="AR82" s="49">
        <f>IF(AND(AR18-Предпосылки!$E$211&gt;=0,AQ83&gt;0.1),-Предпосылки!$D$206/(Предпосылки!$D$213-Предпосылки!$D$211),0)</f>
        <v>-7142857.1428571427</v>
      </c>
      <c r="AS82" s="49">
        <f>IF(AND(AS18-Предпосылки!$E$211&gt;=0,AR83&gt;0.1),-Предпосылки!$D$206/(Предпосылки!$D$213-Предпосылки!$D$211),0)</f>
        <v>-7142857.1428571427</v>
      </c>
      <c r="AT82" s="49">
        <f>IF(AND(AT18-Предпосылки!$E$211&gt;=0,AS83&gt;0.1),-Предпосылки!$D$206/(Предпосылки!$D$213-Предпосылки!$D$211),0)</f>
        <v>-7142857.1428571427</v>
      </c>
      <c r="AU82" s="49">
        <f>IF(AND(AU18-Предпосылки!$E$211&gt;=0,AT83&gt;0.1),-Предпосылки!$D$206/(Предпосылки!$D$213-Предпосылки!$D$211),0)</f>
        <v>-7142857.1428571427</v>
      </c>
      <c r="AV82" s="49">
        <f>IF(AND(AV18-Предпосылки!$E$211&gt;=0,AU83&gt;0.1),-Предпосылки!$D$206/(Предпосылки!$D$213-Предпосылки!$D$211),0)</f>
        <v>-7142857.1428571427</v>
      </c>
      <c r="AW82" s="49">
        <f>IF(AND(AW18-Предпосылки!$E$211&gt;=0,AV83&gt;0.1),-Предпосылки!$D$206/(Предпосылки!$D$213-Предпосылки!$D$211),0)</f>
        <v>-7142857.1428571427</v>
      </c>
      <c r="AX82" s="49">
        <f>IF(AND(AX18-Предпосылки!$E$211&gt;=0,AW83&gt;0.1),-Предпосылки!$D$206/(Предпосылки!$D$213-Предпосылки!$D$211),0)</f>
        <v>-7142857.1428571427</v>
      </c>
      <c r="AY82" s="49">
        <f>IF(AND(AY18-Предпосылки!$E$211&gt;=0,AX83&gt;0.1),-Предпосылки!$D$206/(Предпосылки!$D$213-Предпосылки!$D$211),0)</f>
        <v>-7142857.1428571427</v>
      </c>
      <c r="AZ82" s="49">
        <f>IF(AND(AZ18-Предпосылки!$E$211&gt;=0,AY83&gt;0.1),-Предпосылки!$D$206/(Предпосылки!$D$213-Предпосылки!$D$211),0)</f>
        <v>-7142857.1428571427</v>
      </c>
      <c r="BA82" s="49">
        <f>IF(AND(BA18-Предпосылки!$E$211&gt;=0,AZ83&gt;0.1),-Предпосылки!$D$206/(Предпосылки!$D$213-Предпосылки!$D$211),0)</f>
        <v>-7142857.1428571427</v>
      </c>
      <c r="BB82" s="49">
        <f>IF(AND(BB18-Предпосылки!$E$211&gt;=0,BA83&gt;0.1),-Предпосылки!$D$206/(Предпосылки!$D$213-Предпосылки!$D$211),0)</f>
        <v>-7142857.1428571427</v>
      </c>
      <c r="BC82" s="49">
        <f>IF(AND(BC18-Предпосылки!$E$211&gt;=0,BB83&gt;0.1),-Предпосылки!$D$206/(Предпосылки!$D$213-Предпосылки!$D$211),0)</f>
        <v>-7142857.1428571427</v>
      </c>
      <c r="BD82" s="49">
        <f>IF(AND(BD18-Предпосылки!$E$211&gt;=0,BC83&gt;0.1),-Предпосылки!$D$206/(Предпосылки!$D$213-Предпосылки!$D$211),0)</f>
        <v>-7142857.1428571427</v>
      </c>
      <c r="BE82" s="49">
        <f>IF(AND(BE18-Предпосылки!$E$211&gt;=0,BD83&gt;0.1),-Предпосылки!$D$206/(Предпосылки!$D$213-Предпосылки!$D$211),0)</f>
        <v>-7142857.1428571427</v>
      </c>
      <c r="BF82" s="49">
        <f>IF(AND(BF18-Предпосылки!$E$211&gt;=0,BE83&gt;0.1),-Предпосылки!$D$206/(Предпосылки!$D$213-Предпосылки!$D$211),0)</f>
        <v>-7142857.1428571427</v>
      </c>
      <c r="BG82" s="49">
        <f>IF(AND(BG18-Предпосылки!$E$211&gt;=0,BF83&gt;0.1),-Предпосылки!$D$206/(Предпосылки!$D$213-Предпосылки!$D$211),0)</f>
        <v>-7142857.1428571427</v>
      </c>
      <c r="BH82" s="49">
        <f>IF(AND(BH18-Предпосылки!$E$211&gt;=0,BG83&gt;0.1),-Предпосылки!$D$206/(Предпосылки!$D$213-Предпосылки!$D$211),0)</f>
        <v>-7142857.1428571427</v>
      </c>
      <c r="BI82" s="49">
        <f>IF(AND(BI18-Предпосылки!$E$211&gt;=0,BH83&gt;0.1),-Предпосылки!$D$206/(Предпосылки!$D$213-Предпосылки!$D$211),0)</f>
        <v>-7142857.1428571427</v>
      </c>
      <c r="BJ82" s="49">
        <f>IF(AND(BJ18-Предпосылки!$E$211&gt;=0,BI83&gt;0.1),-Предпосылки!$D$206/(Предпосылки!$D$213-Предпосылки!$D$211),0)</f>
        <v>-7142857.1428571427</v>
      </c>
      <c r="BK82" s="49">
        <f>IF(AND(BK18-Предпосылки!$E$211&gt;=0,BJ83&gt;0.1),-Предпосылки!$D$206/(Предпосылки!$D$213-Предпосылки!$D$211),0)</f>
        <v>-7142857.1428571427</v>
      </c>
      <c r="BL82" s="49">
        <f>IF(AND(BL18-Предпосылки!$E$211&gt;=0,BK83&gt;0.1),-Предпосылки!$D$206/(Предпосылки!$D$213-Предпосылки!$D$211),0)</f>
        <v>-7142857.1428571427</v>
      </c>
      <c r="BM82" s="49">
        <f>IF(AND(BM18-Предпосылки!$E$211&gt;=0,BL83&gt;0.1),-Предпосылки!$D$206/(Предпосылки!$D$213-Предпосылки!$D$211),0)</f>
        <v>-7142857.1428571427</v>
      </c>
      <c r="BN82" s="49">
        <f>IF(AND(BN18-Предпосылки!$E$211&gt;=0,BM83&gt;0.1),-Предпосылки!$D$206/(Предпосылки!$D$213-Предпосылки!$D$211),0)</f>
        <v>-7142857.1428571427</v>
      </c>
      <c r="BO82" s="49">
        <f>IF(AND(BO18-Предпосылки!$E$211&gt;=0,BN83&gt;0.1),-Предпосылки!$D$206/(Предпосылки!$D$213-Предпосылки!$D$211),0)</f>
        <v>-7142857.1428571427</v>
      </c>
      <c r="BP82" s="49">
        <f>IF(AND(BP18-Предпосылки!$E$211&gt;=0,BO83&gt;0.1),-Предпосылки!$D$206/(Предпосылки!$D$213-Предпосылки!$D$211),0)</f>
        <v>-7142857.1428571427</v>
      </c>
      <c r="BQ82" s="49">
        <f>IF(AND(BQ18-Предпосылки!$E$211&gt;=0,BP83&gt;0.1),-Предпосылки!$D$206/(Предпосылки!$D$213-Предпосылки!$D$211),0)</f>
        <v>-7142857.1428571427</v>
      </c>
      <c r="BR82" s="49">
        <f>IF(AND(BR18-Предпосылки!$E$211&gt;=0,BQ83&gt;0.1),-Предпосылки!$D$206/(Предпосылки!$D$213-Предпосылки!$D$211),0)</f>
        <v>-7142857.1428571427</v>
      </c>
      <c r="BS82" s="49">
        <f>IF(AND(BS18-Предпосылки!$E$211&gt;=0,BR83&gt;0.1),-Предпосылки!$D$206/(Предпосылки!$D$213-Предпосылки!$D$211),0)</f>
        <v>-7142857.1428571427</v>
      </c>
      <c r="BT82" s="49">
        <f>IF(AND(BT18-Предпосылки!$E$211&gt;=0,BS83&gt;0.1),-Предпосылки!$D$206/(Предпосылки!$D$213-Предпосылки!$D$211),0)</f>
        <v>0</v>
      </c>
      <c r="BU82" s="49">
        <f>IF(AND(BU18-Предпосылки!$E$211&gt;=0,BT83&gt;0.1),-Предпосылки!$D$206/(Предпосылки!$D$213-Предпосылки!$D$211),0)</f>
        <v>0</v>
      </c>
      <c r="BV82" s="49">
        <f>IF(AND(BV18-Предпосылки!$E$211&gt;=0,BU83&gt;0.1),-Предпосылки!$D$206/(Предпосылки!$D$213-Предпосылки!$D$211),0)</f>
        <v>0</v>
      </c>
      <c r="BW82" s="49">
        <f>IF(AND(BW18-Предпосылки!$E$211&gt;=0,BV83&gt;0.1),-Предпосылки!$D$206/(Предпосылки!$D$213-Предпосылки!$D$211),0)</f>
        <v>0</v>
      </c>
      <c r="BX82" s="49">
        <f>IF(AND(BX18-Предпосылки!$E$211&gt;=0,BW83&gt;0.1),-Предпосылки!$D$206/(Предпосылки!$D$213-Предпосылки!$D$211),0)</f>
        <v>0</v>
      </c>
      <c r="BY82" s="49">
        <f>IF(AND(BY18-Предпосылки!$E$211&gt;=0,BX83&gt;0.1),-Предпосылки!$D$206/(Предпосылки!$D$213-Предпосылки!$D$211),0)</f>
        <v>0</v>
      </c>
      <c r="BZ82" s="49">
        <f>IF(AND(BZ18-Предпосылки!$E$211&gt;=0,BY83&gt;0.1),-Предпосылки!$D$206/(Предпосылки!$D$213-Предпосылки!$D$211),0)</f>
        <v>0</v>
      </c>
      <c r="CA82" s="49">
        <f>IF(AND(CA18-Предпосылки!$E$211&gt;=0,BZ83&gt;0.1),-Предпосылки!$D$206/(Предпосылки!$D$213-Предпосылки!$D$211),0)</f>
        <v>0</v>
      </c>
      <c r="CB82" s="49">
        <f>IF(AND(CB18-Предпосылки!$E$211&gt;=0,CA83&gt;0.1),-Предпосылки!$D$206/(Предпосылки!$D$213-Предпосылки!$D$211),0)</f>
        <v>0</v>
      </c>
      <c r="CC82" s="49">
        <f>IF(AND(CC18-Предпосылки!$E$211&gt;=0,CB83&gt;0.1),-Предпосылки!$D$206/(Предпосылки!$D$213-Предпосылки!$D$211),0)</f>
        <v>0</v>
      </c>
      <c r="CD82" s="49">
        <f>IF(AND(CD18-Предпосылки!$E$211&gt;=0,CC83&gt;0.1),-Предпосылки!$D$206/(Предпосылки!$D$213-Предпосылки!$D$211),0)</f>
        <v>0</v>
      </c>
      <c r="CE82" s="49">
        <f>IF(AND(CE18-Предпосылки!$E$211&gt;=0,CD83&gt;0.1),-Предпосылки!$D$206/(Предпосылки!$D$213-Предпосылки!$D$211),0)</f>
        <v>0</v>
      </c>
      <c r="CF82" s="49">
        <f>IF(AND(CF18-Предпосылки!$E$211&gt;=0,CE83&gt;0.1),-Предпосылки!$D$206/(Предпосылки!$D$213-Предпосылки!$D$211),0)</f>
        <v>0</v>
      </c>
      <c r="CG82" s="49">
        <f>IF(AND(CG18-Предпосылки!$E$211&gt;=0,CF83&gt;0.1),-Предпосылки!$D$206/(Предпосылки!$D$213-Предпосылки!$D$211),0)</f>
        <v>0</v>
      </c>
      <c r="CH82" s="49">
        <f>IF(AND(CH18-Предпосылки!$E$211&gt;=0,CG83&gt;0.1),-Предпосылки!$D$206/(Предпосылки!$D$213-Предпосылки!$D$211),0)</f>
        <v>0</v>
      </c>
      <c r="CI82" s="49">
        <f>IF(AND(CI18-Предпосылки!$E$211&gt;=0,CH83&gt;0.1),-Предпосылки!$D$206/(Предпосылки!$D$213-Предпосылки!$D$211),0)</f>
        <v>0</v>
      </c>
      <c r="CJ82" s="49">
        <f>IF(AND(CJ18-Предпосылки!$E$211&gt;=0,CI83&gt;0.1),-Предпосылки!$D$206/(Предпосылки!$D$213-Предпосылки!$D$211),0)</f>
        <v>0</v>
      </c>
      <c r="CK82" s="49">
        <f>IF(AND(CK18-Предпосылки!$E$211&gt;=0,CJ83&gt;0.1),-Предпосылки!$D$206/(Предпосылки!$D$213-Предпосылки!$D$211),0)</f>
        <v>0</v>
      </c>
    </row>
    <row r="83" spans="2:89" ht="15.75" thickTop="1">
      <c r="B83" s="50" t="s">
        <v>99</v>
      </c>
      <c r="C83" s="51"/>
      <c r="D83" s="52">
        <f>SUM(D80:D82)</f>
        <v>0</v>
      </c>
      <c r="E83" s="53"/>
      <c r="F83" s="54">
        <f>SUM(F80:F82)</f>
        <v>0</v>
      </c>
      <c r="G83" s="54">
        <f t="shared" ref="G83:BR83" si="300">SUM(G80:G82)</f>
        <v>0</v>
      </c>
      <c r="H83" s="54">
        <f t="shared" si="300"/>
        <v>0</v>
      </c>
      <c r="I83" s="54">
        <f t="shared" si="300"/>
        <v>0</v>
      </c>
      <c r="J83" s="54">
        <f t="shared" si="300"/>
        <v>0</v>
      </c>
      <c r="K83" s="54">
        <f t="shared" si="300"/>
        <v>0</v>
      </c>
      <c r="L83" s="54">
        <f t="shared" si="300"/>
        <v>201000000</v>
      </c>
      <c r="M83" s="54">
        <f t="shared" si="300"/>
        <v>201000000</v>
      </c>
      <c r="N83" s="54">
        <f t="shared" si="300"/>
        <v>201000000</v>
      </c>
      <c r="O83" s="54">
        <f t="shared" si="300"/>
        <v>300000000</v>
      </c>
      <c r="P83" s="54">
        <f t="shared" si="300"/>
        <v>300000000</v>
      </c>
      <c r="Q83" s="54">
        <f t="shared" si="300"/>
        <v>300000000</v>
      </c>
      <c r="R83" s="54">
        <f t="shared" si="300"/>
        <v>300000000</v>
      </c>
      <c r="S83" s="54">
        <f t="shared" si="300"/>
        <v>300000000</v>
      </c>
      <c r="T83" s="54">
        <f t="shared" si="300"/>
        <v>300000000</v>
      </c>
      <c r="U83" s="54">
        <f t="shared" si="300"/>
        <v>300000000</v>
      </c>
      <c r="V83" s="54">
        <f t="shared" si="300"/>
        <v>300000000</v>
      </c>
      <c r="W83" s="54">
        <f t="shared" si="300"/>
        <v>300000000</v>
      </c>
      <c r="X83" s="54">
        <f t="shared" si="300"/>
        <v>300000000</v>
      </c>
      <c r="Y83" s="54">
        <f t="shared" si="300"/>
        <v>300000000</v>
      </c>
      <c r="Z83" s="54">
        <f t="shared" si="300"/>
        <v>300000000</v>
      </c>
      <c r="AA83" s="54">
        <f t="shared" si="300"/>
        <v>300000000</v>
      </c>
      <c r="AB83" s="54">
        <f t="shared" si="300"/>
        <v>300000000</v>
      </c>
      <c r="AC83" s="54">
        <f t="shared" si="300"/>
        <v>300000000</v>
      </c>
      <c r="AD83" s="54">
        <f t="shared" si="300"/>
        <v>292857142.85714287</v>
      </c>
      <c r="AE83" s="54">
        <f t="shared" si="300"/>
        <v>285714285.71428573</v>
      </c>
      <c r="AF83" s="54">
        <f t="shared" si="300"/>
        <v>278571428.5714286</v>
      </c>
      <c r="AG83" s="54">
        <f t="shared" si="300"/>
        <v>271428571.42857146</v>
      </c>
      <c r="AH83" s="54">
        <f t="shared" si="300"/>
        <v>264285714.28571433</v>
      </c>
      <c r="AI83" s="54">
        <f t="shared" si="300"/>
        <v>257142857.14285719</v>
      </c>
      <c r="AJ83" s="54">
        <f t="shared" si="300"/>
        <v>250000000.00000006</v>
      </c>
      <c r="AK83" s="54">
        <f t="shared" si="300"/>
        <v>242857142.85714293</v>
      </c>
      <c r="AL83" s="54">
        <f t="shared" si="300"/>
        <v>235714285.71428579</v>
      </c>
      <c r="AM83" s="54">
        <f t="shared" si="300"/>
        <v>228571428.57142866</v>
      </c>
      <c r="AN83" s="54">
        <f t="shared" si="300"/>
        <v>221428571.42857152</v>
      </c>
      <c r="AO83" s="54">
        <f t="shared" si="300"/>
        <v>214285714.28571439</v>
      </c>
      <c r="AP83" s="54">
        <f t="shared" si="300"/>
        <v>207142857.14285725</v>
      </c>
      <c r="AQ83" s="54">
        <f t="shared" si="300"/>
        <v>200000000.00000012</v>
      </c>
      <c r="AR83" s="54">
        <f t="shared" si="300"/>
        <v>192857142.85714298</v>
      </c>
      <c r="AS83" s="54">
        <f t="shared" si="300"/>
        <v>185714285.71428585</v>
      </c>
      <c r="AT83" s="54">
        <f t="shared" si="300"/>
        <v>178571428.57142872</v>
      </c>
      <c r="AU83" s="54">
        <f t="shared" si="300"/>
        <v>171428571.42857158</v>
      </c>
      <c r="AV83" s="54">
        <f t="shared" si="300"/>
        <v>164285714.28571445</v>
      </c>
      <c r="AW83" s="54">
        <f t="shared" si="300"/>
        <v>157142857.14285731</v>
      </c>
      <c r="AX83" s="54">
        <f t="shared" si="300"/>
        <v>150000000.00000018</v>
      </c>
      <c r="AY83" s="54">
        <f t="shared" si="300"/>
        <v>142857142.85714304</v>
      </c>
      <c r="AZ83" s="54">
        <f t="shared" si="300"/>
        <v>135714285.71428591</v>
      </c>
      <c r="BA83" s="54">
        <f t="shared" si="300"/>
        <v>128571428.57142876</v>
      </c>
      <c r="BB83" s="54">
        <f t="shared" si="300"/>
        <v>121428571.42857161</v>
      </c>
      <c r="BC83" s="54">
        <f t="shared" si="300"/>
        <v>114285714.28571446</v>
      </c>
      <c r="BD83" s="54">
        <f t="shared" si="300"/>
        <v>107142857.14285731</v>
      </c>
      <c r="BE83" s="54">
        <f t="shared" si="300"/>
        <v>100000000.00000016</v>
      </c>
      <c r="BF83" s="54">
        <f t="shared" si="300"/>
        <v>92857142.857143015</v>
      </c>
      <c r="BG83" s="54">
        <f t="shared" si="300"/>
        <v>85714285.714285865</v>
      </c>
      <c r="BH83" s="54">
        <f t="shared" si="300"/>
        <v>78571428.571428716</v>
      </c>
      <c r="BI83" s="54">
        <f t="shared" si="300"/>
        <v>71428571.428571567</v>
      </c>
      <c r="BJ83" s="54">
        <f t="shared" si="300"/>
        <v>64285714.285714425</v>
      </c>
      <c r="BK83" s="54">
        <f t="shared" si="300"/>
        <v>57142857.142857283</v>
      </c>
      <c r="BL83" s="54">
        <f t="shared" si="300"/>
        <v>50000000.000000142</v>
      </c>
      <c r="BM83" s="54">
        <f t="shared" si="300"/>
        <v>42857142.857143</v>
      </c>
      <c r="BN83" s="54">
        <f t="shared" si="300"/>
        <v>35714285.714285858</v>
      </c>
      <c r="BO83" s="54">
        <f t="shared" si="300"/>
        <v>28571428.571428716</v>
      </c>
      <c r="BP83" s="54">
        <f t="shared" si="300"/>
        <v>21428571.428571574</v>
      </c>
      <c r="BQ83" s="54">
        <f t="shared" si="300"/>
        <v>14285714.285714433</v>
      </c>
      <c r="BR83" s="54">
        <f t="shared" si="300"/>
        <v>7142857.1428572899</v>
      </c>
      <c r="BS83" s="54">
        <f t="shared" ref="BS83:CK83" si="301">SUM(BS80:BS82)</f>
        <v>1.4714896678924561E-7</v>
      </c>
      <c r="BT83" s="54">
        <f t="shared" si="301"/>
        <v>1.4714896678924561E-7</v>
      </c>
      <c r="BU83" s="54">
        <f t="shared" si="301"/>
        <v>1.4714896678924561E-7</v>
      </c>
      <c r="BV83" s="54">
        <f t="shared" si="301"/>
        <v>1.4714896678924561E-7</v>
      </c>
      <c r="BW83" s="54">
        <f t="shared" si="301"/>
        <v>1.4714896678924561E-7</v>
      </c>
      <c r="BX83" s="54">
        <f t="shared" si="301"/>
        <v>1.4714896678924561E-7</v>
      </c>
      <c r="BY83" s="54">
        <f t="shared" si="301"/>
        <v>1.4714896678924561E-7</v>
      </c>
      <c r="BZ83" s="54">
        <f t="shared" si="301"/>
        <v>1.4714896678924561E-7</v>
      </c>
      <c r="CA83" s="54">
        <f t="shared" si="301"/>
        <v>1.4714896678924561E-7</v>
      </c>
      <c r="CB83" s="54">
        <f t="shared" si="301"/>
        <v>1.4714896678924561E-7</v>
      </c>
      <c r="CC83" s="54">
        <f t="shared" si="301"/>
        <v>1.4714896678924561E-7</v>
      </c>
      <c r="CD83" s="54">
        <f t="shared" si="301"/>
        <v>1.4714896678924561E-7</v>
      </c>
      <c r="CE83" s="54">
        <f t="shared" si="301"/>
        <v>1.4714896678924561E-7</v>
      </c>
      <c r="CF83" s="54">
        <f t="shared" si="301"/>
        <v>1.4714896678924561E-7</v>
      </c>
      <c r="CG83" s="54">
        <f t="shared" si="301"/>
        <v>1.4714896678924561E-7</v>
      </c>
      <c r="CH83" s="54">
        <f t="shared" si="301"/>
        <v>1.4714896678924561E-7</v>
      </c>
      <c r="CI83" s="54">
        <f t="shared" si="301"/>
        <v>1.4714896678924561E-7</v>
      </c>
      <c r="CJ83" s="54">
        <f t="shared" si="301"/>
        <v>1.4714896678924561E-7</v>
      </c>
      <c r="CK83" s="54">
        <f t="shared" si="301"/>
        <v>1.4714896678924561E-7</v>
      </c>
    </row>
    <row r="84" spans="2:89" ht="15"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</row>
    <row r="85" spans="2:89" ht="15">
      <c r="B85" s="77" t="s">
        <v>97</v>
      </c>
      <c r="C85" s="78"/>
      <c r="D85" s="98">
        <v>0</v>
      </c>
      <c r="E85" s="79"/>
      <c r="F85" s="80">
        <f>E90</f>
        <v>0</v>
      </c>
      <c r="G85" s="80">
        <f t="shared" ref="G85:AG85" si="302">F90</f>
        <v>207000000</v>
      </c>
      <c r="H85" s="80">
        <f t="shared" si="302"/>
        <v>207000000</v>
      </c>
      <c r="I85" s="80">
        <f t="shared" si="302"/>
        <v>207000000</v>
      </c>
      <c r="J85" s="80">
        <f t="shared" si="302"/>
        <v>657000000</v>
      </c>
      <c r="K85" s="80">
        <f t="shared" si="302"/>
        <v>657000000</v>
      </c>
      <c r="L85" s="80">
        <f t="shared" si="302"/>
        <v>657000000</v>
      </c>
      <c r="M85" s="80">
        <f t="shared" si="302"/>
        <v>957000000</v>
      </c>
      <c r="N85" s="80">
        <f t="shared" si="302"/>
        <v>957000000</v>
      </c>
      <c r="O85" s="80">
        <f t="shared" si="302"/>
        <v>957000000</v>
      </c>
      <c r="P85" s="80">
        <f t="shared" si="302"/>
        <v>1200000000</v>
      </c>
      <c r="Q85" s="80">
        <f t="shared" si="302"/>
        <v>1200000000</v>
      </c>
      <c r="R85" s="80">
        <f t="shared" si="302"/>
        <v>1200000000</v>
      </c>
      <c r="S85" s="80">
        <f t="shared" si="302"/>
        <v>1187500000</v>
      </c>
      <c r="T85" s="80">
        <f t="shared" si="302"/>
        <v>1175000000</v>
      </c>
      <c r="U85" s="80">
        <f t="shared" si="302"/>
        <v>1162500000</v>
      </c>
      <c r="V85" s="80">
        <f t="shared" si="302"/>
        <v>1150000000</v>
      </c>
      <c r="W85" s="80">
        <f t="shared" si="302"/>
        <v>1137500000</v>
      </c>
      <c r="X85" s="80">
        <f t="shared" si="302"/>
        <v>1125000000</v>
      </c>
      <c r="Y85" s="80">
        <f t="shared" si="302"/>
        <v>1112500000</v>
      </c>
      <c r="Z85" s="80">
        <f t="shared" si="302"/>
        <v>1100000000</v>
      </c>
      <c r="AA85" s="80">
        <f t="shared" si="302"/>
        <v>1087500000</v>
      </c>
      <c r="AB85" s="80">
        <f t="shared" si="302"/>
        <v>1075000000</v>
      </c>
      <c r="AC85" s="80">
        <f t="shared" si="302"/>
        <v>1062500000</v>
      </c>
      <c r="AD85" s="80">
        <f t="shared" si="302"/>
        <v>1050000000</v>
      </c>
      <c r="AE85" s="80">
        <f t="shared" si="302"/>
        <v>1030357142.8571428</v>
      </c>
      <c r="AF85" s="80">
        <f t="shared" si="302"/>
        <v>1010714285.7142856</v>
      </c>
      <c r="AG85" s="80">
        <f t="shared" si="302"/>
        <v>991071428.57142842</v>
      </c>
      <c r="AH85" s="80">
        <f t="shared" ref="AH85:BM85" si="303">AG90</f>
        <v>971428571.42857122</v>
      </c>
      <c r="AI85" s="80">
        <f t="shared" si="303"/>
        <v>951785714.28571403</v>
      </c>
      <c r="AJ85" s="80">
        <f t="shared" si="303"/>
        <v>932142857.14285684</v>
      </c>
      <c r="AK85" s="80">
        <f t="shared" si="303"/>
        <v>912499999.99999964</v>
      </c>
      <c r="AL85" s="80">
        <f t="shared" si="303"/>
        <v>892857142.85714245</v>
      </c>
      <c r="AM85" s="80">
        <f t="shared" si="303"/>
        <v>873214285.71428525</v>
      </c>
      <c r="AN85" s="80">
        <f t="shared" si="303"/>
        <v>853571428.57142806</v>
      </c>
      <c r="AO85" s="80">
        <f t="shared" si="303"/>
        <v>833928571.42857087</v>
      </c>
      <c r="AP85" s="80">
        <f t="shared" si="303"/>
        <v>814285714.28571367</v>
      </c>
      <c r="AQ85" s="80">
        <f t="shared" si="303"/>
        <v>794642857.14285648</v>
      </c>
      <c r="AR85" s="80">
        <f t="shared" si="303"/>
        <v>774999999.99999928</v>
      </c>
      <c r="AS85" s="80">
        <f t="shared" si="303"/>
        <v>755357142.85714209</v>
      </c>
      <c r="AT85" s="80">
        <f t="shared" si="303"/>
        <v>735714285.7142849</v>
      </c>
      <c r="AU85" s="80">
        <f t="shared" si="303"/>
        <v>716071428.5714277</v>
      </c>
      <c r="AV85" s="80">
        <f t="shared" si="303"/>
        <v>696428571.42857051</v>
      </c>
      <c r="AW85" s="80">
        <f t="shared" si="303"/>
        <v>676785714.28571332</v>
      </c>
      <c r="AX85" s="80">
        <f t="shared" si="303"/>
        <v>657142857.14285612</v>
      </c>
      <c r="AY85" s="80">
        <f t="shared" si="303"/>
        <v>637499999.99999893</v>
      </c>
      <c r="AZ85" s="80">
        <f t="shared" si="303"/>
        <v>617857142.85714173</v>
      </c>
      <c r="BA85" s="80">
        <f t="shared" si="303"/>
        <v>598214285.71428454</v>
      </c>
      <c r="BB85" s="80">
        <f t="shared" si="303"/>
        <v>578571428.57142735</v>
      </c>
      <c r="BC85" s="80">
        <f t="shared" si="303"/>
        <v>558928571.42857015</v>
      </c>
      <c r="BD85" s="80">
        <f t="shared" si="303"/>
        <v>539285714.28571296</v>
      </c>
      <c r="BE85" s="80">
        <f t="shared" si="303"/>
        <v>519642857.14285582</v>
      </c>
      <c r="BF85" s="80">
        <f t="shared" si="303"/>
        <v>499999999.99999869</v>
      </c>
      <c r="BG85" s="80">
        <f t="shared" si="303"/>
        <v>480357142.85714155</v>
      </c>
      <c r="BH85" s="80">
        <f t="shared" si="303"/>
        <v>460714285.71428442</v>
      </c>
      <c r="BI85" s="80">
        <f t="shared" si="303"/>
        <v>441071428.57142729</v>
      </c>
      <c r="BJ85" s="80">
        <f t="shared" si="303"/>
        <v>421428571.42857015</v>
      </c>
      <c r="BK85" s="80">
        <f t="shared" si="303"/>
        <v>401785714.28571302</v>
      </c>
      <c r="BL85" s="80">
        <f t="shared" si="303"/>
        <v>382142857.14285588</v>
      </c>
      <c r="BM85" s="80">
        <f t="shared" si="303"/>
        <v>362499999.99999875</v>
      </c>
      <c r="BN85" s="80">
        <f t="shared" ref="BN85" si="304">BM90</f>
        <v>342857142.85714161</v>
      </c>
      <c r="BO85" s="80">
        <f t="shared" ref="BO85" si="305">BN90</f>
        <v>323214285.71428448</v>
      </c>
      <c r="BP85" s="80">
        <f t="shared" ref="BP85" si="306">BO90</f>
        <v>303571428.57142735</v>
      </c>
      <c r="BQ85" s="80">
        <f t="shared" ref="BQ85" si="307">BP90</f>
        <v>283928571.42857021</v>
      </c>
      <c r="BR85" s="80">
        <f t="shared" ref="BR85" si="308">BQ90</f>
        <v>264285714.28571308</v>
      </c>
      <c r="BS85" s="80">
        <f t="shared" ref="BS85" si="309">BR90</f>
        <v>244642857.14285594</v>
      </c>
      <c r="BT85" s="80">
        <f t="shared" ref="BT85" si="310">BS90</f>
        <v>224999999.99999881</v>
      </c>
      <c r="BU85" s="80">
        <f t="shared" ref="BU85" si="311">BT90</f>
        <v>212499999.99999881</v>
      </c>
      <c r="BV85" s="80">
        <f t="shared" ref="BV85" si="312">BU90</f>
        <v>199999999.99999881</v>
      </c>
      <c r="BW85" s="80">
        <f t="shared" ref="BW85" si="313">BV90</f>
        <v>187499999.99999881</v>
      </c>
      <c r="BX85" s="80">
        <f t="shared" ref="BX85" si="314">BW90</f>
        <v>174999999.99999881</v>
      </c>
      <c r="BY85" s="80">
        <f t="shared" ref="BY85" si="315">BX90</f>
        <v>162499999.99999881</v>
      </c>
      <c r="BZ85" s="80">
        <f t="shared" ref="BZ85" si="316">BY90</f>
        <v>149999999.99999881</v>
      </c>
      <c r="CA85" s="80">
        <f t="shared" ref="CA85" si="317">BZ90</f>
        <v>137499999.99999881</v>
      </c>
      <c r="CB85" s="80">
        <f t="shared" ref="CB85" si="318">CA90</f>
        <v>124999999.99999881</v>
      </c>
      <c r="CC85" s="80">
        <f t="shared" ref="CC85" si="319">CB90</f>
        <v>112499999.99999881</v>
      </c>
      <c r="CD85" s="80">
        <f t="shared" ref="CD85" si="320">CC90</f>
        <v>99999999.999998808</v>
      </c>
      <c r="CE85" s="80">
        <f t="shared" ref="CE85" si="321">CD90</f>
        <v>87499999.999998808</v>
      </c>
      <c r="CF85" s="80">
        <f t="shared" ref="CF85" si="322">CE90</f>
        <v>74999999.999998808</v>
      </c>
      <c r="CG85" s="80">
        <f t="shared" ref="CG85" si="323">CF90</f>
        <v>62499999.999998808</v>
      </c>
      <c r="CH85" s="80">
        <f t="shared" ref="CH85" si="324">CG90</f>
        <v>49999999.999998808</v>
      </c>
      <c r="CI85" s="80">
        <f t="shared" ref="CI85" si="325">CH90</f>
        <v>37499999.999998808</v>
      </c>
      <c r="CJ85" s="80">
        <f t="shared" ref="CJ85" si="326">CI90</f>
        <v>24999999.999998808</v>
      </c>
      <c r="CK85" s="80">
        <f t="shared" ref="CK85" si="327">CJ90</f>
        <v>12499999.999998808</v>
      </c>
    </row>
    <row r="86" spans="2:89" ht="15">
      <c r="B86" s="77" t="s">
        <v>736</v>
      </c>
      <c r="C86" s="78"/>
      <c r="D86" s="98">
        <f>SUM(F86:CK86)</f>
        <v>900000000</v>
      </c>
      <c r="E86" s="79"/>
      <c r="F86" s="80">
        <f>F76</f>
        <v>207000000</v>
      </c>
      <c r="G86" s="80">
        <f t="shared" ref="G86:BR86" si="328">G76</f>
        <v>0</v>
      </c>
      <c r="H86" s="80">
        <f t="shared" si="328"/>
        <v>0</v>
      </c>
      <c r="I86" s="80">
        <f t="shared" si="328"/>
        <v>450000000</v>
      </c>
      <c r="J86" s="80">
        <f t="shared" si="328"/>
        <v>0</v>
      </c>
      <c r="K86" s="80">
        <f t="shared" si="328"/>
        <v>0</v>
      </c>
      <c r="L86" s="80">
        <f t="shared" si="328"/>
        <v>99000000</v>
      </c>
      <c r="M86" s="80">
        <f t="shared" si="328"/>
        <v>0</v>
      </c>
      <c r="N86" s="80">
        <f t="shared" si="328"/>
        <v>0</v>
      </c>
      <c r="O86" s="80">
        <f t="shared" si="328"/>
        <v>144000000</v>
      </c>
      <c r="P86" s="80">
        <f t="shared" si="328"/>
        <v>0</v>
      </c>
      <c r="Q86" s="80">
        <f t="shared" si="328"/>
        <v>0</v>
      </c>
      <c r="R86" s="80">
        <f t="shared" si="328"/>
        <v>0</v>
      </c>
      <c r="S86" s="80">
        <f t="shared" si="328"/>
        <v>0</v>
      </c>
      <c r="T86" s="80">
        <f t="shared" si="328"/>
        <v>0</v>
      </c>
      <c r="U86" s="80">
        <f t="shared" si="328"/>
        <v>0</v>
      </c>
      <c r="V86" s="80">
        <f t="shared" si="328"/>
        <v>0</v>
      </c>
      <c r="W86" s="80">
        <f t="shared" si="328"/>
        <v>0</v>
      </c>
      <c r="X86" s="80">
        <f t="shared" si="328"/>
        <v>0</v>
      </c>
      <c r="Y86" s="80">
        <f t="shared" si="328"/>
        <v>0</v>
      </c>
      <c r="Z86" s="80">
        <f t="shared" si="328"/>
        <v>0</v>
      </c>
      <c r="AA86" s="80">
        <f t="shared" si="328"/>
        <v>0</v>
      </c>
      <c r="AB86" s="80">
        <f t="shared" si="328"/>
        <v>0</v>
      </c>
      <c r="AC86" s="80">
        <f t="shared" si="328"/>
        <v>0</v>
      </c>
      <c r="AD86" s="80">
        <f t="shared" si="328"/>
        <v>0</v>
      </c>
      <c r="AE86" s="80">
        <f t="shared" si="328"/>
        <v>0</v>
      </c>
      <c r="AF86" s="80">
        <f t="shared" si="328"/>
        <v>0</v>
      </c>
      <c r="AG86" s="80">
        <f t="shared" si="328"/>
        <v>0</v>
      </c>
      <c r="AH86" s="80">
        <f t="shared" si="328"/>
        <v>0</v>
      </c>
      <c r="AI86" s="80">
        <f t="shared" si="328"/>
        <v>0</v>
      </c>
      <c r="AJ86" s="80">
        <f t="shared" si="328"/>
        <v>0</v>
      </c>
      <c r="AK86" s="80">
        <f t="shared" si="328"/>
        <v>0</v>
      </c>
      <c r="AL86" s="80">
        <f t="shared" si="328"/>
        <v>0</v>
      </c>
      <c r="AM86" s="80">
        <f t="shared" si="328"/>
        <v>0</v>
      </c>
      <c r="AN86" s="80">
        <f t="shared" si="328"/>
        <v>0</v>
      </c>
      <c r="AO86" s="80">
        <f t="shared" si="328"/>
        <v>0</v>
      </c>
      <c r="AP86" s="80">
        <f t="shared" si="328"/>
        <v>0</v>
      </c>
      <c r="AQ86" s="80">
        <f t="shared" si="328"/>
        <v>0</v>
      </c>
      <c r="AR86" s="80">
        <f t="shared" si="328"/>
        <v>0</v>
      </c>
      <c r="AS86" s="80">
        <f t="shared" si="328"/>
        <v>0</v>
      </c>
      <c r="AT86" s="80">
        <f t="shared" si="328"/>
        <v>0</v>
      </c>
      <c r="AU86" s="80">
        <f t="shared" si="328"/>
        <v>0</v>
      </c>
      <c r="AV86" s="80">
        <f t="shared" si="328"/>
        <v>0</v>
      </c>
      <c r="AW86" s="80">
        <f t="shared" si="328"/>
        <v>0</v>
      </c>
      <c r="AX86" s="80">
        <f t="shared" si="328"/>
        <v>0</v>
      </c>
      <c r="AY86" s="80">
        <f t="shared" si="328"/>
        <v>0</v>
      </c>
      <c r="AZ86" s="80">
        <f t="shared" si="328"/>
        <v>0</v>
      </c>
      <c r="BA86" s="80">
        <f t="shared" si="328"/>
        <v>0</v>
      </c>
      <c r="BB86" s="80">
        <f t="shared" si="328"/>
        <v>0</v>
      </c>
      <c r="BC86" s="80">
        <f t="shared" si="328"/>
        <v>0</v>
      </c>
      <c r="BD86" s="80">
        <f t="shared" si="328"/>
        <v>0</v>
      </c>
      <c r="BE86" s="80">
        <f t="shared" si="328"/>
        <v>0</v>
      </c>
      <c r="BF86" s="80">
        <f t="shared" si="328"/>
        <v>0</v>
      </c>
      <c r="BG86" s="80">
        <f t="shared" si="328"/>
        <v>0</v>
      </c>
      <c r="BH86" s="80">
        <f t="shared" si="328"/>
        <v>0</v>
      </c>
      <c r="BI86" s="80">
        <f t="shared" si="328"/>
        <v>0</v>
      </c>
      <c r="BJ86" s="80">
        <f t="shared" si="328"/>
        <v>0</v>
      </c>
      <c r="BK86" s="80">
        <f t="shared" si="328"/>
        <v>0</v>
      </c>
      <c r="BL86" s="80">
        <f t="shared" si="328"/>
        <v>0</v>
      </c>
      <c r="BM86" s="80">
        <f t="shared" si="328"/>
        <v>0</v>
      </c>
      <c r="BN86" s="80">
        <f t="shared" si="328"/>
        <v>0</v>
      </c>
      <c r="BO86" s="80">
        <f t="shared" si="328"/>
        <v>0</v>
      </c>
      <c r="BP86" s="80">
        <f t="shared" si="328"/>
        <v>0</v>
      </c>
      <c r="BQ86" s="80">
        <f t="shared" si="328"/>
        <v>0</v>
      </c>
      <c r="BR86" s="80">
        <f t="shared" si="328"/>
        <v>0</v>
      </c>
      <c r="BS86" s="80">
        <f t="shared" ref="BS86:CK86" si="329">BS76</f>
        <v>0</v>
      </c>
      <c r="BT86" s="80">
        <f t="shared" si="329"/>
        <v>0</v>
      </c>
      <c r="BU86" s="80">
        <f t="shared" si="329"/>
        <v>0</v>
      </c>
      <c r="BV86" s="80">
        <f t="shared" si="329"/>
        <v>0</v>
      </c>
      <c r="BW86" s="80">
        <f t="shared" si="329"/>
        <v>0</v>
      </c>
      <c r="BX86" s="80">
        <f t="shared" si="329"/>
        <v>0</v>
      </c>
      <c r="BY86" s="80">
        <f t="shared" si="329"/>
        <v>0</v>
      </c>
      <c r="BZ86" s="80">
        <f t="shared" si="329"/>
        <v>0</v>
      </c>
      <c r="CA86" s="80">
        <f t="shared" si="329"/>
        <v>0</v>
      </c>
      <c r="CB86" s="80">
        <f t="shared" si="329"/>
        <v>0</v>
      </c>
      <c r="CC86" s="80">
        <f t="shared" si="329"/>
        <v>0</v>
      </c>
      <c r="CD86" s="80">
        <f t="shared" si="329"/>
        <v>0</v>
      </c>
      <c r="CE86" s="80">
        <f t="shared" si="329"/>
        <v>0</v>
      </c>
      <c r="CF86" s="80">
        <f t="shared" si="329"/>
        <v>0</v>
      </c>
      <c r="CG86" s="80">
        <f t="shared" si="329"/>
        <v>0</v>
      </c>
      <c r="CH86" s="80">
        <f t="shared" si="329"/>
        <v>0</v>
      </c>
      <c r="CI86" s="80">
        <f t="shared" si="329"/>
        <v>0</v>
      </c>
      <c r="CJ86" s="80">
        <f t="shared" si="329"/>
        <v>0</v>
      </c>
      <c r="CK86" s="80">
        <f t="shared" si="329"/>
        <v>0</v>
      </c>
    </row>
    <row r="87" spans="2:89" ht="15">
      <c r="B87" s="77" t="s">
        <v>737</v>
      </c>
      <c r="C87" s="46"/>
      <c r="D87" s="98">
        <f t="shared" ref="D87:D89" si="330">SUM(F87:CK87)</f>
        <v>300000000</v>
      </c>
      <c r="E87" s="48"/>
      <c r="F87" s="49">
        <f>F81</f>
        <v>0</v>
      </c>
      <c r="G87" s="49">
        <f t="shared" ref="G87:BR87" si="331">G81</f>
        <v>0</v>
      </c>
      <c r="H87" s="49">
        <f t="shared" si="331"/>
        <v>0</v>
      </c>
      <c r="I87" s="49">
        <f t="shared" si="331"/>
        <v>0</v>
      </c>
      <c r="J87" s="49">
        <f t="shared" si="331"/>
        <v>0</v>
      </c>
      <c r="K87" s="49">
        <f t="shared" si="331"/>
        <v>0</v>
      </c>
      <c r="L87" s="49">
        <f t="shared" si="331"/>
        <v>201000000</v>
      </c>
      <c r="M87" s="49">
        <f t="shared" si="331"/>
        <v>0</v>
      </c>
      <c r="N87" s="49">
        <f t="shared" si="331"/>
        <v>0</v>
      </c>
      <c r="O87" s="49">
        <f t="shared" si="331"/>
        <v>99000000</v>
      </c>
      <c r="P87" s="49">
        <f t="shared" si="331"/>
        <v>0</v>
      </c>
      <c r="Q87" s="49">
        <f t="shared" si="331"/>
        <v>0</v>
      </c>
      <c r="R87" s="49">
        <f t="shared" si="331"/>
        <v>0</v>
      </c>
      <c r="S87" s="49">
        <f t="shared" si="331"/>
        <v>0</v>
      </c>
      <c r="T87" s="49">
        <f t="shared" si="331"/>
        <v>0</v>
      </c>
      <c r="U87" s="49">
        <f t="shared" si="331"/>
        <v>0</v>
      </c>
      <c r="V87" s="49">
        <f t="shared" si="331"/>
        <v>0</v>
      </c>
      <c r="W87" s="49">
        <f t="shared" si="331"/>
        <v>0</v>
      </c>
      <c r="X87" s="49">
        <f t="shared" si="331"/>
        <v>0</v>
      </c>
      <c r="Y87" s="49">
        <f t="shared" si="331"/>
        <v>0</v>
      </c>
      <c r="Z87" s="49">
        <f t="shared" si="331"/>
        <v>0</v>
      </c>
      <c r="AA87" s="49">
        <f t="shared" si="331"/>
        <v>0</v>
      </c>
      <c r="AB87" s="49">
        <f t="shared" si="331"/>
        <v>0</v>
      </c>
      <c r="AC87" s="49">
        <f t="shared" si="331"/>
        <v>0</v>
      </c>
      <c r="AD87" s="49">
        <f t="shared" si="331"/>
        <v>0</v>
      </c>
      <c r="AE87" s="49">
        <f t="shared" si="331"/>
        <v>0</v>
      </c>
      <c r="AF87" s="49">
        <f t="shared" si="331"/>
        <v>0</v>
      </c>
      <c r="AG87" s="49">
        <f t="shared" si="331"/>
        <v>0</v>
      </c>
      <c r="AH87" s="49">
        <f t="shared" si="331"/>
        <v>0</v>
      </c>
      <c r="AI87" s="49">
        <f t="shared" si="331"/>
        <v>0</v>
      </c>
      <c r="AJ87" s="49">
        <f t="shared" si="331"/>
        <v>0</v>
      </c>
      <c r="AK87" s="49">
        <f t="shared" si="331"/>
        <v>0</v>
      </c>
      <c r="AL87" s="49">
        <f t="shared" si="331"/>
        <v>0</v>
      </c>
      <c r="AM87" s="49">
        <f t="shared" si="331"/>
        <v>0</v>
      </c>
      <c r="AN87" s="49">
        <f t="shared" si="331"/>
        <v>0</v>
      </c>
      <c r="AO87" s="49">
        <f t="shared" si="331"/>
        <v>0</v>
      </c>
      <c r="AP87" s="49">
        <f t="shared" si="331"/>
        <v>0</v>
      </c>
      <c r="AQ87" s="49">
        <f t="shared" si="331"/>
        <v>0</v>
      </c>
      <c r="AR87" s="49">
        <f t="shared" si="331"/>
        <v>0</v>
      </c>
      <c r="AS87" s="49">
        <f t="shared" si="331"/>
        <v>0</v>
      </c>
      <c r="AT87" s="49">
        <f t="shared" si="331"/>
        <v>0</v>
      </c>
      <c r="AU87" s="49">
        <f t="shared" si="331"/>
        <v>0</v>
      </c>
      <c r="AV87" s="49">
        <f t="shared" si="331"/>
        <v>0</v>
      </c>
      <c r="AW87" s="49">
        <f t="shared" si="331"/>
        <v>0</v>
      </c>
      <c r="AX87" s="49">
        <f t="shared" si="331"/>
        <v>0</v>
      </c>
      <c r="AY87" s="49">
        <f t="shared" si="331"/>
        <v>0</v>
      </c>
      <c r="AZ87" s="49">
        <f t="shared" si="331"/>
        <v>0</v>
      </c>
      <c r="BA87" s="49">
        <f t="shared" si="331"/>
        <v>0</v>
      </c>
      <c r="BB87" s="49">
        <f t="shared" si="331"/>
        <v>0</v>
      </c>
      <c r="BC87" s="49">
        <f t="shared" si="331"/>
        <v>0</v>
      </c>
      <c r="BD87" s="49">
        <f t="shared" si="331"/>
        <v>0</v>
      </c>
      <c r="BE87" s="49">
        <f t="shared" si="331"/>
        <v>0</v>
      </c>
      <c r="BF87" s="49">
        <f t="shared" si="331"/>
        <v>0</v>
      </c>
      <c r="BG87" s="49">
        <f t="shared" si="331"/>
        <v>0</v>
      </c>
      <c r="BH87" s="49">
        <f t="shared" si="331"/>
        <v>0</v>
      </c>
      <c r="BI87" s="49">
        <f t="shared" si="331"/>
        <v>0</v>
      </c>
      <c r="BJ87" s="49">
        <f t="shared" si="331"/>
        <v>0</v>
      </c>
      <c r="BK87" s="49">
        <f t="shared" si="331"/>
        <v>0</v>
      </c>
      <c r="BL87" s="49">
        <f t="shared" si="331"/>
        <v>0</v>
      </c>
      <c r="BM87" s="49">
        <f t="shared" si="331"/>
        <v>0</v>
      </c>
      <c r="BN87" s="49">
        <f t="shared" si="331"/>
        <v>0</v>
      </c>
      <c r="BO87" s="49">
        <f t="shared" si="331"/>
        <v>0</v>
      </c>
      <c r="BP87" s="49">
        <f t="shared" si="331"/>
        <v>0</v>
      </c>
      <c r="BQ87" s="49">
        <f t="shared" si="331"/>
        <v>0</v>
      </c>
      <c r="BR87" s="49">
        <f t="shared" si="331"/>
        <v>0</v>
      </c>
      <c r="BS87" s="49">
        <f t="shared" ref="BS87:CK87" si="332">BS81</f>
        <v>0</v>
      </c>
      <c r="BT87" s="49">
        <f t="shared" si="332"/>
        <v>0</v>
      </c>
      <c r="BU87" s="49">
        <f t="shared" si="332"/>
        <v>0</v>
      </c>
      <c r="BV87" s="49">
        <f t="shared" si="332"/>
        <v>0</v>
      </c>
      <c r="BW87" s="49">
        <f t="shared" si="332"/>
        <v>0</v>
      </c>
      <c r="BX87" s="49">
        <f t="shared" si="332"/>
        <v>0</v>
      </c>
      <c r="BY87" s="49">
        <f t="shared" si="332"/>
        <v>0</v>
      </c>
      <c r="BZ87" s="49">
        <f t="shared" si="332"/>
        <v>0</v>
      </c>
      <c r="CA87" s="49">
        <f t="shared" si="332"/>
        <v>0</v>
      </c>
      <c r="CB87" s="49">
        <f t="shared" si="332"/>
        <v>0</v>
      </c>
      <c r="CC87" s="49">
        <f t="shared" si="332"/>
        <v>0</v>
      </c>
      <c r="CD87" s="49">
        <f t="shared" si="332"/>
        <v>0</v>
      </c>
      <c r="CE87" s="49">
        <f t="shared" si="332"/>
        <v>0</v>
      </c>
      <c r="CF87" s="49">
        <f t="shared" si="332"/>
        <v>0</v>
      </c>
      <c r="CG87" s="49">
        <f t="shared" si="332"/>
        <v>0</v>
      </c>
      <c r="CH87" s="49">
        <f t="shared" si="332"/>
        <v>0</v>
      </c>
      <c r="CI87" s="49">
        <f t="shared" si="332"/>
        <v>0</v>
      </c>
      <c r="CJ87" s="49">
        <f t="shared" si="332"/>
        <v>0</v>
      </c>
      <c r="CK87" s="49">
        <f t="shared" si="332"/>
        <v>0</v>
      </c>
    </row>
    <row r="88" spans="2:89" ht="15">
      <c r="B88" s="77" t="s">
        <v>738</v>
      </c>
      <c r="C88" s="78"/>
      <c r="D88" s="98">
        <f t="shared" si="330"/>
        <v>-900000000</v>
      </c>
      <c r="E88" s="79"/>
      <c r="F88" s="80">
        <f>F77</f>
        <v>0</v>
      </c>
      <c r="G88" s="80">
        <f t="shared" ref="G88:BR88" si="333">G77</f>
        <v>0</v>
      </c>
      <c r="H88" s="80">
        <f t="shared" si="333"/>
        <v>0</v>
      </c>
      <c r="I88" s="80">
        <f t="shared" si="333"/>
        <v>0</v>
      </c>
      <c r="J88" s="80">
        <f t="shared" si="333"/>
        <v>0</v>
      </c>
      <c r="K88" s="80">
        <f t="shared" si="333"/>
        <v>0</v>
      </c>
      <c r="L88" s="80">
        <f t="shared" si="333"/>
        <v>0</v>
      </c>
      <c r="M88" s="80">
        <f t="shared" si="333"/>
        <v>0</v>
      </c>
      <c r="N88" s="80">
        <f t="shared" si="333"/>
        <v>0</v>
      </c>
      <c r="O88" s="80">
        <f t="shared" si="333"/>
        <v>0</v>
      </c>
      <c r="P88" s="80">
        <f t="shared" si="333"/>
        <v>0</v>
      </c>
      <c r="Q88" s="80">
        <f t="shared" si="333"/>
        <v>0</v>
      </c>
      <c r="R88" s="80">
        <f t="shared" si="333"/>
        <v>-12500000</v>
      </c>
      <c r="S88" s="80">
        <f t="shared" si="333"/>
        <v>-12500000</v>
      </c>
      <c r="T88" s="80">
        <f t="shared" si="333"/>
        <v>-12500000</v>
      </c>
      <c r="U88" s="80">
        <f t="shared" si="333"/>
        <v>-12500000</v>
      </c>
      <c r="V88" s="80">
        <f t="shared" si="333"/>
        <v>-12500000</v>
      </c>
      <c r="W88" s="80">
        <f t="shared" si="333"/>
        <v>-12500000</v>
      </c>
      <c r="X88" s="80">
        <f t="shared" si="333"/>
        <v>-12500000</v>
      </c>
      <c r="Y88" s="80">
        <f t="shared" si="333"/>
        <v>-12500000</v>
      </c>
      <c r="Z88" s="80">
        <f t="shared" si="333"/>
        <v>-12500000</v>
      </c>
      <c r="AA88" s="80">
        <f t="shared" si="333"/>
        <v>-12500000</v>
      </c>
      <c r="AB88" s="80">
        <f t="shared" si="333"/>
        <v>-12500000</v>
      </c>
      <c r="AC88" s="80">
        <f t="shared" si="333"/>
        <v>-12500000</v>
      </c>
      <c r="AD88" s="80">
        <f t="shared" si="333"/>
        <v>-12500000</v>
      </c>
      <c r="AE88" s="80">
        <f t="shared" si="333"/>
        <v>-12500000</v>
      </c>
      <c r="AF88" s="80">
        <f t="shared" si="333"/>
        <v>-12500000</v>
      </c>
      <c r="AG88" s="80">
        <f t="shared" si="333"/>
        <v>-12500000</v>
      </c>
      <c r="AH88" s="80">
        <f t="shared" si="333"/>
        <v>-12500000</v>
      </c>
      <c r="AI88" s="80">
        <f t="shared" si="333"/>
        <v>-12500000</v>
      </c>
      <c r="AJ88" s="80">
        <f t="shared" si="333"/>
        <v>-12500000</v>
      </c>
      <c r="AK88" s="80">
        <f t="shared" si="333"/>
        <v>-12500000</v>
      </c>
      <c r="AL88" s="80">
        <f t="shared" si="333"/>
        <v>-12500000</v>
      </c>
      <c r="AM88" s="80">
        <f t="shared" si="333"/>
        <v>-12500000</v>
      </c>
      <c r="AN88" s="80">
        <f t="shared" si="333"/>
        <v>-12500000</v>
      </c>
      <c r="AO88" s="80">
        <f t="shared" si="333"/>
        <v>-12500000</v>
      </c>
      <c r="AP88" s="80">
        <f t="shared" si="333"/>
        <v>-12500000</v>
      </c>
      <c r="AQ88" s="80">
        <f t="shared" si="333"/>
        <v>-12500000</v>
      </c>
      <c r="AR88" s="80">
        <f t="shared" si="333"/>
        <v>-12500000</v>
      </c>
      <c r="AS88" s="80">
        <f t="shared" si="333"/>
        <v>-12500000</v>
      </c>
      <c r="AT88" s="80">
        <f t="shared" si="333"/>
        <v>-12500000</v>
      </c>
      <c r="AU88" s="80">
        <f t="shared" si="333"/>
        <v>-12500000</v>
      </c>
      <c r="AV88" s="80">
        <f t="shared" si="333"/>
        <v>-12500000</v>
      </c>
      <c r="AW88" s="80">
        <f t="shared" si="333"/>
        <v>-12500000</v>
      </c>
      <c r="AX88" s="80">
        <f t="shared" si="333"/>
        <v>-12500000</v>
      </c>
      <c r="AY88" s="80">
        <f t="shared" si="333"/>
        <v>-12500000</v>
      </c>
      <c r="AZ88" s="80">
        <f t="shared" si="333"/>
        <v>-12500000</v>
      </c>
      <c r="BA88" s="80">
        <f t="shared" si="333"/>
        <v>-12500000</v>
      </c>
      <c r="BB88" s="80">
        <f t="shared" si="333"/>
        <v>-12500000</v>
      </c>
      <c r="BC88" s="80">
        <f t="shared" si="333"/>
        <v>-12500000</v>
      </c>
      <c r="BD88" s="80">
        <f t="shared" si="333"/>
        <v>-12500000</v>
      </c>
      <c r="BE88" s="80">
        <f t="shared" si="333"/>
        <v>-12500000</v>
      </c>
      <c r="BF88" s="80">
        <f t="shared" si="333"/>
        <v>-12500000</v>
      </c>
      <c r="BG88" s="80">
        <f t="shared" si="333"/>
        <v>-12500000</v>
      </c>
      <c r="BH88" s="80">
        <f t="shared" si="333"/>
        <v>-12500000</v>
      </c>
      <c r="BI88" s="80">
        <f t="shared" si="333"/>
        <v>-12500000</v>
      </c>
      <c r="BJ88" s="80">
        <f t="shared" si="333"/>
        <v>-12500000</v>
      </c>
      <c r="BK88" s="80">
        <f t="shared" si="333"/>
        <v>-12500000</v>
      </c>
      <c r="BL88" s="80">
        <f t="shared" si="333"/>
        <v>-12500000</v>
      </c>
      <c r="BM88" s="80">
        <f t="shared" si="333"/>
        <v>-12500000</v>
      </c>
      <c r="BN88" s="80">
        <f t="shared" si="333"/>
        <v>-12500000</v>
      </c>
      <c r="BO88" s="80">
        <f t="shared" si="333"/>
        <v>-12500000</v>
      </c>
      <c r="BP88" s="80">
        <f t="shared" si="333"/>
        <v>-12500000</v>
      </c>
      <c r="BQ88" s="80">
        <f t="shared" si="333"/>
        <v>-12500000</v>
      </c>
      <c r="BR88" s="80">
        <f t="shared" si="333"/>
        <v>-12500000</v>
      </c>
      <c r="BS88" s="80">
        <f t="shared" ref="BS88:CK88" si="334">BS77</f>
        <v>-12500000</v>
      </c>
      <c r="BT88" s="80">
        <f t="shared" si="334"/>
        <v>-12500000</v>
      </c>
      <c r="BU88" s="80">
        <f t="shared" si="334"/>
        <v>-12500000</v>
      </c>
      <c r="BV88" s="80">
        <f t="shared" si="334"/>
        <v>-12500000</v>
      </c>
      <c r="BW88" s="80">
        <f t="shared" si="334"/>
        <v>-12500000</v>
      </c>
      <c r="BX88" s="80">
        <f t="shared" si="334"/>
        <v>-12500000</v>
      </c>
      <c r="BY88" s="80">
        <f t="shared" si="334"/>
        <v>-12500000</v>
      </c>
      <c r="BZ88" s="80">
        <f t="shared" si="334"/>
        <v>-12500000</v>
      </c>
      <c r="CA88" s="80">
        <f t="shared" si="334"/>
        <v>-12500000</v>
      </c>
      <c r="CB88" s="80">
        <f t="shared" si="334"/>
        <v>-12500000</v>
      </c>
      <c r="CC88" s="80">
        <f t="shared" si="334"/>
        <v>-12500000</v>
      </c>
      <c r="CD88" s="80">
        <f t="shared" si="334"/>
        <v>-12500000</v>
      </c>
      <c r="CE88" s="80">
        <f t="shared" si="334"/>
        <v>-12500000</v>
      </c>
      <c r="CF88" s="80">
        <f t="shared" si="334"/>
        <v>-12500000</v>
      </c>
      <c r="CG88" s="80">
        <f t="shared" si="334"/>
        <v>-12500000</v>
      </c>
      <c r="CH88" s="80">
        <f t="shared" si="334"/>
        <v>-12500000</v>
      </c>
      <c r="CI88" s="80">
        <f t="shared" si="334"/>
        <v>-12500000</v>
      </c>
      <c r="CJ88" s="80">
        <f t="shared" si="334"/>
        <v>-12500000</v>
      </c>
      <c r="CK88" s="80">
        <f t="shared" si="334"/>
        <v>-12500000</v>
      </c>
    </row>
    <row r="89" spans="2:89" ht="15.75" thickBot="1">
      <c r="B89" s="45" t="s">
        <v>739</v>
      </c>
      <c r="C89" s="177"/>
      <c r="D89" s="178">
        <f t="shared" si="330"/>
        <v>-299999999.99999988</v>
      </c>
      <c r="E89" s="179"/>
      <c r="F89" s="180">
        <f>F82</f>
        <v>0</v>
      </c>
      <c r="G89" s="180">
        <f t="shared" ref="G89:BR89" si="335">G82</f>
        <v>0</v>
      </c>
      <c r="H89" s="180">
        <f t="shared" si="335"/>
        <v>0</v>
      </c>
      <c r="I89" s="180">
        <f t="shared" si="335"/>
        <v>0</v>
      </c>
      <c r="J89" s="180">
        <f t="shared" si="335"/>
        <v>0</v>
      </c>
      <c r="K89" s="180">
        <f t="shared" si="335"/>
        <v>0</v>
      </c>
      <c r="L89" s="180">
        <f t="shared" si="335"/>
        <v>0</v>
      </c>
      <c r="M89" s="180">
        <f t="shared" si="335"/>
        <v>0</v>
      </c>
      <c r="N89" s="180">
        <f t="shared" si="335"/>
        <v>0</v>
      </c>
      <c r="O89" s="180">
        <f t="shared" si="335"/>
        <v>0</v>
      </c>
      <c r="P89" s="180">
        <f t="shared" si="335"/>
        <v>0</v>
      </c>
      <c r="Q89" s="180">
        <f t="shared" si="335"/>
        <v>0</v>
      </c>
      <c r="R89" s="180">
        <f t="shared" si="335"/>
        <v>0</v>
      </c>
      <c r="S89" s="180">
        <f t="shared" si="335"/>
        <v>0</v>
      </c>
      <c r="T89" s="180">
        <f t="shared" si="335"/>
        <v>0</v>
      </c>
      <c r="U89" s="180">
        <f t="shared" si="335"/>
        <v>0</v>
      </c>
      <c r="V89" s="180">
        <f t="shared" si="335"/>
        <v>0</v>
      </c>
      <c r="W89" s="180">
        <f t="shared" si="335"/>
        <v>0</v>
      </c>
      <c r="X89" s="180">
        <f t="shared" si="335"/>
        <v>0</v>
      </c>
      <c r="Y89" s="180">
        <f t="shared" si="335"/>
        <v>0</v>
      </c>
      <c r="Z89" s="180">
        <f t="shared" si="335"/>
        <v>0</v>
      </c>
      <c r="AA89" s="180">
        <f t="shared" si="335"/>
        <v>0</v>
      </c>
      <c r="AB89" s="180">
        <f t="shared" si="335"/>
        <v>0</v>
      </c>
      <c r="AC89" s="180">
        <f t="shared" si="335"/>
        <v>0</v>
      </c>
      <c r="AD89" s="180">
        <f t="shared" si="335"/>
        <v>-7142857.1428571427</v>
      </c>
      <c r="AE89" s="180">
        <f t="shared" si="335"/>
        <v>-7142857.1428571427</v>
      </c>
      <c r="AF89" s="180">
        <f t="shared" si="335"/>
        <v>-7142857.1428571427</v>
      </c>
      <c r="AG89" s="180">
        <f t="shared" si="335"/>
        <v>-7142857.1428571427</v>
      </c>
      <c r="AH89" s="180">
        <f t="shared" si="335"/>
        <v>-7142857.1428571427</v>
      </c>
      <c r="AI89" s="180">
        <f t="shared" si="335"/>
        <v>-7142857.1428571427</v>
      </c>
      <c r="AJ89" s="180">
        <f t="shared" si="335"/>
        <v>-7142857.1428571427</v>
      </c>
      <c r="AK89" s="180">
        <f t="shared" si="335"/>
        <v>-7142857.1428571427</v>
      </c>
      <c r="AL89" s="180">
        <f t="shared" si="335"/>
        <v>-7142857.1428571427</v>
      </c>
      <c r="AM89" s="180">
        <f t="shared" si="335"/>
        <v>-7142857.1428571427</v>
      </c>
      <c r="AN89" s="180">
        <f t="shared" si="335"/>
        <v>-7142857.1428571427</v>
      </c>
      <c r="AO89" s="180">
        <f t="shared" si="335"/>
        <v>-7142857.1428571427</v>
      </c>
      <c r="AP89" s="180">
        <f t="shared" si="335"/>
        <v>-7142857.1428571427</v>
      </c>
      <c r="AQ89" s="180">
        <f t="shared" si="335"/>
        <v>-7142857.1428571427</v>
      </c>
      <c r="AR89" s="180">
        <f t="shared" si="335"/>
        <v>-7142857.1428571427</v>
      </c>
      <c r="AS89" s="180">
        <f t="shared" si="335"/>
        <v>-7142857.1428571427</v>
      </c>
      <c r="AT89" s="180">
        <f t="shared" si="335"/>
        <v>-7142857.1428571427</v>
      </c>
      <c r="AU89" s="180">
        <f t="shared" si="335"/>
        <v>-7142857.1428571427</v>
      </c>
      <c r="AV89" s="180">
        <f t="shared" si="335"/>
        <v>-7142857.1428571427</v>
      </c>
      <c r="AW89" s="180">
        <f t="shared" si="335"/>
        <v>-7142857.1428571427</v>
      </c>
      <c r="AX89" s="180">
        <f t="shared" si="335"/>
        <v>-7142857.1428571427</v>
      </c>
      <c r="AY89" s="180">
        <f t="shared" si="335"/>
        <v>-7142857.1428571427</v>
      </c>
      <c r="AZ89" s="180">
        <f t="shared" si="335"/>
        <v>-7142857.1428571427</v>
      </c>
      <c r="BA89" s="180">
        <f t="shared" si="335"/>
        <v>-7142857.1428571427</v>
      </c>
      <c r="BB89" s="180">
        <f t="shared" si="335"/>
        <v>-7142857.1428571427</v>
      </c>
      <c r="BC89" s="180">
        <f t="shared" si="335"/>
        <v>-7142857.1428571427</v>
      </c>
      <c r="BD89" s="180">
        <f t="shared" si="335"/>
        <v>-7142857.1428571427</v>
      </c>
      <c r="BE89" s="180">
        <f t="shared" si="335"/>
        <v>-7142857.1428571427</v>
      </c>
      <c r="BF89" s="180">
        <f t="shared" si="335"/>
        <v>-7142857.1428571427</v>
      </c>
      <c r="BG89" s="180">
        <f t="shared" si="335"/>
        <v>-7142857.1428571427</v>
      </c>
      <c r="BH89" s="180">
        <f t="shared" si="335"/>
        <v>-7142857.1428571427</v>
      </c>
      <c r="BI89" s="180">
        <f t="shared" si="335"/>
        <v>-7142857.1428571427</v>
      </c>
      <c r="BJ89" s="180">
        <f t="shared" si="335"/>
        <v>-7142857.1428571427</v>
      </c>
      <c r="BK89" s="180">
        <f t="shared" si="335"/>
        <v>-7142857.1428571427</v>
      </c>
      <c r="BL89" s="180">
        <f t="shared" si="335"/>
        <v>-7142857.1428571427</v>
      </c>
      <c r="BM89" s="180">
        <f t="shared" si="335"/>
        <v>-7142857.1428571427</v>
      </c>
      <c r="BN89" s="180">
        <f t="shared" si="335"/>
        <v>-7142857.1428571427</v>
      </c>
      <c r="BO89" s="180">
        <f t="shared" si="335"/>
        <v>-7142857.1428571427</v>
      </c>
      <c r="BP89" s="180">
        <f t="shared" si="335"/>
        <v>-7142857.1428571427</v>
      </c>
      <c r="BQ89" s="180">
        <f t="shared" si="335"/>
        <v>-7142857.1428571427</v>
      </c>
      <c r="BR89" s="180">
        <f t="shared" si="335"/>
        <v>-7142857.1428571427</v>
      </c>
      <c r="BS89" s="180">
        <f t="shared" ref="BS89:CK89" si="336">BS82</f>
        <v>-7142857.1428571427</v>
      </c>
      <c r="BT89" s="180">
        <f t="shared" si="336"/>
        <v>0</v>
      </c>
      <c r="BU89" s="180">
        <f t="shared" si="336"/>
        <v>0</v>
      </c>
      <c r="BV89" s="180">
        <f t="shared" si="336"/>
        <v>0</v>
      </c>
      <c r="BW89" s="180">
        <f t="shared" si="336"/>
        <v>0</v>
      </c>
      <c r="BX89" s="180">
        <f t="shared" si="336"/>
        <v>0</v>
      </c>
      <c r="BY89" s="180">
        <f t="shared" si="336"/>
        <v>0</v>
      </c>
      <c r="BZ89" s="180">
        <f t="shared" si="336"/>
        <v>0</v>
      </c>
      <c r="CA89" s="180">
        <f t="shared" si="336"/>
        <v>0</v>
      </c>
      <c r="CB89" s="180">
        <f t="shared" si="336"/>
        <v>0</v>
      </c>
      <c r="CC89" s="180">
        <f t="shared" si="336"/>
        <v>0</v>
      </c>
      <c r="CD89" s="180">
        <f t="shared" si="336"/>
        <v>0</v>
      </c>
      <c r="CE89" s="180">
        <f t="shared" si="336"/>
        <v>0</v>
      </c>
      <c r="CF89" s="180">
        <f t="shared" si="336"/>
        <v>0</v>
      </c>
      <c r="CG89" s="180">
        <f t="shared" si="336"/>
        <v>0</v>
      </c>
      <c r="CH89" s="180">
        <f t="shared" si="336"/>
        <v>0</v>
      </c>
      <c r="CI89" s="180">
        <f t="shared" si="336"/>
        <v>0</v>
      </c>
      <c r="CJ89" s="180">
        <f t="shared" si="336"/>
        <v>0</v>
      </c>
      <c r="CK89" s="180">
        <f t="shared" si="336"/>
        <v>0</v>
      </c>
    </row>
    <row r="90" spans="2:89" ht="15.75" thickTop="1">
      <c r="B90" s="50" t="s">
        <v>99</v>
      </c>
      <c r="C90" s="51"/>
      <c r="D90" s="52">
        <f>SUM(D85:D89)</f>
        <v>0</v>
      </c>
      <c r="E90" s="53"/>
      <c r="F90" s="54">
        <f>SUM(F85:F89)</f>
        <v>207000000</v>
      </c>
      <c r="G90" s="54">
        <f t="shared" ref="G90:BR90" si="337">SUM(G85:G89)</f>
        <v>207000000</v>
      </c>
      <c r="H90" s="54">
        <f t="shared" si="337"/>
        <v>207000000</v>
      </c>
      <c r="I90" s="54">
        <f t="shared" si="337"/>
        <v>657000000</v>
      </c>
      <c r="J90" s="54">
        <f t="shared" si="337"/>
        <v>657000000</v>
      </c>
      <c r="K90" s="54">
        <f t="shared" si="337"/>
        <v>657000000</v>
      </c>
      <c r="L90" s="54">
        <f t="shared" si="337"/>
        <v>957000000</v>
      </c>
      <c r="M90" s="54">
        <f t="shared" si="337"/>
        <v>957000000</v>
      </c>
      <c r="N90" s="54">
        <f t="shared" si="337"/>
        <v>957000000</v>
      </c>
      <c r="O90" s="54">
        <f t="shared" si="337"/>
        <v>1200000000</v>
      </c>
      <c r="P90" s="54">
        <f t="shared" si="337"/>
        <v>1200000000</v>
      </c>
      <c r="Q90" s="54">
        <f t="shared" si="337"/>
        <v>1200000000</v>
      </c>
      <c r="R90" s="54">
        <f t="shared" si="337"/>
        <v>1187500000</v>
      </c>
      <c r="S90" s="54">
        <f t="shared" si="337"/>
        <v>1175000000</v>
      </c>
      <c r="T90" s="54">
        <f t="shared" si="337"/>
        <v>1162500000</v>
      </c>
      <c r="U90" s="54">
        <f t="shared" si="337"/>
        <v>1150000000</v>
      </c>
      <c r="V90" s="54">
        <f t="shared" si="337"/>
        <v>1137500000</v>
      </c>
      <c r="W90" s="54">
        <f t="shared" si="337"/>
        <v>1125000000</v>
      </c>
      <c r="X90" s="54">
        <f t="shared" si="337"/>
        <v>1112500000</v>
      </c>
      <c r="Y90" s="54">
        <f t="shared" si="337"/>
        <v>1100000000</v>
      </c>
      <c r="Z90" s="54">
        <f t="shared" si="337"/>
        <v>1087500000</v>
      </c>
      <c r="AA90" s="54">
        <f t="shared" si="337"/>
        <v>1075000000</v>
      </c>
      <c r="AB90" s="54">
        <f t="shared" si="337"/>
        <v>1062500000</v>
      </c>
      <c r="AC90" s="54">
        <f t="shared" si="337"/>
        <v>1050000000</v>
      </c>
      <c r="AD90" s="54">
        <f t="shared" si="337"/>
        <v>1030357142.8571428</v>
      </c>
      <c r="AE90" s="54">
        <f t="shared" si="337"/>
        <v>1010714285.7142856</v>
      </c>
      <c r="AF90" s="54">
        <f t="shared" si="337"/>
        <v>991071428.57142842</v>
      </c>
      <c r="AG90" s="54">
        <f t="shared" si="337"/>
        <v>971428571.42857122</v>
      </c>
      <c r="AH90" s="54">
        <f t="shared" si="337"/>
        <v>951785714.28571403</v>
      </c>
      <c r="AI90" s="54">
        <f t="shared" si="337"/>
        <v>932142857.14285684</v>
      </c>
      <c r="AJ90" s="54">
        <f t="shared" si="337"/>
        <v>912499999.99999964</v>
      </c>
      <c r="AK90" s="54">
        <f t="shared" si="337"/>
        <v>892857142.85714245</v>
      </c>
      <c r="AL90" s="54">
        <f t="shared" si="337"/>
        <v>873214285.71428525</v>
      </c>
      <c r="AM90" s="54">
        <f t="shared" si="337"/>
        <v>853571428.57142806</v>
      </c>
      <c r="AN90" s="54">
        <f t="shared" si="337"/>
        <v>833928571.42857087</v>
      </c>
      <c r="AO90" s="54">
        <f t="shared" si="337"/>
        <v>814285714.28571367</v>
      </c>
      <c r="AP90" s="54">
        <f t="shared" si="337"/>
        <v>794642857.14285648</v>
      </c>
      <c r="AQ90" s="54">
        <f t="shared" si="337"/>
        <v>774999999.99999928</v>
      </c>
      <c r="AR90" s="54">
        <f t="shared" si="337"/>
        <v>755357142.85714209</v>
      </c>
      <c r="AS90" s="54">
        <f t="shared" si="337"/>
        <v>735714285.7142849</v>
      </c>
      <c r="AT90" s="54">
        <f t="shared" si="337"/>
        <v>716071428.5714277</v>
      </c>
      <c r="AU90" s="54">
        <f t="shared" si="337"/>
        <v>696428571.42857051</v>
      </c>
      <c r="AV90" s="54">
        <f t="shared" si="337"/>
        <v>676785714.28571332</v>
      </c>
      <c r="AW90" s="54">
        <f t="shared" si="337"/>
        <v>657142857.14285612</v>
      </c>
      <c r="AX90" s="54">
        <f t="shared" si="337"/>
        <v>637499999.99999893</v>
      </c>
      <c r="AY90" s="54">
        <f t="shared" si="337"/>
        <v>617857142.85714173</v>
      </c>
      <c r="AZ90" s="54">
        <f t="shared" si="337"/>
        <v>598214285.71428454</v>
      </c>
      <c r="BA90" s="54">
        <f t="shared" si="337"/>
        <v>578571428.57142735</v>
      </c>
      <c r="BB90" s="54">
        <f t="shared" si="337"/>
        <v>558928571.42857015</v>
      </c>
      <c r="BC90" s="54">
        <f t="shared" si="337"/>
        <v>539285714.28571296</v>
      </c>
      <c r="BD90" s="54">
        <f t="shared" si="337"/>
        <v>519642857.14285582</v>
      </c>
      <c r="BE90" s="54">
        <f t="shared" si="337"/>
        <v>499999999.99999869</v>
      </c>
      <c r="BF90" s="54">
        <f t="shared" si="337"/>
        <v>480357142.85714155</v>
      </c>
      <c r="BG90" s="54">
        <f t="shared" si="337"/>
        <v>460714285.71428442</v>
      </c>
      <c r="BH90" s="54">
        <f t="shared" si="337"/>
        <v>441071428.57142729</v>
      </c>
      <c r="BI90" s="54">
        <f t="shared" si="337"/>
        <v>421428571.42857015</v>
      </c>
      <c r="BJ90" s="54">
        <f t="shared" si="337"/>
        <v>401785714.28571302</v>
      </c>
      <c r="BK90" s="54">
        <f t="shared" si="337"/>
        <v>382142857.14285588</v>
      </c>
      <c r="BL90" s="54">
        <f t="shared" si="337"/>
        <v>362499999.99999875</v>
      </c>
      <c r="BM90" s="54">
        <f t="shared" si="337"/>
        <v>342857142.85714161</v>
      </c>
      <c r="BN90" s="54">
        <f t="shared" si="337"/>
        <v>323214285.71428448</v>
      </c>
      <c r="BO90" s="54">
        <f t="shared" si="337"/>
        <v>303571428.57142735</v>
      </c>
      <c r="BP90" s="54">
        <f t="shared" si="337"/>
        <v>283928571.42857021</v>
      </c>
      <c r="BQ90" s="54">
        <f t="shared" si="337"/>
        <v>264285714.28571308</v>
      </c>
      <c r="BR90" s="54">
        <f t="shared" si="337"/>
        <v>244642857.14285594</v>
      </c>
      <c r="BS90" s="54">
        <f t="shared" ref="BS90:CK90" si="338">SUM(BS85:BS89)</f>
        <v>224999999.99999881</v>
      </c>
      <c r="BT90" s="54">
        <f t="shared" si="338"/>
        <v>212499999.99999881</v>
      </c>
      <c r="BU90" s="54">
        <f t="shared" si="338"/>
        <v>199999999.99999881</v>
      </c>
      <c r="BV90" s="54">
        <f t="shared" si="338"/>
        <v>187499999.99999881</v>
      </c>
      <c r="BW90" s="54">
        <f t="shared" si="338"/>
        <v>174999999.99999881</v>
      </c>
      <c r="BX90" s="54">
        <f t="shared" si="338"/>
        <v>162499999.99999881</v>
      </c>
      <c r="BY90" s="54">
        <f t="shared" si="338"/>
        <v>149999999.99999881</v>
      </c>
      <c r="BZ90" s="54">
        <f t="shared" si="338"/>
        <v>137499999.99999881</v>
      </c>
      <c r="CA90" s="54">
        <f t="shared" si="338"/>
        <v>124999999.99999881</v>
      </c>
      <c r="CB90" s="54">
        <f t="shared" si="338"/>
        <v>112499999.99999881</v>
      </c>
      <c r="CC90" s="54">
        <f t="shared" si="338"/>
        <v>99999999.999998808</v>
      </c>
      <c r="CD90" s="54">
        <f t="shared" si="338"/>
        <v>87499999.999998808</v>
      </c>
      <c r="CE90" s="54">
        <f t="shared" si="338"/>
        <v>74999999.999998808</v>
      </c>
      <c r="CF90" s="54">
        <f t="shared" si="338"/>
        <v>62499999.999998808</v>
      </c>
      <c r="CG90" s="54">
        <f t="shared" si="338"/>
        <v>49999999.999998808</v>
      </c>
      <c r="CH90" s="54">
        <f t="shared" si="338"/>
        <v>37499999.999998808</v>
      </c>
      <c r="CI90" s="54">
        <f t="shared" si="338"/>
        <v>24999999.999998808</v>
      </c>
      <c r="CJ90" s="54">
        <f t="shared" si="338"/>
        <v>12499999.999998808</v>
      </c>
      <c r="CK90" s="54">
        <f t="shared" si="338"/>
        <v>-1.1920928955078125E-6</v>
      </c>
    </row>
    <row r="91" spans="2:89" ht="15"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</row>
    <row r="92" spans="2:89" ht="18" thickBot="1">
      <c r="B92" s="100" t="s">
        <v>77</v>
      </c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</row>
    <row r="93" spans="2:89" ht="15.75" thickTop="1"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</row>
    <row r="94" spans="2:89" ht="15.75" thickBot="1">
      <c r="B94" s="97" t="s">
        <v>749</v>
      </c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</row>
    <row r="95" spans="2:89" ht="15"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</row>
    <row r="96" spans="2:89" ht="15">
      <c r="B96" s="155" t="s">
        <v>105</v>
      </c>
      <c r="C96" s="156"/>
      <c r="D96" s="160"/>
      <c r="E96" s="158">
        <f>ЗК_стоимость</f>
        <v>0.05</v>
      </c>
      <c r="F96" s="159">
        <f>$E$96</f>
        <v>0.05</v>
      </c>
      <c r="G96" s="159">
        <f t="shared" ref="G96:BR96" si="339">$E$96</f>
        <v>0.05</v>
      </c>
      <c r="H96" s="159">
        <f t="shared" si="339"/>
        <v>0.05</v>
      </c>
      <c r="I96" s="159">
        <f t="shared" si="339"/>
        <v>0.05</v>
      </c>
      <c r="J96" s="159">
        <f t="shared" si="339"/>
        <v>0.05</v>
      </c>
      <c r="K96" s="159">
        <f t="shared" si="339"/>
        <v>0.05</v>
      </c>
      <c r="L96" s="159">
        <f t="shared" si="339"/>
        <v>0.05</v>
      </c>
      <c r="M96" s="159">
        <f t="shared" si="339"/>
        <v>0.05</v>
      </c>
      <c r="N96" s="159">
        <f t="shared" si="339"/>
        <v>0.05</v>
      </c>
      <c r="O96" s="159">
        <f t="shared" si="339"/>
        <v>0.05</v>
      </c>
      <c r="P96" s="159">
        <f t="shared" si="339"/>
        <v>0.05</v>
      </c>
      <c r="Q96" s="159">
        <f t="shared" si="339"/>
        <v>0.05</v>
      </c>
      <c r="R96" s="159">
        <f t="shared" si="339"/>
        <v>0.05</v>
      </c>
      <c r="S96" s="159">
        <f t="shared" si="339"/>
        <v>0.05</v>
      </c>
      <c r="T96" s="159">
        <f t="shared" si="339"/>
        <v>0.05</v>
      </c>
      <c r="U96" s="159">
        <f t="shared" si="339"/>
        <v>0.05</v>
      </c>
      <c r="V96" s="159">
        <f t="shared" si="339"/>
        <v>0.05</v>
      </c>
      <c r="W96" s="159">
        <f t="shared" si="339"/>
        <v>0.05</v>
      </c>
      <c r="X96" s="159">
        <f t="shared" si="339"/>
        <v>0.05</v>
      </c>
      <c r="Y96" s="159">
        <f t="shared" si="339"/>
        <v>0.05</v>
      </c>
      <c r="Z96" s="159">
        <f t="shared" si="339"/>
        <v>0.05</v>
      </c>
      <c r="AA96" s="159">
        <f t="shared" si="339"/>
        <v>0.05</v>
      </c>
      <c r="AB96" s="159">
        <f t="shared" si="339"/>
        <v>0.05</v>
      </c>
      <c r="AC96" s="159">
        <f t="shared" si="339"/>
        <v>0.05</v>
      </c>
      <c r="AD96" s="159">
        <f t="shared" si="339"/>
        <v>0.05</v>
      </c>
      <c r="AE96" s="159">
        <f t="shared" si="339"/>
        <v>0.05</v>
      </c>
      <c r="AF96" s="159">
        <f t="shared" si="339"/>
        <v>0.05</v>
      </c>
      <c r="AG96" s="159">
        <f t="shared" si="339"/>
        <v>0.05</v>
      </c>
      <c r="AH96" s="159">
        <f t="shared" si="339"/>
        <v>0.05</v>
      </c>
      <c r="AI96" s="159">
        <f t="shared" si="339"/>
        <v>0.05</v>
      </c>
      <c r="AJ96" s="159">
        <f t="shared" si="339"/>
        <v>0.05</v>
      </c>
      <c r="AK96" s="159">
        <f t="shared" si="339"/>
        <v>0.05</v>
      </c>
      <c r="AL96" s="159">
        <f t="shared" si="339"/>
        <v>0.05</v>
      </c>
      <c r="AM96" s="159">
        <f t="shared" si="339"/>
        <v>0.05</v>
      </c>
      <c r="AN96" s="159">
        <f t="shared" si="339"/>
        <v>0.05</v>
      </c>
      <c r="AO96" s="159">
        <f t="shared" si="339"/>
        <v>0.05</v>
      </c>
      <c r="AP96" s="159">
        <f t="shared" si="339"/>
        <v>0.05</v>
      </c>
      <c r="AQ96" s="159">
        <f t="shared" si="339"/>
        <v>0.05</v>
      </c>
      <c r="AR96" s="159">
        <f t="shared" si="339"/>
        <v>0.05</v>
      </c>
      <c r="AS96" s="159">
        <f t="shared" si="339"/>
        <v>0.05</v>
      </c>
      <c r="AT96" s="159">
        <f t="shared" si="339"/>
        <v>0.05</v>
      </c>
      <c r="AU96" s="159">
        <f t="shared" si="339"/>
        <v>0.05</v>
      </c>
      <c r="AV96" s="159">
        <f t="shared" si="339"/>
        <v>0.05</v>
      </c>
      <c r="AW96" s="159">
        <f t="shared" si="339"/>
        <v>0.05</v>
      </c>
      <c r="AX96" s="159">
        <f t="shared" si="339"/>
        <v>0.05</v>
      </c>
      <c r="AY96" s="159">
        <f t="shared" si="339"/>
        <v>0.05</v>
      </c>
      <c r="AZ96" s="159">
        <f t="shared" si="339"/>
        <v>0.05</v>
      </c>
      <c r="BA96" s="159">
        <f t="shared" si="339"/>
        <v>0.05</v>
      </c>
      <c r="BB96" s="159">
        <f t="shared" si="339"/>
        <v>0.05</v>
      </c>
      <c r="BC96" s="159">
        <f t="shared" si="339"/>
        <v>0.05</v>
      </c>
      <c r="BD96" s="159">
        <f t="shared" si="339"/>
        <v>0.05</v>
      </c>
      <c r="BE96" s="159">
        <f t="shared" si="339"/>
        <v>0.05</v>
      </c>
      <c r="BF96" s="159">
        <f t="shared" si="339"/>
        <v>0.05</v>
      </c>
      <c r="BG96" s="159">
        <f t="shared" si="339"/>
        <v>0.05</v>
      </c>
      <c r="BH96" s="159">
        <f t="shared" si="339"/>
        <v>0.05</v>
      </c>
      <c r="BI96" s="159">
        <f t="shared" si="339"/>
        <v>0.05</v>
      </c>
      <c r="BJ96" s="159">
        <f t="shared" si="339"/>
        <v>0.05</v>
      </c>
      <c r="BK96" s="159">
        <f t="shared" si="339"/>
        <v>0.05</v>
      </c>
      <c r="BL96" s="159">
        <f t="shared" si="339"/>
        <v>0.05</v>
      </c>
      <c r="BM96" s="159">
        <f t="shared" si="339"/>
        <v>0.05</v>
      </c>
      <c r="BN96" s="159">
        <f t="shared" si="339"/>
        <v>0.05</v>
      </c>
      <c r="BO96" s="159">
        <f t="shared" si="339"/>
        <v>0.05</v>
      </c>
      <c r="BP96" s="159">
        <f t="shared" si="339"/>
        <v>0.05</v>
      </c>
      <c r="BQ96" s="159">
        <f t="shared" si="339"/>
        <v>0.05</v>
      </c>
      <c r="BR96" s="159">
        <f t="shared" si="339"/>
        <v>0.05</v>
      </c>
      <c r="BS96" s="159">
        <f t="shared" ref="BS96:CK96" si="340">$E$96</f>
        <v>0.05</v>
      </c>
      <c r="BT96" s="159">
        <f t="shared" si="340"/>
        <v>0.05</v>
      </c>
      <c r="BU96" s="159">
        <f t="shared" si="340"/>
        <v>0.05</v>
      </c>
      <c r="BV96" s="159">
        <f t="shared" si="340"/>
        <v>0.05</v>
      </c>
      <c r="BW96" s="159">
        <f t="shared" si="340"/>
        <v>0.05</v>
      </c>
      <c r="BX96" s="159">
        <f t="shared" si="340"/>
        <v>0.05</v>
      </c>
      <c r="BY96" s="159">
        <f t="shared" si="340"/>
        <v>0.05</v>
      </c>
      <c r="BZ96" s="159">
        <f t="shared" si="340"/>
        <v>0.05</v>
      </c>
      <c r="CA96" s="159">
        <f t="shared" si="340"/>
        <v>0.05</v>
      </c>
      <c r="CB96" s="159">
        <f t="shared" si="340"/>
        <v>0.05</v>
      </c>
      <c r="CC96" s="159">
        <f t="shared" si="340"/>
        <v>0.05</v>
      </c>
      <c r="CD96" s="159">
        <f t="shared" si="340"/>
        <v>0.05</v>
      </c>
      <c r="CE96" s="159">
        <f t="shared" si="340"/>
        <v>0.05</v>
      </c>
      <c r="CF96" s="159">
        <f t="shared" si="340"/>
        <v>0.05</v>
      </c>
      <c r="CG96" s="159">
        <f t="shared" si="340"/>
        <v>0.05</v>
      </c>
      <c r="CH96" s="159">
        <f t="shared" si="340"/>
        <v>0.05</v>
      </c>
      <c r="CI96" s="159">
        <f t="shared" si="340"/>
        <v>0.05</v>
      </c>
      <c r="CJ96" s="159">
        <f t="shared" si="340"/>
        <v>0.05</v>
      </c>
      <c r="CK96" s="159">
        <f t="shared" si="340"/>
        <v>0.05</v>
      </c>
    </row>
    <row r="97" spans="2:89" ht="15">
      <c r="B97" s="155" t="s">
        <v>106</v>
      </c>
      <c r="C97" s="156"/>
      <c r="D97" s="160"/>
      <c r="E97" s="158"/>
      <c r="F97" s="159">
        <f t="shared" ref="F97:AK97" si="341">F96*(F26/F20)</f>
        <v>4.10958904109589E-3</v>
      </c>
      <c r="G97" s="159">
        <f t="shared" si="341"/>
        <v>4.2465753424657535E-3</v>
      </c>
      <c r="H97" s="159">
        <f t="shared" si="341"/>
        <v>4.10958904109589E-3</v>
      </c>
      <c r="I97" s="159">
        <f t="shared" si="341"/>
        <v>4.2465753424657535E-3</v>
      </c>
      <c r="J97" s="159">
        <f t="shared" si="341"/>
        <v>4.2465753424657535E-3</v>
      </c>
      <c r="K97" s="159">
        <f t="shared" si="341"/>
        <v>4.10958904109589E-3</v>
      </c>
      <c r="L97" s="159">
        <f t="shared" si="341"/>
        <v>4.2465753424657535E-3</v>
      </c>
      <c r="M97" s="159">
        <f t="shared" si="341"/>
        <v>4.10958904109589E-3</v>
      </c>
      <c r="N97" s="159">
        <f t="shared" si="341"/>
        <v>4.2465753424657535E-3</v>
      </c>
      <c r="O97" s="159">
        <f t="shared" si="341"/>
        <v>4.2349726775956281E-3</v>
      </c>
      <c r="P97" s="159">
        <f t="shared" si="341"/>
        <v>3.9617486338797822E-3</v>
      </c>
      <c r="Q97" s="159">
        <f t="shared" si="341"/>
        <v>4.2349726775956281E-3</v>
      </c>
      <c r="R97" s="159">
        <f t="shared" si="341"/>
        <v>4.0983606557377051E-3</v>
      </c>
      <c r="S97" s="159">
        <f t="shared" si="341"/>
        <v>4.2349726775956281E-3</v>
      </c>
      <c r="T97" s="159">
        <f t="shared" si="341"/>
        <v>4.0983606557377051E-3</v>
      </c>
      <c r="U97" s="159">
        <f t="shared" si="341"/>
        <v>4.2349726775956281E-3</v>
      </c>
      <c r="V97" s="159">
        <f t="shared" si="341"/>
        <v>4.2349726775956281E-3</v>
      </c>
      <c r="W97" s="159">
        <f t="shared" si="341"/>
        <v>4.0983606557377051E-3</v>
      </c>
      <c r="X97" s="159">
        <f t="shared" si="341"/>
        <v>4.2349726775956281E-3</v>
      </c>
      <c r="Y97" s="159">
        <f t="shared" si="341"/>
        <v>4.0983606557377051E-3</v>
      </c>
      <c r="Z97" s="159">
        <f t="shared" si="341"/>
        <v>4.2349726775956281E-3</v>
      </c>
      <c r="AA97" s="159">
        <f t="shared" si="341"/>
        <v>4.2465753424657535E-3</v>
      </c>
      <c r="AB97" s="159">
        <f t="shared" si="341"/>
        <v>3.8356164383561648E-3</v>
      </c>
      <c r="AC97" s="159">
        <f t="shared" si="341"/>
        <v>4.2465753424657535E-3</v>
      </c>
      <c r="AD97" s="159">
        <f t="shared" si="341"/>
        <v>4.10958904109589E-3</v>
      </c>
      <c r="AE97" s="159">
        <f t="shared" si="341"/>
        <v>4.2465753424657535E-3</v>
      </c>
      <c r="AF97" s="159">
        <f t="shared" si="341"/>
        <v>4.10958904109589E-3</v>
      </c>
      <c r="AG97" s="159">
        <f t="shared" si="341"/>
        <v>4.2465753424657535E-3</v>
      </c>
      <c r="AH97" s="159">
        <f t="shared" si="341"/>
        <v>4.2465753424657535E-3</v>
      </c>
      <c r="AI97" s="159">
        <f t="shared" si="341"/>
        <v>4.10958904109589E-3</v>
      </c>
      <c r="AJ97" s="159">
        <f t="shared" si="341"/>
        <v>4.2465753424657535E-3</v>
      </c>
      <c r="AK97" s="159">
        <f t="shared" si="341"/>
        <v>4.10958904109589E-3</v>
      </c>
      <c r="AL97" s="159">
        <f t="shared" ref="AL97:BQ97" si="342">AL96*(AL26/AL20)</f>
        <v>4.2465753424657535E-3</v>
      </c>
      <c r="AM97" s="159">
        <f t="shared" si="342"/>
        <v>4.2465753424657535E-3</v>
      </c>
      <c r="AN97" s="159">
        <f t="shared" si="342"/>
        <v>3.8356164383561648E-3</v>
      </c>
      <c r="AO97" s="159">
        <f t="shared" si="342"/>
        <v>4.2465753424657535E-3</v>
      </c>
      <c r="AP97" s="159">
        <f t="shared" si="342"/>
        <v>4.10958904109589E-3</v>
      </c>
      <c r="AQ97" s="159">
        <f t="shared" si="342"/>
        <v>4.2465753424657535E-3</v>
      </c>
      <c r="AR97" s="159">
        <f t="shared" si="342"/>
        <v>4.10958904109589E-3</v>
      </c>
      <c r="AS97" s="159">
        <f t="shared" si="342"/>
        <v>4.2465753424657535E-3</v>
      </c>
      <c r="AT97" s="159">
        <f t="shared" si="342"/>
        <v>4.2465753424657535E-3</v>
      </c>
      <c r="AU97" s="159">
        <f t="shared" si="342"/>
        <v>4.10958904109589E-3</v>
      </c>
      <c r="AV97" s="159">
        <f t="shared" si="342"/>
        <v>4.2465753424657535E-3</v>
      </c>
      <c r="AW97" s="159">
        <f t="shared" si="342"/>
        <v>4.10958904109589E-3</v>
      </c>
      <c r="AX97" s="159">
        <f t="shared" si="342"/>
        <v>4.2465753424657535E-3</v>
      </c>
      <c r="AY97" s="159">
        <f t="shared" si="342"/>
        <v>4.2465753424657535E-3</v>
      </c>
      <c r="AZ97" s="159">
        <f t="shared" si="342"/>
        <v>3.8356164383561648E-3</v>
      </c>
      <c r="BA97" s="159">
        <f t="shared" si="342"/>
        <v>4.2465753424657535E-3</v>
      </c>
      <c r="BB97" s="159">
        <f t="shared" si="342"/>
        <v>4.10958904109589E-3</v>
      </c>
      <c r="BC97" s="159">
        <f t="shared" si="342"/>
        <v>4.2465753424657535E-3</v>
      </c>
      <c r="BD97" s="159">
        <f t="shared" si="342"/>
        <v>4.10958904109589E-3</v>
      </c>
      <c r="BE97" s="159">
        <f t="shared" si="342"/>
        <v>4.2465753424657535E-3</v>
      </c>
      <c r="BF97" s="159">
        <f t="shared" si="342"/>
        <v>4.2465753424657535E-3</v>
      </c>
      <c r="BG97" s="159">
        <f t="shared" si="342"/>
        <v>4.10958904109589E-3</v>
      </c>
      <c r="BH97" s="159">
        <f t="shared" si="342"/>
        <v>4.2465753424657535E-3</v>
      </c>
      <c r="BI97" s="159">
        <f t="shared" si="342"/>
        <v>4.10958904109589E-3</v>
      </c>
      <c r="BJ97" s="159">
        <f t="shared" si="342"/>
        <v>4.2465753424657535E-3</v>
      </c>
      <c r="BK97" s="159">
        <f t="shared" si="342"/>
        <v>4.2349726775956281E-3</v>
      </c>
      <c r="BL97" s="159">
        <f t="shared" si="342"/>
        <v>3.9617486338797822E-3</v>
      </c>
      <c r="BM97" s="159">
        <f t="shared" si="342"/>
        <v>4.2349726775956281E-3</v>
      </c>
      <c r="BN97" s="159">
        <f t="shared" si="342"/>
        <v>4.0983606557377051E-3</v>
      </c>
      <c r="BO97" s="159">
        <f t="shared" si="342"/>
        <v>4.2349726775956281E-3</v>
      </c>
      <c r="BP97" s="159">
        <f t="shared" si="342"/>
        <v>4.0983606557377051E-3</v>
      </c>
      <c r="BQ97" s="159">
        <f t="shared" si="342"/>
        <v>4.2349726775956281E-3</v>
      </c>
      <c r="BR97" s="159">
        <f t="shared" ref="BR97:CK97" si="343">BR96*(BR26/BR20)</f>
        <v>4.2349726775956281E-3</v>
      </c>
      <c r="BS97" s="159">
        <f t="shared" si="343"/>
        <v>4.0983606557377051E-3</v>
      </c>
      <c r="BT97" s="159">
        <f t="shared" si="343"/>
        <v>4.2349726775956281E-3</v>
      </c>
      <c r="BU97" s="159">
        <f t="shared" si="343"/>
        <v>4.0983606557377051E-3</v>
      </c>
      <c r="BV97" s="159">
        <f t="shared" si="343"/>
        <v>4.2349726775956281E-3</v>
      </c>
      <c r="BW97" s="159">
        <f t="shared" si="343"/>
        <v>4.2465753424657535E-3</v>
      </c>
      <c r="BX97" s="159">
        <f t="shared" si="343"/>
        <v>3.8356164383561648E-3</v>
      </c>
      <c r="BY97" s="159">
        <f t="shared" si="343"/>
        <v>4.2465753424657535E-3</v>
      </c>
      <c r="BZ97" s="159">
        <f t="shared" si="343"/>
        <v>4.10958904109589E-3</v>
      </c>
      <c r="CA97" s="159">
        <f t="shared" si="343"/>
        <v>4.2465753424657535E-3</v>
      </c>
      <c r="CB97" s="159">
        <f t="shared" si="343"/>
        <v>4.10958904109589E-3</v>
      </c>
      <c r="CC97" s="159">
        <f t="shared" si="343"/>
        <v>4.2465753424657535E-3</v>
      </c>
      <c r="CD97" s="159">
        <f t="shared" si="343"/>
        <v>4.2465753424657535E-3</v>
      </c>
      <c r="CE97" s="159">
        <f t="shared" si="343"/>
        <v>4.10958904109589E-3</v>
      </c>
      <c r="CF97" s="159">
        <f t="shared" si="343"/>
        <v>4.2465753424657535E-3</v>
      </c>
      <c r="CG97" s="159">
        <f t="shared" si="343"/>
        <v>4.10958904109589E-3</v>
      </c>
      <c r="CH97" s="159">
        <f t="shared" si="343"/>
        <v>4.2465753424657535E-3</v>
      </c>
      <c r="CI97" s="159">
        <f t="shared" si="343"/>
        <v>4.2465753424657535E-3</v>
      </c>
      <c r="CJ97" s="159">
        <f t="shared" si="343"/>
        <v>3.8356164383561648E-3</v>
      </c>
      <c r="CK97" s="159">
        <f t="shared" si="343"/>
        <v>4.2465753424657535E-3</v>
      </c>
    </row>
    <row r="98" spans="2:89" ht="15"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</row>
    <row r="99" spans="2:89" ht="15.75" thickBot="1">
      <c r="B99" s="97" t="str">
        <f>"Стоимость долга банка, в "&amp;Ед_измерения_денег</f>
        <v>Стоимость долга банка, в  руб.</v>
      </c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</row>
    <row r="100" spans="2:89" ht="1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</row>
    <row r="101" spans="2:89" ht="15">
      <c r="B101" s="77" t="s">
        <v>97</v>
      </c>
      <c r="C101" s="78"/>
      <c r="D101" s="98">
        <v>0</v>
      </c>
      <c r="E101" s="79"/>
      <c r="F101" s="80">
        <f>E104</f>
        <v>0</v>
      </c>
      <c r="G101" s="80">
        <f t="shared" ref="G101" si="344">F104</f>
        <v>0</v>
      </c>
      <c r="H101" s="80">
        <f t="shared" ref="H101" si="345">G104</f>
        <v>0</v>
      </c>
      <c r="I101" s="80">
        <f t="shared" ref="I101" si="346">H104</f>
        <v>0</v>
      </c>
      <c r="J101" s="80">
        <f t="shared" ref="J101" si="347">I104</f>
        <v>0</v>
      </c>
      <c r="K101" s="80">
        <f t="shared" ref="K101" si="348">J104</f>
        <v>0</v>
      </c>
      <c r="L101" s="80">
        <f t="shared" ref="L101" si="349">K104</f>
        <v>0</v>
      </c>
      <c r="M101" s="80">
        <f t="shared" ref="M101" si="350">L104</f>
        <v>0</v>
      </c>
      <c r="N101" s="80">
        <f t="shared" ref="N101" si="351">M104</f>
        <v>0</v>
      </c>
      <c r="O101" s="80">
        <f t="shared" ref="O101" si="352">N104</f>
        <v>0</v>
      </c>
      <c r="P101" s="80">
        <f t="shared" ref="P101" si="353">O104</f>
        <v>0</v>
      </c>
      <c r="Q101" s="80">
        <f t="shared" ref="Q101" si="354">P104</f>
        <v>0</v>
      </c>
      <c r="R101" s="80">
        <f t="shared" ref="R101" si="355">Q104</f>
        <v>0</v>
      </c>
      <c r="S101" s="80">
        <f t="shared" ref="S101" si="356">R104</f>
        <v>0</v>
      </c>
      <c r="T101" s="80">
        <f t="shared" ref="T101" si="357">S104</f>
        <v>0</v>
      </c>
      <c r="U101" s="80">
        <f t="shared" ref="U101" si="358">T104</f>
        <v>0</v>
      </c>
      <c r="V101" s="80">
        <f t="shared" ref="V101" si="359">U104</f>
        <v>0</v>
      </c>
      <c r="W101" s="80">
        <f t="shared" ref="W101" si="360">V104</f>
        <v>0</v>
      </c>
      <c r="X101" s="80">
        <f t="shared" ref="X101" si="361">W104</f>
        <v>0</v>
      </c>
      <c r="Y101" s="80">
        <f t="shared" ref="Y101" si="362">X104</f>
        <v>0</v>
      </c>
      <c r="Z101" s="80">
        <f t="shared" ref="Z101" si="363">Y104</f>
        <v>0</v>
      </c>
      <c r="AA101" s="80">
        <f t="shared" ref="AA101" si="364">Z104</f>
        <v>0</v>
      </c>
      <c r="AB101" s="80">
        <f t="shared" ref="AB101" si="365">AA104</f>
        <v>0</v>
      </c>
      <c r="AC101" s="80">
        <f t="shared" ref="AC101" si="366">AB104</f>
        <v>0</v>
      </c>
      <c r="AD101" s="80">
        <f t="shared" ref="AD101" si="367">AC104</f>
        <v>0</v>
      </c>
      <c r="AE101" s="80">
        <f t="shared" ref="AE101" si="368">AD104</f>
        <v>0</v>
      </c>
      <c r="AF101" s="80">
        <f t="shared" ref="AF101" si="369">AE104</f>
        <v>0</v>
      </c>
      <c r="AG101" s="80">
        <f t="shared" ref="AG101" si="370">AF104</f>
        <v>0</v>
      </c>
      <c r="AH101" s="80">
        <f t="shared" ref="AH101" si="371">AG104</f>
        <v>0</v>
      </c>
      <c r="AI101" s="80">
        <f t="shared" ref="AI101" si="372">AH104</f>
        <v>0</v>
      </c>
      <c r="AJ101" s="80">
        <f t="shared" ref="AJ101" si="373">AI104</f>
        <v>0</v>
      </c>
      <c r="AK101" s="80">
        <f t="shared" ref="AK101" si="374">AJ104</f>
        <v>0</v>
      </c>
      <c r="AL101" s="80">
        <f t="shared" ref="AL101" si="375">AK104</f>
        <v>0</v>
      </c>
      <c r="AM101" s="80">
        <f t="shared" ref="AM101" si="376">AL104</f>
        <v>0</v>
      </c>
      <c r="AN101" s="80">
        <f t="shared" ref="AN101" si="377">AM104</f>
        <v>0</v>
      </c>
      <c r="AO101" s="80">
        <f t="shared" ref="AO101" si="378">AN104</f>
        <v>0</v>
      </c>
      <c r="AP101" s="80">
        <f t="shared" ref="AP101" si="379">AO104</f>
        <v>0</v>
      </c>
      <c r="AQ101" s="80">
        <f t="shared" ref="AQ101" si="380">AP104</f>
        <v>0</v>
      </c>
      <c r="AR101" s="80">
        <f t="shared" ref="AR101" si="381">AQ104</f>
        <v>0</v>
      </c>
      <c r="AS101" s="80">
        <f t="shared" ref="AS101" si="382">AR104</f>
        <v>0</v>
      </c>
      <c r="AT101" s="80">
        <f t="shared" ref="AT101" si="383">AS104</f>
        <v>0</v>
      </c>
      <c r="AU101" s="80">
        <f t="shared" ref="AU101" si="384">AT104</f>
        <v>0</v>
      </c>
      <c r="AV101" s="80">
        <f t="shared" ref="AV101" si="385">AU104</f>
        <v>0</v>
      </c>
      <c r="AW101" s="80">
        <f t="shared" ref="AW101" si="386">AV104</f>
        <v>0</v>
      </c>
      <c r="AX101" s="80">
        <f t="shared" ref="AX101" si="387">AW104</f>
        <v>0</v>
      </c>
      <c r="AY101" s="80">
        <f t="shared" ref="AY101" si="388">AX104</f>
        <v>0</v>
      </c>
      <c r="AZ101" s="80">
        <f t="shared" ref="AZ101" si="389">AY104</f>
        <v>0</v>
      </c>
      <c r="BA101" s="80">
        <f t="shared" ref="BA101" si="390">AZ104</f>
        <v>0</v>
      </c>
      <c r="BB101" s="80">
        <f t="shared" ref="BB101" si="391">BA104</f>
        <v>0</v>
      </c>
      <c r="BC101" s="80">
        <f t="shared" ref="BC101" si="392">BB104</f>
        <v>0</v>
      </c>
      <c r="BD101" s="80">
        <f t="shared" ref="BD101" si="393">BC104</f>
        <v>0</v>
      </c>
      <c r="BE101" s="80">
        <f t="shared" ref="BE101" si="394">BD104</f>
        <v>0</v>
      </c>
      <c r="BF101" s="80">
        <f t="shared" ref="BF101" si="395">BE104</f>
        <v>0</v>
      </c>
      <c r="BG101" s="80">
        <f t="shared" ref="BG101" si="396">BF104</f>
        <v>0</v>
      </c>
      <c r="BH101" s="80">
        <f t="shared" ref="BH101" si="397">BG104</f>
        <v>0</v>
      </c>
      <c r="BI101" s="80">
        <f t="shared" ref="BI101" si="398">BH104</f>
        <v>0</v>
      </c>
      <c r="BJ101" s="80">
        <f t="shared" ref="BJ101" si="399">BI104</f>
        <v>0</v>
      </c>
      <c r="BK101" s="80">
        <f t="shared" ref="BK101" si="400">BJ104</f>
        <v>0</v>
      </c>
      <c r="BL101" s="80">
        <f t="shared" ref="BL101" si="401">BK104</f>
        <v>0</v>
      </c>
      <c r="BM101" s="80">
        <f t="shared" ref="BM101" si="402">BL104</f>
        <v>0</v>
      </c>
      <c r="BN101" s="80">
        <f t="shared" ref="BN101" si="403">BM104</f>
        <v>0</v>
      </c>
      <c r="BO101" s="80">
        <f t="shared" ref="BO101" si="404">BN104</f>
        <v>0</v>
      </c>
      <c r="BP101" s="80">
        <f t="shared" ref="BP101" si="405">BO104</f>
        <v>0</v>
      </c>
      <c r="BQ101" s="80">
        <f t="shared" ref="BQ101" si="406">BP104</f>
        <v>0</v>
      </c>
      <c r="BR101" s="80">
        <f t="shared" ref="BR101" si="407">BQ104</f>
        <v>0</v>
      </c>
      <c r="BS101" s="80">
        <f t="shared" ref="BS101" si="408">BR104</f>
        <v>0</v>
      </c>
      <c r="BT101" s="80">
        <f t="shared" ref="BT101" si="409">BS104</f>
        <v>0</v>
      </c>
      <c r="BU101" s="80">
        <f t="shared" ref="BU101" si="410">BT104</f>
        <v>0</v>
      </c>
      <c r="BV101" s="80">
        <f t="shared" ref="BV101" si="411">BU104</f>
        <v>0</v>
      </c>
      <c r="BW101" s="80">
        <f t="shared" ref="BW101" si="412">BV104</f>
        <v>0</v>
      </c>
      <c r="BX101" s="80">
        <f t="shared" ref="BX101" si="413">BW104</f>
        <v>0</v>
      </c>
      <c r="BY101" s="80">
        <f t="shared" ref="BY101" si="414">BX104</f>
        <v>0</v>
      </c>
      <c r="BZ101" s="80">
        <f t="shared" ref="BZ101" si="415">BY104</f>
        <v>0</v>
      </c>
      <c r="CA101" s="80">
        <f t="shared" ref="CA101" si="416">BZ104</f>
        <v>0</v>
      </c>
      <c r="CB101" s="80">
        <f t="shared" ref="CB101" si="417">CA104</f>
        <v>0</v>
      </c>
      <c r="CC101" s="80">
        <f t="shared" ref="CC101" si="418">CB104</f>
        <v>0</v>
      </c>
      <c r="CD101" s="80">
        <f t="shared" ref="CD101" si="419">CC104</f>
        <v>0</v>
      </c>
      <c r="CE101" s="80">
        <f t="shared" ref="CE101" si="420">CD104</f>
        <v>0</v>
      </c>
      <c r="CF101" s="80">
        <f t="shared" ref="CF101" si="421">CE104</f>
        <v>0</v>
      </c>
      <c r="CG101" s="80">
        <f t="shared" ref="CG101" si="422">CF104</f>
        <v>0</v>
      </c>
      <c r="CH101" s="80">
        <f t="shared" ref="CH101" si="423">CG104</f>
        <v>0</v>
      </c>
      <c r="CI101" s="80">
        <f t="shared" ref="CI101" si="424">CH104</f>
        <v>0</v>
      </c>
      <c r="CJ101" s="80">
        <f t="shared" ref="CJ101" si="425">CI104</f>
        <v>0</v>
      </c>
      <c r="CK101" s="80">
        <f t="shared" ref="CK101" si="426">CJ104</f>
        <v>0</v>
      </c>
    </row>
    <row r="102" spans="2:89" ht="15">
      <c r="B102" s="77" t="s">
        <v>103</v>
      </c>
      <c r="C102" s="78"/>
      <c r="D102" s="98">
        <f>SUM(F102:CK102)</f>
        <v>164636473.16415894</v>
      </c>
      <c r="E102" s="79"/>
      <c r="F102" s="80">
        <f>F75*F97</f>
        <v>0</v>
      </c>
      <c r="G102" s="80">
        <f t="shared" ref="G102:BR102" si="427">G75*G97</f>
        <v>879041.09589041094</v>
      </c>
      <c r="H102" s="80">
        <f t="shared" si="427"/>
        <v>850684.93150684924</v>
      </c>
      <c r="I102" s="80">
        <f t="shared" si="427"/>
        <v>879041.09589041094</v>
      </c>
      <c r="J102" s="80">
        <f t="shared" si="427"/>
        <v>2790000</v>
      </c>
      <c r="K102" s="80">
        <f t="shared" si="427"/>
        <v>2699999.9999999995</v>
      </c>
      <c r="L102" s="80">
        <f t="shared" si="427"/>
        <v>2790000</v>
      </c>
      <c r="M102" s="80">
        <f t="shared" si="427"/>
        <v>3106849.3150684927</v>
      </c>
      <c r="N102" s="80">
        <f t="shared" si="427"/>
        <v>3210410.9589041094</v>
      </c>
      <c r="O102" s="80">
        <f t="shared" si="427"/>
        <v>3201639.3442622949</v>
      </c>
      <c r="P102" s="80">
        <f t="shared" si="427"/>
        <v>3565573.770491804</v>
      </c>
      <c r="Q102" s="80">
        <f t="shared" si="427"/>
        <v>3811475.4098360655</v>
      </c>
      <c r="R102" s="80">
        <f t="shared" si="427"/>
        <v>3688524.5901639345</v>
      </c>
      <c r="S102" s="80">
        <f t="shared" si="427"/>
        <v>3758538.2513661198</v>
      </c>
      <c r="T102" s="80">
        <f t="shared" si="427"/>
        <v>3586065.5737704919</v>
      </c>
      <c r="U102" s="80">
        <f t="shared" si="427"/>
        <v>3652663.9344262294</v>
      </c>
      <c r="V102" s="80">
        <f t="shared" si="427"/>
        <v>3599726.7759562838</v>
      </c>
      <c r="W102" s="80">
        <f t="shared" si="427"/>
        <v>3432377.0491803279</v>
      </c>
      <c r="X102" s="80">
        <f t="shared" si="427"/>
        <v>3493852.4590163929</v>
      </c>
      <c r="Y102" s="80">
        <f t="shared" si="427"/>
        <v>3329918.0327868853</v>
      </c>
      <c r="Z102" s="80">
        <f t="shared" si="427"/>
        <v>3387978.1420765026</v>
      </c>
      <c r="AA102" s="80">
        <f t="shared" si="427"/>
        <v>3344178.0821917807</v>
      </c>
      <c r="AB102" s="80">
        <f t="shared" si="427"/>
        <v>2972602.7397260275</v>
      </c>
      <c r="AC102" s="80">
        <f t="shared" si="427"/>
        <v>3238013.6986301369</v>
      </c>
      <c r="AD102" s="80">
        <f t="shared" si="427"/>
        <v>3082191.7808219176</v>
      </c>
      <c r="AE102" s="80">
        <f t="shared" si="427"/>
        <v>3131849.3150684931</v>
      </c>
      <c r="AF102" s="80">
        <f t="shared" si="427"/>
        <v>2979452.0547945201</v>
      </c>
      <c r="AG102" s="80">
        <f t="shared" si="427"/>
        <v>3025684.9315068494</v>
      </c>
      <c r="AH102" s="80">
        <f t="shared" si="427"/>
        <v>2972602.7397260275</v>
      </c>
      <c r="AI102" s="80">
        <f t="shared" si="427"/>
        <v>2825342.4657534244</v>
      </c>
      <c r="AJ102" s="80">
        <f t="shared" si="427"/>
        <v>2866438.3561643837</v>
      </c>
      <c r="AK102" s="80">
        <f t="shared" si="427"/>
        <v>2722602.739726027</v>
      </c>
      <c r="AL102" s="80">
        <f t="shared" si="427"/>
        <v>2760273.9726027399</v>
      </c>
      <c r="AM102" s="80">
        <f t="shared" si="427"/>
        <v>2707191.780821918</v>
      </c>
      <c r="AN102" s="80">
        <f t="shared" si="427"/>
        <v>2397260.273972603</v>
      </c>
      <c r="AO102" s="80">
        <f t="shared" si="427"/>
        <v>2601027.3972602738</v>
      </c>
      <c r="AP102" s="80">
        <f t="shared" si="427"/>
        <v>2465753.4246575339</v>
      </c>
      <c r="AQ102" s="80">
        <f t="shared" si="427"/>
        <v>2494863.01369863</v>
      </c>
      <c r="AR102" s="80">
        <f t="shared" si="427"/>
        <v>2363013.6986301369</v>
      </c>
      <c r="AS102" s="80">
        <f t="shared" si="427"/>
        <v>2388698.6301369863</v>
      </c>
      <c r="AT102" s="80">
        <f t="shared" si="427"/>
        <v>2335616.4383561644</v>
      </c>
      <c r="AU102" s="80">
        <f t="shared" si="427"/>
        <v>2208904.1095890407</v>
      </c>
      <c r="AV102" s="80">
        <f t="shared" si="427"/>
        <v>2229452.0547945206</v>
      </c>
      <c r="AW102" s="80">
        <f t="shared" si="427"/>
        <v>2106164.3835616438</v>
      </c>
      <c r="AX102" s="80">
        <f t="shared" si="427"/>
        <v>2123287.6712328768</v>
      </c>
      <c r="AY102" s="80">
        <f t="shared" si="427"/>
        <v>2070205.4794520549</v>
      </c>
      <c r="AZ102" s="80">
        <f t="shared" si="427"/>
        <v>1821917.8082191783</v>
      </c>
      <c r="BA102" s="80">
        <f t="shared" si="427"/>
        <v>1964041.0958904109</v>
      </c>
      <c r="BB102" s="80">
        <f t="shared" si="427"/>
        <v>1849315.0684931504</v>
      </c>
      <c r="BC102" s="80">
        <f t="shared" si="427"/>
        <v>1857876.7123287672</v>
      </c>
      <c r="BD102" s="80">
        <f t="shared" si="427"/>
        <v>1746575.3424657532</v>
      </c>
      <c r="BE102" s="80">
        <f t="shared" si="427"/>
        <v>1751712.3287671234</v>
      </c>
      <c r="BF102" s="80">
        <f t="shared" si="427"/>
        <v>1698630.1369863015</v>
      </c>
      <c r="BG102" s="80">
        <f t="shared" si="427"/>
        <v>1592465.7534246573</v>
      </c>
      <c r="BH102" s="80">
        <f t="shared" si="427"/>
        <v>1592465.7534246575</v>
      </c>
      <c r="BI102" s="80">
        <f t="shared" si="427"/>
        <v>1489726.0273972601</v>
      </c>
      <c r="BJ102" s="80">
        <f t="shared" si="427"/>
        <v>1486301.3698630137</v>
      </c>
      <c r="BK102" s="80">
        <f t="shared" si="427"/>
        <v>1429303.2786885244</v>
      </c>
      <c r="BL102" s="80">
        <f t="shared" si="427"/>
        <v>1287568.3060109292</v>
      </c>
      <c r="BM102" s="80">
        <f t="shared" si="427"/>
        <v>1323428.9617486338</v>
      </c>
      <c r="BN102" s="80">
        <f t="shared" si="427"/>
        <v>1229508.1967213114</v>
      </c>
      <c r="BO102" s="80">
        <f t="shared" si="427"/>
        <v>1217554.6448087431</v>
      </c>
      <c r="BP102" s="80">
        <f t="shared" si="427"/>
        <v>1127049.180327869</v>
      </c>
      <c r="BQ102" s="80">
        <f t="shared" si="427"/>
        <v>1111680.3278688523</v>
      </c>
      <c r="BR102" s="80">
        <f t="shared" si="427"/>
        <v>1058743.1693989071</v>
      </c>
      <c r="BS102" s="80">
        <f t="shared" ref="BS102:CK102" si="428">BS75*BS97</f>
        <v>973360.65573770495</v>
      </c>
      <c r="BT102" s="80">
        <f t="shared" si="428"/>
        <v>952868.85245901637</v>
      </c>
      <c r="BU102" s="80">
        <f t="shared" si="428"/>
        <v>870901.63934426231</v>
      </c>
      <c r="BV102" s="80">
        <f t="shared" si="428"/>
        <v>846994.53551912564</v>
      </c>
      <c r="BW102" s="80">
        <f t="shared" si="428"/>
        <v>796232.87671232875</v>
      </c>
      <c r="BX102" s="80">
        <f t="shared" si="428"/>
        <v>671232.87671232887</v>
      </c>
      <c r="BY102" s="80">
        <f t="shared" si="428"/>
        <v>690068.49315068498</v>
      </c>
      <c r="BZ102" s="80">
        <f t="shared" si="428"/>
        <v>616438.35616438347</v>
      </c>
      <c r="CA102" s="80">
        <f t="shared" si="428"/>
        <v>583904.10958904109</v>
      </c>
      <c r="CB102" s="80">
        <f t="shared" si="428"/>
        <v>513698.63013698626</v>
      </c>
      <c r="CC102" s="80">
        <f t="shared" si="428"/>
        <v>477739.72602739726</v>
      </c>
      <c r="CD102" s="80">
        <f t="shared" si="428"/>
        <v>424657.53424657538</v>
      </c>
      <c r="CE102" s="80">
        <f t="shared" si="428"/>
        <v>359589.0410958904</v>
      </c>
      <c r="CF102" s="80">
        <f t="shared" si="428"/>
        <v>318493.15068493149</v>
      </c>
      <c r="CG102" s="80">
        <f t="shared" si="428"/>
        <v>256849.31506849313</v>
      </c>
      <c r="CH102" s="80">
        <f t="shared" si="428"/>
        <v>212328.76712328769</v>
      </c>
      <c r="CI102" s="80">
        <f t="shared" si="428"/>
        <v>159246.57534246575</v>
      </c>
      <c r="CJ102" s="80">
        <f t="shared" si="428"/>
        <v>95890.410958904118</v>
      </c>
      <c r="CK102" s="80">
        <f t="shared" si="428"/>
        <v>53082.191780821922</v>
      </c>
    </row>
    <row r="103" spans="2:89" ht="15.75" thickBot="1">
      <c r="B103" s="45" t="s">
        <v>104</v>
      </c>
      <c r="C103" s="46"/>
      <c r="D103" s="47">
        <f>SUM(F103:CK103)</f>
        <v>-164636473.16415894</v>
      </c>
      <c r="E103" s="48"/>
      <c r="F103" s="49">
        <f>-F102</f>
        <v>0</v>
      </c>
      <c r="G103" s="49">
        <f t="shared" ref="G103:BR103" si="429">-G102</f>
        <v>-879041.09589041094</v>
      </c>
      <c r="H103" s="49">
        <f t="shared" si="429"/>
        <v>-850684.93150684924</v>
      </c>
      <c r="I103" s="49">
        <f t="shared" si="429"/>
        <v>-879041.09589041094</v>
      </c>
      <c r="J103" s="49">
        <f t="shared" si="429"/>
        <v>-2790000</v>
      </c>
      <c r="K103" s="49">
        <f t="shared" si="429"/>
        <v>-2699999.9999999995</v>
      </c>
      <c r="L103" s="49">
        <f t="shared" si="429"/>
        <v>-2790000</v>
      </c>
      <c r="M103" s="49">
        <f t="shared" si="429"/>
        <v>-3106849.3150684927</v>
      </c>
      <c r="N103" s="49">
        <f t="shared" si="429"/>
        <v>-3210410.9589041094</v>
      </c>
      <c r="O103" s="49">
        <f t="shared" si="429"/>
        <v>-3201639.3442622949</v>
      </c>
      <c r="P103" s="49">
        <f t="shared" si="429"/>
        <v>-3565573.770491804</v>
      </c>
      <c r="Q103" s="49">
        <f t="shared" si="429"/>
        <v>-3811475.4098360655</v>
      </c>
      <c r="R103" s="49">
        <f t="shared" si="429"/>
        <v>-3688524.5901639345</v>
      </c>
      <c r="S103" s="49">
        <f t="shared" si="429"/>
        <v>-3758538.2513661198</v>
      </c>
      <c r="T103" s="49">
        <f t="shared" si="429"/>
        <v>-3586065.5737704919</v>
      </c>
      <c r="U103" s="49">
        <f t="shared" si="429"/>
        <v>-3652663.9344262294</v>
      </c>
      <c r="V103" s="49">
        <f t="shared" si="429"/>
        <v>-3599726.7759562838</v>
      </c>
      <c r="W103" s="49">
        <f t="shared" si="429"/>
        <v>-3432377.0491803279</v>
      </c>
      <c r="X103" s="49">
        <f t="shared" si="429"/>
        <v>-3493852.4590163929</v>
      </c>
      <c r="Y103" s="49">
        <f t="shared" si="429"/>
        <v>-3329918.0327868853</v>
      </c>
      <c r="Z103" s="49">
        <f t="shared" si="429"/>
        <v>-3387978.1420765026</v>
      </c>
      <c r="AA103" s="49">
        <f t="shared" si="429"/>
        <v>-3344178.0821917807</v>
      </c>
      <c r="AB103" s="49">
        <f t="shared" si="429"/>
        <v>-2972602.7397260275</v>
      </c>
      <c r="AC103" s="49">
        <f t="shared" si="429"/>
        <v>-3238013.6986301369</v>
      </c>
      <c r="AD103" s="49">
        <f t="shared" si="429"/>
        <v>-3082191.7808219176</v>
      </c>
      <c r="AE103" s="49">
        <f t="shared" si="429"/>
        <v>-3131849.3150684931</v>
      </c>
      <c r="AF103" s="49">
        <f t="shared" si="429"/>
        <v>-2979452.0547945201</v>
      </c>
      <c r="AG103" s="49">
        <f t="shared" si="429"/>
        <v>-3025684.9315068494</v>
      </c>
      <c r="AH103" s="49">
        <f t="shared" si="429"/>
        <v>-2972602.7397260275</v>
      </c>
      <c r="AI103" s="49">
        <f t="shared" si="429"/>
        <v>-2825342.4657534244</v>
      </c>
      <c r="AJ103" s="49">
        <f t="shared" si="429"/>
        <v>-2866438.3561643837</v>
      </c>
      <c r="AK103" s="49">
        <f t="shared" si="429"/>
        <v>-2722602.739726027</v>
      </c>
      <c r="AL103" s="49">
        <f t="shared" si="429"/>
        <v>-2760273.9726027399</v>
      </c>
      <c r="AM103" s="49">
        <f t="shared" si="429"/>
        <v>-2707191.780821918</v>
      </c>
      <c r="AN103" s="49">
        <f t="shared" si="429"/>
        <v>-2397260.273972603</v>
      </c>
      <c r="AO103" s="49">
        <f t="shared" si="429"/>
        <v>-2601027.3972602738</v>
      </c>
      <c r="AP103" s="49">
        <f t="shared" si="429"/>
        <v>-2465753.4246575339</v>
      </c>
      <c r="AQ103" s="49">
        <f t="shared" si="429"/>
        <v>-2494863.01369863</v>
      </c>
      <c r="AR103" s="49">
        <f t="shared" si="429"/>
        <v>-2363013.6986301369</v>
      </c>
      <c r="AS103" s="49">
        <f t="shared" si="429"/>
        <v>-2388698.6301369863</v>
      </c>
      <c r="AT103" s="49">
        <f t="shared" si="429"/>
        <v>-2335616.4383561644</v>
      </c>
      <c r="AU103" s="49">
        <f t="shared" si="429"/>
        <v>-2208904.1095890407</v>
      </c>
      <c r="AV103" s="49">
        <f t="shared" si="429"/>
        <v>-2229452.0547945206</v>
      </c>
      <c r="AW103" s="49">
        <f t="shared" si="429"/>
        <v>-2106164.3835616438</v>
      </c>
      <c r="AX103" s="49">
        <f t="shared" si="429"/>
        <v>-2123287.6712328768</v>
      </c>
      <c r="AY103" s="49">
        <f t="shared" si="429"/>
        <v>-2070205.4794520549</v>
      </c>
      <c r="AZ103" s="49">
        <f t="shared" si="429"/>
        <v>-1821917.8082191783</v>
      </c>
      <c r="BA103" s="49">
        <f t="shared" si="429"/>
        <v>-1964041.0958904109</v>
      </c>
      <c r="BB103" s="49">
        <f t="shared" si="429"/>
        <v>-1849315.0684931504</v>
      </c>
      <c r="BC103" s="49">
        <f t="shared" si="429"/>
        <v>-1857876.7123287672</v>
      </c>
      <c r="BD103" s="49">
        <f t="shared" si="429"/>
        <v>-1746575.3424657532</v>
      </c>
      <c r="BE103" s="49">
        <f t="shared" si="429"/>
        <v>-1751712.3287671234</v>
      </c>
      <c r="BF103" s="49">
        <f t="shared" si="429"/>
        <v>-1698630.1369863015</v>
      </c>
      <c r="BG103" s="49">
        <f t="shared" si="429"/>
        <v>-1592465.7534246573</v>
      </c>
      <c r="BH103" s="49">
        <f t="shared" si="429"/>
        <v>-1592465.7534246575</v>
      </c>
      <c r="BI103" s="49">
        <f t="shared" si="429"/>
        <v>-1489726.0273972601</v>
      </c>
      <c r="BJ103" s="49">
        <f t="shared" si="429"/>
        <v>-1486301.3698630137</v>
      </c>
      <c r="BK103" s="49">
        <f t="shared" si="429"/>
        <v>-1429303.2786885244</v>
      </c>
      <c r="BL103" s="49">
        <f t="shared" si="429"/>
        <v>-1287568.3060109292</v>
      </c>
      <c r="BM103" s="49">
        <f t="shared" si="429"/>
        <v>-1323428.9617486338</v>
      </c>
      <c r="BN103" s="49">
        <f t="shared" si="429"/>
        <v>-1229508.1967213114</v>
      </c>
      <c r="BO103" s="49">
        <f t="shared" si="429"/>
        <v>-1217554.6448087431</v>
      </c>
      <c r="BP103" s="49">
        <f t="shared" si="429"/>
        <v>-1127049.180327869</v>
      </c>
      <c r="BQ103" s="49">
        <f t="shared" si="429"/>
        <v>-1111680.3278688523</v>
      </c>
      <c r="BR103" s="49">
        <f t="shared" si="429"/>
        <v>-1058743.1693989071</v>
      </c>
      <c r="BS103" s="49">
        <f t="shared" ref="BS103:CK103" si="430">-BS102</f>
        <v>-973360.65573770495</v>
      </c>
      <c r="BT103" s="49">
        <f t="shared" si="430"/>
        <v>-952868.85245901637</v>
      </c>
      <c r="BU103" s="49">
        <f t="shared" si="430"/>
        <v>-870901.63934426231</v>
      </c>
      <c r="BV103" s="49">
        <f t="shared" si="430"/>
        <v>-846994.53551912564</v>
      </c>
      <c r="BW103" s="49">
        <f t="shared" si="430"/>
        <v>-796232.87671232875</v>
      </c>
      <c r="BX103" s="49">
        <f t="shared" si="430"/>
        <v>-671232.87671232887</v>
      </c>
      <c r="BY103" s="49">
        <f t="shared" si="430"/>
        <v>-690068.49315068498</v>
      </c>
      <c r="BZ103" s="49">
        <f t="shared" si="430"/>
        <v>-616438.35616438347</v>
      </c>
      <c r="CA103" s="49">
        <f t="shared" si="430"/>
        <v>-583904.10958904109</v>
      </c>
      <c r="CB103" s="49">
        <f t="shared" si="430"/>
        <v>-513698.63013698626</v>
      </c>
      <c r="CC103" s="49">
        <f t="shared" si="430"/>
        <v>-477739.72602739726</v>
      </c>
      <c r="CD103" s="49">
        <f t="shared" si="430"/>
        <v>-424657.53424657538</v>
      </c>
      <c r="CE103" s="49">
        <f t="shared" si="430"/>
        <v>-359589.0410958904</v>
      </c>
      <c r="CF103" s="49">
        <f t="shared" si="430"/>
        <v>-318493.15068493149</v>
      </c>
      <c r="CG103" s="49">
        <f t="shared" si="430"/>
        <v>-256849.31506849313</v>
      </c>
      <c r="CH103" s="49">
        <f t="shared" si="430"/>
        <v>-212328.76712328769</v>
      </c>
      <c r="CI103" s="49">
        <f t="shared" si="430"/>
        <v>-159246.57534246575</v>
      </c>
      <c r="CJ103" s="49">
        <f t="shared" si="430"/>
        <v>-95890.410958904118</v>
      </c>
      <c r="CK103" s="49">
        <f t="shared" si="430"/>
        <v>-53082.191780821922</v>
      </c>
    </row>
    <row r="104" spans="2:89" ht="15.75" thickTop="1">
      <c r="B104" s="50" t="s">
        <v>99</v>
      </c>
      <c r="C104" s="51"/>
      <c r="D104" s="52">
        <f>SUM(D101:D103)</f>
        <v>0</v>
      </c>
      <c r="E104" s="53"/>
      <c r="F104" s="54">
        <f>SUM(F101:F103)</f>
        <v>0</v>
      </c>
      <c r="G104" s="54">
        <f t="shared" ref="G104:BR104" si="431">SUM(G101:G103)</f>
        <v>0</v>
      </c>
      <c r="H104" s="54">
        <f t="shared" si="431"/>
        <v>0</v>
      </c>
      <c r="I104" s="54">
        <f t="shared" si="431"/>
        <v>0</v>
      </c>
      <c r="J104" s="54">
        <f t="shared" si="431"/>
        <v>0</v>
      </c>
      <c r="K104" s="54">
        <f t="shared" si="431"/>
        <v>0</v>
      </c>
      <c r="L104" s="54">
        <f t="shared" si="431"/>
        <v>0</v>
      </c>
      <c r="M104" s="54">
        <f t="shared" si="431"/>
        <v>0</v>
      </c>
      <c r="N104" s="54">
        <f t="shared" si="431"/>
        <v>0</v>
      </c>
      <c r="O104" s="54">
        <f t="shared" si="431"/>
        <v>0</v>
      </c>
      <c r="P104" s="54">
        <f t="shared" si="431"/>
        <v>0</v>
      </c>
      <c r="Q104" s="54">
        <f t="shared" si="431"/>
        <v>0</v>
      </c>
      <c r="R104" s="54">
        <f t="shared" si="431"/>
        <v>0</v>
      </c>
      <c r="S104" s="54">
        <f t="shared" si="431"/>
        <v>0</v>
      </c>
      <c r="T104" s="54">
        <f t="shared" si="431"/>
        <v>0</v>
      </c>
      <c r="U104" s="54">
        <f t="shared" si="431"/>
        <v>0</v>
      </c>
      <c r="V104" s="54">
        <f t="shared" si="431"/>
        <v>0</v>
      </c>
      <c r="W104" s="54">
        <f t="shared" si="431"/>
        <v>0</v>
      </c>
      <c r="X104" s="54">
        <f t="shared" si="431"/>
        <v>0</v>
      </c>
      <c r="Y104" s="54">
        <f t="shared" si="431"/>
        <v>0</v>
      </c>
      <c r="Z104" s="54">
        <f t="shared" si="431"/>
        <v>0</v>
      </c>
      <c r="AA104" s="54">
        <f t="shared" si="431"/>
        <v>0</v>
      </c>
      <c r="AB104" s="54">
        <f t="shared" si="431"/>
        <v>0</v>
      </c>
      <c r="AC104" s="54">
        <f t="shared" si="431"/>
        <v>0</v>
      </c>
      <c r="AD104" s="54">
        <f t="shared" si="431"/>
        <v>0</v>
      </c>
      <c r="AE104" s="54">
        <f t="shared" si="431"/>
        <v>0</v>
      </c>
      <c r="AF104" s="54">
        <f t="shared" si="431"/>
        <v>0</v>
      </c>
      <c r="AG104" s="54">
        <f t="shared" si="431"/>
        <v>0</v>
      </c>
      <c r="AH104" s="54">
        <f t="shared" si="431"/>
        <v>0</v>
      </c>
      <c r="AI104" s="54">
        <f t="shared" si="431"/>
        <v>0</v>
      </c>
      <c r="AJ104" s="54">
        <f t="shared" si="431"/>
        <v>0</v>
      </c>
      <c r="AK104" s="54">
        <f t="shared" si="431"/>
        <v>0</v>
      </c>
      <c r="AL104" s="54">
        <f t="shared" si="431"/>
        <v>0</v>
      </c>
      <c r="AM104" s="54">
        <f t="shared" si="431"/>
        <v>0</v>
      </c>
      <c r="AN104" s="54">
        <f t="shared" si="431"/>
        <v>0</v>
      </c>
      <c r="AO104" s="54">
        <f t="shared" si="431"/>
        <v>0</v>
      </c>
      <c r="AP104" s="54">
        <f t="shared" si="431"/>
        <v>0</v>
      </c>
      <c r="AQ104" s="54">
        <f t="shared" si="431"/>
        <v>0</v>
      </c>
      <c r="AR104" s="54">
        <f t="shared" si="431"/>
        <v>0</v>
      </c>
      <c r="AS104" s="54">
        <f t="shared" si="431"/>
        <v>0</v>
      </c>
      <c r="AT104" s="54">
        <f t="shared" si="431"/>
        <v>0</v>
      </c>
      <c r="AU104" s="54">
        <f t="shared" si="431"/>
        <v>0</v>
      </c>
      <c r="AV104" s="54">
        <f t="shared" si="431"/>
        <v>0</v>
      </c>
      <c r="AW104" s="54">
        <f t="shared" si="431"/>
        <v>0</v>
      </c>
      <c r="AX104" s="54">
        <f t="shared" si="431"/>
        <v>0</v>
      </c>
      <c r="AY104" s="54">
        <f t="shared" si="431"/>
        <v>0</v>
      </c>
      <c r="AZ104" s="54">
        <f t="shared" si="431"/>
        <v>0</v>
      </c>
      <c r="BA104" s="54">
        <f t="shared" si="431"/>
        <v>0</v>
      </c>
      <c r="BB104" s="54">
        <f t="shared" si="431"/>
        <v>0</v>
      </c>
      <c r="BC104" s="54">
        <f t="shared" si="431"/>
        <v>0</v>
      </c>
      <c r="BD104" s="54">
        <f t="shared" si="431"/>
        <v>0</v>
      </c>
      <c r="BE104" s="54">
        <f t="shared" si="431"/>
        <v>0</v>
      </c>
      <c r="BF104" s="54">
        <f t="shared" si="431"/>
        <v>0</v>
      </c>
      <c r="BG104" s="54">
        <f t="shared" si="431"/>
        <v>0</v>
      </c>
      <c r="BH104" s="54">
        <f t="shared" si="431"/>
        <v>0</v>
      </c>
      <c r="BI104" s="54">
        <f t="shared" si="431"/>
        <v>0</v>
      </c>
      <c r="BJ104" s="54">
        <f t="shared" si="431"/>
        <v>0</v>
      </c>
      <c r="BK104" s="54">
        <f t="shared" si="431"/>
        <v>0</v>
      </c>
      <c r="BL104" s="54">
        <f t="shared" si="431"/>
        <v>0</v>
      </c>
      <c r="BM104" s="54">
        <f t="shared" si="431"/>
        <v>0</v>
      </c>
      <c r="BN104" s="54">
        <f t="shared" si="431"/>
        <v>0</v>
      </c>
      <c r="BO104" s="54">
        <f t="shared" si="431"/>
        <v>0</v>
      </c>
      <c r="BP104" s="54">
        <f t="shared" si="431"/>
        <v>0</v>
      </c>
      <c r="BQ104" s="54">
        <f t="shared" si="431"/>
        <v>0</v>
      </c>
      <c r="BR104" s="54">
        <f t="shared" si="431"/>
        <v>0</v>
      </c>
      <c r="BS104" s="54">
        <f t="shared" ref="BS104:CK104" si="432">SUM(BS101:BS103)</f>
        <v>0</v>
      </c>
      <c r="BT104" s="54">
        <f t="shared" si="432"/>
        <v>0</v>
      </c>
      <c r="BU104" s="54">
        <f t="shared" si="432"/>
        <v>0</v>
      </c>
      <c r="BV104" s="54">
        <f t="shared" si="432"/>
        <v>0</v>
      </c>
      <c r="BW104" s="54">
        <f t="shared" si="432"/>
        <v>0</v>
      </c>
      <c r="BX104" s="54">
        <f t="shared" si="432"/>
        <v>0</v>
      </c>
      <c r="BY104" s="54">
        <f t="shared" si="432"/>
        <v>0</v>
      </c>
      <c r="BZ104" s="54">
        <f t="shared" si="432"/>
        <v>0</v>
      </c>
      <c r="CA104" s="54">
        <f t="shared" si="432"/>
        <v>0</v>
      </c>
      <c r="CB104" s="54">
        <f t="shared" si="432"/>
        <v>0</v>
      </c>
      <c r="CC104" s="54">
        <f t="shared" si="432"/>
        <v>0</v>
      </c>
      <c r="CD104" s="54">
        <f t="shared" si="432"/>
        <v>0</v>
      </c>
      <c r="CE104" s="54">
        <f t="shared" si="432"/>
        <v>0</v>
      </c>
      <c r="CF104" s="54">
        <f t="shared" si="432"/>
        <v>0</v>
      </c>
      <c r="CG104" s="54">
        <f t="shared" si="432"/>
        <v>0</v>
      </c>
      <c r="CH104" s="54">
        <f t="shared" si="432"/>
        <v>0</v>
      </c>
      <c r="CI104" s="54">
        <f t="shared" si="432"/>
        <v>0</v>
      </c>
      <c r="CJ104" s="54">
        <f t="shared" si="432"/>
        <v>0</v>
      </c>
      <c r="CK104" s="54">
        <f t="shared" si="432"/>
        <v>0</v>
      </c>
    </row>
    <row r="105" spans="2:89" ht="15"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</row>
    <row r="106" spans="2:89" ht="15.75" thickBot="1">
      <c r="B106" s="97" t="s">
        <v>750</v>
      </c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</row>
    <row r="107" spans="2:89" ht="15"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</row>
    <row r="108" spans="2:89" ht="15">
      <c r="B108" s="155" t="s">
        <v>105</v>
      </c>
      <c r="C108" s="156"/>
      <c r="D108" s="160"/>
      <c r="E108" s="158">
        <f>ИК_стоимость</f>
        <v>0.11</v>
      </c>
      <c r="F108" s="159">
        <f>$E$108</f>
        <v>0.11</v>
      </c>
      <c r="G108" s="159">
        <f t="shared" ref="G108:BR108" si="433">$E$108</f>
        <v>0.11</v>
      </c>
      <c r="H108" s="159">
        <f t="shared" si="433"/>
        <v>0.11</v>
      </c>
      <c r="I108" s="159">
        <f t="shared" si="433"/>
        <v>0.11</v>
      </c>
      <c r="J108" s="159">
        <f t="shared" si="433"/>
        <v>0.11</v>
      </c>
      <c r="K108" s="159">
        <f t="shared" si="433"/>
        <v>0.11</v>
      </c>
      <c r="L108" s="159">
        <f t="shared" si="433"/>
        <v>0.11</v>
      </c>
      <c r="M108" s="159">
        <f t="shared" si="433"/>
        <v>0.11</v>
      </c>
      <c r="N108" s="159">
        <f t="shared" si="433"/>
        <v>0.11</v>
      </c>
      <c r="O108" s="159">
        <f t="shared" si="433"/>
        <v>0.11</v>
      </c>
      <c r="P108" s="159">
        <f t="shared" si="433"/>
        <v>0.11</v>
      </c>
      <c r="Q108" s="159">
        <f t="shared" si="433"/>
        <v>0.11</v>
      </c>
      <c r="R108" s="159">
        <f t="shared" si="433"/>
        <v>0.11</v>
      </c>
      <c r="S108" s="159">
        <f t="shared" si="433"/>
        <v>0.11</v>
      </c>
      <c r="T108" s="159">
        <f t="shared" si="433"/>
        <v>0.11</v>
      </c>
      <c r="U108" s="159">
        <f t="shared" si="433"/>
        <v>0.11</v>
      </c>
      <c r="V108" s="159">
        <f t="shared" si="433"/>
        <v>0.11</v>
      </c>
      <c r="W108" s="159">
        <f t="shared" si="433"/>
        <v>0.11</v>
      </c>
      <c r="X108" s="159">
        <f t="shared" si="433"/>
        <v>0.11</v>
      </c>
      <c r="Y108" s="159">
        <f t="shared" si="433"/>
        <v>0.11</v>
      </c>
      <c r="Z108" s="159">
        <f t="shared" si="433"/>
        <v>0.11</v>
      </c>
      <c r="AA108" s="159">
        <f t="shared" si="433"/>
        <v>0.11</v>
      </c>
      <c r="AB108" s="159">
        <f t="shared" si="433"/>
        <v>0.11</v>
      </c>
      <c r="AC108" s="159">
        <f t="shared" si="433"/>
        <v>0.11</v>
      </c>
      <c r="AD108" s="159">
        <f t="shared" si="433"/>
        <v>0.11</v>
      </c>
      <c r="AE108" s="159">
        <f t="shared" si="433"/>
        <v>0.11</v>
      </c>
      <c r="AF108" s="159">
        <f t="shared" si="433"/>
        <v>0.11</v>
      </c>
      <c r="AG108" s="159">
        <f t="shared" si="433"/>
        <v>0.11</v>
      </c>
      <c r="AH108" s="159">
        <f t="shared" si="433"/>
        <v>0.11</v>
      </c>
      <c r="AI108" s="159">
        <f t="shared" si="433"/>
        <v>0.11</v>
      </c>
      <c r="AJ108" s="159">
        <f t="shared" si="433"/>
        <v>0.11</v>
      </c>
      <c r="AK108" s="159">
        <f t="shared" si="433"/>
        <v>0.11</v>
      </c>
      <c r="AL108" s="159">
        <f t="shared" si="433"/>
        <v>0.11</v>
      </c>
      <c r="AM108" s="159">
        <f t="shared" si="433"/>
        <v>0.11</v>
      </c>
      <c r="AN108" s="159">
        <f t="shared" si="433"/>
        <v>0.11</v>
      </c>
      <c r="AO108" s="159">
        <f t="shared" si="433"/>
        <v>0.11</v>
      </c>
      <c r="AP108" s="159">
        <f t="shared" si="433"/>
        <v>0.11</v>
      </c>
      <c r="AQ108" s="159">
        <f t="shared" si="433"/>
        <v>0.11</v>
      </c>
      <c r="AR108" s="159">
        <f t="shared" si="433"/>
        <v>0.11</v>
      </c>
      <c r="AS108" s="159">
        <f t="shared" si="433"/>
        <v>0.11</v>
      </c>
      <c r="AT108" s="159">
        <f t="shared" si="433"/>
        <v>0.11</v>
      </c>
      <c r="AU108" s="159">
        <f t="shared" si="433"/>
        <v>0.11</v>
      </c>
      <c r="AV108" s="159">
        <f t="shared" si="433"/>
        <v>0.11</v>
      </c>
      <c r="AW108" s="159">
        <f t="shared" si="433"/>
        <v>0.11</v>
      </c>
      <c r="AX108" s="159">
        <f t="shared" si="433"/>
        <v>0.11</v>
      </c>
      <c r="AY108" s="159">
        <f t="shared" si="433"/>
        <v>0.11</v>
      </c>
      <c r="AZ108" s="159">
        <f t="shared" si="433"/>
        <v>0.11</v>
      </c>
      <c r="BA108" s="159">
        <f t="shared" si="433"/>
        <v>0.11</v>
      </c>
      <c r="BB108" s="159">
        <f t="shared" si="433"/>
        <v>0.11</v>
      </c>
      <c r="BC108" s="159">
        <f t="shared" si="433"/>
        <v>0.11</v>
      </c>
      <c r="BD108" s="159">
        <f t="shared" si="433"/>
        <v>0.11</v>
      </c>
      <c r="BE108" s="159">
        <f t="shared" si="433"/>
        <v>0.11</v>
      </c>
      <c r="BF108" s="159">
        <f t="shared" si="433"/>
        <v>0.11</v>
      </c>
      <c r="BG108" s="159">
        <f t="shared" si="433"/>
        <v>0.11</v>
      </c>
      <c r="BH108" s="159">
        <f t="shared" si="433"/>
        <v>0.11</v>
      </c>
      <c r="BI108" s="159">
        <f t="shared" si="433"/>
        <v>0.11</v>
      </c>
      <c r="BJ108" s="159">
        <f t="shared" si="433"/>
        <v>0.11</v>
      </c>
      <c r="BK108" s="159">
        <f t="shared" si="433"/>
        <v>0.11</v>
      </c>
      <c r="BL108" s="159">
        <f t="shared" si="433"/>
        <v>0.11</v>
      </c>
      <c r="BM108" s="159">
        <f t="shared" si="433"/>
        <v>0.11</v>
      </c>
      <c r="BN108" s="159">
        <f t="shared" si="433"/>
        <v>0.11</v>
      </c>
      <c r="BO108" s="159">
        <f t="shared" si="433"/>
        <v>0.11</v>
      </c>
      <c r="BP108" s="159">
        <f t="shared" si="433"/>
        <v>0.11</v>
      </c>
      <c r="BQ108" s="159">
        <f t="shared" si="433"/>
        <v>0.11</v>
      </c>
      <c r="BR108" s="159">
        <f t="shared" si="433"/>
        <v>0.11</v>
      </c>
      <c r="BS108" s="159">
        <f t="shared" ref="BS108:CK108" si="434">$E$108</f>
        <v>0.11</v>
      </c>
      <c r="BT108" s="159">
        <f t="shared" si="434"/>
        <v>0.11</v>
      </c>
      <c r="BU108" s="159">
        <f t="shared" si="434"/>
        <v>0.11</v>
      </c>
      <c r="BV108" s="159">
        <f t="shared" si="434"/>
        <v>0.11</v>
      </c>
      <c r="BW108" s="159">
        <f t="shared" si="434"/>
        <v>0.11</v>
      </c>
      <c r="BX108" s="159">
        <f t="shared" si="434"/>
        <v>0.11</v>
      </c>
      <c r="BY108" s="159">
        <f t="shared" si="434"/>
        <v>0.11</v>
      </c>
      <c r="BZ108" s="159">
        <f t="shared" si="434"/>
        <v>0.11</v>
      </c>
      <c r="CA108" s="159">
        <f t="shared" si="434"/>
        <v>0.11</v>
      </c>
      <c r="CB108" s="159">
        <f t="shared" si="434"/>
        <v>0.11</v>
      </c>
      <c r="CC108" s="159">
        <f t="shared" si="434"/>
        <v>0.11</v>
      </c>
      <c r="CD108" s="159">
        <f t="shared" si="434"/>
        <v>0.11</v>
      </c>
      <c r="CE108" s="159">
        <f t="shared" si="434"/>
        <v>0.11</v>
      </c>
      <c r="CF108" s="159">
        <f t="shared" si="434"/>
        <v>0.11</v>
      </c>
      <c r="CG108" s="159">
        <f t="shared" si="434"/>
        <v>0.11</v>
      </c>
      <c r="CH108" s="159">
        <f t="shared" si="434"/>
        <v>0.11</v>
      </c>
      <c r="CI108" s="159">
        <f t="shared" si="434"/>
        <v>0.11</v>
      </c>
      <c r="CJ108" s="159">
        <f t="shared" si="434"/>
        <v>0.11</v>
      </c>
      <c r="CK108" s="159">
        <f t="shared" si="434"/>
        <v>0.11</v>
      </c>
    </row>
    <row r="109" spans="2:89" ht="15">
      <c r="B109" s="155" t="s">
        <v>106</v>
      </c>
      <c r="C109" s="156"/>
      <c r="D109" s="160"/>
      <c r="E109" s="158"/>
      <c r="F109" s="159">
        <f t="shared" ref="F109:AK109" si="435">F108*(F26/F20)</f>
        <v>9.0410958904109592E-3</v>
      </c>
      <c r="G109" s="159">
        <f t="shared" si="435"/>
        <v>9.3424657534246572E-3</v>
      </c>
      <c r="H109" s="159">
        <f t="shared" si="435"/>
        <v>9.0410958904109592E-3</v>
      </c>
      <c r="I109" s="159">
        <f t="shared" si="435"/>
        <v>9.3424657534246572E-3</v>
      </c>
      <c r="J109" s="159">
        <f t="shared" si="435"/>
        <v>9.3424657534246572E-3</v>
      </c>
      <c r="K109" s="159">
        <f t="shared" si="435"/>
        <v>9.0410958904109592E-3</v>
      </c>
      <c r="L109" s="159">
        <f t="shared" si="435"/>
        <v>9.3424657534246572E-3</v>
      </c>
      <c r="M109" s="159">
        <f t="shared" si="435"/>
        <v>9.0410958904109592E-3</v>
      </c>
      <c r="N109" s="159">
        <f t="shared" si="435"/>
        <v>9.3424657534246572E-3</v>
      </c>
      <c r="O109" s="159">
        <f t="shared" si="435"/>
        <v>9.316939890710382E-3</v>
      </c>
      <c r="P109" s="159">
        <f t="shared" si="435"/>
        <v>8.7158469945355192E-3</v>
      </c>
      <c r="Q109" s="159">
        <f t="shared" si="435"/>
        <v>9.316939890710382E-3</v>
      </c>
      <c r="R109" s="159">
        <f t="shared" si="435"/>
        <v>9.0163934426229497E-3</v>
      </c>
      <c r="S109" s="159">
        <f t="shared" si="435"/>
        <v>9.316939890710382E-3</v>
      </c>
      <c r="T109" s="159">
        <f t="shared" si="435"/>
        <v>9.0163934426229497E-3</v>
      </c>
      <c r="U109" s="159">
        <f t="shared" si="435"/>
        <v>9.316939890710382E-3</v>
      </c>
      <c r="V109" s="159">
        <f t="shared" si="435"/>
        <v>9.316939890710382E-3</v>
      </c>
      <c r="W109" s="159">
        <f t="shared" si="435"/>
        <v>9.0163934426229497E-3</v>
      </c>
      <c r="X109" s="159">
        <f t="shared" si="435"/>
        <v>9.316939890710382E-3</v>
      </c>
      <c r="Y109" s="159">
        <f t="shared" si="435"/>
        <v>9.0163934426229497E-3</v>
      </c>
      <c r="Z109" s="159">
        <f t="shared" si="435"/>
        <v>9.316939890710382E-3</v>
      </c>
      <c r="AA109" s="159">
        <f t="shared" si="435"/>
        <v>9.3424657534246572E-3</v>
      </c>
      <c r="AB109" s="159">
        <f t="shared" si="435"/>
        <v>8.4383561643835616E-3</v>
      </c>
      <c r="AC109" s="159">
        <f t="shared" si="435"/>
        <v>9.3424657534246572E-3</v>
      </c>
      <c r="AD109" s="159">
        <f t="shared" si="435"/>
        <v>9.0410958904109592E-3</v>
      </c>
      <c r="AE109" s="159">
        <f t="shared" si="435"/>
        <v>9.3424657534246572E-3</v>
      </c>
      <c r="AF109" s="159">
        <f t="shared" si="435"/>
        <v>9.0410958904109592E-3</v>
      </c>
      <c r="AG109" s="159">
        <f t="shared" si="435"/>
        <v>9.3424657534246572E-3</v>
      </c>
      <c r="AH109" s="159">
        <f t="shared" si="435"/>
        <v>9.3424657534246572E-3</v>
      </c>
      <c r="AI109" s="159">
        <f t="shared" si="435"/>
        <v>9.0410958904109592E-3</v>
      </c>
      <c r="AJ109" s="159">
        <f t="shared" si="435"/>
        <v>9.3424657534246572E-3</v>
      </c>
      <c r="AK109" s="159">
        <f t="shared" si="435"/>
        <v>9.0410958904109592E-3</v>
      </c>
      <c r="AL109" s="159">
        <f t="shared" ref="AL109:BQ109" si="436">AL108*(AL26/AL20)</f>
        <v>9.3424657534246572E-3</v>
      </c>
      <c r="AM109" s="159">
        <f t="shared" si="436"/>
        <v>9.3424657534246572E-3</v>
      </c>
      <c r="AN109" s="159">
        <f t="shared" si="436"/>
        <v>8.4383561643835616E-3</v>
      </c>
      <c r="AO109" s="159">
        <f t="shared" si="436"/>
        <v>9.3424657534246572E-3</v>
      </c>
      <c r="AP109" s="159">
        <f t="shared" si="436"/>
        <v>9.0410958904109592E-3</v>
      </c>
      <c r="AQ109" s="159">
        <f t="shared" si="436"/>
        <v>9.3424657534246572E-3</v>
      </c>
      <c r="AR109" s="159">
        <f t="shared" si="436"/>
        <v>9.0410958904109592E-3</v>
      </c>
      <c r="AS109" s="159">
        <f t="shared" si="436"/>
        <v>9.3424657534246572E-3</v>
      </c>
      <c r="AT109" s="159">
        <f t="shared" si="436"/>
        <v>9.3424657534246572E-3</v>
      </c>
      <c r="AU109" s="159">
        <f t="shared" si="436"/>
        <v>9.0410958904109592E-3</v>
      </c>
      <c r="AV109" s="159">
        <f t="shared" si="436"/>
        <v>9.3424657534246572E-3</v>
      </c>
      <c r="AW109" s="159">
        <f t="shared" si="436"/>
        <v>9.0410958904109592E-3</v>
      </c>
      <c r="AX109" s="159">
        <f t="shared" si="436"/>
        <v>9.3424657534246572E-3</v>
      </c>
      <c r="AY109" s="159">
        <f t="shared" si="436"/>
        <v>9.3424657534246572E-3</v>
      </c>
      <c r="AZ109" s="159">
        <f t="shared" si="436"/>
        <v>8.4383561643835616E-3</v>
      </c>
      <c r="BA109" s="159">
        <f t="shared" si="436"/>
        <v>9.3424657534246572E-3</v>
      </c>
      <c r="BB109" s="159">
        <f t="shared" si="436"/>
        <v>9.0410958904109592E-3</v>
      </c>
      <c r="BC109" s="159">
        <f t="shared" si="436"/>
        <v>9.3424657534246572E-3</v>
      </c>
      <c r="BD109" s="159">
        <f t="shared" si="436"/>
        <v>9.0410958904109592E-3</v>
      </c>
      <c r="BE109" s="159">
        <f t="shared" si="436"/>
        <v>9.3424657534246572E-3</v>
      </c>
      <c r="BF109" s="159">
        <f t="shared" si="436"/>
        <v>9.3424657534246572E-3</v>
      </c>
      <c r="BG109" s="159">
        <f t="shared" si="436"/>
        <v>9.0410958904109592E-3</v>
      </c>
      <c r="BH109" s="159">
        <f t="shared" si="436"/>
        <v>9.3424657534246572E-3</v>
      </c>
      <c r="BI109" s="159">
        <f t="shared" si="436"/>
        <v>9.0410958904109592E-3</v>
      </c>
      <c r="BJ109" s="159">
        <f t="shared" si="436"/>
        <v>9.3424657534246572E-3</v>
      </c>
      <c r="BK109" s="159">
        <f t="shared" si="436"/>
        <v>9.316939890710382E-3</v>
      </c>
      <c r="BL109" s="159">
        <f t="shared" si="436"/>
        <v>8.7158469945355192E-3</v>
      </c>
      <c r="BM109" s="159">
        <f t="shared" si="436"/>
        <v>9.316939890710382E-3</v>
      </c>
      <c r="BN109" s="159">
        <f t="shared" si="436"/>
        <v>9.0163934426229497E-3</v>
      </c>
      <c r="BO109" s="159">
        <f t="shared" si="436"/>
        <v>9.316939890710382E-3</v>
      </c>
      <c r="BP109" s="159">
        <f t="shared" si="436"/>
        <v>9.0163934426229497E-3</v>
      </c>
      <c r="BQ109" s="159">
        <f t="shared" si="436"/>
        <v>9.316939890710382E-3</v>
      </c>
      <c r="BR109" s="159">
        <f t="shared" ref="BR109:CK109" si="437">BR108*(BR26/BR20)</f>
        <v>9.316939890710382E-3</v>
      </c>
      <c r="BS109" s="159">
        <f t="shared" si="437"/>
        <v>9.0163934426229497E-3</v>
      </c>
      <c r="BT109" s="159">
        <f t="shared" si="437"/>
        <v>9.316939890710382E-3</v>
      </c>
      <c r="BU109" s="159">
        <f t="shared" si="437"/>
        <v>9.0163934426229497E-3</v>
      </c>
      <c r="BV109" s="159">
        <f t="shared" si="437"/>
        <v>9.316939890710382E-3</v>
      </c>
      <c r="BW109" s="159">
        <f t="shared" si="437"/>
        <v>9.3424657534246572E-3</v>
      </c>
      <c r="BX109" s="159">
        <f t="shared" si="437"/>
        <v>8.4383561643835616E-3</v>
      </c>
      <c r="BY109" s="159">
        <f t="shared" si="437"/>
        <v>9.3424657534246572E-3</v>
      </c>
      <c r="BZ109" s="159">
        <f t="shared" si="437"/>
        <v>9.0410958904109592E-3</v>
      </c>
      <c r="CA109" s="159">
        <f t="shared" si="437"/>
        <v>9.3424657534246572E-3</v>
      </c>
      <c r="CB109" s="159">
        <f t="shared" si="437"/>
        <v>9.0410958904109592E-3</v>
      </c>
      <c r="CC109" s="159">
        <f t="shared" si="437"/>
        <v>9.3424657534246572E-3</v>
      </c>
      <c r="CD109" s="159">
        <f t="shared" si="437"/>
        <v>9.3424657534246572E-3</v>
      </c>
      <c r="CE109" s="159">
        <f t="shared" si="437"/>
        <v>9.0410958904109592E-3</v>
      </c>
      <c r="CF109" s="159">
        <f t="shared" si="437"/>
        <v>9.3424657534246572E-3</v>
      </c>
      <c r="CG109" s="159">
        <f t="shared" si="437"/>
        <v>9.0410958904109592E-3</v>
      </c>
      <c r="CH109" s="159">
        <f t="shared" si="437"/>
        <v>9.3424657534246572E-3</v>
      </c>
      <c r="CI109" s="159">
        <f t="shared" si="437"/>
        <v>9.3424657534246572E-3</v>
      </c>
      <c r="CJ109" s="159">
        <f t="shared" si="437"/>
        <v>8.4383561643835616E-3</v>
      </c>
      <c r="CK109" s="159">
        <f t="shared" si="437"/>
        <v>9.3424657534246572E-3</v>
      </c>
    </row>
    <row r="110" spans="2:89" ht="15"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</row>
    <row r="111" spans="2:89" ht="15.75" thickBot="1">
      <c r="B111" s="97" t="str">
        <f>"Стоимость долга инвестора, в "&amp;Ед_измерения_денег</f>
        <v>Стоимость долга инвестора, в  руб.</v>
      </c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</row>
    <row r="112" spans="2:89" ht="15"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</row>
    <row r="113" spans="2:89" ht="15">
      <c r="B113" s="77" t="s">
        <v>97</v>
      </c>
      <c r="C113" s="78"/>
      <c r="D113" s="98">
        <v>0</v>
      </c>
      <c r="E113" s="79"/>
      <c r="F113" s="80">
        <f>E116</f>
        <v>0</v>
      </c>
      <c r="G113" s="80">
        <f t="shared" ref="G113" si="438">F116</f>
        <v>0</v>
      </c>
      <c r="H113" s="80">
        <f t="shared" ref="H113" si="439">G116</f>
        <v>0</v>
      </c>
      <c r="I113" s="80">
        <f t="shared" ref="I113" si="440">H116</f>
        <v>0</v>
      </c>
      <c r="J113" s="80">
        <f t="shared" ref="J113" si="441">I116</f>
        <v>0</v>
      </c>
      <c r="K113" s="80">
        <f t="shared" ref="K113" si="442">J116</f>
        <v>0</v>
      </c>
      <c r="L113" s="80">
        <f t="shared" ref="L113" si="443">K116</f>
        <v>0</v>
      </c>
      <c r="M113" s="80">
        <f t="shared" ref="M113" si="444">L116</f>
        <v>0</v>
      </c>
      <c r="N113" s="80">
        <f t="shared" ref="N113" si="445">M116</f>
        <v>0</v>
      </c>
      <c r="O113" s="80">
        <f t="shared" ref="O113" si="446">N116</f>
        <v>0</v>
      </c>
      <c r="P113" s="80">
        <f t="shared" ref="P113" si="447">O116</f>
        <v>0</v>
      </c>
      <c r="Q113" s="80">
        <f t="shared" ref="Q113" si="448">P116</f>
        <v>0</v>
      </c>
      <c r="R113" s="80">
        <f t="shared" ref="R113" si="449">Q116</f>
        <v>0</v>
      </c>
      <c r="S113" s="80">
        <f t="shared" ref="S113" si="450">R116</f>
        <v>0</v>
      </c>
      <c r="T113" s="80">
        <f t="shared" ref="T113" si="451">S116</f>
        <v>0</v>
      </c>
      <c r="U113" s="80">
        <f t="shared" ref="U113" si="452">T116</f>
        <v>0</v>
      </c>
      <c r="V113" s="80">
        <f t="shared" ref="V113" si="453">U116</f>
        <v>0</v>
      </c>
      <c r="W113" s="80">
        <f t="shared" ref="W113" si="454">V116</f>
        <v>0</v>
      </c>
      <c r="X113" s="80">
        <f t="shared" ref="X113" si="455">W116</f>
        <v>0</v>
      </c>
      <c r="Y113" s="80">
        <f t="shared" ref="Y113" si="456">X116</f>
        <v>0</v>
      </c>
      <c r="Z113" s="80">
        <f t="shared" ref="Z113" si="457">Y116</f>
        <v>0</v>
      </c>
      <c r="AA113" s="80">
        <f t="shared" ref="AA113" si="458">Z116</f>
        <v>0</v>
      </c>
      <c r="AB113" s="80">
        <f t="shared" ref="AB113" si="459">AA116</f>
        <v>0</v>
      </c>
      <c r="AC113" s="80">
        <f t="shared" ref="AC113" si="460">AB116</f>
        <v>0</v>
      </c>
      <c r="AD113" s="80">
        <f t="shared" ref="AD113" si="461">AC116</f>
        <v>0</v>
      </c>
      <c r="AE113" s="80">
        <f t="shared" ref="AE113" si="462">AD116</f>
        <v>0</v>
      </c>
      <c r="AF113" s="80">
        <f t="shared" ref="AF113" si="463">AE116</f>
        <v>0</v>
      </c>
      <c r="AG113" s="80">
        <f t="shared" ref="AG113" si="464">AF116</f>
        <v>0</v>
      </c>
      <c r="AH113" s="80">
        <f t="shared" ref="AH113" si="465">AG116</f>
        <v>0</v>
      </c>
      <c r="AI113" s="80">
        <f t="shared" ref="AI113" si="466">AH116</f>
        <v>0</v>
      </c>
      <c r="AJ113" s="80">
        <f t="shared" ref="AJ113" si="467">AI116</f>
        <v>0</v>
      </c>
      <c r="AK113" s="80">
        <f t="shared" ref="AK113" si="468">AJ116</f>
        <v>0</v>
      </c>
      <c r="AL113" s="80">
        <f t="shared" ref="AL113" si="469">AK116</f>
        <v>0</v>
      </c>
      <c r="AM113" s="80">
        <f t="shared" ref="AM113" si="470">AL116</f>
        <v>0</v>
      </c>
      <c r="AN113" s="80">
        <f t="shared" ref="AN113" si="471">AM116</f>
        <v>0</v>
      </c>
      <c r="AO113" s="80">
        <f t="shared" ref="AO113" si="472">AN116</f>
        <v>0</v>
      </c>
      <c r="AP113" s="80">
        <f t="shared" ref="AP113" si="473">AO116</f>
        <v>0</v>
      </c>
      <c r="AQ113" s="80">
        <f t="shared" ref="AQ113" si="474">AP116</f>
        <v>0</v>
      </c>
      <c r="AR113" s="80">
        <f t="shared" ref="AR113" si="475">AQ116</f>
        <v>0</v>
      </c>
      <c r="AS113" s="80">
        <f t="shared" ref="AS113" si="476">AR116</f>
        <v>0</v>
      </c>
      <c r="AT113" s="80">
        <f t="shared" ref="AT113" si="477">AS116</f>
        <v>0</v>
      </c>
      <c r="AU113" s="80">
        <f t="shared" ref="AU113" si="478">AT116</f>
        <v>0</v>
      </c>
      <c r="AV113" s="80">
        <f t="shared" ref="AV113" si="479">AU116</f>
        <v>0</v>
      </c>
      <c r="AW113" s="80">
        <f t="shared" ref="AW113" si="480">AV116</f>
        <v>0</v>
      </c>
      <c r="AX113" s="80">
        <f t="shared" ref="AX113" si="481">AW116</f>
        <v>0</v>
      </c>
      <c r="AY113" s="80">
        <f t="shared" ref="AY113" si="482">AX116</f>
        <v>0</v>
      </c>
      <c r="AZ113" s="80">
        <f t="shared" ref="AZ113" si="483">AY116</f>
        <v>0</v>
      </c>
      <c r="BA113" s="80">
        <f t="shared" ref="BA113" si="484">AZ116</f>
        <v>0</v>
      </c>
      <c r="BB113" s="80">
        <f t="shared" ref="BB113" si="485">BA116</f>
        <v>0</v>
      </c>
      <c r="BC113" s="80">
        <f t="shared" ref="BC113" si="486">BB116</f>
        <v>0</v>
      </c>
      <c r="BD113" s="80">
        <f t="shared" ref="BD113" si="487">BC116</f>
        <v>0</v>
      </c>
      <c r="BE113" s="80">
        <f t="shared" ref="BE113" si="488">BD116</f>
        <v>0</v>
      </c>
      <c r="BF113" s="80">
        <f t="shared" ref="BF113" si="489">BE116</f>
        <v>0</v>
      </c>
      <c r="BG113" s="80">
        <f t="shared" ref="BG113" si="490">BF116</f>
        <v>0</v>
      </c>
      <c r="BH113" s="80">
        <f t="shared" ref="BH113" si="491">BG116</f>
        <v>0</v>
      </c>
      <c r="BI113" s="80">
        <f t="shared" ref="BI113" si="492">BH116</f>
        <v>0</v>
      </c>
      <c r="BJ113" s="80">
        <f t="shared" ref="BJ113" si="493">BI116</f>
        <v>0</v>
      </c>
      <c r="BK113" s="80">
        <f t="shared" ref="BK113" si="494">BJ116</f>
        <v>0</v>
      </c>
      <c r="BL113" s="80">
        <f t="shared" ref="BL113" si="495">BK116</f>
        <v>0</v>
      </c>
      <c r="BM113" s="80">
        <f t="shared" ref="BM113" si="496">BL116</f>
        <v>0</v>
      </c>
      <c r="BN113" s="80">
        <f t="shared" ref="BN113" si="497">BM116</f>
        <v>0</v>
      </c>
      <c r="BO113" s="80">
        <f t="shared" ref="BO113" si="498">BN116</f>
        <v>0</v>
      </c>
      <c r="BP113" s="80">
        <f t="shared" ref="BP113" si="499">BO116</f>
        <v>0</v>
      </c>
      <c r="BQ113" s="80">
        <f t="shared" ref="BQ113" si="500">BP116</f>
        <v>0</v>
      </c>
      <c r="BR113" s="80">
        <f t="shared" ref="BR113" si="501">BQ116</f>
        <v>0</v>
      </c>
      <c r="BS113" s="80">
        <f t="shared" ref="BS113" si="502">BR116</f>
        <v>0</v>
      </c>
      <c r="BT113" s="80">
        <f t="shared" ref="BT113" si="503">BS116</f>
        <v>0</v>
      </c>
      <c r="BU113" s="80">
        <f t="shared" ref="BU113" si="504">BT116</f>
        <v>0</v>
      </c>
      <c r="BV113" s="80">
        <f t="shared" ref="BV113" si="505">BU116</f>
        <v>0</v>
      </c>
      <c r="BW113" s="80">
        <f t="shared" ref="BW113" si="506">BV116</f>
        <v>0</v>
      </c>
      <c r="BX113" s="80">
        <f t="shared" ref="BX113" si="507">BW116</f>
        <v>0</v>
      </c>
      <c r="BY113" s="80">
        <f t="shared" ref="BY113" si="508">BX116</f>
        <v>0</v>
      </c>
      <c r="BZ113" s="80">
        <f t="shared" ref="BZ113" si="509">BY116</f>
        <v>0</v>
      </c>
      <c r="CA113" s="80">
        <f t="shared" ref="CA113" si="510">BZ116</f>
        <v>0</v>
      </c>
      <c r="CB113" s="80">
        <f t="shared" ref="CB113" si="511">CA116</f>
        <v>0</v>
      </c>
      <c r="CC113" s="80">
        <f t="shared" ref="CC113" si="512">CB116</f>
        <v>0</v>
      </c>
      <c r="CD113" s="80">
        <f t="shared" ref="CD113" si="513">CC116</f>
        <v>0</v>
      </c>
      <c r="CE113" s="80">
        <f t="shared" ref="CE113" si="514">CD116</f>
        <v>0</v>
      </c>
      <c r="CF113" s="80">
        <f t="shared" ref="CF113" si="515">CE116</f>
        <v>0</v>
      </c>
      <c r="CG113" s="80">
        <f t="shared" ref="CG113" si="516">CF116</f>
        <v>0</v>
      </c>
      <c r="CH113" s="80">
        <f t="shared" ref="CH113" si="517">CG116</f>
        <v>0</v>
      </c>
      <c r="CI113" s="80">
        <f t="shared" ref="CI113" si="518">CH116</f>
        <v>0</v>
      </c>
      <c r="CJ113" s="80">
        <f t="shared" ref="CJ113" si="519">CI116</f>
        <v>0</v>
      </c>
      <c r="CK113" s="80">
        <f t="shared" ref="CK113" si="520">CJ116</f>
        <v>0</v>
      </c>
    </row>
    <row r="114" spans="2:89" ht="15">
      <c r="B114" s="77" t="s">
        <v>103</v>
      </c>
      <c r="C114" s="78"/>
      <c r="D114" s="98">
        <f>SUM(F114:CK114)</f>
        <v>103082089.73083963</v>
      </c>
      <c r="E114" s="79"/>
      <c r="F114" s="80">
        <f>F80*F109</f>
        <v>0</v>
      </c>
      <c r="G114" s="80">
        <f t="shared" ref="G114:BR114" si="521">G80*G109</f>
        <v>0</v>
      </c>
      <c r="H114" s="80">
        <f t="shared" si="521"/>
        <v>0</v>
      </c>
      <c r="I114" s="80">
        <f t="shared" si="521"/>
        <v>0</v>
      </c>
      <c r="J114" s="80">
        <f t="shared" si="521"/>
        <v>0</v>
      </c>
      <c r="K114" s="80">
        <f t="shared" si="521"/>
        <v>0</v>
      </c>
      <c r="L114" s="80">
        <f t="shared" si="521"/>
        <v>0</v>
      </c>
      <c r="M114" s="80">
        <f t="shared" si="521"/>
        <v>1817260.2739726028</v>
      </c>
      <c r="N114" s="80">
        <f t="shared" si="521"/>
        <v>1877835.616438356</v>
      </c>
      <c r="O114" s="80">
        <f t="shared" si="521"/>
        <v>1872704.9180327868</v>
      </c>
      <c r="P114" s="80">
        <f t="shared" si="521"/>
        <v>2614754.0983606558</v>
      </c>
      <c r="Q114" s="80">
        <f t="shared" si="521"/>
        <v>2795081.9672131147</v>
      </c>
      <c r="R114" s="80">
        <f t="shared" si="521"/>
        <v>2704918.0327868848</v>
      </c>
      <c r="S114" s="80">
        <f t="shared" si="521"/>
        <v>2795081.9672131147</v>
      </c>
      <c r="T114" s="80">
        <f t="shared" si="521"/>
        <v>2704918.0327868848</v>
      </c>
      <c r="U114" s="80">
        <f t="shared" si="521"/>
        <v>2795081.9672131147</v>
      </c>
      <c r="V114" s="80">
        <f t="shared" si="521"/>
        <v>2795081.9672131147</v>
      </c>
      <c r="W114" s="80">
        <f t="shared" si="521"/>
        <v>2704918.0327868848</v>
      </c>
      <c r="X114" s="80">
        <f t="shared" si="521"/>
        <v>2795081.9672131147</v>
      </c>
      <c r="Y114" s="80">
        <f t="shared" si="521"/>
        <v>2704918.0327868848</v>
      </c>
      <c r="Z114" s="80">
        <f t="shared" si="521"/>
        <v>2795081.9672131147</v>
      </c>
      <c r="AA114" s="80">
        <f t="shared" si="521"/>
        <v>2802739.726027397</v>
      </c>
      <c r="AB114" s="80">
        <f t="shared" si="521"/>
        <v>2531506.8493150687</v>
      </c>
      <c r="AC114" s="80">
        <f t="shared" si="521"/>
        <v>2802739.726027397</v>
      </c>
      <c r="AD114" s="80">
        <f t="shared" si="521"/>
        <v>2712328.7671232875</v>
      </c>
      <c r="AE114" s="80">
        <f t="shared" si="521"/>
        <v>2736007.8277886496</v>
      </c>
      <c r="AF114" s="80">
        <f t="shared" si="521"/>
        <v>2583170.2544031315</v>
      </c>
      <c r="AG114" s="80">
        <f t="shared" si="521"/>
        <v>2602544.0313111548</v>
      </c>
      <c r="AH114" s="80">
        <f t="shared" si="521"/>
        <v>2535812.1330724075</v>
      </c>
      <c r="AI114" s="80">
        <f t="shared" si="521"/>
        <v>2389432.4853228969</v>
      </c>
      <c r="AJ114" s="80">
        <f t="shared" si="521"/>
        <v>2402348.3365949122</v>
      </c>
      <c r="AK114" s="80">
        <f t="shared" si="521"/>
        <v>2260273.9726027404</v>
      </c>
      <c r="AL114" s="80">
        <f t="shared" si="521"/>
        <v>2268884.5401174175</v>
      </c>
      <c r="AM114" s="80">
        <f t="shared" si="521"/>
        <v>2202152.6418786701</v>
      </c>
      <c r="AN114" s="80">
        <f t="shared" si="521"/>
        <v>1928767.1232876719</v>
      </c>
      <c r="AO114" s="80">
        <f t="shared" si="521"/>
        <v>2068688.8454011749</v>
      </c>
      <c r="AP114" s="80">
        <f t="shared" si="521"/>
        <v>1937377.6908023492</v>
      </c>
      <c r="AQ114" s="80">
        <f t="shared" si="521"/>
        <v>1935225.0489236801</v>
      </c>
      <c r="AR114" s="80">
        <f t="shared" si="521"/>
        <v>1808219.178082193</v>
      </c>
      <c r="AS114" s="80">
        <f t="shared" si="521"/>
        <v>1801761.2524461851</v>
      </c>
      <c r="AT114" s="80">
        <f t="shared" si="521"/>
        <v>1735029.3542074377</v>
      </c>
      <c r="AU114" s="80">
        <f t="shared" si="521"/>
        <v>1614481.4090019583</v>
      </c>
      <c r="AV114" s="80">
        <f t="shared" si="521"/>
        <v>1601565.5577299427</v>
      </c>
      <c r="AW114" s="80">
        <f t="shared" si="521"/>
        <v>1485322.8962818019</v>
      </c>
      <c r="AX114" s="80">
        <f t="shared" si="521"/>
        <v>1468101.7612524477</v>
      </c>
      <c r="AY114" s="80">
        <f t="shared" si="521"/>
        <v>1401369.8630137003</v>
      </c>
      <c r="AZ114" s="80">
        <f t="shared" si="521"/>
        <v>1205479.452054796</v>
      </c>
      <c r="BA114" s="80">
        <f t="shared" si="521"/>
        <v>1267906.0665362054</v>
      </c>
      <c r="BB114" s="80">
        <f t="shared" si="521"/>
        <v>1162426.6144814107</v>
      </c>
      <c r="BC114" s="80">
        <f t="shared" si="521"/>
        <v>1134442.2700587101</v>
      </c>
      <c r="BD114" s="80">
        <f t="shared" si="521"/>
        <v>1033268.1017612541</v>
      </c>
      <c r="BE114" s="80">
        <f t="shared" si="521"/>
        <v>1000978.4735812149</v>
      </c>
      <c r="BF114" s="80">
        <f t="shared" si="521"/>
        <v>934246.57534246729</v>
      </c>
      <c r="BG114" s="80">
        <f t="shared" si="521"/>
        <v>839530.33268101909</v>
      </c>
      <c r="BH114" s="80">
        <f t="shared" si="521"/>
        <v>800782.77886497206</v>
      </c>
      <c r="BI114" s="80">
        <f t="shared" si="521"/>
        <v>710371.8199608624</v>
      </c>
      <c r="BJ114" s="80">
        <f t="shared" si="521"/>
        <v>667318.98238747683</v>
      </c>
      <c r="BK114" s="80">
        <f t="shared" si="521"/>
        <v>598946.13583138294</v>
      </c>
      <c r="BL114" s="80">
        <f t="shared" si="521"/>
        <v>498048.3996877452</v>
      </c>
      <c r="BM114" s="80">
        <f t="shared" si="521"/>
        <v>465846.99453552044</v>
      </c>
      <c r="BN114" s="80">
        <f t="shared" si="521"/>
        <v>386416.86182669911</v>
      </c>
      <c r="BO114" s="80">
        <f t="shared" si="521"/>
        <v>332747.85323965782</v>
      </c>
      <c r="BP114" s="80">
        <f t="shared" si="521"/>
        <v>257611.24121779986</v>
      </c>
      <c r="BQ114" s="80">
        <f t="shared" si="521"/>
        <v>199648.71194379526</v>
      </c>
      <c r="BR114" s="80">
        <f t="shared" si="521"/>
        <v>133099.14129586396</v>
      </c>
      <c r="BS114" s="80">
        <f t="shared" ref="BS114:CK114" si="522">BS80*BS109</f>
        <v>64402.81030445097</v>
      </c>
      <c r="BT114" s="80">
        <f t="shared" si="522"/>
        <v>1.3709780785555397E-9</v>
      </c>
      <c r="BU114" s="80">
        <f t="shared" si="522"/>
        <v>1.3267529792472963E-9</v>
      </c>
      <c r="BV114" s="80">
        <f t="shared" si="522"/>
        <v>1.3709780785555397E-9</v>
      </c>
      <c r="BW114" s="80">
        <f t="shared" si="522"/>
        <v>1.3747341828803493E-9</v>
      </c>
      <c r="BX114" s="80">
        <f t="shared" si="522"/>
        <v>1.2416953909887026E-9</v>
      </c>
      <c r="BY114" s="80">
        <f t="shared" si="522"/>
        <v>1.3747341828803493E-9</v>
      </c>
      <c r="BZ114" s="80">
        <f t="shared" si="522"/>
        <v>1.3303879189164673E-9</v>
      </c>
      <c r="CA114" s="80">
        <f t="shared" si="522"/>
        <v>1.3747341828803493E-9</v>
      </c>
      <c r="CB114" s="80">
        <f t="shared" si="522"/>
        <v>1.3303879189164673E-9</v>
      </c>
      <c r="CC114" s="80">
        <f t="shared" si="522"/>
        <v>1.3747341828803493E-9</v>
      </c>
      <c r="CD114" s="80">
        <f t="shared" si="522"/>
        <v>1.3747341828803493E-9</v>
      </c>
      <c r="CE114" s="80">
        <f t="shared" si="522"/>
        <v>1.3303879189164673E-9</v>
      </c>
      <c r="CF114" s="80">
        <f t="shared" si="522"/>
        <v>1.3747341828803493E-9</v>
      </c>
      <c r="CG114" s="80">
        <f t="shared" si="522"/>
        <v>1.3303879189164673E-9</v>
      </c>
      <c r="CH114" s="80">
        <f t="shared" si="522"/>
        <v>1.3747341828803493E-9</v>
      </c>
      <c r="CI114" s="80">
        <f t="shared" si="522"/>
        <v>1.3747341828803493E-9</v>
      </c>
      <c r="CJ114" s="80">
        <f t="shared" si="522"/>
        <v>1.2416953909887026E-9</v>
      </c>
      <c r="CK114" s="80">
        <f t="shared" si="522"/>
        <v>1.3747341828803493E-9</v>
      </c>
    </row>
    <row r="115" spans="2:89" ht="15.75" thickBot="1">
      <c r="B115" s="45" t="s">
        <v>104</v>
      </c>
      <c r="C115" s="46"/>
      <c r="D115" s="47">
        <f>SUM(F115:CK115)</f>
        <v>-103082089.73083963</v>
      </c>
      <c r="E115" s="48"/>
      <c r="F115" s="49">
        <f>-F114</f>
        <v>0</v>
      </c>
      <c r="G115" s="49">
        <f t="shared" ref="G115:BR115" si="523">-G114</f>
        <v>0</v>
      </c>
      <c r="H115" s="49">
        <f t="shared" si="523"/>
        <v>0</v>
      </c>
      <c r="I115" s="49">
        <f t="shared" si="523"/>
        <v>0</v>
      </c>
      <c r="J115" s="49">
        <f t="shared" si="523"/>
        <v>0</v>
      </c>
      <c r="K115" s="49">
        <f t="shared" si="523"/>
        <v>0</v>
      </c>
      <c r="L115" s="49">
        <f t="shared" si="523"/>
        <v>0</v>
      </c>
      <c r="M115" s="49">
        <f t="shared" si="523"/>
        <v>-1817260.2739726028</v>
      </c>
      <c r="N115" s="49">
        <f t="shared" si="523"/>
        <v>-1877835.616438356</v>
      </c>
      <c r="O115" s="49">
        <f t="shared" si="523"/>
        <v>-1872704.9180327868</v>
      </c>
      <c r="P115" s="49">
        <f t="shared" si="523"/>
        <v>-2614754.0983606558</v>
      </c>
      <c r="Q115" s="49">
        <f t="shared" si="523"/>
        <v>-2795081.9672131147</v>
      </c>
      <c r="R115" s="49">
        <f t="shared" si="523"/>
        <v>-2704918.0327868848</v>
      </c>
      <c r="S115" s="49">
        <f t="shared" si="523"/>
        <v>-2795081.9672131147</v>
      </c>
      <c r="T115" s="49">
        <f t="shared" si="523"/>
        <v>-2704918.0327868848</v>
      </c>
      <c r="U115" s="49">
        <f t="shared" si="523"/>
        <v>-2795081.9672131147</v>
      </c>
      <c r="V115" s="49">
        <f t="shared" si="523"/>
        <v>-2795081.9672131147</v>
      </c>
      <c r="W115" s="49">
        <f t="shared" si="523"/>
        <v>-2704918.0327868848</v>
      </c>
      <c r="X115" s="49">
        <f t="shared" si="523"/>
        <v>-2795081.9672131147</v>
      </c>
      <c r="Y115" s="49">
        <f t="shared" si="523"/>
        <v>-2704918.0327868848</v>
      </c>
      <c r="Z115" s="49">
        <f t="shared" si="523"/>
        <v>-2795081.9672131147</v>
      </c>
      <c r="AA115" s="49">
        <f t="shared" si="523"/>
        <v>-2802739.726027397</v>
      </c>
      <c r="AB115" s="49">
        <f t="shared" si="523"/>
        <v>-2531506.8493150687</v>
      </c>
      <c r="AC115" s="49">
        <f t="shared" si="523"/>
        <v>-2802739.726027397</v>
      </c>
      <c r="AD115" s="49">
        <f t="shared" si="523"/>
        <v>-2712328.7671232875</v>
      </c>
      <c r="AE115" s="49">
        <f t="shared" si="523"/>
        <v>-2736007.8277886496</v>
      </c>
      <c r="AF115" s="49">
        <f t="shared" si="523"/>
        <v>-2583170.2544031315</v>
      </c>
      <c r="AG115" s="49">
        <f t="shared" si="523"/>
        <v>-2602544.0313111548</v>
      </c>
      <c r="AH115" s="49">
        <f t="shared" si="523"/>
        <v>-2535812.1330724075</v>
      </c>
      <c r="AI115" s="49">
        <f t="shared" si="523"/>
        <v>-2389432.4853228969</v>
      </c>
      <c r="AJ115" s="49">
        <f t="shared" si="523"/>
        <v>-2402348.3365949122</v>
      </c>
      <c r="AK115" s="49">
        <f t="shared" si="523"/>
        <v>-2260273.9726027404</v>
      </c>
      <c r="AL115" s="49">
        <f t="shared" si="523"/>
        <v>-2268884.5401174175</v>
      </c>
      <c r="AM115" s="49">
        <f t="shared" si="523"/>
        <v>-2202152.6418786701</v>
      </c>
      <c r="AN115" s="49">
        <f t="shared" si="523"/>
        <v>-1928767.1232876719</v>
      </c>
      <c r="AO115" s="49">
        <f t="shared" si="523"/>
        <v>-2068688.8454011749</v>
      </c>
      <c r="AP115" s="49">
        <f t="shared" si="523"/>
        <v>-1937377.6908023492</v>
      </c>
      <c r="AQ115" s="49">
        <f t="shared" si="523"/>
        <v>-1935225.0489236801</v>
      </c>
      <c r="AR115" s="49">
        <f t="shared" si="523"/>
        <v>-1808219.178082193</v>
      </c>
      <c r="AS115" s="49">
        <f t="shared" si="523"/>
        <v>-1801761.2524461851</v>
      </c>
      <c r="AT115" s="49">
        <f t="shared" si="523"/>
        <v>-1735029.3542074377</v>
      </c>
      <c r="AU115" s="49">
        <f t="shared" si="523"/>
        <v>-1614481.4090019583</v>
      </c>
      <c r="AV115" s="49">
        <f t="shared" si="523"/>
        <v>-1601565.5577299427</v>
      </c>
      <c r="AW115" s="49">
        <f t="shared" si="523"/>
        <v>-1485322.8962818019</v>
      </c>
      <c r="AX115" s="49">
        <f t="shared" si="523"/>
        <v>-1468101.7612524477</v>
      </c>
      <c r="AY115" s="49">
        <f t="shared" si="523"/>
        <v>-1401369.8630137003</v>
      </c>
      <c r="AZ115" s="49">
        <f t="shared" si="523"/>
        <v>-1205479.452054796</v>
      </c>
      <c r="BA115" s="49">
        <f t="shared" si="523"/>
        <v>-1267906.0665362054</v>
      </c>
      <c r="BB115" s="49">
        <f t="shared" si="523"/>
        <v>-1162426.6144814107</v>
      </c>
      <c r="BC115" s="49">
        <f t="shared" si="523"/>
        <v>-1134442.2700587101</v>
      </c>
      <c r="BD115" s="49">
        <f t="shared" si="523"/>
        <v>-1033268.1017612541</v>
      </c>
      <c r="BE115" s="49">
        <f t="shared" si="523"/>
        <v>-1000978.4735812149</v>
      </c>
      <c r="BF115" s="49">
        <f t="shared" si="523"/>
        <v>-934246.57534246729</v>
      </c>
      <c r="BG115" s="49">
        <f t="shared" si="523"/>
        <v>-839530.33268101909</v>
      </c>
      <c r="BH115" s="49">
        <f t="shared" si="523"/>
        <v>-800782.77886497206</v>
      </c>
      <c r="BI115" s="49">
        <f t="shared" si="523"/>
        <v>-710371.8199608624</v>
      </c>
      <c r="BJ115" s="49">
        <f t="shared" si="523"/>
        <v>-667318.98238747683</v>
      </c>
      <c r="BK115" s="49">
        <f t="shared" si="523"/>
        <v>-598946.13583138294</v>
      </c>
      <c r="BL115" s="49">
        <f t="shared" si="523"/>
        <v>-498048.3996877452</v>
      </c>
      <c r="BM115" s="49">
        <f t="shared" si="523"/>
        <v>-465846.99453552044</v>
      </c>
      <c r="BN115" s="49">
        <f t="shared" si="523"/>
        <v>-386416.86182669911</v>
      </c>
      <c r="BO115" s="49">
        <f t="shared" si="523"/>
        <v>-332747.85323965782</v>
      </c>
      <c r="BP115" s="49">
        <f t="shared" si="523"/>
        <v>-257611.24121779986</v>
      </c>
      <c r="BQ115" s="49">
        <f t="shared" si="523"/>
        <v>-199648.71194379526</v>
      </c>
      <c r="BR115" s="49">
        <f t="shared" si="523"/>
        <v>-133099.14129586396</v>
      </c>
      <c r="BS115" s="49">
        <f t="shared" ref="BS115:CK115" si="524">-BS114</f>
        <v>-64402.81030445097</v>
      </c>
      <c r="BT115" s="49">
        <f t="shared" si="524"/>
        <v>-1.3709780785555397E-9</v>
      </c>
      <c r="BU115" s="49">
        <f t="shared" si="524"/>
        <v>-1.3267529792472963E-9</v>
      </c>
      <c r="BV115" s="49">
        <f t="shared" si="524"/>
        <v>-1.3709780785555397E-9</v>
      </c>
      <c r="BW115" s="49">
        <f t="shared" si="524"/>
        <v>-1.3747341828803493E-9</v>
      </c>
      <c r="BX115" s="49">
        <f t="shared" si="524"/>
        <v>-1.2416953909887026E-9</v>
      </c>
      <c r="BY115" s="49">
        <f t="shared" si="524"/>
        <v>-1.3747341828803493E-9</v>
      </c>
      <c r="BZ115" s="49">
        <f t="shared" si="524"/>
        <v>-1.3303879189164673E-9</v>
      </c>
      <c r="CA115" s="49">
        <f t="shared" si="524"/>
        <v>-1.3747341828803493E-9</v>
      </c>
      <c r="CB115" s="49">
        <f t="shared" si="524"/>
        <v>-1.3303879189164673E-9</v>
      </c>
      <c r="CC115" s="49">
        <f t="shared" si="524"/>
        <v>-1.3747341828803493E-9</v>
      </c>
      <c r="CD115" s="49">
        <f t="shared" si="524"/>
        <v>-1.3747341828803493E-9</v>
      </c>
      <c r="CE115" s="49">
        <f t="shared" si="524"/>
        <v>-1.3303879189164673E-9</v>
      </c>
      <c r="CF115" s="49">
        <f t="shared" si="524"/>
        <v>-1.3747341828803493E-9</v>
      </c>
      <c r="CG115" s="49">
        <f t="shared" si="524"/>
        <v>-1.3303879189164673E-9</v>
      </c>
      <c r="CH115" s="49">
        <f t="shared" si="524"/>
        <v>-1.3747341828803493E-9</v>
      </c>
      <c r="CI115" s="49">
        <f t="shared" si="524"/>
        <v>-1.3747341828803493E-9</v>
      </c>
      <c r="CJ115" s="49">
        <f t="shared" si="524"/>
        <v>-1.2416953909887026E-9</v>
      </c>
      <c r="CK115" s="49">
        <f t="shared" si="524"/>
        <v>-1.3747341828803493E-9</v>
      </c>
    </row>
    <row r="116" spans="2:89" ht="15.75" thickTop="1">
      <c r="B116" s="50" t="s">
        <v>99</v>
      </c>
      <c r="C116" s="51"/>
      <c r="D116" s="52">
        <f>SUM(D113:D115)</f>
        <v>0</v>
      </c>
      <c r="E116" s="53"/>
      <c r="F116" s="54">
        <f>SUM(F113:F115)</f>
        <v>0</v>
      </c>
      <c r="G116" s="54">
        <f t="shared" ref="G116:BR116" si="525">SUM(G113:G115)</f>
        <v>0</v>
      </c>
      <c r="H116" s="54">
        <f t="shared" si="525"/>
        <v>0</v>
      </c>
      <c r="I116" s="54">
        <f t="shared" si="525"/>
        <v>0</v>
      </c>
      <c r="J116" s="54">
        <f t="shared" si="525"/>
        <v>0</v>
      </c>
      <c r="K116" s="54">
        <f t="shared" si="525"/>
        <v>0</v>
      </c>
      <c r="L116" s="54">
        <f t="shared" si="525"/>
        <v>0</v>
      </c>
      <c r="M116" s="54">
        <f t="shared" si="525"/>
        <v>0</v>
      </c>
      <c r="N116" s="54">
        <f t="shared" si="525"/>
        <v>0</v>
      </c>
      <c r="O116" s="54">
        <f t="shared" si="525"/>
        <v>0</v>
      </c>
      <c r="P116" s="54">
        <f t="shared" si="525"/>
        <v>0</v>
      </c>
      <c r="Q116" s="54">
        <f t="shared" si="525"/>
        <v>0</v>
      </c>
      <c r="R116" s="54">
        <f t="shared" si="525"/>
        <v>0</v>
      </c>
      <c r="S116" s="54">
        <f t="shared" si="525"/>
        <v>0</v>
      </c>
      <c r="T116" s="54">
        <f t="shared" si="525"/>
        <v>0</v>
      </c>
      <c r="U116" s="54">
        <f t="shared" si="525"/>
        <v>0</v>
      </c>
      <c r="V116" s="54">
        <f t="shared" si="525"/>
        <v>0</v>
      </c>
      <c r="W116" s="54">
        <f t="shared" si="525"/>
        <v>0</v>
      </c>
      <c r="X116" s="54">
        <f t="shared" si="525"/>
        <v>0</v>
      </c>
      <c r="Y116" s="54">
        <f t="shared" si="525"/>
        <v>0</v>
      </c>
      <c r="Z116" s="54">
        <f t="shared" si="525"/>
        <v>0</v>
      </c>
      <c r="AA116" s="54">
        <f t="shared" si="525"/>
        <v>0</v>
      </c>
      <c r="AB116" s="54">
        <f t="shared" si="525"/>
        <v>0</v>
      </c>
      <c r="AC116" s="54">
        <f t="shared" si="525"/>
        <v>0</v>
      </c>
      <c r="AD116" s="54">
        <f t="shared" si="525"/>
        <v>0</v>
      </c>
      <c r="AE116" s="54">
        <f t="shared" si="525"/>
        <v>0</v>
      </c>
      <c r="AF116" s="54">
        <f t="shared" si="525"/>
        <v>0</v>
      </c>
      <c r="AG116" s="54">
        <f t="shared" si="525"/>
        <v>0</v>
      </c>
      <c r="AH116" s="54">
        <f t="shared" si="525"/>
        <v>0</v>
      </c>
      <c r="AI116" s="54">
        <f t="shared" si="525"/>
        <v>0</v>
      </c>
      <c r="AJ116" s="54">
        <f t="shared" si="525"/>
        <v>0</v>
      </c>
      <c r="AK116" s="54">
        <f t="shared" si="525"/>
        <v>0</v>
      </c>
      <c r="AL116" s="54">
        <f t="shared" si="525"/>
        <v>0</v>
      </c>
      <c r="AM116" s="54">
        <f t="shared" si="525"/>
        <v>0</v>
      </c>
      <c r="AN116" s="54">
        <f t="shared" si="525"/>
        <v>0</v>
      </c>
      <c r="AO116" s="54">
        <f t="shared" si="525"/>
        <v>0</v>
      </c>
      <c r="AP116" s="54">
        <f t="shared" si="525"/>
        <v>0</v>
      </c>
      <c r="AQ116" s="54">
        <f t="shared" si="525"/>
        <v>0</v>
      </c>
      <c r="AR116" s="54">
        <f t="shared" si="525"/>
        <v>0</v>
      </c>
      <c r="AS116" s="54">
        <f t="shared" si="525"/>
        <v>0</v>
      </c>
      <c r="AT116" s="54">
        <f t="shared" si="525"/>
        <v>0</v>
      </c>
      <c r="AU116" s="54">
        <f t="shared" si="525"/>
        <v>0</v>
      </c>
      <c r="AV116" s="54">
        <f t="shared" si="525"/>
        <v>0</v>
      </c>
      <c r="AW116" s="54">
        <f t="shared" si="525"/>
        <v>0</v>
      </c>
      <c r="AX116" s="54">
        <f t="shared" si="525"/>
        <v>0</v>
      </c>
      <c r="AY116" s="54">
        <f t="shared" si="525"/>
        <v>0</v>
      </c>
      <c r="AZ116" s="54">
        <f t="shared" si="525"/>
        <v>0</v>
      </c>
      <c r="BA116" s="54">
        <f t="shared" si="525"/>
        <v>0</v>
      </c>
      <c r="BB116" s="54">
        <f t="shared" si="525"/>
        <v>0</v>
      </c>
      <c r="BC116" s="54">
        <f t="shared" si="525"/>
        <v>0</v>
      </c>
      <c r="BD116" s="54">
        <f t="shared" si="525"/>
        <v>0</v>
      </c>
      <c r="BE116" s="54">
        <f t="shared" si="525"/>
        <v>0</v>
      </c>
      <c r="BF116" s="54">
        <f t="shared" si="525"/>
        <v>0</v>
      </c>
      <c r="BG116" s="54">
        <f t="shared" si="525"/>
        <v>0</v>
      </c>
      <c r="BH116" s="54">
        <f t="shared" si="525"/>
        <v>0</v>
      </c>
      <c r="BI116" s="54">
        <f t="shared" si="525"/>
        <v>0</v>
      </c>
      <c r="BJ116" s="54">
        <f t="shared" si="525"/>
        <v>0</v>
      </c>
      <c r="BK116" s="54">
        <f t="shared" si="525"/>
        <v>0</v>
      </c>
      <c r="BL116" s="54">
        <f t="shared" si="525"/>
        <v>0</v>
      </c>
      <c r="BM116" s="54">
        <f t="shared" si="525"/>
        <v>0</v>
      </c>
      <c r="BN116" s="54">
        <f t="shared" si="525"/>
        <v>0</v>
      </c>
      <c r="BO116" s="54">
        <f t="shared" si="525"/>
        <v>0</v>
      </c>
      <c r="BP116" s="54">
        <f t="shared" si="525"/>
        <v>0</v>
      </c>
      <c r="BQ116" s="54">
        <f t="shared" si="525"/>
        <v>0</v>
      </c>
      <c r="BR116" s="54">
        <f t="shared" si="525"/>
        <v>0</v>
      </c>
      <c r="BS116" s="54">
        <f t="shared" ref="BS116:CK116" si="526">SUM(BS113:BS115)</f>
        <v>0</v>
      </c>
      <c r="BT116" s="54">
        <f t="shared" si="526"/>
        <v>0</v>
      </c>
      <c r="BU116" s="54">
        <f t="shared" si="526"/>
        <v>0</v>
      </c>
      <c r="BV116" s="54">
        <f t="shared" si="526"/>
        <v>0</v>
      </c>
      <c r="BW116" s="54">
        <f t="shared" si="526"/>
        <v>0</v>
      </c>
      <c r="BX116" s="54">
        <f t="shared" si="526"/>
        <v>0</v>
      </c>
      <c r="BY116" s="54">
        <f t="shared" si="526"/>
        <v>0</v>
      </c>
      <c r="BZ116" s="54">
        <f t="shared" si="526"/>
        <v>0</v>
      </c>
      <c r="CA116" s="54">
        <f t="shared" si="526"/>
        <v>0</v>
      </c>
      <c r="CB116" s="54">
        <f t="shared" si="526"/>
        <v>0</v>
      </c>
      <c r="CC116" s="54">
        <f t="shared" si="526"/>
        <v>0</v>
      </c>
      <c r="CD116" s="54">
        <f t="shared" si="526"/>
        <v>0</v>
      </c>
      <c r="CE116" s="54">
        <f t="shared" si="526"/>
        <v>0</v>
      </c>
      <c r="CF116" s="54">
        <f t="shared" si="526"/>
        <v>0</v>
      </c>
      <c r="CG116" s="54">
        <f t="shared" si="526"/>
        <v>0</v>
      </c>
      <c r="CH116" s="54">
        <f t="shared" si="526"/>
        <v>0</v>
      </c>
      <c r="CI116" s="54">
        <f t="shared" si="526"/>
        <v>0</v>
      </c>
      <c r="CJ116" s="54">
        <f t="shared" si="526"/>
        <v>0</v>
      </c>
      <c r="CK116" s="54">
        <f t="shared" si="526"/>
        <v>0</v>
      </c>
    </row>
    <row r="117" spans="2:89" ht="15"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</row>
    <row r="118" spans="2:89" ht="15.75" thickBot="1">
      <c r="B118" s="97" t="str">
        <f>"Стоимость долга ВСЕГО, в "&amp;Ед_измерения_денег</f>
        <v>Стоимость долга ВСЕГО, в  руб.</v>
      </c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</row>
    <row r="119" spans="2:89" ht="15"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</row>
    <row r="120" spans="2:89" ht="15">
      <c r="B120" s="77" t="s">
        <v>97</v>
      </c>
      <c r="C120" s="78"/>
      <c r="D120" s="98">
        <v>0</v>
      </c>
      <c r="E120" s="79"/>
      <c r="F120" s="80">
        <f>E123</f>
        <v>0</v>
      </c>
      <c r="G120" s="80">
        <f t="shared" ref="G120:AG120" si="527">F123</f>
        <v>0</v>
      </c>
      <c r="H120" s="80">
        <f t="shared" si="527"/>
        <v>0</v>
      </c>
      <c r="I120" s="80">
        <f t="shared" si="527"/>
        <v>0</v>
      </c>
      <c r="J120" s="80">
        <f t="shared" si="527"/>
        <v>0</v>
      </c>
      <c r="K120" s="80">
        <f t="shared" si="527"/>
        <v>0</v>
      </c>
      <c r="L120" s="80">
        <f t="shared" si="527"/>
        <v>0</v>
      </c>
      <c r="M120" s="80">
        <f t="shared" si="527"/>
        <v>0</v>
      </c>
      <c r="N120" s="80">
        <f t="shared" si="527"/>
        <v>0</v>
      </c>
      <c r="O120" s="80">
        <f t="shared" si="527"/>
        <v>0</v>
      </c>
      <c r="P120" s="80">
        <f t="shared" si="527"/>
        <v>0</v>
      </c>
      <c r="Q120" s="80">
        <f t="shared" si="527"/>
        <v>0</v>
      </c>
      <c r="R120" s="80">
        <f t="shared" si="527"/>
        <v>0</v>
      </c>
      <c r="S120" s="80">
        <f t="shared" si="527"/>
        <v>0</v>
      </c>
      <c r="T120" s="80">
        <f t="shared" si="527"/>
        <v>0</v>
      </c>
      <c r="U120" s="80">
        <f t="shared" si="527"/>
        <v>0</v>
      </c>
      <c r="V120" s="80">
        <f t="shared" si="527"/>
        <v>0</v>
      </c>
      <c r="W120" s="80">
        <f t="shared" si="527"/>
        <v>0</v>
      </c>
      <c r="X120" s="80">
        <f t="shared" si="527"/>
        <v>0</v>
      </c>
      <c r="Y120" s="80">
        <f t="shared" si="527"/>
        <v>0</v>
      </c>
      <c r="Z120" s="80">
        <f t="shared" si="527"/>
        <v>0</v>
      </c>
      <c r="AA120" s="80">
        <f t="shared" si="527"/>
        <v>0</v>
      </c>
      <c r="AB120" s="80">
        <f t="shared" si="527"/>
        <v>0</v>
      </c>
      <c r="AC120" s="80">
        <f t="shared" si="527"/>
        <v>0</v>
      </c>
      <c r="AD120" s="80">
        <f t="shared" si="527"/>
        <v>0</v>
      </c>
      <c r="AE120" s="80">
        <f t="shared" si="527"/>
        <v>0</v>
      </c>
      <c r="AF120" s="80">
        <f t="shared" si="527"/>
        <v>0</v>
      </c>
      <c r="AG120" s="80">
        <f t="shared" si="527"/>
        <v>0</v>
      </c>
      <c r="AH120" s="80">
        <f t="shared" ref="AH120:BM120" si="528">AG123</f>
        <v>0</v>
      </c>
      <c r="AI120" s="80">
        <f t="shared" si="528"/>
        <v>0</v>
      </c>
      <c r="AJ120" s="80">
        <f t="shared" si="528"/>
        <v>0</v>
      </c>
      <c r="AK120" s="80">
        <f t="shared" si="528"/>
        <v>0</v>
      </c>
      <c r="AL120" s="80">
        <f t="shared" si="528"/>
        <v>0</v>
      </c>
      <c r="AM120" s="80">
        <f t="shared" si="528"/>
        <v>0</v>
      </c>
      <c r="AN120" s="80">
        <f t="shared" si="528"/>
        <v>0</v>
      </c>
      <c r="AO120" s="80">
        <f t="shared" si="528"/>
        <v>0</v>
      </c>
      <c r="AP120" s="80">
        <f t="shared" si="528"/>
        <v>0</v>
      </c>
      <c r="AQ120" s="80">
        <f t="shared" si="528"/>
        <v>0</v>
      </c>
      <c r="AR120" s="80">
        <f t="shared" si="528"/>
        <v>0</v>
      </c>
      <c r="AS120" s="80">
        <f t="shared" si="528"/>
        <v>0</v>
      </c>
      <c r="AT120" s="80">
        <f t="shared" si="528"/>
        <v>0</v>
      </c>
      <c r="AU120" s="80">
        <f t="shared" si="528"/>
        <v>0</v>
      </c>
      <c r="AV120" s="80">
        <f t="shared" si="528"/>
        <v>0</v>
      </c>
      <c r="AW120" s="80">
        <f t="shared" si="528"/>
        <v>0</v>
      </c>
      <c r="AX120" s="80">
        <f t="shared" si="528"/>
        <v>0</v>
      </c>
      <c r="AY120" s="80">
        <f t="shared" si="528"/>
        <v>0</v>
      </c>
      <c r="AZ120" s="80">
        <f t="shared" si="528"/>
        <v>0</v>
      </c>
      <c r="BA120" s="80">
        <f t="shared" si="528"/>
        <v>0</v>
      </c>
      <c r="BB120" s="80">
        <f t="shared" si="528"/>
        <v>0</v>
      </c>
      <c r="BC120" s="80">
        <f t="shared" si="528"/>
        <v>0</v>
      </c>
      <c r="BD120" s="80">
        <f t="shared" si="528"/>
        <v>0</v>
      </c>
      <c r="BE120" s="80">
        <f t="shared" si="528"/>
        <v>0</v>
      </c>
      <c r="BF120" s="80">
        <f t="shared" si="528"/>
        <v>0</v>
      </c>
      <c r="BG120" s="80">
        <f t="shared" si="528"/>
        <v>0</v>
      </c>
      <c r="BH120" s="80">
        <f t="shared" si="528"/>
        <v>0</v>
      </c>
      <c r="BI120" s="80">
        <f t="shared" si="528"/>
        <v>0</v>
      </c>
      <c r="BJ120" s="80">
        <f t="shared" si="528"/>
        <v>0</v>
      </c>
      <c r="BK120" s="80">
        <f t="shared" si="528"/>
        <v>0</v>
      </c>
      <c r="BL120" s="80">
        <f t="shared" si="528"/>
        <v>0</v>
      </c>
      <c r="BM120" s="80">
        <f t="shared" si="528"/>
        <v>0</v>
      </c>
      <c r="BN120" s="80">
        <f t="shared" ref="BN120" si="529">BM123</f>
        <v>0</v>
      </c>
      <c r="BO120" s="80">
        <f t="shared" ref="BO120" si="530">BN123</f>
        <v>0</v>
      </c>
      <c r="BP120" s="80">
        <f t="shared" ref="BP120" si="531">BO123</f>
        <v>0</v>
      </c>
      <c r="BQ120" s="80">
        <f t="shared" ref="BQ120" si="532">BP123</f>
        <v>0</v>
      </c>
      <c r="BR120" s="80">
        <f t="shared" ref="BR120" si="533">BQ123</f>
        <v>0</v>
      </c>
      <c r="BS120" s="80">
        <f t="shared" ref="BS120" si="534">BR123</f>
        <v>0</v>
      </c>
      <c r="BT120" s="80">
        <f t="shared" ref="BT120" si="535">BS123</f>
        <v>0</v>
      </c>
      <c r="BU120" s="80">
        <f t="shared" ref="BU120" si="536">BT123</f>
        <v>0</v>
      </c>
      <c r="BV120" s="80">
        <f t="shared" ref="BV120" si="537">BU123</f>
        <v>0</v>
      </c>
      <c r="BW120" s="80">
        <f t="shared" ref="BW120" si="538">BV123</f>
        <v>0</v>
      </c>
      <c r="BX120" s="80">
        <f t="shared" ref="BX120" si="539">BW123</f>
        <v>0</v>
      </c>
      <c r="BY120" s="80">
        <f t="shared" ref="BY120" si="540">BX123</f>
        <v>0</v>
      </c>
      <c r="BZ120" s="80">
        <f t="shared" ref="BZ120" si="541">BY123</f>
        <v>0</v>
      </c>
      <c r="CA120" s="80">
        <f t="shared" ref="CA120" si="542">BZ123</f>
        <v>0</v>
      </c>
      <c r="CB120" s="80">
        <f t="shared" ref="CB120" si="543">CA123</f>
        <v>0</v>
      </c>
      <c r="CC120" s="80">
        <f t="shared" ref="CC120" si="544">CB123</f>
        <v>0</v>
      </c>
      <c r="CD120" s="80">
        <f t="shared" ref="CD120" si="545">CC123</f>
        <v>0</v>
      </c>
      <c r="CE120" s="80">
        <f t="shared" ref="CE120" si="546">CD123</f>
        <v>0</v>
      </c>
      <c r="CF120" s="80">
        <f t="shared" ref="CF120" si="547">CE123</f>
        <v>0</v>
      </c>
      <c r="CG120" s="80">
        <f t="shared" ref="CG120" si="548">CF123</f>
        <v>0</v>
      </c>
      <c r="CH120" s="80">
        <f t="shared" ref="CH120" si="549">CG123</f>
        <v>0</v>
      </c>
      <c r="CI120" s="80">
        <f t="shared" ref="CI120" si="550">CH123</f>
        <v>0</v>
      </c>
      <c r="CJ120" s="80">
        <f t="shared" ref="CJ120" si="551">CI123</f>
        <v>0</v>
      </c>
      <c r="CK120" s="80">
        <f t="shared" ref="CK120" si="552">CJ123</f>
        <v>0</v>
      </c>
    </row>
    <row r="121" spans="2:89" ht="15">
      <c r="B121" s="77" t="s">
        <v>103</v>
      </c>
      <c r="C121" s="78"/>
      <c r="D121" s="98">
        <f>SUM(F121:CK121)</f>
        <v>267718562.89499858</v>
      </c>
      <c r="E121" s="79"/>
      <c r="F121" s="80">
        <f>F102+F114</f>
        <v>0</v>
      </c>
      <c r="G121" s="80">
        <f t="shared" ref="G121:BR121" si="553">G102+G114</f>
        <v>879041.09589041094</v>
      </c>
      <c r="H121" s="80">
        <f t="shared" si="553"/>
        <v>850684.93150684924</v>
      </c>
      <c r="I121" s="80">
        <f t="shared" si="553"/>
        <v>879041.09589041094</v>
      </c>
      <c r="J121" s="80">
        <f t="shared" si="553"/>
        <v>2790000</v>
      </c>
      <c r="K121" s="80">
        <f t="shared" si="553"/>
        <v>2699999.9999999995</v>
      </c>
      <c r="L121" s="80">
        <f t="shared" si="553"/>
        <v>2790000</v>
      </c>
      <c r="M121" s="80">
        <f t="shared" si="553"/>
        <v>4924109.5890410952</v>
      </c>
      <c r="N121" s="80">
        <f t="shared" si="553"/>
        <v>5088246.5753424652</v>
      </c>
      <c r="O121" s="80">
        <f t="shared" si="553"/>
        <v>5074344.2622950822</v>
      </c>
      <c r="P121" s="80">
        <f t="shared" si="553"/>
        <v>6180327.8688524598</v>
      </c>
      <c r="Q121" s="80">
        <f t="shared" si="553"/>
        <v>6606557.3770491797</v>
      </c>
      <c r="R121" s="80">
        <f t="shared" si="553"/>
        <v>6393442.6229508193</v>
      </c>
      <c r="S121" s="80">
        <f t="shared" si="553"/>
        <v>6553620.2185792346</v>
      </c>
      <c r="T121" s="80">
        <f t="shared" si="553"/>
        <v>6290983.6065573767</v>
      </c>
      <c r="U121" s="80">
        <f t="shared" si="553"/>
        <v>6447745.9016393442</v>
      </c>
      <c r="V121" s="80">
        <f t="shared" si="553"/>
        <v>6394808.743169399</v>
      </c>
      <c r="W121" s="80">
        <f t="shared" si="553"/>
        <v>6137295.0819672123</v>
      </c>
      <c r="X121" s="80">
        <f t="shared" si="553"/>
        <v>6288934.4262295077</v>
      </c>
      <c r="Y121" s="80">
        <f t="shared" si="553"/>
        <v>6034836.0655737706</v>
      </c>
      <c r="Z121" s="80">
        <f t="shared" si="553"/>
        <v>6183060.1092896173</v>
      </c>
      <c r="AA121" s="80">
        <f t="shared" si="553"/>
        <v>6146917.8082191776</v>
      </c>
      <c r="AB121" s="80">
        <f t="shared" si="553"/>
        <v>5504109.5890410962</v>
      </c>
      <c r="AC121" s="80">
        <f t="shared" si="553"/>
        <v>6040753.4246575339</v>
      </c>
      <c r="AD121" s="80">
        <f t="shared" si="553"/>
        <v>5794520.5479452051</v>
      </c>
      <c r="AE121" s="80">
        <f t="shared" si="553"/>
        <v>5867857.1428571427</v>
      </c>
      <c r="AF121" s="80">
        <f t="shared" si="553"/>
        <v>5562622.3091976512</v>
      </c>
      <c r="AG121" s="80">
        <f t="shared" si="553"/>
        <v>5628228.9628180042</v>
      </c>
      <c r="AH121" s="80">
        <f t="shared" si="553"/>
        <v>5508414.8727984354</v>
      </c>
      <c r="AI121" s="80">
        <f t="shared" si="553"/>
        <v>5214774.9510763213</v>
      </c>
      <c r="AJ121" s="80">
        <f t="shared" si="553"/>
        <v>5268786.6927592959</v>
      </c>
      <c r="AK121" s="80">
        <f t="shared" si="553"/>
        <v>4982876.7123287674</v>
      </c>
      <c r="AL121" s="80">
        <f t="shared" si="553"/>
        <v>5029158.5127201574</v>
      </c>
      <c r="AM121" s="80">
        <f t="shared" si="553"/>
        <v>4909344.4227005877</v>
      </c>
      <c r="AN121" s="80">
        <f t="shared" si="553"/>
        <v>4326027.3972602747</v>
      </c>
      <c r="AO121" s="80">
        <f t="shared" si="553"/>
        <v>4669716.2426614482</v>
      </c>
      <c r="AP121" s="80">
        <f t="shared" si="553"/>
        <v>4403131.1154598836</v>
      </c>
      <c r="AQ121" s="80">
        <f t="shared" si="553"/>
        <v>4430088.0626223106</v>
      </c>
      <c r="AR121" s="80">
        <f t="shared" si="553"/>
        <v>4171232.8767123297</v>
      </c>
      <c r="AS121" s="80">
        <f t="shared" si="553"/>
        <v>4190459.8825831711</v>
      </c>
      <c r="AT121" s="80">
        <f t="shared" si="553"/>
        <v>4070645.7925636023</v>
      </c>
      <c r="AU121" s="80">
        <f t="shared" si="553"/>
        <v>3823385.5185909988</v>
      </c>
      <c r="AV121" s="80">
        <f t="shared" si="553"/>
        <v>3831017.6125244633</v>
      </c>
      <c r="AW121" s="80">
        <f t="shared" si="553"/>
        <v>3591487.2798434459</v>
      </c>
      <c r="AX121" s="80">
        <f t="shared" si="553"/>
        <v>3591389.4324853243</v>
      </c>
      <c r="AY121" s="80">
        <f t="shared" si="553"/>
        <v>3471575.3424657555</v>
      </c>
      <c r="AZ121" s="80">
        <f t="shared" si="553"/>
        <v>3027397.2602739744</v>
      </c>
      <c r="BA121" s="80">
        <f t="shared" si="553"/>
        <v>3231947.1624266161</v>
      </c>
      <c r="BB121" s="80">
        <f t="shared" si="553"/>
        <v>3011741.6829745611</v>
      </c>
      <c r="BC121" s="80">
        <f t="shared" si="553"/>
        <v>2992318.9823874775</v>
      </c>
      <c r="BD121" s="80">
        <f t="shared" si="553"/>
        <v>2779843.4442270072</v>
      </c>
      <c r="BE121" s="80">
        <f t="shared" si="553"/>
        <v>2752690.8023483381</v>
      </c>
      <c r="BF121" s="80">
        <f t="shared" si="553"/>
        <v>2632876.7123287688</v>
      </c>
      <c r="BG121" s="80">
        <f t="shared" si="553"/>
        <v>2431996.0861056764</v>
      </c>
      <c r="BH121" s="80">
        <f t="shared" si="553"/>
        <v>2393248.5322896298</v>
      </c>
      <c r="BI121" s="80">
        <f t="shared" si="553"/>
        <v>2200097.8473581225</v>
      </c>
      <c r="BJ121" s="80">
        <f t="shared" si="553"/>
        <v>2153620.3522504903</v>
      </c>
      <c r="BK121" s="80">
        <f t="shared" si="553"/>
        <v>2028249.4145199074</v>
      </c>
      <c r="BL121" s="80">
        <f t="shared" si="553"/>
        <v>1785616.7056986743</v>
      </c>
      <c r="BM121" s="80">
        <f t="shared" si="553"/>
        <v>1789275.9562841542</v>
      </c>
      <c r="BN121" s="80">
        <f t="shared" si="553"/>
        <v>1615925.0585480104</v>
      </c>
      <c r="BO121" s="80">
        <f t="shared" si="553"/>
        <v>1550302.498048401</v>
      </c>
      <c r="BP121" s="80">
        <f t="shared" si="553"/>
        <v>1384660.421545669</v>
      </c>
      <c r="BQ121" s="80">
        <f t="shared" si="553"/>
        <v>1311329.0398126475</v>
      </c>
      <c r="BR121" s="80">
        <f t="shared" si="553"/>
        <v>1191842.3106947711</v>
      </c>
      <c r="BS121" s="80">
        <f t="shared" ref="BS121:CK121" si="554">BS102+BS114</f>
        <v>1037763.4660421559</v>
      </c>
      <c r="BT121" s="80">
        <f t="shared" si="554"/>
        <v>952868.85245901777</v>
      </c>
      <c r="BU121" s="80">
        <f t="shared" si="554"/>
        <v>870901.63934426359</v>
      </c>
      <c r="BV121" s="80">
        <f t="shared" si="554"/>
        <v>846994.53551912704</v>
      </c>
      <c r="BW121" s="80">
        <f t="shared" si="554"/>
        <v>796232.87671233015</v>
      </c>
      <c r="BX121" s="80">
        <f t="shared" si="554"/>
        <v>671232.87671233015</v>
      </c>
      <c r="BY121" s="80">
        <f t="shared" si="554"/>
        <v>690068.49315068638</v>
      </c>
      <c r="BZ121" s="80">
        <f t="shared" si="554"/>
        <v>616438.35616438475</v>
      </c>
      <c r="CA121" s="80">
        <f t="shared" si="554"/>
        <v>583904.10958904249</v>
      </c>
      <c r="CB121" s="80">
        <f t="shared" si="554"/>
        <v>513698.6301369876</v>
      </c>
      <c r="CC121" s="80">
        <f t="shared" si="554"/>
        <v>477739.72602739866</v>
      </c>
      <c r="CD121" s="80">
        <f t="shared" si="554"/>
        <v>424657.53424657678</v>
      </c>
      <c r="CE121" s="80">
        <f t="shared" si="554"/>
        <v>359589.04109589173</v>
      </c>
      <c r="CF121" s="80">
        <f t="shared" si="554"/>
        <v>318493.15068493289</v>
      </c>
      <c r="CG121" s="80">
        <f t="shared" si="554"/>
        <v>256849.31506849447</v>
      </c>
      <c r="CH121" s="80">
        <f t="shared" si="554"/>
        <v>212328.76712328906</v>
      </c>
      <c r="CI121" s="80">
        <f t="shared" si="554"/>
        <v>159246.57534246711</v>
      </c>
      <c r="CJ121" s="80">
        <f t="shared" si="554"/>
        <v>95890.410958905355</v>
      </c>
      <c r="CK121" s="80">
        <f t="shared" si="554"/>
        <v>53082.191780823297</v>
      </c>
    </row>
    <row r="122" spans="2:89" ht="15.75" thickBot="1">
      <c r="B122" s="45" t="s">
        <v>104</v>
      </c>
      <c r="C122" s="46"/>
      <c r="D122" s="47">
        <f>SUM(F122:CK122)</f>
        <v>-267718562.89499858</v>
      </c>
      <c r="E122" s="48"/>
      <c r="F122" s="49">
        <f>-F121</f>
        <v>0</v>
      </c>
      <c r="G122" s="49">
        <f t="shared" ref="G122:AG122" si="555">-G121</f>
        <v>-879041.09589041094</v>
      </c>
      <c r="H122" s="49">
        <f t="shared" si="555"/>
        <v>-850684.93150684924</v>
      </c>
      <c r="I122" s="49">
        <f t="shared" si="555"/>
        <v>-879041.09589041094</v>
      </c>
      <c r="J122" s="49">
        <f t="shared" si="555"/>
        <v>-2790000</v>
      </c>
      <c r="K122" s="49">
        <f t="shared" si="555"/>
        <v>-2699999.9999999995</v>
      </c>
      <c r="L122" s="49">
        <f t="shared" si="555"/>
        <v>-2790000</v>
      </c>
      <c r="M122" s="49">
        <f t="shared" si="555"/>
        <v>-4924109.5890410952</v>
      </c>
      <c r="N122" s="49">
        <f t="shared" si="555"/>
        <v>-5088246.5753424652</v>
      </c>
      <c r="O122" s="49">
        <f t="shared" si="555"/>
        <v>-5074344.2622950822</v>
      </c>
      <c r="P122" s="49">
        <f t="shared" si="555"/>
        <v>-6180327.8688524598</v>
      </c>
      <c r="Q122" s="49">
        <f t="shared" si="555"/>
        <v>-6606557.3770491797</v>
      </c>
      <c r="R122" s="49">
        <f t="shared" si="555"/>
        <v>-6393442.6229508193</v>
      </c>
      <c r="S122" s="49">
        <f t="shared" si="555"/>
        <v>-6553620.2185792346</v>
      </c>
      <c r="T122" s="49">
        <f t="shared" si="555"/>
        <v>-6290983.6065573767</v>
      </c>
      <c r="U122" s="49">
        <f t="shared" si="555"/>
        <v>-6447745.9016393442</v>
      </c>
      <c r="V122" s="49">
        <f t="shared" si="555"/>
        <v>-6394808.743169399</v>
      </c>
      <c r="W122" s="49">
        <f t="shared" si="555"/>
        <v>-6137295.0819672123</v>
      </c>
      <c r="X122" s="49">
        <f t="shared" si="555"/>
        <v>-6288934.4262295077</v>
      </c>
      <c r="Y122" s="49">
        <f t="shared" si="555"/>
        <v>-6034836.0655737706</v>
      </c>
      <c r="Z122" s="49">
        <f t="shared" si="555"/>
        <v>-6183060.1092896173</v>
      </c>
      <c r="AA122" s="49">
        <f t="shared" si="555"/>
        <v>-6146917.8082191776</v>
      </c>
      <c r="AB122" s="49">
        <f t="shared" si="555"/>
        <v>-5504109.5890410962</v>
      </c>
      <c r="AC122" s="49">
        <f t="shared" si="555"/>
        <v>-6040753.4246575339</v>
      </c>
      <c r="AD122" s="49">
        <f t="shared" si="555"/>
        <v>-5794520.5479452051</v>
      </c>
      <c r="AE122" s="49">
        <f t="shared" si="555"/>
        <v>-5867857.1428571427</v>
      </c>
      <c r="AF122" s="49">
        <f t="shared" si="555"/>
        <v>-5562622.3091976512</v>
      </c>
      <c r="AG122" s="49">
        <f t="shared" si="555"/>
        <v>-5628228.9628180042</v>
      </c>
      <c r="AH122" s="49">
        <f t="shared" ref="AH122:BM122" si="556">-AH121</f>
        <v>-5508414.8727984354</v>
      </c>
      <c r="AI122" s="49">
        <f t="shared" si="556"/>
        <v>-5214774.9510763213</v>
      </c>
      <c r="AJ122" s="49">
        <f t="shared" si="556"/>
        <v>-5268786.6927592959</v>
      </c>
      <c r="AK122" s="49">
        <f t="shared" si="556"/>
        <v>-4982876.7123287674</v>
      </c>
      <c r="AL122" s="49">
        <f t="shared" si="556"/>
        <v>-5029158.5127201574</v>
      </c>
      <c r="AM122" s="49">
        <f t="shared" si="556"/>
        <v>-4909344.4227005877</v>
      </c>
      <c r="AN122" s="49">
        <f t="shared" si="556"/>
        <v>-4326027.3972602747</v>
      </c>
      <c r="AO122" s="49">
        <f t="shared" si="556"/>
        <v>-4669716.2426614482</v>
      </c>
      <c r="AP122" s="49">
        <f t="shared" si="556"/>
        <v>-4403131.1154598836</v>
      </c>
      <c r="AQ122" s="49">
        <f t="shared" si="556"/>
        <v>-4430088.0626223106</v>
      </c>
      <c r="AR122" s="49">
        <f t="shared" si="556"/>
        <v>-4171232.8767123297</v>
      </c>
      <c r="AS122" s="49">
        <f t="shared" si="556"/>
        <v>-4190459.8825831711</v>
      </c>
      <c r="AT122" s="49">
        <f t="shared" si="556"/>
        <v>-4070645.7925636023</v>
      </c>
      <c r="AU122" s="49">
        <f t="shared" si="556"/>
        <v>-3823385.5185909988</v>
      </c>
      <c r="AV122" s="49">
        <f t="shared" si="556"/>
        <v>-3831017.6125244633</v>
      </c>
      <c r="AW122" s="49">
        <f t="shared" si="556"/>
        <v>-3591487.2798434459</v>
      </c>
      <c r="AX122" s="49">
        <f t="shared" si="556"/>
        <v>-3591389.4324853243</v>
      </c>
      <c r="AY122" s="49">
        <f t="shared" si="556"/>
        <v>-3471575.3424657555</v>
      </c>
      <c r="AZ122" s="49">
        <f t="shared" si="556"/>
        <v>-3027397.2602739744</v>
      </c>
      <c r="BA122" s="49">
        <f t="shared" si="556"/>
        <v>-3231947.1624266161</v>
      </c>
      <c r="BB122" s="49">
        <f t="shared" si="556"/>
        <v>-3011741.6829745611</v>
      </c>
      <c r="BC122" s="49">
        <f t="shared" si="556"/>
        <v>-2992318.9823874775</v>
      </c>
      <c r="BD122" s="49">
        <f t="shared" si="556"/>
        <v>-2779843.4442270072</v>
      </c>
      <c r="BE122" s="49">
        <f t="shared" si="556"/>
        <v>-2752690.8023483381</v>
      </c>
      <c r="BF122" s="49">
        <f t="shared" si="556"/>
        <v>-2632876.7123287688</v>
      </c>
      <c r="BG122" s="49">
        <f t="shared" si="556"/>
        <v>-2431996.0861056764</v>
      </c>
      <c r="BH122" s="49">
        <f t="shared" si="556"/>
        <v>-2393248.5322896298</v>
      </c>
      <c r="BI122" s="49">
        <f t="shared" si="556"/>
        <v>-2200097.8473581225</v>
      </c>
      <c r="BJ122" s="49">
        <f t="shared" si="556"/>
        <v>-2153620.3522504903</v>
      </c>
      <c r="BK122" s="49">
        <f t="shared" si="556"/>
        <v>-2028249.4145199074</v>
      </c>
      <c r="BL122" s="49">
        <f t="shared" si="556"/>
        <v>-1785616.7056986743</v>
      </c>
      <c r="BM122" s="49">
        <f t="shared" si="556"/>
        <v>-1789275.9562841542</v>
      </c>
      <c r="BN122" s="49">
        <f t="shared" ref="BN122:CK122" si="557">-BN121</f>
        <v>-1615925.0585480104</v>
      </c>
      <c r="BO122" s="49">
        <f t="shared" si="557"/>
        <v>-1550302.498048401</v>
      </c>
      <c r="BP122" s="49">
        <f t="shared" si="557"/>
        <v>-1384660.421545669</v>
      </c>
      <c r="BQ122" s="49">
        <f t="shared" si="557"/>
        <v>-1311329.0398126475</v>
      </c>
      <c r="BR122" s="49">
        <f t="shared" si="557"/>
        <v>-1191842.3106947711</v>
      </c>
      <c r="BS122" s="49">
        <f t="shared" si="557"/>
        <v>-1037763.4660421559</v>
      </c>
      <c r="BT122" s="49">
        <f t="shared" si="557"/>
        <v>-952868.85245901777</v>
      </c>
      <c r="BU122" s="49">
        <f t="shared" si="557"/>
        <v>-870901.63934426359</v>
      </c>
      <c r="BV122" s="49">
        <f t="shared" si="557"/>
        <v>-846994.53551912704</v>
      </c>
      <c r="BW122" s="49">
        <f t="shared" si="557"/>
        <v>-796232.87671233015</v>
      </c>
      <c r="BX122" s="49">
        <f t="shared" si="557"/>
        <v>-671232.87671233015</v>
      </c>
      <c r="BY122" s="49">
        <f t="shared" si="557"/>
        <v>-690068.49315068638</v>
      </c>
      <c r="BZ122" s="49">
        <f t="shared" si="557"/>
        <v>-616438.35616438475</v>
      </c>
      <c r="CA122" s="49">
        <f t="shared" si="557"/>
        <v>-583904.10958904249</v>
      </c>
      <c r="CB122" s="49">
        <f t="shared" si="557"/>
        <v>-513698.6301369876</v>
      </c>
      <c r="CC122" s="49">
        <f t="shared" si="557"/>
        <v>-477739.72602739866</v>
      </c>
      <c r="CD122" s="49">
        <f t="shared" si="557"/>
        <v>-424657.53424657678</v>
      </c>
      <c r="CE122" s="49">
        <f t="shared" si="557"/>
        <v>-359589.04109589173</v>
      </c>
      <c r="CF122" s="49">
        <f t="shared" si="557"/>
        <v>-318493.15068493289</v>
      </c>
      <c r="CG122" s="49">
        <f t="shared" si="557"/>
        <v>-256849.31506849447</v>
      </c>
      <c r="CH122" s="49">
        <f t="shared" si="557"/>
        <v>-212328.76712328906</v>
      </c>
      <c r="CI122" s="49">
        <f t="shared" si="557"/>
        <v>-159246.57534246711</v>
      </c>
      <c r="CJ122" s="49">
        <f t="shared" si="557"/>
        <v>-95890.410958905355</v>
      </c>
      <c r="CK122" s="49">
        <f t="shared" si="557"/>
        <v>-53082.191780823297</v>
      </c>
    </row>
    <row r="123" spans="2:89" ht="15.75" thickTop="1">
      <c r="B123" s="50" t="s">
        <v>99</v>
      </c>
      <c r="C123" s="51"/>
      <c r="D123" s="52">
        <f>SUM(D120:D122)</f>
        <v>0</v>
      </c>
      <c r="E123" s="53"/>
      <c r="F123" s="54">
        <f>SUM(F120:F122)</f>
        <v>0</v>
      </c>
      <c r="G123" s="54">
        <f t="shared" ref="G123:AG123" si="558">SUM(G120:G122)</f>
        <v>0</v>
      </c>
      <c r="H123" s="54">
        <f t="shared" si="558"/>
        <v>0</v>
      </c>
      <c r="I123" s="54">
        <f t="shared" si="558"/>
        <v>0</v>
      </c>
      <c r="J123" s="54">
        <f t="shared" si="558"/>
        <v>0</v>
      </c>
      <c r="K123" s="54">
        <f t="shared" si="558"/>
        <v>0</v>
      </c>
      <c r="L123" s="54">
        <f t="shared" si="558"/>
        <v>0</v>
      </c>
      <c r="M123" s="54">
        <f t="shared" si="558"/>
        <v>0</v>
      </c>
      <c r="N123" s="54">
        <f t="shared" si="558"/>
        <v>0</v>
      </c>
      <c r="O123" s="54">
        <f t="shared" si="558"/>
        <v>0</v>
      </c>
      <c r="P123" s="54">
        <f t="shared" si="558"/>
        <v>0</v>
      </c>
      <c r="Q123" s="54">
        <f t="shared" si="558"/>
        <v>0</v>
      </c>
      <c r="R123" s="54">
        <f t="shared" si="558"/>
        <v>0</v>
      </c>
      <c r="S123" s="54">
        <f t="shared" si="558"/>
        <v>0</v>
      </c>
      <c r="T123" s="54">
        <f t="shared" si="558"/>
        <v>0</v>
      </c>
      <c r="U123" s="54">
        <f t="shared" si="558"/>
        <v>0</v>
      </c>
      <c r="V123" s="54">
        <f t="shared" si="558"/>
        <v>0</v>
      </c>
      <c r="W123" s="54">
        <f t="shared" si="558"/>
        <v>0</v>
      </c>
      <c r="X123" s="54">
        <f t="shared" si="558"/>
        <v>0</v>
      </c>
      <c r="Y123" s="54">
        <f t="shared" si="558"/>
        <v>0</v>
      </c>
      <c r="Z123" s="54">
        <f t="shared" si="558"/>
        <v>0</v>
      </c>
      <c r="AA123" s="54">
        <f t="shared" si="558"/>
        <v>0</v>
      </c>
      <c r="AB123" s="54">
        <f t="shared" si="558"/>
        <v>0</v>
      </c>
      <c r="AC123" s="54">
        <f t="shared" si="558"/>
        <v>0</v>
      </c>
      <c r="AD123" s="54">
        <f t="shared" si="558"/>
        <v>0</v>
      </c>
      <c r="AE123" s="54">
        <f t="shared" si="558"/>
        <v>0</v>
      </c>
      <c r="AF123" s="54">
        <f t="shared" si="558"/>
        <v>0</v>
      </c>
      <c r="AG123" s="54">
        <f t="shared" si="558"/>
        <v>0</v>
      </c>
      <c r="AH123" s="54">
        <f t="shared" ref="AH123:BM123" si="559">SUM(AH120:AH122)</f>
        <v>0</v>
      </c>
      <c r="AI123" s="54">
        <f t="shared" si="559"/>
        <v>0</v>
      </c>
      <c r="AJ123" s="54">
        <f t="shared" si="559"/>
        <v>0</v>
      </c>
      <c r="AK123" s="54">
        <f t="shared" si="559"/>
        <v>0</v>
      </c>
      <c r="AL123" s="54">
        <f t="shared" si="559"/>
        <v>0</v>
      </c>
      <c r="AM123" s="54">
        <f t="shared" si="559"/>
        <v>0</v>
      </c>
      <c r="AN123" s="54">
        <f t="shared" si="559"/>
        <v>0</v>
      </c>
      <c r="AO123" s="54">
        <f t="shared" si="559"/>
        <v>0</v>
      </c>
      <c r="AP123" s="54">
        <f t="shared" si="559"/>
        <v>0</v>
      </c>
      <c r="AQ123" s="54">
        <f t="shared" si="559"/>
        <v>0</v>
      </c>
      <c r="AR123" s="54">
        <f t="shared" si="559"/>
        <v>0</v>
      </c>
      <c r="AS123" s="54">
        <f t="shared" si="559"/>
        <v>0</v>
      </c>
      <c r="AT123" s="54">
        <f t="shared" si="559"/>
        <v>0</v>
      </c>
      <c r="AU123" s="54">
        <f t="shared" si="559"/>
        <v>0</v>
      </c>
      <c r="AV123" s="54">
        <f t="shared" si="559"/>
        <v>0</v>
      </c>
      <c r="AW123" s="54">
        <f t="shared" si="559"/>
        <v>0</v>
      </c>
      <c r="AX123" s="54">
        <f t="shared" si="559"/>
        <v>0</v>
      </c>
      <c r="AY123" s="54">
        <f t="shared" si="559"/>
        <v>0</v>
      </c>
      <c r="AZ123" s="54">
        <f t="shared" si="559"/>
        <v>0</v>
      </c>
      <c r="BA123" s="54">
        <f t="shared" si="559"/>
        <v>0</v>
      </c>
      <c r="BB123" s="54">
        <f t="shared" si="559"/>
        <v>0</v>
      </c>
      <c r="BC123" s="54">
        <f t="shared" si="559"/>
        <v>0</v>
      </c>
      <c r="BD123" s="54">
        <f t="shared" si="559"/>
        <v>0</v>
      </c>
      <c r="BE123" s="54">
        <f t="shared" si="559"/>
        <v>0</v>
      </c>
      <c r="BF123" s="54">
        <f t="shared" si="559"/>
        <v>0</v>
      </c>
      <c r="BG123" s="54">
        <f t="shared" si="559"/>
        <v>0</v>
      </c>
      <c r="BH123" s="54">
        <f t="shared" si="559"/>
        <v>0</v>
      </c>
      <c r="BI123" s="54">
        <f t="shared" si="559"/>
        <v>0</v>
      </c>
      <c r="BJ123" s="54">
        <f t="shared" si="559"/>
        <v>0</v>
      </c>
      <c r="BK123" s="54">
        <f t="shared" si="559"/>
        <v>0</v>
      </c>
      <c r="BL123" s="54">
        <f t="shared" si="559"/>
        <v>0</v>
      </c>
      <c r="BM123" s="54">
        <f t="shared" si="559"/>
        <v>0</v>
      </c>
      <c r="BN123" s="54">
        <f t="shared" ref="BN123:CK123" si="560">SUM(BN120:BN122)</f>
        <v>0</v>
      </c>
      <c r="BO123" s="54">
        <f t="shared" si="560"/>
        <v>0</v>
      </c>
      <c r="BP123" s="54">
        <f t="shared" si="560"/>
        <v>0</v>
      </c>
      <c r="BQ123" s="54">
        <f t="shared" si="560"/>
        <v>0</v>
      </c>
      <c r="BR123" s="54">
        <f t="shared" si="560"/>
        <v>0</v>
      </c>
      <c r="BS123" s="54">
        <f t="shared" si="560"/>
        <v>0</v>
      </c>
      <c r="BT123" s="54">
        <f t="shared" si="560"/>
        <v>0</v>
      </c>
      <c r="BU123" s="54">
        <f t="shared" si="560"/>
        <v>0</v>
      </c>
      <c r="BV123" s="54">
        <f t="shared" si="560"/>
        <v>0</v>
      </c>
      <c r="BW123" s="54">
        <f t="shared" si="560"/>
        <v>0</v>
      </c>
      <c r="BX123" s="54">
        <f t="shared" si="560"/>
        <v>0</v>
      </c>
      <c r="BY123" s="54">
        <f t="shared" si="560"/>
        <v>0</v>
      </c>
      <c r="BZ123" s="54">
        <f t="shared" si="560"/>
        <v>0</v>
      </c>
      <c r="CA123" s="54">
        <f t="shared" si="560"/>
        <v>0</v>
      </c>
      <c r="CB123" s="54">
        <f t="shared" si="560"/>
        <v>0</v>
      </c>
      <c r="CC123" s="54">
        <f t="shared" si="560"/>
        <v>0</v>
      </c>
      <c r="CD123" s="54">
        <f t="shared" si="560"/>
        <v>0</v>
      </c>
      <c r="CE123" s="54">
        <f t="shared" si="560"/>
        <v>0</v>
      </c>
      <c r="CF123" s="54">
        <f t="shared" si="560"/>
        <v>0</v>
      </c>
      <c r="CG123" s="54">
        <f t="shared" si="560"/>
        <v>0</v>
      </c>
      <c r="CH123" s="54">
        <f t="shared" si="560"/>
        <v>0</v>
      </c>
      <c r="CI123" s="54">
        <f t="shared" si="560"/>
        <v>0</v>
      </c>
      <c r="CJ123" s="54">
        <f t="shared" si="560"/>
        <v>0</v>
      </c>
      <c r="CK123" s="54">
        <f t="shared" si="560"/>
        <v>0</v>
      </c>
    </row>
    <row r="124" spans="2:89" ht="15"/>
    <row r="125" spans="2:89" ht="15"/>
    <row r="126" spans="2:89" ht="15"/>
    <row r="127" spans="2:89" ht="15"/>
    <row r="128" spans="2:89" ht="15"/>
  </sheetData>
  <sheetProtection algorithmName="SHA-512" hashValue="ChYZO/45HEKmpj1GswwiDNLwStEaAyFE+B2hMVDVL16m84+gMXL0iJt2LFAl39Mvoe7mncOH7z83Y1Cp8Koq6w==" saltValue="u2JWm8gNlbh31rbSu6XncQ==" spinCount="100000" sheet="1" objects="1" scenarios="1"/>
  <mergeCells count="1">
    <mergeCell ref="E1:G2"/>
  </mergeCells>
  <conditionalFormatting sqref="F13:CK14">
    <cfRule type="cellIs" dxfId="17" priority="2" operator="equal">
      <formula>1</formula>
    </cfRule>
  </conditionalFormatting>
  <conditionalFormatting sqref="K1:K2">
    <cfRule type="expression" dxfId="16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7" tint="0.39997558519241921"/>
  </sheetPr>
  <dimension ref="A1:CL87"/>
  <sheetViews>
    <sheetView showGridLines="0" zoomScaleNormal="100" workbookViewId="0">
      <pane xSplit="5" ySplit="10" topLeftCell="F74" activePane="bottomRight" state="frozen"/>
      <selection activeCell="C36" sqref="C36"/>
      <selection pane="topRight" activeCell="C36" sqref="C36"/>
      <selection pane="bottomLeft" activeCell="C36" sqref="C36"/>
      <selection pane="bottomRight" activeCell="B2" sqref="B2"/>
    </sheetView>
  </sheetViews>
  <sheetFormatPr defaultColWidth="0" defaultRowHeight="15" zeroHeight="1"/>
  <cols>
    <col min="1" max="1" width="2.5703125" customWidth="1"/>
    <col min="2" max="2" width="28.5703125" customWidth="1"/>
    <col min="3" max="3" width="7.140625" customWidth="1"/>
    <col min="4" max="4" width="15.140625" bestFit="1" customWidth="1"/>
    <col min="5" max="5" width="12.85546875" customWidth="1"/>
    <col min="6" max="6" width="11.28515625" bestFit="1" customWidth="1"/>
    <col min="7" max="7" width="12.42578125" bestFit="1" customWidth="1"/>
    <col min="8" max="8" width="10" bestFit="1" customWidth="1"/>
    <col min="9" max="9" width="11.42578125" bestFit="1" customWidth="1"/>
    <col min="10" max="10" width="10.5703125" bestFit="1" customWidth="1"/>
    <col min="11" max="11" width="12.85546875" bestFit="1" customWidth="1"/>
    <col min="12" max="12" width="12.140625" bestFit="1" customWidth="1"/>
    <col min="13" max="13" width="11.42578125" bestFit="1" customWidth="1"/>
    <col min="14" max="14" width="12.85546875" customWidth="1"/>
    <col min="15" max="16" width="12.28515625" bestFit="1" customWidth="1"/>
    <col min="17" max="17" width="12.42578125" bestFit="1" customWidth="1"/>
    <col min="18" max="89" width="13.7109375" bestFit="1" customWidth="1"/>
    <col min="90" max="90" width="2.7109375" customWidth="1"/>
    <col min="91" max="16384" width="2.7109375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92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>
      <c r="B8" s="16" t="str">
        <f t="array" ref="B8:B9">Время!B8:B9</f>
        <v>Начало периода</v>
      </c>
      <c r="C8" s="17"/>
      <c r="D8" s="18"/>
      <c r="E8" s="19"/>
      <c r="F8" s="20">
        <f t="array" ref="F8:CK9">Время!F8:CK9</f>
        <v>45017</v>
      </c>
      <c r="G8" s="20">
        <v>45047</v>
      </c>
      <c r="H8" s="20">
        <v>45078</v>
      </c>
      <c r="I8" s="20">
        <v>45108</v>
      </c>
      <c r="J8" s="20">
        <v>45139</v>
      </c>
      <c r="K8" s="20">
        <v>45170</v>
      </c>
      <c r="L8" s="20">
        <v>45200</v>
      </c>
      <c r="M8" s="20">
        <v>45231</v>
      </c>
      <c r="N8" s="20">
        <v>45261</v>
      </c>
      <c r="O8" s="20">
        <v>45292</v>
      </c>
      <c r="P8" s="20">
        <v>45323</v>
      </c>
      <c r="Q8" s="20">
        <v>45352</v>
      </c>
      <c r="R8" s="20">
        <v>45383</v>
      </c>
      <c r="S8" s="20">
        <v>45413</v>
      </c>
      <c r="T8" s="20">
        <v>45444</v>
      </c>
      <c r="U8" s="20">
        <v>45474</v>
      </c>
      <c r="V8" s="20">
        <v>45505</v>
      </c>
      <c r="W8" s="20">
        <v>45536</v>
      </c>
      <c r="X8" s="20">
        <v>45566</v>
      </c>
      <c r="Y8" s="20">
        <v>45597</v>
      </c>
      <c r="Z8" s="20">
        <v>45627</v>
      </c>
      <c r="AA8" s="20">
        <v>45658</v>
      </c>
      <c r="AB8" s="20">
        <v>45689</v>
      </c>
      <c r="AC8" s="20">
        <v>45717</v>
      </c>
      <c r="AD8" s="20">
        <v>45748</v>
      </c>
      <c r="AE8" s="20">
        <v>45778</v>
      </c>
      <c r="AF8" s="20">
        <v>45809</v>
      </c>
      <c r="AG8" s="20">
        <v>45839</v>
      </c>
      <c r="AH8" s="20">
        <v>45870</v>
      </c>
      <c r="AI8" s="20">
        <v>45901</v>
      </c>
      <c r="AJ8" s="20">
        <v>45931</v>
      </c>
      <c r="AK8" s="20">
        <v>45962</v>
      </c>
      <c r="AL8" s="20">
        <v>45992</v>
      </c>
      <c r="AM8" s="20">
        <v>46023</v>
      </c>
      <c r="AN8" s="20">
        <v>46054</v>
      </c>
      <c r="AO8" s="20">
        <v>46082</v>
      </c>
      <c r="AP8" s="20">
        <v>46113</v>
      </c>
      <c r="AQ8" s="20">
        <v>46143</v>
      </c>
      <c r="AR8" s="20">
        <v>46174</v>
      </c>
      <c r="AS8" s="20">
        <v>46204</v>
      </c>
      <c r="AT8" s="20">
        <v>46235</v>
      </c>
      <c r="AU8" s="20">
        <v>46266</v>
      </c>
      <c r="AV8" s="20">
        <v>46296</v>
      </c>
      <c r="AW8" s="20">
        <v>46327</v>
      </c>
      <c r="AX8" s="20">
        <v>46357</v>
      </c>
      <c r="AY8" s="20">
        <v>46388</v>
      </c>
      <c r="AZ8" s="20">
        <v>46419</v>
      </c>
      <c r="BA8" s="20">
        <v>46447</v>
      </c>
      <c r="BB8" s="20">
        <v>46478</v>
      </c>
      <c r="BC8" s="20">
        <v>46508</v>
      </c>
      <c r="BD8" s="20">
        <v>46539</v>
      </c>
      <c r="BE8" s="20">
        <v>46569</v>
      </c>
      <c r="BF8" s="20">
        <v>46600</v>
      </c>
      <c r="BG8" s="20">
        <v>46631</v>
      </c>
      <c r="BH8" s="20">
        <v>46661</v>
      </c>
      <c r="BI8" s="20">
        <v>46692</v>
      </c>
      <c r="BJ8" s="20">
        <v>46722</v>
      </c>
      <c r="BK8" s="20">
        <v>46753</v>
      </c>
      <c r="BL8" s="20">
        <v>46784</v>
      </c>
      <c r="BM8" s="20">
        <v>46813</v>
      </c>
      <c r="BN8" s="20">
        <v>46844</v>
      </c>
      <c r="BO8" s="20">
        <v>46874</v>
      </c>
      <c r="BP8" s="20">
        <v>46905</v>
      </c>
      <c r="BQ8" s="20">
        <v>46935</v>
      </c>
      <c r="BR8" s="20">
        <v>46966</v>
      </c>
      <c r="BS8" s="20">
        <v>46997</v>
      </c>
      <c r="BT8" s="20">
        <v>47027</v>
      </c>
      <c r="BU8" s="20">
        <v>47058</v>
      </c>
      <c r="BV8" s="20">
        <v>47088</v>
      </c>
      <c r="BW8" s="20">
        <v>47119</v>
      </c>
      <c r="BX8" s="20">
        <v>47150</v>
      </c>
      <c r="BY8" s="20">
        <v>47178</v>
      </c>
      <c r="BZ8" s="20">
        <v>47209</v>
      </c>
      <c r="CA8" s="20">
        <v>47239</v>
      </c>
      <c r="CB8" s="20">
        <v>47270</v>
      </c>
      <c r="CC8" s="20">
        <v>47300</v>
      </c>
      <c r="CD8" s="20">
        <v>47331</v>
      </c>
      <c r="CE8" s="20">
        <v>47362</v>
      </c>
      <c r="CF8" s="20">
        <v>47392</v>
      </c>
      <c r="CG8" s="20">
        <v>47423</v>
      </c>
      <c r="CH8" s="20">
        <v>47453</v>
      </c>
      <c r="CI8" s="20">
        <v>47484</v>
      </c>
      <c r="CJ8" s="20">
        <v>47515</v>
      </c>
      <c r="CK8" s="20">
        <v>47543</v>
      </c>
    </row>
    <row r="9" spans="2:89">
      <c r="B9" s="21" t="str">
        <v>Конец периода</v>
      </c>
      <c r="C9" s="22"/>
      <c r="D9" s="23"/>
      <c r="E9" s="24">
        <f>Время!E9</f>
        <v>45016</v>
      </c>
      <c r="F9" s="25">
        <v>45046</v>
      </c>
      <c r="G9" s="25">
        <v>45077</v>
      </c>
      <c r="H9" s="25">
        <v>45107</v>
      </c>
      <c r="I9" s="25">
        <v>45138</v>
      </c>
      <c r="J9" s="25">
        <v>45169</v>
      </c>
      <c r="K9" s="25">
        <v>45199</v>
      </c>
      <c r="L9" s="25">
        <v>45230</v>
      </c>
      <c r="M9" s="25">
        <v>45260</v>
      </c>
      <c r="N9" s="25">
        <v>45291</v>
      </c>
      <c r="O9" s="25">
        <v>45322</v>
      </c>
      <c r="P9" s="25">
        <v>45351</v>
      </c>
      <c r="Q9" s="25">
        <v>45382</v>
      </c>
      <c r="R9" s="25">
        <v>45412</v>
      </c>
      <c r="S9" s="25">
        <v>45443</v>
      </c>
      <c r="T9" s="25">
        <v>45473</v>
      </c>
      <c r="U9" s="25">
        <v>45504</v>
      </c>
      <c r="V9" s="25">
        <v>45535</v>
      </c>
      <c r="W9" s="25">
        <v>45565</v>
      </c>
      <c r="X9" s="25">
        <v>45596</v>
      </c>
      <c r="Y9" s="25">
        <v>45626</v>
      </c>
      <c r="Z9" s="25">
        <v>45657</v>
      </c>
      <c r="AA9" s="25">
        <v>45688</v>
      </c>
      <c r="AB9" s="25">
        <v>45716</v>
      </c>
      <c r="AC9" s="25">
        <v>45747</v>
      </c>
      <c r="AD9" s="25">
        <v>45777</v>
      </c>
      <c r="AE9" s="25">
        <v>45808</v>
      </c>
      <c r="AF9" s="25">
        <v>45838</v>
      </c>
      <c r="AG9" s="25">
        <v>45869</v>
      </c>
      <c r="AH9" s="25">
        <v>45900</v>
      </c>
      <c r="AI9" s="25">
        <v>45930</v>
      </c>
      <c r="AJ9" s="25">
        <v>45961</v>
      </c>
      <c r="AK9" s="25">
        <v>45991</v>
      </c>
      <c r="AL9" s="25">
        <v>46022</v>
      </c>
      <c r="AM9" s="25">
        <v>46053</v>
      </c>
      <c r="AN9" s="25">
        <v>46081</v>
      </c>
      <c r="AO9" s="25">
        <v>46112</v>
      </c>
      <c r="AP9" s="25">
        <v>46142</v>
      </c>
      <c r="AQ9" s="25">
        <v>46173</v>
      </c>
      <c r="AR9" s="25">
        <v>46203</v>
      </c>
      <c r="AS9" s="25">
        <v>46234</v>
      </c>
      <c r="AT9" s="25">
        <v>46265</v>
      </c>
      <c r="AU9" s="25">
        <v>46295</v>
      </c>
      <c r="AV9" s="25">
        <v>46326</v>
      </c>
      <c r="AW9" s="25">
        <v>46356</v>
      </c>
      <c r="AX9" s="25">
        <v>46387</v>
      </c>
      <c r="AY9" s="25">
        <v>46418</v>
      </c>
      <c r="AZ9" s="25">
        <v>46446</v>
      </c>
      <c r="BA9" s="25">
        <v>46477</v>
      </c>
      <c r="BB9" s="25">
        <v>46507</v>
      </c>
      <c r="BC9" s="25">
        <v>46538</v>
      </c>
      <c r="BD9" s="25">
        <v>46568</v>
      </c>
      <c r="BE9" s="25">
        <v>46599</v>
      </c>
      <c r="BF9" s="25">
        <v>46630</v>
      </c>
      <c r="BG9" s="25">
        <v>46660</v>
      </c>
      <c r="BH9" s="25">
        <v>46691</v>
      </c>
      <c r="BI9" s="25">
        <v>46721</v>
      </c>
      <c r="BJ9" s="25">
        <v>46752</v>
      </c>
      <c r="BK9" s="25">
        <v>46783</v>
      </c>
      <c r="BL9" s="25">
        <v>46812</v>
      </c>
      <c r="BM9" s="25">
        <v>46843</v>
      </c>
      <c r="BN9" s="25">
        <v>46873</v>
      </c>
      <c r="BO9" s="25">
        <v>46904</v>
      </c>
      <c r="BP9" s="25">
        <v>46934</v>
      </c>
      <c r="BQ9" s="25">
        <v>46965</v>
      </c>
      <c r="BR9" s="25">
        <v>46996</v>
      </c>
      <c r="BS9" s="25">
        <v>47026</v>
      </c>
      <c r="BT9" s="25">
        <v>47057</v>
      </c>
      <c r="BU9" s="25">
        <v>47087</v>
      </c>
      <c r="BV9" s="25">
        <v>47118</v>
      </c>
      <c r="BW9" s="25">
        <v>47149</v>
      </c>
      <c r="BX9" s="25">
        <v>47177</v>
      </c>
      <c r="BY9" s="25">
        <v>47208</v>
      </c>
      <c r="BZ9" s="25">
        <v>47238</v>
      </c>
      <c r="CA9" s="25">
        <v>47269</v>
      </c>
      <c r="CB9" s="25">
        <v>47299</v>
      </c>
      <c r="CC9" s="25">
        <v>47330</v>
      </c>
      <c r="CD9" s="25">
        <v>47361</v>
      </c>
      <c r="CE9" s="25">
        <v>47391</v>
      </c>
      <c r="CF9" s="25">
        <v>47422</v>
      </c>
      <c r="CG9" s="25">
        <v>47452</v>
      </c>
      <c r="CH9" s="25">
        <v>47483</v>
      </c>
      <c r="CI9" s="25">
        <v>47514</v>
      </c>
      <c r="CJ9" s="25">
        <v>47542</v>
      </c>
      <c r="CK9" s="25"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5"/>
      <c r="G12" s="15"/>
      <c r="H12" s="15"/>
      <c r="I12" s="15"/>
      <c r="J12" s="15"/>
      <c r="K12" s="15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>
      <c r="B13" s="145" t="str">
        <f t="array" ref="B13:B14">Время!B13:B14</f>
        <v>Инвестиции</v>
      </c>
      <c r="C13" s="146"/>
      <c r="D13" s="146"/>
      <c r="E13" s="146"/>
      <c r="F13" s="29">
        <f t="array" ref="F13:CK14">Время!F13:CK14</f>
        <v>1</v>
      </c>
      <c r="G13" s="30">
        <v>1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1">
        <v>0</v>
      </c>
    </row>
    <row r="14" spans="2:89">
      <c r="B14" s="145" t="str">
        <v>Операции</v>
      </c>
      <c r="C14" s="146"/>
      <c r="D14" s="146"/>
      <c r="E14" s="146"/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>
        <v>1</v>
      </c>
      <c r="AU14" s="30">
        <v>1</v>
      </c>
      <c r="AV14" s="30">
        <v>1</v>
      </c>
      <c r="AW14" s="30">
        <v>1</v>
      </c>
      <c r="AX14" s="30">
        <v>1</v>
      </c>
      <c r="AY14" s="30">
        <v>1</v>
      </c>
      <c r="AZ14" s="30">
        <v>1</v>
      </c>
      <c r="BA14" s="30">
        <v>1</v>
      </c>
      <c r="BB14" s="30">
        <v>1</v>
      </c>
      <c r="BC14" s="30">
        <v>1</v>
      </c>
      <c r="BD14" s="30">
        <v>1</v>
      </c>
      <c r="BE14" s="30">
        <v>1</v>
      </c>
      <c r="BF14" s="30">
        <v>1</v>
      </c>
      <c r="BG14" s="30">
        <v>1</v>
      </c>
      <c r="BH14" s="30">
        <v>1</v>
      </c>
      <c r="BI14" s="30">
        <v>1</v>
      </c>
      <c r="BJ14" s="30">
        <v>1</v>
      </c>
      <c r="BK14" s="30">
        <v>1</v>
      </c>
      <c r="BL14" s="30">
        <v>1</v>
      </c>
      <c r="BM14" s="30">
        <v>1</v>
      </c>
      <c r="BN14" s="30">
        <v>1</v>
      </c>
      <c r="BO14" s="30">
        <v>1</v>
      </c>
      <c r="BP14" s="30">
        <v>1</v>
      </c>
      <c r="BQ14" s="30">
        <v>1</v>
      </c>
      <c r="BR14" s="30">
        <v>1</v>
      </c>
      <c r="BS14" s="30">
        <v>1</v>
      </c>
      <c r="BT14" s="30">
        <v>1</v>
      </c>
      <c r="BU14" s="30">
        <v>1</v>
      </c>
      <c r="BV14" s="30">
        <v>1</v>
      </c>
      <c r="BW14" s="30">
        <v>1</v>
      </c>
      <c r="BX14" s="30">
        <v>1</v>
      </c>
      <c r="BY14" s="30">
        <v>1</v>
      </c>
      <c r="BZ14" s="30">
        <v>1</v>
      </c>
      <c r="CA14" s="30">
        <v>1</v>
      </c>
      <c r="CB14" s="30">
        <v>1</v>
      </c>
      <c r="CC14" s="30">
        <v>1</v>
      </c>
      <c r="CD14" s="30">
        <v>1</v>
      </c>
      <c r="CE14" s="30">
        <v>1</v>
      </c>
      <c r="CF14" s="30">
        <v>1</v>
      </c>
      <c r="CG14" s="30">
        <v>1</v>
      </c>
      <c r="CH14" s="30">
        <v>1</v>
      </c>
      <c r="CI14" s="30">
        <v>1</v>
      </c>
      <c r="CJ14" s="30">
        <v>1</v>
      </c>
      <c r="CK14" s="31">
        <v>1</v>
      </c>
    </row>
    <row r="15" spans="2:89" ht="3" customHeight="1">
      <c r="B15" s="14"/>
      <c r="C15" s="14"/>
      <c r="D15" s="14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5"/>
      <c r="G17" s="15"/>
      <c r="H17" s="15"/>
      <c r="I17" s="15"/>
      <c r="J17" s="15"/>
      <c r="K17" s="1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>
      <c r="B18" s="32" t="str">
        <f t="array" ref="B18:B29">Время!B18:B29</f>
        <v>Название периода</v>
      </c>
      <c r="C18" s="33"/>
      <c r="D18" s="33"/>
      <c r="E18" s="34"/>
      <c r="F18" s="35">
        <f t="array" ref="F18:CK29">Время!F18:CK29</f>
        <v>45046</v>
      </c>
      <c r="G18" s="36">
        <v>45077</v>
      </c>
      <c r="H18" s="36">
        <v>45107</v>
      </c>
      <c r="I18" s="36">
        <v>45138</v>
      </c>
      <c r="J18" s="36">
        <v>45169</v>
      </c>
      <c r="K18" s="36">
        <v>45199</v>
      </c>
      <c r="L18" s="36">
        <v>45230</v>
      </c>
      <c r="M18" s="36">
        <v>45260</v>
      </c>
      <c r="N18" s="36">
        <v>45291</v>
      </c>
      <c r="O18" s="36">
        <v>45322</v>
      </c>
      <c r="P18" s="36">
        <v>45351</v>
      </c>
      <c r="Q18" s="36">
        <v>45382</v>
      </c>
      <c r="R18" s="36">
        <v>45412</v>
      </c>
      <c r="S18" s="36">
        <v>45443</v>
      </c>
      <c r="T18" s="36">
        <v>45473</v>
      </c>
      <c r="U18" s="36">
        <v>45504</v>
      </c>
      <c r="V18" s="36">
        <v>45535</v>
      </c>
      <c r="W18" s="36">
        <v>45565</v>
      </c>
      <c r="X18" s="36">
        <v>45596</v>
      </c>
      <c r="Y18" s="36">
        <v>45626</v>
      </c>
      <c r="Z18" s="36">
        <v>45657</v>
      </c>
      <c r="AA18" s="36">
        <v>45688</v>
      </c>
      <c r="AB18" s="36">
        <v>45716</v>
      </c>
      <c r="AC18" s="36">
        <v>45747</v>
      </c>
      <c r="AD18" s="36">
        <v>45777</v>
      </c>
      <c r="AE18" s="36">
        <v>45808</v>
      </c>
      <c r="AF18" s="36">
        <v>45838</v>
      </c>
      <c r="AG18" s="36">
        <v>45869</v>
      </c>
      <c r="AH18" s="36">
        <v>45900</v>
      </c>
      <c r="AI18" s="36">
        <v>45930</v>
      </c>
      <c r="AJ18" s="36">
        <v>45961</v>
      </c>
      <c r="AK18" s="36">
        <v>45991</v>
      </c>
      <c r="AL18" s="36">
        <v>46022</v>
      </c>
      <c r="AM18" s="36">
        <v>46053</v>
      </c>
      <c r="AN18" s="36">
        <v>46081</v>
      </c>
      <c r="AO18" s="36">
        <v>46112</v>
      </c>
      <c r="AP18" s="36">
        <v>46142</v>
      </c>
      <c r="AQ18" s="36">
        <v>46173</v>
      </c>
      <c r="AR18" s="36">
        <v>46203</v>
      </c>
      <c r="AS18" s="36">
        <v>46234</v>
      </c>
      <c r="AT18" s="36">
        <v>46265</v>
      </c>
      <c r="AU18" s="36">
        <v>46295</v>
      </c>
      <c r="AV18" s="36">
        <v>46326</v>
      </c>
      <c r="AW18" s="36">
        <v>46356</v>
      </c>
      <c r="AX18" s="36">
        <v>46387</v>
      </c>
      <c r="AY18" s="36">
        <v>46418</v>
      </c>
      <c r="AZ18" s="36">
        <v>46446</v>
      </c>
      <c r="BA18" s="36">
        <v>46477</v>
      </c>
      <c r="BB18" s="36">
        <v>46507</v>
      </c>
      <c r="BC18" s="36">
        <v>46538</v>
      </c>
      <c r="BD18" s="36">
        <v>46568</v>
      </c>
      <c r="BE18" s="36">
        <v>46599</v>
      </c>
      <c r="BF18" s="36">
        <v>46630</v>
      </c>
      <c r="BG18" s="36">
        <v>46660</v>
      </c>
      <c r="BH18" s="36">
        <v>46691</v>
      </c>
      <c r="BI18" s="36">
        <v>46721</v>
      </c>
      <c r="BJ18" s="36">
        <v>46752</v>
      </c>
      <c r="BK18" s="36">
        <v>46783</v>
      </c>
      <c r="BL18" s="36">
        <v>46812</v>
      </c>
      <c r="BM18" s="36">
        <v>46843</v>
      </c>
      <c r="BN18" s="36">
        <v>46873</v>
      </c>
      <c r="BO18" s="36">
        <v>46904</v>
      </c>
      <c r="BP18" s="36">
        <v>46934</v>
      </c>
      <c r="BQ18" s="36">
        <v>46965</v>
      </c>
      <c r="BR18" s="36">
        <v>46996</v>
      </c>
      <c r="BS18" s="36">
        <v>47026</v>
      </c>
      <c r="BT18" s="36">
        <v>47057</v>
      </c>
      <c r="BU18" s="36">
        <v>47087</v>
      </c>
      <c r="BV18" s="36">
        <v>47118</v>
      </c>
      <c r="BW18" s="36">
        <v>47149</v>
      </c>
      <c r="BX18" s="36">
        <v>47177</v>
      </c>
      <c r="BY18" s="36">
        <v>47208</v>
      </c>
      <c r="BZ18" s="36">
        <v>47238</v>
      </c>
      <c r="CA18" s="36">
        <v>47269</v>
      </c>
      <c r="CB18" s="36">
        <v>47299</v>
      </c>
      <c r="CC18" s="36">
        <v>47330</v>
      </c>
      <c r="CD18" s="36">
        <v>47361</v>
      </c>
      <c r="CE18" s="36">
        <v>47391</v>
      </c>
      <c r="CF18" s="36">
        <v>47422</v>
      </c>
      <c r="CG18" s="36">
        <v>47452</v>
      </c>
      <c r="CH18" s="36">
        <v>47483</v>
      </c>
      <c r="CI18" s="36">
        <v>47514</v>
      </c>
      <c r="CJ18" s="36">
        <v>47542</v>
      </c>
      <c r="CK18" s="36">
        <v>47573</v>
      </c>
    </row>
    <row r="19" spans="2:89">
      <c r="B19" s="37" t="str">
        <v>Календарный год</v>
      </c>
      <c r="C19" s="33"/>
      <c r="D19" s="33"/>
      <c r="E19" s="34"/>
      <c r="F19" s="38">
        <v>2023</v>
      </c>
      <c r="G19" s="38">
        <v>2023</v>
      </c>
      <c r="H19" s="38">
        <v>2023</v>
      </c>
      <c r="I19" s="38">
        <v>2023</v>
      </c>
      <c r="J19" s="38">
        <v>2023</v>
      </c>
      <c r="K19" s="38">
        <v>2023</v>
      </c>
      <c r="L19" s="38">
        <v>2023</v>
      </c>
      <c r="M19" s="38">
        <v>2023</v>
      </c>
      <c r="N19" s="38">
        <v>2023</v>
      </c>
      <c r="O19" s="38">
        <v>2024</v>
      </c>
      <c r="P19" s="38">
        <v>2024</v>
      </c>
      <c r="Q19" s="38">
        <v>2024</v>
      </c>
      <c r="R19" s="38">
        <v>2024</v>
      </c>
      <c r="S19" s="38">
        <v>2024</v>
      </c>
      <c r="T19" s="38">
        <v>2024</v>
      </c>
      <c r="U19" s="38">
        <v>2024</v>
      </c>
      <c r="V19" s="38">
        <v>2024</v>
      </c>
      <c r="W19" s="38">
        <v>2024</v>
      </c>
      <c r="X19" s="38">
        <v>2024</v>
      </c>
      <c r="Y19" s="38">
        <v>2024</v>
      </c>
      <c r="Z19" s="38">
        <v>2024</v>
      </c>
      <c r="AA19" s="38">
        <v>2025</v>
      </c>
      <c r="AB19" s="38">
        <v>2025</v>
      </c>
      <c r="AC19" s="38">
        <v>2025</v>
      </c>
      <c r="AD19" s="38">
        <v>2025</v>
      </c>
      <c r="AE19" s="38">
        <v>2025</v>
      </c>
      <c r="AF19" s="38">
        <v>2025</v>
      </c>
      <c r="AG19" s="38">
        <v>2025</v>
      </c>
      <c r="AH19" s="38">
        <v>2025</v>
      </c>
      <c r="AI19" s="38">
        <v>2025</v>
      </c>
      <c r="AJ19" s="38">
        <v>2025</v>
      </c>
      <c r="AK19" s="38">
        <v>2025</v>
      </c>
      <c r="AL19" s="38">
        <v>2025</v>
      </c>
      <c r="AM19" s="38">
        <v>2026</v>
      </c>
      <c r="AN19" s="38">
        <v>2026</v>
      </c>
      <c r="AO19" s="38">
        <v>2026</v>
      </c>
      <c r="AP19" s="38">
        <v>2026</v>
      </c>
      <c r="AQ19" s="38">
        <v>2026</v>
      </c>
      <c r="AR19" s="38">
        <v>2026</v>
      </c>
      <c r="AS19" s="38">
        <v>2026</v>
      </c>
      <c r="AT19" s="38">
        <v>2026</v>
      </c>
      <c r="AU19" s="38">
        <v>2026</v>
      </c>
      <c r="AV19" s="38">
        <v>2026</v>
      </c>
      <c r="AW19" s="38">
        <v>2026</v>
      </c>
      <c r="AX19" s="38">
        <v>2026</v>
      </c>
      <c r="AY19" s="38">
        <v>2027</v>
      </c>
      <c r="AZ19" s="38">
        <v>2027</v>
      </c>
      <c r="BA19" s="38">
        <v>2027</v>
      </c>
      <c r="BB19" s="38">
        <v>2027</v>
      </c>
      <c r="BC19" s="38">
        <v>2027</v>
      </c>
      <c r="BD19" s="38">
        <v>2027</v>
      </c>
      <c r="BE19" s="38">
        <v>2027</v>
      </c>
      <c r="BF19" s="38">
        <v>2027</v>
      </c>
      <c r="BG19" s="38">
        <v>2027</v>
      </c>
      <c r="BH19" s="38">
        <v>2027</v>
      </c>
      <c r="BI19" s="38">
        <v>2027</v>
      </c>
      <c r="BJ19" s="38">
        <v>2027</v>
      </c>
      <c r="BK19" s="38">
        <v>2028</v>
      </c>
      <c r="BL19" s="38">
        <v>2028</v>
      </c>
      <c r="BM19" s="38">
        <v>2028</v>
      </c>
      <c r="BN19" s="38">
        <v>2028</v>
      </c>
      <c r="BO19" s="38">
        <v>2028</v>
      </c>
      <c r="BP19" s="38">
        <v>2028</v>
      </c>
      <c r="BQ19" s="38">
        <v>2028</v>
      </c>
      <c r="BR19" s="38">
        <v>2028</v>
      </c>
      <c r="BS19" s="38">
        <v>2028</v>
      </c>
      <c r="BT19" s="38">
        <v>2028</v>
      </c>
      <c r="BU19" s="38">
        <v>2028</v>
      </c>
      <c r="BV19" s="38">
        <v>2028</v>
      </c>
      <c r="BW19" s="38">
        <v>2029</v>
      </c>
      <c r="BX19" s="38">
        <v>2029</v>
      </c>
      <c r="BY19" s="38">
        <v>2029</v>
      </c>
      <c r="BZ19" s="38">
        <v>2029</v>
      </c>
      <c r="CA19" s="38">
        <v>2029</v>
      </c>
      <c r="CB19" s="38">
        <v>2029</v>
      </c>
      <c r="CC19" s="38">
        <v>2029</v>
      </c>
      <c r="CD19" s="38">
        <v>2029</v>
      </c>
      <c r="CE19" s="38">
        <v>2029</v>
      </c>
      <c r="CF19" s="38">
        <v>2029</v>
      </c>
      <c r="CG19" s="38">
        <v>2029</v>
      </c>
      <c r="CH19" s="38">
        <v>2029</v>
      </c>
      <c r="CI19" s="38">
        <v>2030</v>
      </c>
      <c r="CJ19" s="38">
        <v>2030</v>
      </c>
      <c r="CK19" s="38">
        <v>2030</v>
      </c>
    </row>
    <row r="20" spans="2:89">
      <c r="B20" s="37" t="str">
        <v>Дней в году</v>
      </c>
      <c r="C20" s="33"/>
      <c r="D20" s="33"/>
      <c r="E20" s="34"/>
      <c r="F20" s="38">
        <v>365</v>
      </c>
      <c r="G20" s="38">
        <v>365</v>
      </c>
      <c r="H20" s="38">
        <v>365</v>
      </c>
      <c r="I20" s="38">
        <v>365</v>
      </c>
      <c r="J20" s="38">
        <v>365</v>
      </c>
      <c r="K20" s="38">
        <v>365</v>
      </c>
      <c r="L20" s="38">
        <v>365</v>
      </c>
      <c r="M20" s="38">
        <v>365</v>
      </c>
      <c r="N20" s="38">
        <v>365</v>
      </c>
      <c r="O20" s="38">
        <v>366</v>
      </c>
      <c r="P20" s="38">
        <v>366</v>
      </c>
      <c r="Q20" s="38">
        <v>366</v>
      </c>
      <c r="R20" s="38">
        <v>366</v>
      </c>
      <c r="S20" s="38">
        <v>366</v>
      </c>
      <c r="T20" s="38">
        <v>366</v>
      </c>
      <c r="U20" s="38">
        <v>366</v>
      </c>
      <c r="V20" s="38">
        <v>366</v>
      </c>
      <c r="W20" s="38">
        <v>366</v>
      </c>
      <c r="X20" s="38">
        <v>366</v>
      </c>
      <c r="Y20" s="38">
        <v>366</v>
      </c>
      <c r="Z20" s="38">
        <v>366</v>
      </c>
      <c r="AA20" s="38">
        <v>365</v>
      </c>
      <c r="AB20" s="38">
        <v>365</v>
      </c>
      <c r="AC20" s="38">
        <v>365</v>
      </c>
      <c r="AD20" s="38">
        <v>365</v>
      </c>
      <c r="AE20" s="38">
        <v>365</v>
      </c>
      <c r="AF20" s="38">
        <v>365</v>
      </c>
      <c r="AG20" s="38">
        <v>365</v>
      </c>
      <c r="AH20" s="38">
        <v>365</v>
      </c>
      <c r="AI20" s="38">
        <v>365</v>
      </c>
      <c r="AJ20" s="38">
        <v>365</v>
      </c>
      <c r="AK20" s="38">
        <v>365</v>
      </c>
      <c r="AL20" s="38">
        <v>365</v>
      </c>
      <c r="AM20" s="38">
        <v>365</v>
      </c>
      <c r="AN20" s="38">
        <v>365</v>
      </c>
      <c r="AO20" s="38">
        <v>365</v>
      </c>
      <c r="AP20" s="38">
        <v>365</v>
      </c>
      <c r="AQ20" s="38">
        <v>365</v>
      </c>
      <c r="AR20" s="38">
        <v>365</v>
      </c>
      <c r="AS20" s="38">
        <v>365</v>
      </c>
      <c r="AT20" s="38">
        <v>365</v>
      </c>
      <c r="AU20" s="38">
        <v>365</v>
      </c>
      <c r="AV20" s="38">
        <v>365</v>
      </c>
      <c r="AW20" s="38">
        <v>365</v>
      </c>
      <c r="AX20" s="38">
        <v>365</v>
      </c>
      <c r="AY20" s="38">
        <v>365</v>
      </c>
      <c r="AZ20" s="38">
        <v>365</v>
      </c>
      <c r="BA20" s="38">
        <v>365</v>
      </c>
      <c r="BB20" s="38">
        <v>365</v>
      </c>
      <c r="BC20" s="38">
        <v>365</v>
      </c>
      <c r="BD20" s="38">
        <v>365</v>
      </c>
      <c r="BE20" s="38">
        <v>365</v>
      </c>
      <c r="BF20" s="38">
        <v>365</v>
      </c>
      <c r="BG20" s="38">
        <v>365</v>
      </c>
      <c r="BH20" s="38">
        <v>365</v>
      </c>
      <c r="BI20" s="38">
        <v>365</v>
      </c>
      <c r="BJ20" s="38">
        <v>365</v>
      </c>
      <c r="BK20" s="38">
        <v>366</v>
      </c>
      <c r="BL20" s="38">
        <v>366</v>
      </c>
      <c r="BM20" s="38">
        <v>366</v>
      </c>
      <c r="BN20" s="38">
        <v>366</v>
      </c>
      <c r="BO20" s="38">
        <v>366</v>
      </c>
      <c r="BP20" s="38">
        <v>366</v>
      </c>
      <c r="BQ20" s="38">
        <v>366</v>
      </c>
      <c r="BR20" s="38">
        <v>366</v>
      </c>
      <c r="BS20" s="38">
        <v>366</v>
      </c>
      <c r="BT20" s="38">
        <v>366</v>
      </c>
      <c r="BU20" s="38">
        <v>366</v>
      </c>
      <c r="BV20" s="38">
        <v>366</v>
      </c>
      <c r="BW20" s="38">
        <v>365</v>
      </c>
      <c r="BX20" s="38">
        <v>365</v>
      </c>
      <c r="BY20" s="38">
        <v>365</v>
      </c>
      <c r="BZ20" s="38">
        <v>365</v>
      </c>
      <c r="CA20" s="38">
        <v>365</v>
      </c>
      <c r="CB20" s="38">
        <v>365</v>
      </c>
      <c r="CC20" s="38">
        <v>365</v>
      </c>
      <c r="CD20" s="38">
        <v>365</v>
      </c>
      <c r="CE20" s="38">
        <v>365</v>
      </c>
      <c r="CF20" s="38">
        <v>365</v>
      </c>
      <c r="CG20" s="38">
        <v>365</v>
      </c>
      <c r="CH20" s="38">
        <v>365</v>
      </c>
      <c r="CI20" s="38">
        <v>365</v>
      </c>
      <c r="CJ20" s="38">
        <v>365</v>
      </c>
      <c r="CK20" s="38">
        <v>365</v>
      </c>
    </row>
    <row r="21" spans="2:89">
      <c r="B21" s="37" t="str">
        <v>№ месяца</v>
      </c>
      <c r="C21" s="33"/>
      <c r="D21" s="33"/>
      <c r="E21" s="34"/>
      <c r="F21" s="38">
        <v>4</v>
      </c>
      <c r="G21" s="38">
        <v>5</v>
      </c>
      <c r="H21" s="38">
        <v>6</v>
      </c>
      <c r="I21" s="38">
        <v>7</v>
      </c>
      <c r="J21" s="38">
        <v>8</v>
      </c>
      <c r="K21" s="38">
        <v>9</v>
      </c>
      <c r="L21" s="38">
        <v>10</v>
      </c>
      <c r="M21" s="38">
        <v>11</v>
      </c>
      <c r="N21" s="38">
        <v>12</v>
      </c>
      <c r="O21" s="38">
        <v>1</v>
      </c>
      <c r="P21" s="38">
        <v>2</v>
      </c>
      <c r="Q21" s="38">
        <v>3</v>
      </c>
      <c r="R21" s="38">
        <v>4</v>
      </c>
      <c r="S21" s="38">
        <v>5</v>
      </c>
      <c r="T21" s="38">
        <v>6</v>
      </c>
      <c r="U21" s="38">
        <v>7</v>
      </c>
      <c r="V21" s="38">
        <v>8</v>
      </c>
      <c r="W21" s="38">
        <v>9</v>
      </c>
      <c r="X21" s="38">
        <v>10</v>
      </c>
      <c r="Y21" s="38">
        <v>11</v>
      </c>
      <c r="Z21" s="38">
        <v>12</v>
      </c>
      <c r="AA21" s="38">
        <v>1</v>
      </c>
      <c r="AB21" s="38">
        <v>2</v>
      </c>
      <c r="AC21" s="38">
        <v>3</v>
      </c>
      <c r="AD21" s="38">
        <v>4</v>
      </c>
      <c r="AE21" s="38">
        <v>5</v>
      </c>
      <c r="AF21" s="38">
        <v>6</v>
      </c>
      <c r="AG21" s="38">
        <v>7</v>
      </c>
      <c r="AH21" s="38">
        <v>8</v>
      </c>
      <c r="AI21" s="38">
        <v>9</v>
      </c>
      <c r="AJ21" s="38">
        <v>10</v>
      </c>
      <c r="AK21" s="38">
        <v>11</v>
      </c>
      <c r="AL21" s="38">
        <v>12</v>
      </c>
      <c r="AM21" s="38">
        <v>1</v>
      </c>
      <c r="AN21" s="38">
        <v>2</v>
      </c>
      <c r="AO21" s="38">
        <v>3</v>
      </c>
      <c r="AP21" s="38">
        <v>4</v>
      </c>
      <c r="AQ21" s="38">
        <v>5</v>
      </c>
      <c r="AR21" s="38">
        <v>6</v>
      </c>
      <c r="AS21" s="38">
        <v>7</v>
      </c>
      <c r="AT21" s="38">
        <v>8</v>
      </c>
      <c r="AU21" s="38">
        <v>9</v>
      </c>
      <c r="AV21" s="38">
        <v>10</v>
      </c>
      <c r="AW21" s="38">
        <v>11</v>
      </c>
      <c r="AX21" s="38">
        <v>12</v>
      </c>
      <c r="AY21" s="38">
        <v>1</v>
      </c>
      <c r="AZ21" s="38">
        <v>2</v>
      </c>
      <c r="BA21" s="38">
        <v>3</v>
      </c>
      <c r="BB21" s="38">
        <v>4</v>
      </c>
      <c r="BC21" s="38">
        <v>5</v>
      </c>
      <c r="BD21" s="38">
        <v>6</v>
      </c>
      <c r="BE21" s="38">
        <v>7</v>
      </c>
      <c r="BF21" s="38">
        <v>8</v>
      </c>
      <c r="BG21" s="38">
        <v>9</v>
      </c>
      <c r="BH21" s="38">
        <v>10</v>
      </c>
      <c r="BI21" s="38">
        <v>11</v>
      </c>
      <c r="BJ21" s="38">
        <v>12</v>
      </c>
      <c r="BK21" s="38">
        <v>1</v>
      </c>
      <c r="BL21" s="38">
        <v>2</v>
      </c>
      <c r="BM21" s="38">
        <v>3</v>
      </c>
      <c r="BN21" s="38">
        <v>4</v>
      </c>
      <c r="BO21" s="38">
        <v>5</v>
      </c>
      <c r="BP21" s="38">
        <v>6</v>
      </c>
      <c r="BQ21" s="38">
        <v>7</v>
      </c>
      <c r="BR21" s="38">
        <v>8</v>
      </c>
      <c r="BS21" s="38">
        <v>9</v>
      </c>
      <c r="BT21" s="38">
        <v>10</v>
      </c>
      <c r="BU21" s="38">
        <v>11</v>
      </c>
      <c r="BV21" s="38">
        <v>12</v>
      </c>
      <c r="BW21" s="38">
        <v>1</v>
      </c>
      <c r="BX21" s="38">
        <v>2</v>
      </c>
      <c r="BY21" s="38">
        <v>3</v>
      </c>
      <c r="BZ21" s="38">
        <v>4</v>
      </c>
      <c r="CA21" s="38">
        <v>5</v>
      </c>
      <c r="CB21" s="38">
        <v>6</v>
      </c>
      <c r="CC21" s="38">
        <v>7</v>
      </c>
      <c r="CD21" s="38">
        <v>8</v>
      </c>
      <c r="CE21" s="38">
        <v>9</v>
      </c>
      <c r="CF21" s="38">
        <v>10</v>
      </c>
      <c r="CG21" s="38">
        <v>11</v>
      </c>
      <c r="CH21" s="38">
        <v>12</v>
      </c>
      <c r="CI21" s="38">
        <v>1</v>
      </c>
      <c r="CJ21" s="38">
        <v>2</v>
      </c>
      <c r="CK21" s="38">
        <v>3</v>
      </c>
    </row>
    <row r="22" spans="2:89">
      <c r="B22" s="37" t="str">
        <v>Календарное полугодие</v>
      </c>
      <c r="C22" s="33"/>
      <c r="D22" s="33"/>
      <c r="E22" s="34"/>
      <c r="F22" s="38">
        <v>1</v>
      </c>
      <c r="G22" s="38">
        <v>1</v>
      </c>
      <c r="H22" s="38">
        <v>1</v>
      </c>
      <c r="I22" s="38">
        <v>2</v>
      </c>
      <c r="J22" s="38">
        <v>2</v>
      </c>
      <c r="K22" s="38">
        <v>2</v>
      </c>
      <c r="L22" s="38">
        <v>2</v>
      </c>
      <c r="M22" s="38">
        <v>2</v>
      </c>
      <c r="N22" s="38">
        <v>2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2</v>
      </c>
      <c r="V22" s="38">
        <v>2</v>
      </c>
      <c r="W22" s="38">
        <v>2</v>
      </c>
      <c r="X22" s="38">
        <v>2</v>
      </c>
      <c r="Y22" s="38">
        <v>2</v>
      </c>
      <c r="Z22" s="38">
        <v>2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2</v>
      </c>
      <c r="AH22" s="38">
        <v>2</v>
      </c>
      <c r="AI22" s="38">
        <v>2</v>
      </c>
      <c r="AJ22" s="38">
        <v>2</v>
      </c>
      <c r="AK22" s="38">
        <v>2</v>
      </c>
      <c r="AL22" s="38">
        <v>2</v>
      </c>
      <c r="AM22" s="38">
        <v>1</v>
      </c>
      <c r="AN22" s="38">
        <v>1</v>
      </c>
      <c r="AO22" s="38">
        <v>1</v>
      </c>
      <c r="AP22" s="38">
        <v>1</v>
      </c>
      <c r="AQ22" s="38">
        <v>1</v>
      </c>
      <c r="AR22" s="38">
        <v>1</v>
      </c>
      <c r="AS22" s="38">
        <v>2</v>
      </c>
      <c r="AT22" s="38">
        <v>2</v>
      </c>
      <c r="AU22" s="38">
        <v>2</v>
      </c>
      <c r="AV22" s="38">
        <v>2</v>
      </c>
      <c r="AW22" s="38">
        <v>2</v>
      </c>
      <c r="AX22" s="38">
        <v>2</v>
      </c>
      <c r="AY22" s="38">
        <v>1</v>
      </c>
      <c r="AZ22" s="38">
        <v>1</v>
      </c>
      <c r="BA22" s="38">
        <v>1</v>
      </c>
      <c r="BB22" s="38">
        <v>1</v>
      </c>
      <c r="BC22" s="38">
        <v>1</v>
      </c>
      <c r="BD22" s="38">
        <v>1</v>
      </c>
      <c r="BE22" s="38">
        <v>2</v>
      </c>
      <c r="BF22" s="38">
        <v>2</v>
      </c>
      <c r="BG22" s="38">
        <v>2</v>
      </c>
      <c r="BH22" s="38">
        <v>2</v>
      </c>
      <c r="BI22" s="38">
        <v>2</v>
      </c>
      <c r="BJ22" s="38">
        <v>2</v>
      </c>
      <c r="BK22" s="38">
        <v>1</v>
      </c>
      <c r="BL22" s="38">
        <v>1</v>
      </c>
      <c r="BM22" s="38">
        <v>1</v>
      </c>
      <c r="BN22" s="38">
        <v>1</v>
      </c>
      <c r="BO22" s="38">
        <v>1</v>
      </c>
      <c r="BP22" s="38">
        <v>1</v>
      </c>
      <c r="BQ22" s="38">
        <v>2</v>
      </c>
      <c r="BR22" s="38">
        <v>2</v>
      </c>
      <c r="BS22" s="38">
        <v>2</v>
      </c>
      <c r="BT22" s="38">
        <v>2</v>
      </c>
      <c r="BU22" s="38">
        <v>2</v>
      </c>
      <c r="BV22" s="38">
        <v>2</v>
      </c>
      <c r="BW22" s="38">
        <v>1</v>
      </c>
      <c r="BX22" s="38">
        <v>1</v>
      </c>
      <c r="BY22" s="38">
        <v>1</v>
      </c>
      <c r="BZ22" s="38">
        <v>1</v>
      </c>
      <c r="CA22" s="38">
        <v>1</v>
      </c>
      <c r="CB22" s="38">
        <v>1</v>
      </c>
      <c r="CC22" s="38">
        <v>2</v>
      </c>
      <c r="CD22" s="38">
        <v>2</v>
      </c>
      <c r="CE22" s="38">
        <v>2</v>
      </c>
      <c r="CF22" s="38">
        <v>2</v>
      </c>
      <c r="CG22" s="38">
        <v>2</v>
      </c>
      <c r="CH22" s="38">
        <v>2</v>
      </c>
      <c r="CI22" s="38">
        <v>1</v>
      </c>
      <c r="CJ22" s="38">
        <v>1</v>
      </c>
      <c r="CK22" s="38">
        <v>1</v>
      </c>
    </row>
    <row r="23" spans="2:89">
      <c r="B23" s="37" t="str">
        <v>Месяц с начала полугодия</v>
      </c>
      <c r="C23" s="33"/>
      <c r="D23" s="33"/>
      <c r="E23" s="34"/>
      <c r="F23" s="38">
        <v>4</v>
      </c>
      <c r="G23" s="38">
        <v>5</v>
      </c>
      <c r="H23" s="38">
        <v>6</v>
      </c>
      <c r="I23" s="38">
        <v>1</v>
      </c>
      <c r="J23" s="38">
        <v>2</v>
      </c>
      <c r="K23" s="38">
        <v>3</v>
      </c>
      <c r="L23" s="38">
        <v>4</v>
      </c>
      <c r="M23" s="38">
        <v>5</v>
      </c>
      <c r="N23" s="38">
        <v>6</v>
      </c>
      <c r="O23" s="38">
        <v>1</v>
      </c>
      <c r="P23" s="38">
        <v>2</v>
      </c>
      <c r="Q23" s="38">
        <v>3</v>
      </c>
      <c r="R23" s="38">
        <v>4</v>
      </c>
      <c r="S23" s="38">
        <v>5</v>
      </c>
      <c r="T23" s="38">
        <v>6</v>
      </c>
      <c r="U23" s="38">
        <v>1</v>
      </c>
      <c r="V23" s="38">
        <v>2</v>
      </c>
      <c r="W23" s="38">
        <v>3</v>
      </c>
      <c r="X23" s="38">
        <v>4</v>
      </c>
      <c r="Y23" s="38">
        <v>5</v>
      </c>
      <c r="Z23" s="38">
        <v>6</v>
      </c>
      <c r="AA23" s="38">
        <v>1</v>
      </c>
      <c r="AB23" s="38">
        <v>2</v>
      </c>
      <c r="AC23" s="38">
        <v>3</v>
      </c>
      <c r="AD23" s="38">
        <v>4</v>
      </c>
      <c r="AE23" s="38">
        <v>5</v>
      </c>
      <c r="AF23" s="38">
        <v>6</v>
      </c>
      <c r="AG23" s="38">
        <v>1</v>
      </c>
      <c r="AH23" s="38">
        <v>2</v>
      </c>
      <c r="AI23" s="38">
        <v>3</v>
      </c>
      <c r="AJ23" s="38">
        <v>4</v>
      </c>
      <c r="AK23" s="38">
        <v>5</v>
      </c>
      <c r="AL23" s="38">
        <v>6</v>
      </c>
      <c r="AM23" s="38">
        <v>1</v>
      </c>
      <c r="AN23" s="38">
        <v>2</v>
      </c>
      <c r="AO23" s="38">
        <v>3</v>
      </c>
      <c r="AP23" s="38">
        <v>4</v>
      </c>
      <c r="AQ23" s="38">
        <v>5</v>
      </c>
      <c r="AR23" s="38">
        <v>6</v>
      </c>
      <c r="AS23" s="38">
        <v>1</v>
      </c>
      <c r="AT23" s="38">
        <v>2</v>
      </c>
      <c r="AU23" s="38">
        <v>3</v>
      </c>
      <c r="AV23" s="38">
        <v>4</v>
      </c>
      <c r="AW23" s="38">
        <v>5</v>
      </c>
      <c r="AX23" s="38">
        <v>6</v>
      </c>
      <c r="AY23" s="38">
        <v>1</v>
      </c>
      <c r="AZ23" s="38">
        <v>2</v>
      </c>
      <c r="BA23" s="38">
        <v>3</v>
      </c>
      <c r="BB23" s="38">
        <v>4</v>
      </c>
      <c r="BC23" s="38">
        <v>5</v>
      </c>
      <c r="BD23" s="38">
        <v>6</v>
      </c>
      <c r="BE23" s="38">
        <v>1</v>
      </c>
      <c r="BF23" s="38">
        <v>2</v>
      </c>
      <c r="BG23" s="38">
        <v>3</v>
      </c>
      <c r="BH23" s="38">
        <v>4</v>
      </c>
      <c r="BI23" s="38">
        <v>5</v>
      </c>
      <c r="BJ23" s="38">
        <v>6</v>
      </c>
      <c r="BK23" s="38">
        <v>1</v>
      </c>
      <c r="BL23" s="38">
        <v>2</v>
      </c>
      <c r="BM23" s="38">
        <v>3</v>
      </c>
      <c r="BN23" s="38">
        <v>4</v>
      </c>
      <c r="BO23" s="38">
        <v>5</v>
      </c>
      <c r="BP23" s="38">
        <v>6</v>
      </c>
      <c r="BQ23" s="38">
        <v>1</v>
      </c>
      <c r="BR23" s="38">
        <v>2</v>
      </c>
      <c r="BS23" s="38">
        <v>3</v>
      </c>
      <c r="BT23" s="38">
        <v>4</v>
      </c>
      <c r="BU23" s="38">
        <v>5</v>
      </c>
      <c r="BV23" s="38">
        <v>6</v>
      </c>
      <c r="BW23" s="38">
        <v>1</v>
      </c>
      <c r="BX23" s="38">
        <v>2</v>
      </c>
      <c r="BY23" s="38">
        <v>3</v>
      </c>
      <c r="BZ23" s="38">
        <v>4</v>
      </c>
      <c r="CA23" s="38">
        <v>5</v>
      </c>
      <c r="CB23" s="38">
        <v>6</v>
      </c>
      <c r="CC23" s="38">
        <v>1</v>
      </c>
      <c r="CD23" s="38">
        <v>2</v>
      </c>
      <c r="CE23" s="38">
        <v>3</v>
      </c>
      <c r="CF23" s="38">
        <v>4</v>
      </c>
      <c r="CG23" s="38">
        <v>5</v>
      </c>
      <c r="CH23" s="38">
        <v>6</v>
      </c>
      <c r="CI23" s="38">
        <v>1</v>
      </c>
      <c r="CJ23" s="38">
        <v>2</v>
      </c>
      <c r="CK23" s="38">
        <v>3</v>
      </c>
    </row>
    <row r="24" spans="2:89">
      <c r="B24" s="37" t="str">
        <v>Календарный квартал</v>
      </c>
      <c r="C24" s="33"/>
      <c r="D24" s="33"/>
      <c r="E24" s="34"/>
      <c r="F24" s="38">
        <v>2</v>
      </c>
      <c r="G24" s="38">
        <v>2</v>
      </c>
      <c r="H24" s="38">
        <v>2</v>
      </c>
      <c r="I24" s="38">
        <v>3</v>
      </c>
      <c r="J24" s="38">
        <v>3</v>
      </c>
      <c r="K24" s="38">
        <v>3</v>
      </c>
      <c r="L24" s="38">
        <v>4</v>
      </c>
      <c r="M24" s="38">
        <v>4</v>
      </c>
      <c r="N24" s="38">
        <v>4</v>
      </c>
      <c r="O24" s="38">
        <v>1</v>
      </c>
      <c r="P24" s="38">
        <v>1</v>
      </c>
      <c r="Q24" s="38">
        <v>1</v>
      </c>
      <c r="R24" s="38">
        <v>2</v>
      </c>
      <c r="S24" s="38">
        <v>2</v>
      </c>
      <c r="T24" s="38">
        <v>2</v>
      </c>
      <c r="U24" s="38">
        <v>3</v>
      </c>
      <c r="V24" s="38">
        <v>3</v>
      </c>
      <c r="W24" s="38">
        <v>3</v>
      </c>
      <c r="X24" s="38">
        <v>4</v>
      </c>
      <c r="Y24" s="38">
        <v>4</v>
      </c>
      <c r="Z24" s="38">
        <v>4</v>
      </c>
      <c r="AA24" s="38">
        <v>1</v>
      </c>
      <c r="AB24" s="38">
        <v>1</v>
      </c>
      <c r="AC24" s="38">
        <v>1</v>
      </c>
      <c r="AD24" s="38">
        <v>2</v>
      </c>
      <c r="AE24" s="38">
        <v>2</v>
      </c>
      <c r="AF24" s="38">
        <v>2</v>
      </c>
      <c r="AG24" s="38">
        <v>3</v>
      </c>
      <c r="AH24" s="38">
        <v>3</v>
      </c>
      <c r="AI24" s="38">
        <v>3</v>
      </c>
      <c r="AJ24" s="38">
        <v>4</v>
      </c>
      <c r="AK24" s="38">
        <v>4</v>
      </c>
      <c r="AL24" s="38">
        <v>4</v>
      </c>
      <c r="AM24" s="38">
        <v>1</v>
      </c>
      <c r="AN24" s="38">
        <v>1</v>
      </c>
      <c r="AO24" s="38">
        <v>1</v>
      </c>
      <c r="AP24" s="38">
        <v>2</v>
      </c>
      <c r="AQ24" s="38">
        <v>2</v>
      </c>
      <c r="AR24" s="38">
        <v>2</v>
      </c>
      <c r="AS24" s="38">
        <v>3</v>
      </c>
      <c r="AT24" s="38">
        <v>3</v>
      </c>
      <c r="AU24" s="38">
        <v>3</v>
      </c>
      <c r="AV24" s="38">
        <v>4</v>
      </c>
      <c r="AW24" s="38">
        <v>4</v>
      </c>
      <c r="AX24" s="38">
        <v>4</v>
      </c>
      <c r="AY24" s="38">
        <v>1</v>
      </c>
      <c r="AZ24" s="38">
        <v>1</v>
      </c>
      <c r="BA24" s="38">
        <v>1</v>
      </c>
      <c r="BB24" s="38">
        <v>2</v>
      </c>
      <c r="BC24" s="38">
        <v>2</v>
      </c>
      <c r="BD24" s="38">
        <v>2</v>
      </c>
      <c r="BE24" s="38">
        <v>3</v>
      </c>
      <c r="BF24" s="38">
        <v>3</v>
      </c>
      <c r="BG24" s="38">
        <v>3</v>
      </c>
      <c r="BH24" s="38">
        <v>4</v>
      </c>
      <c r="BI24" s="38">
        <v>4</v>
      </c>
      <c r="BJ24" s="38">
        <v>4</v>
      </c>
      <c r="BK24" s="38">
        <v>1</v>
      </c>
      <c r="BL24" s="38">
        <v>1</v>
      </c>
      <c r="BM24" s="38">
        <v>1</v>
      </c>
      <c r="BN24" s="38">
        <v>2</v>
      </c>
      <c r="BO24" s="38">
        <v>2</v>
      </c>
      <c r="BP24" s="38">
        <v>2</v>
      </c>
      <c r="BQ24" s="38">
        <v>3</v>
      </c>
      <c r="BR24" s="38">
        <v>3</v>
      </c>
      <c r="BS24" s="38">
        <v>3</v>
      </c>
      <c r="BT24" s="38">
        <v>4</v>
      </c>
      <c r="BU24" s="38">
        <v>4</v>
      </c>
      <c r="BV24" s="38">
        <v>4</v>
      </c>
      <c r="BW24" s="38">
        <v>1</v>
      </c>
      <c r="BX24" s="38">
        <v>1</v>
      </c>
      <c r="BY24" s="38">
        <v>1</v>
      </c>
      <c r="BZ24" s="38">
        <v>2</v>
      </c>
      <c r="CA24" s="38">
        <v>2</v>
      </c>
      <c r="CB24" s="38">
        <v>2</v>
      </c>
      <c r="CC24" s="38">
        <v>3</v>
      </c>
      <c r="CD24" s="38">
        <v>3</v>
      </c>
      <c r="CE24" s="38">
        <v>3</v>
      </c>
      <c r="CF24" s="38">
        <v>4</v>
      </c>
      <c r="CG24" s="38">
        <v>4</v>
      </c>
      <c r="CH24" s="38">
        <v>4</v>
      </c>
      <c r="CI24" s="38">
        <v>1</v>
      </c>
      <c r="CJ24" s="38">
        <v>1</v>
      </c>
      <c r="CK24" s="38">
        <v>1</v>
      </c>
    </row>
    <row r="25" spans="2:89">
      <c r="B25" s="37" t="str">
        <v>Месяц с начала квартала</v>
      </c>
      <c r="C25" s="33"/>
      <c r="D25" s="33"/>
      <c r="E25" s="34"/>
      <c r="F25" s="38">
        <v>1</v>
      </c>
      <c r="G25" s="38">
        <v>2</v>
      </c>
      <c r="H25" s="38">
        <v>3</v>
      </c>
      <c r="I25" s="38">
        <v>1</v>
      </c>
      <c r="J25" s="38">
        <v>2</v>
      </c>
      <c r="K25" s="38">
        <v>3</v>
      </c>
      <c r="L25" s="38">
        <v>1</v>
      </c>
      <c r="M25" s="38">
        <v>2</v>
      </c>
      <c r="N25" s="38">
        <v>3</v>
      </c>
      <c r="O25" s="38">
        <v>1</v>
      </c>
      <c r="P25" s="38">
        <v>2</v>
      </c>
      <c r="Q25" s="38">
        <v>3</v>
      </c>
      <c r="R25" s="38">
        <v>1</v>
      </c>
      <c r="S25" s="38">
        <v>2</v>
      </c>
      <c r="T25" s="38">
        <v>3</v>
      </c>
      <c r="U25" s="38">
        <v>1</v>
      </c>
      <c r="V25" s="38">
        <v>2</v>
      </c>
      <c r="W25" s="38">
        <v>3</v>
      </c>
      <c r="X25" s="38">
        <v>1</v>
      </c>
      <c r="Y25" s="38">
        <v>2</v>
      </c>
      <c r="Z25" s="38">
        <v>3</v>
      </c>
      <c r="AA25" s="38">
        <v>1</v>
      </c>
      <c r="AB25" s="38">
        <v>2</v>
      </c>
      <c r="AC25" s="38">
        <v>3</v>
      </c>
      <c r="AD25" s="38">
        <v>1</v>
      </c>
      <c r="AE25" s="38">
        <v>2</v>
      </c>
      <c r="AF25" s="38">
        <v>3</v>
      </c>
      <c r="AG25" s="38">
        <v>1</v>
      </c>
      <c r="AH25" s="38">
        <v>2</v>
      </c>
      <c r="AI25" s="38">
        <v>3</v>
      </c>
      <c r="AJ25" s="38">
        <v>1</v>
      </c>
      <c r="AK25" s="38">
        <v>2</v>
      </c>
      <c r="AL25" s="38">
        <v>3</v>
      </c>
      <c r="AM25" s="38">
        <v>1</v>
      </c>
      <c r="AN25" s="38">
        <v>2</v>
      </c>
      <c r="AO25" s="38">
        <v>3</v>
      </c>
      <c r="AP25" s="38">
        <v>1</v>
      </c>
      <c r="AQ25" s="38">
        <v>2</v>
      </c>
      <c r="AR25" s="38">
        <v>3</v>
      </c>
      <c r="AS25" s="38">
        <v>1</v>
      </c>
      <c r="AT25" s="38">
        <v>2</v>
      </c>
      <c r="AU25" s="38">
        <v>3</v>
      </c>
      <c r="AV25" s="38">
        <v>1</v>
      </c>
      <c r="AW25" s="38">
        <v>2</v>
      </c>
      <c r="AX25" s="38">
        <v>3</v>
      </c>
      <c r="AY25" s="38">
        <v>1</v>
      </c>
      <c r="AZ25" s="38">
        <v>2</v>
      </c>
      <c r="BA25" s="38">
        <v>3</v>
      </c>
      <c r="BB25" s="38">
        <v>1</v>
      </c>
      <c r="BC25" s="38">
        <v>2</v>
      </c>
      <c r="BD25" s="38">
        <v>3</v>
      </c>
      <c r="BE25" s="38">
        <v>1</v>
      </c>
      <c r="BF25" s="38">
        <v>2</v>
      </c>
      <c r="BG25" s="38">
        <v>3</v>
      </c>
      <c r="BH25" s="38">
        <v>1</v>
      </c>
      <c r="BI25" s="38">
        <v>2</v>
      </c>
      <c r="BJ25" s="38">
        <v>3</v>
      </c>
      <c r="BK25" s="38">
        <v>1</v>
      </c>
      <c r="BL25" s="38">
        <v>2</v>
      </c>
      <c r="BM25" s="38">
        <v>3</v>
      </c>
      <c r="BN25" s="38">
        <v>1</v>
      </c>
      <c r="BO25" s="38">
        <v>2</v>
      </c>
      <c r="BP25" s="38">
        <v>3</v>
      </c>
      <c r="BQ25" s="38">
        <v>1</v>
      </c>
      <c r="BR25" s="38">
        <v>2</v>
      </c>
      <c r="BS25" s="38">
        <v>3</v>
      </c>
      <c r="BT25" s="38">
        <v>1</v>
      </c>
      <c r="BU25" s="38">
        <v>2</v>
      </c>
      <c r="BV25" s="38">
        <v>3</v>
      </c>
      <c r="BW25" s="38">
        <v>1</v>
      </c>
      <c r="BX25" s="38">
        <v>2</v>
      </c>
      <c r="BY25" s="38">
        <v>3</v>
      </c>
      <c r="BZ25" s="38">
        <v>1</v>
      </c>
      <c r="CA25" s="38">
        <v>2</v>
      </c>
      <c r="CB25" s="38">
        <v>3</v>
      </c>
      <c r="CC25" s="38">
        <v>1</v>
      </c>
      <c r="CD25" s="38">
        <v>2</v>
      </c>
      <c r="CE25" s="38">
        <v>3</v>
      </c>
      <c r="CF25" s="38">
        <v>1</v>
      </c>
      <c r="CG25" s="38">
        <v>2</v>
      </c>
      <c r="CH25" s="38">
        <v>3</v>
      </c>
      <c r="CI25" s="38">
        <v>1</v>
      </c>
      <c r="CJ25" s="38">
        <v>2</v>
      </c>
      <c r="CK25" s="38">
        <v>3</v>
      </c>
    </row>
    <row r="26" spans="2:89">
      <c r="B26" s="37" t="str">
        <v>Дней в периоде</v>
      </c>
      <c r="C26" s="33"/>
      <c r="D26" s="33"/>
      <c r="E26" s="34"/>
      <c r="F26" s="38">
        <v>30</v>
      </c>
      <c r="G26" s="38">
        <v>31</v>
      </c>
      <c r="H26" s="38">
        <v>30</v>
      </c>
      <c r="I26" s="38">
        <v>31</v>
      </c>
      <c r="J26" s="38">
        <v>31</v>
      </c>
      <c r="K26" s="38">
        <v>30</v>
      </c>
      <c r="L26" s="38">
        <v>31</v>
      </c>
      <c r="M26" s="38">
        <v>30</v>
      </c>
      <c r="N26" s="38">
        <v>31</v>
      </c>
      <c r="O26" s="38">
        <v>31</v>
      </c>
      <c r="P26" s="38">
        <v>29</v>
      </c>
      <c r="Q26" s="38">
        <v>31</v>
      </c>
      <c r="R26" s="38">
        <v>30</v>
      </c>
      <c r="S26" s="38">
        <v>31</v>
      </c>
      <c r="T26" s="38">
        <v>30</v>
      </c>
      <c r="U26" s="38">
        <v>31</v>
      </c>
      <c r="V26" s="38">
        <v>31</v>
      </c>
      <c r="W26" s="38">
        <v>30</v>
      </c>
      <c r="X26" s="38">
        <v>31</v>
      </c>
      <c r="Y26" s="38">
        <v>30</v>
      </c>
      <c r="Z26" s="38">
        <v>31</v>
      </c>
      <c r="AA26" s="38">
        <v>31</v>
      </c>
      <c r="AB26" s="38">
        <v>28</v>
      </c>
      <c r="AC26" s="38">
        <v>31</v>
      </c>
      <c r="AD26" s="38">
        <v>30</v>
      </c>
      <c r="AE26" s="38">
        <v>31</v>
      </c>
      <c r="AF26" s="38">
        <v>30</v>
      </c>
      <c r="AG26" s="38">
        <v>31</v>
      </c>
      <c r="AH26" s="38">
        <v>31</v>
      </c>
      <c r="AI26" s="38">
        <v>30</v>
      </c>
      <c r="AJ26" s="38">
        <v>31</v>
      </c>
      <c r="AK26" s="38">
        <v>30</v>
      </c>
      <c r="AL26" s="38">
        <v>31</v>
      </c>
      <c r="AM26" s="38">
        <v>31</v>
      </c>
      <c r="AN26" s="38">
        <v>28</v>
      </c>
      <c r="AO26" s="38">
        <v>31</v>
      </c>
      <c r="AP26" s="38">
        <v>30</v>
      </c>
      <c r="AQ26" s="38">
        <v>31</v>
      </c>
      <c r="AR26" s="38">
        <v>30</v>
      </c>
      <c r="AS26" s="38">
        <v>31</v>
      </c>
      <c r="AT26" s="38">
        <v>31</v>
      </c>
      <c r="AU26" s="38">
        <v>30</v>
      </c>
      <c r="AV26" s="38">
        <v>31</v>
      </c>
      <c r="AW26" s="38">
        <v>30</v>
      </c>
      <c r="AX26" s="38">
        <v>31</v>
      </c>
      <c r="AY26" s="38">
        <v>31</v>
      </c>
      <c r="AZ26" s="38">
        <v>28</v>
      </c>
      <c r="BA26" s="38">
        <v>31</v>
      </c>
      <c r="BB26" s="38">
        <v>30</v>
      </c>
      <c r="BC26" s="38">
        <v>31</v>
      </c>
      <c r="BD26" s="38">
        <v>30</v>
      </c>
      <c r="BE26" s="38">
        <v>31</v>
      </c>
      <c r="BF26" s="38">
        <v>31</v>
      </c>
      <c r="BG26" s="38">
        <v>30</v>
      </c>
      <c r="BH26" s="38">
        <v>31</v>
      </c>
      <c r="BI26" s="38">
        <v>30</v>
      </c>
      <c r="BJ26" s="38">
        <v>31</v>
      </c>
      <c r="BK26" s="38">
        <v>31</v>
      </c>
      <c r="BL26" s="38">
        <v>29</v>
      </c>
      <c r="BM26" s="38">
        <v>31</v>
      </c>
      <c r="BN26" s="38">
        <v>30</v>
      </c>
      <c r="BO26" s="38">
        <v>31</v>
      </c>
      <c r="BP26" s="38">
        <v>30</v>
      </c>
      <c r="BQ26" s="38">
        <v>31</v>
      </c>
      <c r="BR26" s="38">
        <v>31</v>
      </c>
      <c r="BS26" s="38">
        <v>30</v>
      </c>
      <c r="BT26" s="38">
        <v>31</v>
      </c>
      <c r="BU26" s="38">
        <v>30</v>
      </c>
      <c r="BV26" s="38">
        <v>31</v>
      </c>
      <c r="BW26" s="38">
        <v>31</v>
      </c>
      <c r="BX26" s="38">
        <v>28</v>
      </c>
      <c r="BY26" s="38">
        <v>31</v>
      </c>
      <c r="BZ26" s="38">
        <v>30</v>
      </c>
      <c r="CA26" s="38">
        <v>31</v>
      </c>
      <c r="CB26" s="38">
        <v>30</v>
      </c>
      <c r="CC26" s="38">
        <v>31</v>
      </c>
      <c r="CD26" s="38">
        <v>31</v>
      </c>
      <c r="CE26" s="38">
        <v>30</v>
      </c>
      <c r="CF26" s="38">
        <v>31</v>
      </c>
      <c r="CG26" s="38">
        <v>30</v>
      </c>
      <c r="CH26" s="38">
        <v>31</v>
      </c>
      <c r="CI26" s="38">
        <v>31</v>
      </c>
      <c r="CJ26" s="38">
        <v>28</v>
      </c>
      <c r="CK26" s="38">
        <v>31</v>
      </c>
    </row>
    <row r="27" spans="2:89">
      <c r="B27" s="37" t="str">
        <v>№ периода</v>
      </c>
      <c r="C27" s="33"/>
      <c r="D27" s="33"/>
      <c r="E27" s="34"/>
      <c r="F27" s="38">
        <v>1</v>
      </c>
      <c r="G27" s="38">
        <v>2</v>
      </c>
      <c r="H27" s="38">
        <v>3</v>
      </c>
      <c r="I27" s="38">
        <v>4</v>
      </c>
      <c r="J27" s="38">
        <v>5</v>
      </c>
      <c r="K27" s="38">
        <v>6</v>
      </c>
      <c r="L27" s="38">
        <v>7</v>
      </c>
      <c r="M27" s="38">
        <v>8</v>
      </c>
      <c r="N27" s="38">
        <v>9</v>
      </c>
      <c r="O27" s="38">
        <v>10</v>
      </c>
      <c r="P27" s="38">
        <v>11</v>
      </c>
      <c r="Q27" s="38">
        <v>12</v>
      </c>
      <c r="R27" s="38">
        <v>13</v>
      </c>
      <c r="S27" s="38">
        <v>14</v>
      </c>
      <c r="T27" s="38">
        <v>15</v>
      </c>
      <c r="U27" s="38">
        <v>16</v>
      </c>
      <c r="V27" s="38">
        <v>17</v>
      </c>
      <c r="W27" s="38">
        <v>18</v>
      </c>
      <c r="X27" s="38">
        <v>19</v>
      </c>
      <c r="Y27" s="38">
        <v>20</v>
      </c>
      <c r="Z27" s="38">
        <v>21</v>
      </c>
      <c r="AA27" s="38">
        <v>22</v>
      </c>
      <c r="AB27" s="38">
        <v>23</v>
      </c>
      <c r="AC27" s="38">
        <v>24</v>
      </c>
      <c r="AD27" s="38">
        <v>25</v>
      </c>
      <c r="AE27" s="38">
        <v>26</v>
      </c>
      <c r="AF27" s="38">
        <v>27</v>
      </c>
      <c r="AG27" s="38">
        <v>28</v>
      </c>
      <c r="AH27" s="38">
        <v>29</v>
      </c>
      <c r="AI27" s="38">
        <v>30</v>
      </c>
      <c r="AJ27" s="38">
        <v>31</v>
      </c>
      <c r="AK27" s="38">
        <v>32</v>
      </c>
      <c r="AL27" s="38">
        <v>33</v>
      </c>
      <c r="AM27" s="38">
        <v>34</v>
      </c>
      <c r="AN27" s="38">
        <v>35</v>
      </c>
      <c r="AO27" s="38">
        <v>36</v>
      </c>
      <c r="AP27" s="38">
        <v>37</v>
      </c>
      <c r="AQ27" s="38">
        <v>38</v>
      </c>
      <c r="AR27" s="38">
        <v>39</v>
      </c>
      <c r="AS27" s="38">
        <v>40</v>
      </c>
      <c r="AT27" s="38">
        <v>41</v>
      </c>
      <c r="AU27" s="38">
        <v>42</v>
      </c>
      <c r="AV27" s="38">
        <v>43</v>
      </c>
      <c r="AW27" s="38">
        <v>44</v>
      </c>
      <c r="AX27" s="38">
        <v>45</v>
      </c>
      <c r="AY27" s="38">
        <v>46</v>
      </c>
      <c r="AZ27" s="38">
        <v>47</v>
      </c>
      <c r="BA27" s="38">
        <v>48</v>
      </c>
      <c r="BB27" s="38">
        <v>49</v>
      </c>
      <c r="BC27" s="38">
        <v>50</v>
      </c>
      <c r="BD27" s="38">
        <v>51</v>
      </c>
      <c r="BE27" s="38">
        <v>52</v>
      </c>
      <c r="BF27" s="38">
        <v>53</v>
      </c>
      <c r="BG27" s="38">
        <v>54</v>
      </c>
      <c r="BH27" s="38">
        <v>55</v>
      </c>
      <c r="BI27" s="38">
        <v>56</v>
      </c>
      <c r="BJ27" s="38">
        <v>57</v>
      </c>
      <c r="BK27" s="38">
        <v>58</v>
      </c>
      <c r="BL27" s="38">
        <v>59</v>
      </c>
      <c r="BM27" s="38">
        <v>60</v>
      </c>
      <c r="BN27" s="38">
        <v>61</v>
      </c>
      <c r="BO27" s="38">
        <v>62</v>
      </c>
      <c r="BP27" s="38">
        <v>63</v>
      </c>
      <c r="BQ27" s="38">
        <v>64</v>
      </c>
      <c r="BR27" s="38">
        <v>65</v>
      </c>
      <c r="BS27" s="38">
        <v>66</v>
      </c>
      <c r="BT27" s="38">
        <v>67</v>
      </c>
      <c r="BU27" s="38">
        <v>68</v>
      </c>
      <c r="BV27" s="38">
        <v>69</v>
      </c>
      <c r="BW27" s="38">
        <v>70</v>
      </c>
      <c r="BX27" s="38">
        <v>71</v>
      </c>
      <c r="BY27" s="38">
        <v>72</v>
      </c>
      <c r="BZ27" s="38">
        <v>73</v>
      </c>
      <c r="CA27" s="38">
        <v>74</v>
      </c>
      <c r="CB27" s="38">
        <v>75</v>
      </c>
      <c r="CC27" s="38">
        <v>76</v>
      </c>
      <c r="CD27" s="38">
        <v>77</v>
      </c>
      <c r="CE27" s="38">
        <v>78</v>
      </c>
      <c r="CF27" s="38">
        <v>79</v>
      </c>
      <c r="CG27" s="38">
        <v>80</v>
      </c>
      <c r="CH27" s="38">
        <v>81</v>
      </c>
      <c r="CI27" s="38">
        <v>82</v>
      </c>
      <c r="CJ27" s="38">
        <v>83</v>
      </c>
      <c r="CK27" s="38">
        <v>84</v>
      </c>
    </row>
    <row r="28" spans="2:89">
      <c r="B28" s="37" t="str">
        <v>№ операционного периода</v>
      </c>
      <c r="C28" s="33"/>
      <c r="D28" s="39"/>
      <c r="E28" s="34"/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1</v>
      </c>
      <c r="S28" s="38">
        <v>2</v>
      </c>
      <c r="T28" s="38">
        <v>3</v>
      </c>
      <c r="U28" s="38">
        <v>4</v>
      </c>
      <c r="V28" s="38">
        <v>5</v>
      </c>
      <c r="W28" s="38">
        <v>6</v>
      </c>
      <c r="X28" s="38">
        <v>7</v>
      </c>
      <c r="Y28" s="38">
        <v>8</v>
      </c>
      <c r="Z28" s="38">
        <v>9</v>
      </c>
      <c r="AA28" s="38">
        <v>10</v>
      </c>
      <c r="AB28" s="38">
        <v>11</v>
      </c>
      <c r="AC28" s="38">
        <v>12</v>
      </c>
      <c r="AD28" s="38">
        <v>13</v>
      </c>
      <c r="AE28" s="38">
        <v>14</v>
      </c>
      <c r="AF28" s="38">
        <v>15</v>
      </c>
      <c r="AG28" s="38">
        <v>16</v>
      </c>
      <c r="AH28" s="38">
        <v>17</v>
      </c>
      <c r="AI28" s="38">
        <v>18</v>
      </c>
      <c r="AJ28" s="38">
        <v>19</v>
      </c>
      <c r="AK28" s="38">
        <v>20</v>
      </c>
      <c r="AL28" s="38">
        <v>21</v>
      </c>
      <c r="AM28" s="38">
        <v>22</v>
      </c>
      <c r="AN28" s="38">
        <v>23</v>
      </c>
      <c r="AO28" s="38">
        <v>24</v>
      </c>
      <c r="AP28" s="38">
        <v>25</v>
      </c>
      <c r="AQ28" s="38">
        <v>26</v>
      </c>
      <c r="AR28" s="38">
        <v>27</v>
      </c>
      <c r="AS28" s="38">
        <v>28</v>
      </c>
      <c r="AT28" s="38">
        <v>29</v>
      </c>
      <c r="AU28" s="38">
        <v>30</v>
      </c>
      <c r="AV28" s="38">
        <v>31</v>
      </c>
      <c r="AW28" s="38">
        <v>32</v>
      </c>
      <c r="AX28" s="38">
        <v>33</v>
      </c>
      <c r="AY28" s="38">
        <v>34</v>
      </c>
      <c r="AZ28" s="38">
        <v>35</v>
      </c>
      <c r="BA28" s="38">
        <v>36</v>
      </c>
      <c r="BB28" s="38">
        <v>37</v>
      </c>
      <c r="BC28" s="38">
        <v>38</v>
      </c>
      <c r="BD28" s="38">
        <v>39</v>
      </c>
      <c r="BE28" s="38">
        <v>40</v>
      </c>
      <c r="BF28" s="38">
        <v>41</v>
      </c>
      <c r="BG28" s="38">
        <v>42</v>
      </c>
      <c r="BH28" s="38">
        <v>43</v>
      </c>
      <c r="BI28" s="38">
        <v>44</v>
      </c>
      <c r="BJ28" s="38">
        <v>45</v>
      </c>
      <c r="BK28" s="38">
        <v>46</v>
      </c>
      <c r="BL28" s="38">
        <v>47</v>
      </c>
      <c r="BM28" s="38">
        <v>48</v>
      </c>
      <c r="BN28" s="38">
        <v>49</v>
      </c>
      <c r="BO28" s="38">
        <v>50</v>
      </c>
      <c r="BP28" s="38">
        <v>51</v>
      </c>
      <c r="BQ28" s="38">
        <v>52</v>
      </c>
      <c r="BR28" s="38">
        <v>53</v>
      </c>
      <c r="BS28" s="38">
        <v>54</v>
      </c>
      <c r="BT28" s="38">
        <v>55</v>
      </c>
      <c r="BU28" s="38">
        <v>56</v>
      </c>
      <c r="BV28" s="38">
        <v>57</v>
      </c>
      <c r="BW28" s="38">
        <v>58</v>
      </c>
      <c r="BX28" s="38">
        <v>59</v>
      </c>
      <c r="BY28" s="38">
        <v>60</v>
      </c>
      <c r="BZ28" s="38">
        <v>61</v>
      </c>
      <c r="CA28" s="38">
        <v>62</v>
      </c>
      <c r="CB28" s="38">
        <v>63</v>
      </c>
      <c r="CC28" s="38">
        <v>64</v>
      </c>
      <c r="CD28" s="38">
        <v>65</v>
      </c>
      <c r="CE28" s="38">
        <v>66</v>
      </c>
      <c r="CF28" s="38">
        <v>67</v>
      </c>
      <c r="CG28" s="38">
        <v>68</v>
      </c>
      <c r="CH28" s="38">
        <v>69</v>
      </c>
      <c r="CI28" s="38">
        <v>70</v>
      </c>
      <c r="CJ28" s="38">
        <v>71</v>
      </c>
      <c r="CK28" s="38">
        <v>72</v>
      </c>
    </row>
    <row r="29" spans="2:89">
      <c r="B29" s="37" t="str">
        <v>№ операционного года</v>
      </c>
      <c r="C29" s="33"/>
      <c r="D29" s="39"/>
      <c r="E29" s="34"/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2</v>
      </c>
      <c r="AE29" s="38">
        <v>2</v>
      </c>
      <c r="AF29" s="38">
        <v>2</v>
      </c>
      <c r="AG29" s="38">
        <v>2</v>
      </c>
      <c r="AH29" s="38">
        <v>2</v>
      </c>
      <c r="AI29" s="38">
        <v>2</v>
      </c>
      <c r="AJ29" s="38">
        <v>2</v>
      </c>
      <c r="AK29" s="38">
        <v>2</v>
      </c>
      <c r="AL29" s="38">
        <v>2</v>
      </c>
      <c r="AM29" s="38">
        <v>2</v>
      </c>
      <c r="AN29" s="38">
        <v>2</v>
      </c>
      <c r="AO29" s="38">
        <v>2</v>
      </c>
      <c r="AP29" s="38">
        <v>3</v>
      </c>
      <c r="AQ29" s="38">
        <v>3</v>
      </c>
      <c r="AR29" s="38">
        <v>3</v>
      </c>
      <c r="AS29" s="38">
        <v>3</v>
      </c>
      <c r="AT29" s="38">
        <v>3</v>
      </c>
      <c r="AU29" s="38">
        <v>3</v>
      </c>
      <c r="AV29" s="38">
        <v>3</v>
      </c>
      <c r="AW29" s="38">
        <v>3</v>
      </c>
      <c r="AX29" s="38">
        <v>3</v>
      </c>
      <c r="AY29" s="38">
        <v>3</v>
      </c>
      <c r="AZ29" s="38">
        <v>3</v>
      </c>
      <c r="BA29" s="38">
        <v>3</v>
      </c>
      <c r="BB29" s="38">
        <v>4</v>
      </c>
      <c r="BC29" s="38">
        <v>4</v>
      </c>
      <c r="BD29" s="38">
        <v>4</v>
      </c>
      <c r="BE29" s="38">
        <v>4</v>
      </c>
      <c r="BF29" s="38">
        <v>4</v>
      </c>
      <c r="BG29" s="38">
        <v>4</v>
      </c>
      <c r="BH29" s="38">
        <v>4</v>
      </c>
      <c r="BI29" s="38">
        <v>4</v>
      </c>
      <c r="BJ29" s="38">
        <v>4</v>
      </c>
      <c r="BK29" s="38">
        <v>4</v>
      </c>
      <c r="BL29" s="38">
        <v>4</v>
      </c>
      <c r="BM29" s="38">
        <v>4</v>
      </c>
      <c r="BN29" s="38">
        <v>5</v>
      </c>
      <c r="BO29" s="38">
        <v>5</v>
      </c>
      <c r="BP29" s="38">
        <v>5</v>
      </c>
      <c r="BQ29" s="38">
        <v>5</v>
      </c>
      <c r="BR29" s="38">
        <v>5</v>
      </c>
      <c r="BS29" s="38">
        <v>5</v>
      </c>
      <c r="BT29" s="38">
        <v>5</v>
      </c>
      <c r="BU29" s="38">
        <v>5</v>
      </c>
      <c r="BV29" s="38">
        <v>5</v>
      </c>
      <c r="BW29" s="38">
        <v>5</v>
      </c>
      <c r="BX29" s="38">
        <v>5</v>
      </c>
      <c r="BY29" s="38">
        <v>5</v>
      </c>
      <c r="BZ29" s="38">
        <v>6</v>
      </c>
      <c r="CA29" s="38">
        <v>6</v>
      </c>
      <c r="CB29" s="38">
        <v>6</v>
      </c>
      <c r="CC29" s="38">
        <v>6</v>
      </c>
      <c r="CD29" s="38">
        <v>6</v>
      </c>
      <c r="CE29" s="38">
        <v>6</v>
      </c>
      <c r="CF29" s="38">
        <v>6</v>
      </c>
      <c r="CG29" s="38">
        <v>6</v>
      </c>
      <c r="CH29" s="38">
        <v>6</v>
      </c>
      <c r="CI29" s="38">
        <v>6</v>
      </c>
      <c r="CJ29" s="38">
        <v>6</v>
      </c>
      <c r="CK29" s="38"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>
      <c r="B32" s="14"/>
      <c r="C32" s="14"/>
      <c r="D32" s="14"/>
      <c r="E32" s="14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2:89" ht="20.25" thickBot="1">
      <c r="B33" s="26" t="s">
        <v>32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</row>
    <row r="34" spans="2:89" ht="15.75" thickTop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</row>
    <row r="35" spans="2:89" ht="18" thickBot="1">
      <c r="B35" s="100" t="s">
        <v>546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</row>
    <row r="36" spans="2:89" ht="15.75" thickTop="1">
      <c r="B36" s="14"/>
      <c r="C36" s="14"/>
      <c r="D36" s="14"/>
      <c r="E36" s="14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</row>
    <row r="37" spans="2:89">
      <c r="B37" s="77" t="str">
        <f t="array" ref="B37:B39">Оборачиваемость_показатели</f>
        <v>Запасы (материальные затраты)</v>
      </c>
      <c r="C37" s="124"/>
      <c r="D37" s="124"/>
      <c r="E37" s="124"/>
      <c r="F37" s="80">
        <f t="shared" ref="F37:AK37" si="0">IFERROR(LOOKUP(F$19,Оборачиваемость_год,Оборачиваемость_запасы),0)</f>
        <v>21</v>
      </c>
      <c r="G37" s="80">
        <f t="shared" si="0"/>
        <v>21</v>
      </c>
      <c r="H37" s="80">
        <f t="shared" si="0"/>
        <v>21</v>
      </c>
      <c r="I37" s="80">
        <f t="shared" si="0"/>
        <v>21</v>
      </c>
      <c r="J37" s="80">
        <f t="shared" si="0"/>
        <v>21</v>
      </c>
      <c r="K37" s="80">
        <f t="shared" si="0"/>
        <v>21</v>
      </c>
      <c r="L37" s="80">
        <f t="shared" si="0"/>
        <v>21</v>
      </c>
      <c r="M37" s="80">
        <f t="shared" si="0"/>
        <v>21</v>
      </c>
      <c r="N37" s="80">
        <f t="shared" si="0"/>
        <v>21</v>
      </c>
      <c r="O37" s="80">
        <f t="shared" si="0"/>
        <v>21</v>
      </c>
      <c r="P37" s="80">
        <f t="shared" si="0"/>
        <v>21</v>
      </c>
      <c r="Q37" s="80">
        <f t="shared" si="0"/>
        <v>21</v>
      </c>
      <c r="R37" s="80">
        <f t="shared" si="0"/>
        <v>21</v>
      </c>
      <c r="S37" s="80">
        <f t="shared" si="0"/>
        <v>21</v>
      </c>
      <c r="T37" s="80">
        <f t="shared" si="0"/>
        <v>21</v>
      </c>
      <c r="U37" s="80">
        <f t="shared" si="0"/>
        <v>21</v>
      </c>
      <c r="V37" s="80">
        <f t="shared" si="0"/>
        <v>21</v>
      </c>
      <c r="W37" s="80">
        <f t="shared" si="0"/>
        <v>21</v>
      </c>
      <c r="X37" s="80">
        <f t="shared" si="0"/>
        <v>21</v>
      </c>
      <c r="Y37" s="80">
        <f t="shared" si="0"/>
        <v>21</v>
      </c>
      <c r="Z37" s="80">
        <f t="shared" si="0"/>
        <v>21</v>
      </c>
      <c r="AA37" s="80">
        <f t="shared" si="0"/>
        <v>21</v>
      </c>
      <c r="AB37" s="80">
        <f t="shared" si="0"/>
        <v>21</v>
      </c>
      <c r="AC37" s="80">
        <f t="shared" si="0"/>
        <v>21</v>
      </c>
      <c r="AD37" s="80">
        <f t="shared" si="0"/>
        <v>21</v>
      </c>
      <c r="AE37" s="80">
        <f t="shared" si="0"/>
        <v>21</v>
      </c>
      <c r="AF37" s="80">
        <f t="shared" si="0"/>
        <v>21</v>
      </c>
      <c r="AG37" s="80">
        <f t="shared" si="0"/>
        <v>21</v>
      </c>
      <c r="AH37" s="80">
        <f t="shared" si="0"/>
        <v>21</v>
      </c>
      <c r="AI37" s="80">
        <f t="shared" si="0"/>
        <v>21</v>
      </c>
      <c r="AJ37" s="80">
        <f t="shared" si="0"/>
        <v>21</v>
      </c>
      <c r="AK37" s="80">
        <f t="shared" si="0"/>
        <v>21</v>
      </c>
      <c r="AL37" s="80">
        <f t="shared" ref="AL37:CK37" si="1">IFERROR(LOOKUP(AL$19,Оборачиваемость_год,Оборачиваемость_запасы),0)</f>
        <v>21</v>
      </c>
      <c r="AM37" s="80">
        <f t="shared" si="1"/>
        <v>21</v>
      </c>
      <c r="AN37" s="80">
        <f t="shared" si="1"/>
        <v>21</v>
      </c>
      <c r="AO37" s="80">
        <f t="shared" si="1"/>
        <v>21</v>
      </c>
      <c r="AP37" s="80">
        <f t="shared" si="1"/>
        <v>21</v>
      </c>
      <c r="AQ37" s="80">
        <f t="shared" si="1"/>
        <v>21</v>
      </c>
      <c r="AR37" s="80">
        <f t="shared" si="1"/>
        <v>21</v>
      </c>
      <c r="AS37" s="80">
        <f t="shared" si="1"/>
        <v>21</v>
      </c>
      <c r="AT37" s="80">
        <f t="shared" si="1"/>
        <v>21</v>
      </c>
      <c r="AU37" s="80">
        <f t="shared" si="1"/>
        <v>21</v>
      </c>
      <c r="AV37" s="80">
        <f t="shared" si="1"/>
        <v>21</v>
      </c>
      <c r="AW37" s="80">
        <f t="shared" si="1"/>
        <v>21</v>
      </c>
      <c r="AX37" s="80">
        <f t="shared" si="1"/>
        <v>21</v>
      </c>
      <c r="AY37" s="80">
        <f t="shared" si="1"/>
        <v>21</v>
      </c>
      <c r="AZ37" s="80">
        <f t="shared" si="1"/>
        <v>21</v>
      </c>
      <c r="BA37" s="80">
        <f t="shared" si="1"/>
        <v>21</v>
      </c>
      <c r="BB37" s="80">
        <f t="shared" si="1"/>
        <v>21</v>
      </c>
      <c r="BC37" s="80">
        <f t="shared" si="1"/>
        <v>21</v>
      </c>
      <c r="BD37" s="80">
        <f t="shared" si="1"/>
        <v>21</v>
      </c>
      <c r="BE37" s="80">
        <f t="shared" si="1"/>
        <v>21</v>
      </c>
      <c r="BF37" s="80">
        <f t="shared" si="1"/>
        <v>21</v>
      </c>
      <c r="BG37" s="80">
        <f t="shared" si="1"/>
        <v>21</v>
      </c>
      <c r="BH37" s="80">
        <f t="shared" si="1"/>
        <v>21</v>
      </c>
      <c r="BI37" s="80">
        <f t="shared" si="1"/>
        <v>21</v>
      </c>
      <c r="BJ37" s="80">
        <f t="shared" si="1"/>
        <v>21</v>
      </c>
      <c r="BK37" s="80">
        <f t="shared" si="1"/>
        <v>21</v>
      </c>
      <c r="BL37" s="80">
        <f t="shared" si="1"/>
        <v>21</v>
      </c>
      <c r="BM37" s="80">
        <f t="shared" si="1"/>
        <v>21</v>
      </c>
      <c r="BN37" s="80">
        <f t="shared" si="1"/>
        <v>21</v>
      </c>
      <c r="BO37" s="80">
        <f t="shared" si="1"/>
        <v>21</v>
      </c>
      <c r="BP37" s="80">
        <f t="shared" si="1"/>
        <v>21</v>
      </c>
      <c r="BQ37" s="80">
        <f t="shared" si="1"/>
        <v>21</v>
      </c>
      <c r="BR37" s="80">
        <f t="shared" si="1"/>
        <v>21</v>
      </c>
      <c r="BS37" s="80">
        <f t="shared" si="1"/>
        <v>21</v>
      </c>
      <c r="BT37" s="80">
        <f t="shared" si="1"/>
        <v>21</v>
      </c>
      <c r="BU37" s="80">
        <f t="shared" si="1"/>
        <v>21</v>
      </c>
      <c r="BV37" s="80">
        <f t="shared" si="1"/>
        <v>21</v>
      </c>
      <c r="BW37" s="80">
        <f t="shared" si="1"/>
        <v>21</v>
      </c>
      <c r="BX37" s="80">
        <f t="shared" si="1"/>
        <v>21</v>
      </c>
      <c r="BY37" s="80">
        <f t="shared" si="1"/>
        <v>21</v>
      </c>
      <c r="BZ37" s="80">
        <f t="shared" si="1"/>
        <v>21</v>
      </c>
      <c r="CA37" s="80">
        <f t="shared" si="1"/>
        <v>21</v>
      </c>
      <c r="CB37" s="80">
        <f t="shared" si="1"/>
        <v>21</v>
      </c>
      <c r="CC37" s="80">
        <f t="shared" si="1"/>
        <v>21</v>
      </c>
      <c r="CD37" s="80">
        <f t="shared" si="1"/>
        <v>21</v>
      </c>
      <c r="CE37" s="80">
        <f t="shared" si="1"/>
        <v>21</v>
      </c>
      <c r="CF37" s="80">
        <f t="shared" si="1"/>
        <v>21</v>
      </c>
      <c r="CG37" s="80">
        <f t="shared" si="1"/>
        <v>21</v>
      </c>
      <c r="CH37" s="80">
        <f t="shared" si="1"/>
        <v>21</v>
      </c>
      <c r="CI37" s="80">
        <f t="shared" si="1"/>
        <v>21</v>
      </c>
      <c r="CJ37" s="80">
        <f t="shared" si="1"/>
        <v>21</v>
      </c>
      <c r="CK37" s="80">
        <f t="shared" si="1"/>
        <v>21</v>
      </c>
    </row>
    <row r="38" spans="2:89">
      <c r="B38" s="128" t="str">
        <v>Дебиторская задолженность</v>
      </c>
      <c r="C38" s="124"/>
      <c r="D38" s="124"/>
      <c r="E38" s="124"/>
      <c r="F38" s="80">
        <f t="shared" ref="F38:AK38" si="2">IFERROR(LOOKUP(F$19,Оборачиваемость_год,Оборачиваемость_дебиторка),0)</f>
        <v>30</v>
      </c>
      <c r="G38" s="80">
        <f t="shared" si="2"/>
        <v>30</v>
      </c>
      <c r="H38" s="80">
        <f t="shared" si="2"/>
        <v>30</v>
      </c>
      <c r="I38" s="80">
        <f t="shared" si="2"/>
        <v>30</v>
      </c>
      <c r="J38" s="80">
        <f t="shared" si="2"/>
        <v>30</v>
      </c>
      <c r="K38" s="80">
        <f t="shared" si="2"/>
        <v>30</v>
      </c>
      <c r="L38" s="80">
        <f t="shared" si="2"/>
        <v>30</v>
      </c>
      <c r="M38" s="80">
        <f t="shared" si="2"/>
        <v>30</v>
      </c>
      <c r="N38" s="80">
        <f t="shared" si="2"/>
        <v>30</v>
      </c>
      <c r="O38" s="80">
        <f t="shared" si="2"/>
        <v>30</v>
      </c>
      <c r="P38" s="80">
        <f t="shared" si="2"/>
        <v>30</v>
      </c>
      <c r="Q38" s="80">
        <f t="shared" si="2"/>
        <v>30</v>
      </c>
      <c r="R38" s="80">
        <f t="shared" si="2"/>
        <v>30</v>
      </c>
      <c r="S38" s="80">
        <f t="shared" si="2"/>
        <v>30</v>
      </c>
      <c r="T38" s="80">
        <f t="shared" si="2"/>
        <v>30</v>
      </c>
      <c r="U38" s="80">
        <f t="shared" si="2"/>
        <v>30</v>
      </c>
      <c r="V38" s="80">
        <f t="shared" si="2"/>
        <v>30</v>
      </c>
      <c r="W38" s="80">
        <f t="shared" si="2"/>
        <v>30</v>
      </c>
      <c r="X38" s="80">
        <f t="shared" si="2"/>
        <v>30</v>
      </c>
      <c r="Y38" s="80">
        <f t="shared" si="2"/>
        <v>30</v>
      </c>
      <c r="Z38" s="80">
        <f t="shared" si="2"/>
        <v>30</v>
      </c>
      <c r="AA38" s="80">
        <f t="shared" si="2"/>
        <v>30</v>
      </c>
      <c r="AB38" s="80">
        <f t="shared" si="2"/>
        <v>30</v>
      </c>
      <c r="AC38" s="80">
        <f t="shared" si="2"/>
        <v>30</v>
      </c>
      <c r="AD38" s="80">
        <f t="shared" si="2"/>
        <v>30</v>
      </c>
      <c r="AE38" s="80">
        <f t="shared" si="2"/>
        <v>30</v>
      </c>
      <c r="AF38" s="80">
        <f t="shared" si="2"/>
        <v>30</v>
      </c>
      <c r="AG38" s="80">
        <f t="shared" si="2"/>
        <v>30</v>
      </c>
      <c r="AH38" s="80">
        <f t="shared" si="2"/>
        <v>30</v>
      </c>
      <c r="AI38" s="80">
        <f t="shared" si="2"/>
        <v>30</v>
      </c>
      <c r="AJ38" s="80">
        <f t="shared" si="2"/>
        <v>30</v>
      </c>
      <c r="AK38" s="80">
        <f t="shared" si="2"/>
        <v>30</v>
      </c>
      <c r="AL38" s="80">
        <f t="shared" ref="AL38:CK38" si="3">IFERROR(LOOKUP(AL$19,Оборачиваемость_год,Оборачиваемость_дебиторка),0)</f>
        <v>30</v>
      </c>
      <c r="AM38" s="80">
        <f t="shared" si="3"/>
        <v>30</v>
      </c>
      <c r="AN38" s="80">
        <f t="shared" si="3"/>
        <v>30</v>
      </c>
      <c r="AO38" s="80">
        <f t="shared" si="3"/>
        <v>30</v>
      </c>
      <c r="AP38" s="80">
        <f t="shared" si="3"/>
        <v>30</v>
      </c>
      <c r="AQ38" s="80">
        <f t="shared" si="3"/>
        <v>30</v>
      </c>
      <c r="AR38" s="80">
        <f t="shared" si="3"/>
        <v>30</v>
      </c>
      <c r="AS38" s="80">
        <f t="shared" si="3"/>
        <v>30</v>
      </c>
      <c r="AT38" s="80">
        <f t="shared" si="3"/>
        <v>30</v>
      </c>
      <c r="AU38" s="80">
        <f t="shared" si="3"/>
        <v>30</v>
      </c>
      <c r="AV38" s="80">
        <f t="shared" si="3"/>
        <v>30</v>
      </c>
      <c r="AW38" s="80">
        <f t="shared" si="3"/>
        <v>30</v>
      </c>
      <c r="AX38" s="80">
        <f t="shared" si="3"/>
        <v>30</v>
      </c>
      <c r="AY38" s="80">
        <f t="shared" si="3"/>
        <v>30</v>
      </c>
      <c r="AZ38" s="80">
        <f t="shared" si="3"/>
        <v>30</v>
      </c>
      <c r="BA38" s="80">
        <f t="shared" si="3"/>
        <v>30</v>
      </c>
      <c r="BB38" s="80">
        <f t="shared" si="3"/>
        <v>30</v>
      </c>
      <c r="BC38" s="80">
        <f t="shared" si="3"/>
        <v>30</v>
      </c>
      <c r="BD38" s="80">
        <f t="shared" si="3"/>
        <v>30</v>
      </c>
      <c r="BE38" s="80">
        <f t="shared" si="3"/>
        <v>30</v>
      </c>
      <c r="BF38" s="80">
        <f t="shared" si="3"/>
        <v>30</v>
      </c>
      <c r="BG38" s="80">
        <f t="shared" si="3"/>
        <v>30</v>
      </c>
      <c r="BH38" s="80">
        <f t="shared" si="3"/>
        <v>30</v>
      </c>
      <c r="BI38" s="80">
        <f t="shared" si="3"/>
        <v>30</v>
      </c>
      <c r="BJ38" s="80">
        <f t="shared" si="3"/>
        <v>30</v>
      </c>
      <c r="BK38" s="80">
        <f t="shared" si="3"/>
        <v>30</v>
      </c>
      <c r="BL38" s="80">
        <f t="shared" si="3"/>
        <v>30</v>
      </c>
      <c r="BM38" s="80">
        <f t="shared" si="3"/>
        <v>30</v>
      </c>
      <c r="BN38" s="80">
        <f t="shared" si="3"/>
        <v>30</v>
      </c>
      <c r="BO38" s="80">
        <f t="shared" si="3"/>
        <v>30</v>
      </c>
      <c r="BP38" s="80">
        <f t="shared" si="3"/>
        <v>30</v>
      </c>
      <c r="BQ38" s="80">
        <f t="shared" si="3"/>
        <v>30</v>
      </c>
      <c r="BR38" s="80">
        <f t="shared" si="3"/>
        <v>30</v>
      </c>
      <c r="BS38" s="80">
        <f t="shared" si="3"/>
        <v>30</v>
      </c>
      <c r="BT38" s="80">
        <f t="shared" si="3"/>
        <v>30</v>
      </c>
      <c r="BU38" s="80">
        <f t="shared" si="3"/>
        <v>30</v>
      </c>
      <c r="BV38" s="80">
        <f t="shared" si="3"/>
        <v>30</v>
      </c>
      <c r="BW38" s="80">
        <f t="shared" si="3"/>
        <v>30</v>
      </c>
      <c r="BX38" s="80">
        <f t="shared" si="3"/>
        <v>30</v>
      </c>
      <c r="BY38" s="80">
        <f t="shared" si="3"/>
        <v>30</v>
      </c>
      <c r="BZ38" s="80">
        <f t="shared" si="3"/>
        <v>30</v>
      </c>
      <c r="CA38" s="80">
        <f t="shared" si="3"/>
        <v>30</v>
      </c>
      <c r="CB38" s="80">
        <f t="shared" si="3"/>
        <v>30</v>
      </c>
      <c r="CC38" s="80">
        <f t="shared" si="3"/>
        <v>30</v>
      </c>
      <c r="CD38" s="80">
        <f t="shared" si="3"/>
        <v>30</v>
      </c>
      <c r="CE38" s="80">
        <f t="shared" si="3"/>
        <v>30</v>
      </c>
      <c r="CF38" s="80">
        <f t="shared" si="3"/>
        <v>30</v>
      </c>
      <c r="CG38" s="80">
        <f t="shared" si="3"/>
        <v>30</v>
      </c>
      <c r="CH38" s="80">
        <f t="shared" si="3"/>
        <v>30</v>
      </c>
      <c r="CI38" s="80">
        <f t="shared" si="3"/>
        <v>30</v>
      </c>
      <c r="CJ38" s="80">
        <f t="shared" si="3"/>
        <v>30</v>
      </c>
      <c r="CK38" s="80">
        <f t="shared" si="3"/>
        <v>30</v>
      </c>
    </row>
    <row r="39" spans="2:89">
      <c r="B39" s="128" t="str">
        <v>Кредиторская задолженность</v>
      </c>
      <c r="C39" s="124"/>
      <c r="D39" s="124"/>
      <c r="E39" s="124"/>
      <c r="F39" s="80">
        <f t="shared" ref="F39:AK39" si="4">IFERROR(LOOKUP(F$19,Оборачиваемость_год,Оборачиваемость_кредиторка),0)</f>
        <v>20</v>
      </c>
      <c r="G39" s="80">
        <f t="shared" si="4"/>
        <v>20</v>
      </c>
      <c r="H39" s="80">
        <f t="shared" si="4"/>
        <v>20</v>
      </c>
      <c r="I39" s="80">
        <f t="shared" si="4"/>
        <v>20</v>
      </c>
      <c r="J39" s="80">
        <f t="shared" si="4"/>
        <v>20</v>
      </c>
      <c r="K39" s="80">
        <f t="shared" si="4"/>
        <v>20</v>
      </c>
      <c r="L39" s="80">
        <f t="shared" si="4"/>
        <v>20</v>
      </c>
      <c r="M39" s="80">
        <f t="shared" si="4"/>
        <v>20</v>
      </c>
      <c r="N39" s="80">
        <f t="shared" si="4"/>
        <v>20</v>
      </c>
      <c r="O39" s="80">
        <f t="shared" si="4"/>
        <v>20</v>
      </c>
      <c r="P39" s="80">
        <f t="shared" si="4"/>
        <v>20</v>
      </c>
      <c r="Q39" s="80">
        <f t="shared" si="4"/>
        <v>20</v>
      </c>
      <c r="R39" s="80">
        <f t="shared" si="4"/>
        <v>20</v>
      </c>
      <c r="S39" s="80">
        <f t="shared" si="4"/>
        <v>20</v>
      </c>
      <c r="T39" s="80">
        <f t="shared" si="4"/>
        <v>20</v>
      </c>
      <c r="U39" s="80">
        <f t="shared" si="4"/>
        <v>20</v>
      </c>
      <c r="V39" s="80">
        <f t="shared" si="4"/>
        <v>20</v>
      </c>
      <c r="W39" s="80">
        <f t="shared" si="4"/>
        <v>20</v>
      </c>
      <c r="X39" s="80">
        <f t="shared" si="4"/>
        <v>20</v>
      </c>
      <c r="Y39" s="80">
        <f t="shared" si="4"/>
        <v>20</v>
      </c>
      <c r="Z39" s="80">
        <f t="shared" si="4"/>
        <v>20</v>
      </c>
      <c r="AA39" s="80">
        <f t="shared" si="4"/>
        <v>20</v>
      </c>
      <c r="AB39" s="80">
        <f t="shared" si="4"/>
        <v>20</v>
      </c>
      <c r="AC39" s="80">
        <f t="shared" si="4"/>
        <v>20</v>
      </c>
      <c r="AD39" s="80">
        <f t="shared" si="4"/>
        <v>20</v>
      </c>
      <c r="AE39" s="80">
        <f t="shared" si="4"/>
        <v>20</v>
      </c>
      <c r="AF39" s="80">
        <f t="shared" si="4"/>
        <v>20</v>
      </c>
      <c r="AG39" s="80">
        <f t="shared" si="4"/>
        <v>20</v>
      </c>
      <c r="AH39" s="80">
        <f t="shared" si="4"/>
        <v>20</v>
      </c>
      <c r="AI39" s="80">
        <f t="shared" si="4"/>
        <v>20</v>
      </c>
      <c r="AJ39" s="80">
        <f t="shared" si="4"/>
        <v>20</v>
      </c>
      <c r="AK39" s="80">
        <f t="shared" si="4"/>
        <v>20</v>
      </c>
      <c r="AL39" s="80">
        <f t="shared" ref="AL39:CK39" si="5">IFERROR(LOOKUP(AL$19,Оборачиваемость_год,Оборачиваемость_кредиторка),0)</f>
        <v>20</v>
      </c>
      <c r="AM39" s="80">
        <f t="shared" si="5"/>
        <v>20</v>
      </c>
      <c r="AN39" s="80">
        <f t="shared" si="5"/>
        <v>20</v>
      </c>
      <c r="AO39" s="80">
        <f t="shared" si="5"/>
        <v>20</v>
      </c>
      <c r="AP39" s="80">
        <f t="shared" si="5"/>
        <v>20</v>
      </c>
      <c r="AQ39" s="80">
        <f t="shared" si="5"/>
        <v>20</v>
      </c>
      <c r="AR39" s="80">
        <f t="shared" si="5"/>
        <v>20</v>
      </c>
      <c r="AS39" s="80">
        <f t="shared" si="5"/>
        <v>20</v>
      </c>
      <c r="AT39" s="80">
        <f t="shared" si="5"/>
        <v>20</v>
      </c>
      <c r="AU39" s="80">
        <f t="shared" si="5"/>
        <v>20</v>
      </c>
      <c r="AV39" s="80">
        <f t="shared" si="5"/>
        <v>20</v>
      </c>
      <c r="AW39" s="80">
        <f t="shared" si="5"/>
        <v>20</v>
      </c>
      <c r="AX39" s="80">
        <f t="shared" si="5"/>
        <v>20</v>
      </c>
      <c r="AY39" s="80">
        <f t="shared" si="5"/>
        <v>20</v>
      </c>
      <c r="AZ39" s="80">
        <f t="shared" si="5"/>
        <v>20</v>
      </c>
      <c r="BA39" s="80">
        <f t="shared" si="5"/>
        <v>20</v>
      </c>
      <c r="BB39" s="80">
        <f t="shared" si="5"/>
        <v>20</v>
      </c>
      <c r="BC39" s="80">
        <f t="shared" si="5"/>
        <v>20</v>
      </c>
      <c r="BD39" s="80">
        <f t="shared" si="5"/>
        <v>20</v>
      </c>
      <c r="BE39" s="80">
        <f t="shared" si="5"/>
        <v>20</v>
      </c>
      <c r="BF39" s="80">
        <f t="shared" si="5"/>
        <v>20</v>
      </c>
      <c r="BG39" s="80">
        <f t="shared" si="5"/>
        <v>20</v>
      </c>
      <c r="BH39" s="80">
        <f t="shared" si="5"/>
        <v>20</v>
      </c>
      <c r="BI39" s="80">
        <f t="shared" si="5"/>
        <v>20</v>
      </c>
      <c r="BJ39" s="80">
        <f t="shared" si="5"/>
        <v>20</v>
      </c>
      <c r="BK39" s="80">
        <f t="shared" si="5"/>
        <v>20</v>
      </c>
      <c r="BL39" s="80">
        <f t="shared" si="5"/>
        <v>20</v>
      </c>
      <c r="BM39" s="80">
        <f t="shared" si="5"/>
        <v>20</v>
      </c>
      <c r="BN39" s="80">
        <f t="shared" si="5"/>
        <v>20</v>
      </c>
      <c r="BO39" s="80">
        <f t="shared" si="5"/>
        <v>20</v>
      </c>
      <c r="BP39" s="80">
        <f t="shared" si="5"/>
        <v>20</v>
      </c>
      <c r="BQ39" s="80">
        <f t="shared" si="5"/>
        <v>20</v>
      </c>
      <c r="BR39" s="80">
        <f t="shared" si="5"/>
        <v>20</v>
      </c>
      <c r="BS39" s="80">
        <f t="shared" si="5"/>
        <v>20</v>
      </c>
      <c r="BT39" s="80">
        <f t="shared" si="5"/>
        <v>20</v>
      </c>
      <c r="BU39" s="80">
        <f t="shared" si="5"/>
        <v>20</v>
      </c>
      <c r="BV39" s="80">
        <f t="shared" si="5"/>
        <v>20</v>
      </c>
      <c r="BW39" s="80">
        <f t="shared" si="5"/>
        <v>20</v>
      </c>
      <c r="BX39" s="80">
        <f t="shared" si="5"/>
        <v>20</v>
      </c>
      <c r="BY39" s="80">
        <f t="shared" si="5"/>
        <v>20</v>
      </c>
      <c r="BZ39" s="80">
        <f t="shared" si="5"/>
        <v>20</v>
      </c>
      <c r="CA39" s="80">
        <f t="shared" si="5"/>
        <v>20</v>
      </c>
      <c r="CB39" s="80">
        <f t="shared" si="5"/>
        <v>20</v>
      </c>
      <c r="CC39" s="80">
        <f t="shared" si="5"/>
        <v>20</v>
      </c>
      <c r="CD39" s="80">
        <f t="shared" si="5"/>
        <v>20</v>
      </c>
      <c r="CE39" s="80">
        <f t="shared" si="5"/>
        <v>20</v>
      </c>
      <c r="CF39" s="80">
        <f t="shared" si="5"/>
        <v>20</v>
      </c>
      <c r="CG39" s="80">
        <f t="shared" si="5"/>
        <v>20</v>
      </c>
      <c r="CH39" s="80">
        <f t="shared" si="5"/>
        <v>20</v>
      </c>
      <c r="CI39" s="80">
        <f t="shared" si="5"/>
        <v>20</v>
      </c>
      <c r="CJ39" s="80">
        <f t="shared" si="5"/>
        <v>20</v>
      </c>
      <c r="CK39" s="80">
        <f t="shared" si="5"/>
        <v>20</v>
      </c>
    </row>
    <row r="40" spans="2:89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</row>
    <row r="41" spans="2:89" ht="18" thickBot="1">
      <c r="B41" s="100" t="s">
        <v>33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</row>
    <row r="42" spans="2:89" ht="15.75" thickTop="1">
      <c r="B42" s="168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</row>
    <row r="43" spans="2:89" ht="15.75" thickBot="1">
      <c r="B43" s="96" t="str">
        <f>"Движение материалов, закупленных для начала деятельности, в "&amp;Ед_измерения_денег&amp;" без НДС"</f>
        <v>Движение материалов, закупленных для начала деятельности, в  руб. без НДС</v>
      </c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</row>
    <row r="44" spans="2:89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</row>
    <row r="45" spans="2:89">
      <c r="B45" s="77" t="s">
        <v>57</v>
      </c>
      <c r="C45" s="78"/>
      <c r="D45" s="98">
        <v>0</v>
      </c>
      <c r="E45" s="79"/>
      <c r="F45" s="80">
        <f>E48</f>
        <v>0</v>
      </c>
      <c r="G45" s="80">
        <f t="shared" ref="G45:BM45" ca="1" si="6">F48</f>
        <v>0</v>
      </c>
      <c r="H45" s="80">
        <f t="shared" ca="1" si="6"/>
        <v>0</v>
      </c>
      <c r="I45" s="80">
        <f t="shared" ca="1" si="6"/>
        <v>0</v>
      </c>
      <c r="J45" s="80">
        <f t="shared" ca="1" si="6"/>
        <v>0</v>
      </c>
      <c r="K45" s="80">
        <f t="shared" ca="1" si="6"/>
        <v>0</v>
      </c>
      <c r="L45" s="80">
        <f t="shared" ca="1" si="6"/>
        <v>0</v>
      </c>
      <c r="M45" s="80">
        <f t="shared" ca="1" si="6"/>
        <v>0</v>
      </c>
      <c r="N45" s="80">
        <f t="shared" ca="1" si="6"/>
        <v>0</v>
      </c>
      <c r="O45" s="80">
        <f t="shared" ca="1" si="6"/>
        <v>0</v>
      </c>
      <c r="P45" s="80">
        <f t="shared" ca="1" si="6"/>
        <v>0</v>
      </c>
      <c r="Q45" s="80">
        <f t="shared" ca="1" si="6"/>
        <v>0</v>
      </c>
      <c r="R45" s="80">
        <f t="shared" ca="1" si="6"/>
        <v>936420.61385559302</v>
      </c>
      <c r="S45" s="80">
        <f t="shared" ca="1" si="6"/>
        <v>0</v>
      </c>
      <c r="T45" s="80">
        <f t="shared" ca="1" si="6"/>
        <v>0</v>
      </c>
      <c r="U45" s="80">
        <f t="shared" ca="1" si="6"/>
        <v>0</v>
      </c>
      <c r="V45" s="80">
        <f t="shared" ca="1" si="6"/>
        <v>0</v>
      </c>
      <c r="W45" s="80">
        <f t="shared" ca="1" si="6"/>
        <v>0</v>
      </c>
      <c r="X45" s="80">
        <f t="shared" ca="1" si="6"/>
        <v>0</v>
      </c>
      <c r="Y45" s="80">
        <f t="shared" ca="1" si="6"/>
        <v>0</v>
      </c>
      <c r="Z45" s="80">
        <f t="shared" ca="1" si="6"/>
        <v>0</v>
      </c>
      <c r="AA45" s="80">
        <f t="shared" ca="1" si="6"/>
        <v>0</v>
      </c>
      <c r="AB45" s="80">
        <f t="shared" ca="1" si="6"/>
        <v>0</v>
      </c>
      <c r="AC45" s="80">
        <f t="shared" ca="1" si="6"/>
        <v>0</v>
      </c>
      <c r="AD45" s="80">
        <f t="shared" ca="1" si="6"/>
        <v>0</v>
      </c>
      <c r="AE45" s="80">
        <f t="shared" ca="1" si="6"/>
        <v>0</v>
      </c>
      <c r="AF45" s="80">
        <f t="shared" ca="1" si="6"/>
        <v>0</v>
      </c>
      <c r="AG45" s="80">
        <f t="shared" ca="1" si="6"/>
        <v>0</v>
      </c>
      <c r="AH45" s="80">
        <f t="shared" ca="1" si="6"/>
        <v>0</v>
      </c>
      <c r="AI45" s="80">
        <f t="shared" ca="1" si="6"/>
        <v>0</v>
      </c>
      <c r="AJ45" s="80">
        <f t="shared" ca="1" si="6"/>
        <v>0</v>
      </c>
      <c r="AK45" s="80">
        <f t="shared" ca="1" si="6"/>
        <v>0</v>
      </c>
      <c r="AL45" s="80">
        <f t="shared" ca="1" si="6"/>
        <v>0</v>
      </c>
      <c r="AM45" s="80">
        <f t="shared" ca="1" si="6"/>
        <v>0</v>
      </c>
      <c r="AN45" s="80">
        <f t="shared" ca="1" si="6"/>
        <v>0</v>
      </c>
      <c r="AO45" s="80">
        <f t="shared" ca="1" si="6"/>
        <v>0</v>
      </c>
      <c r="AP45" s="80">
        <f t="shared" ca="1" si="6"/>
        <v>0</v>
      </c>
      <c r="AQ45" s="80">
        <f t="shared" ca="1" si="6"/>
        <v>0</v>
      </c>
      <c r="AR45" s="80">
        <f t="shared" ca="1" si="6"/>
        <v>0</v>
      </c>
      <c r="AS45" s="80">
        <f t="shared" ca="1" si="6"/>
        <v>0</v>
      </c>
      <c r="AT45" s="80">
        <f t="shared" ca="1" si="6"/>
        <v>0</v>
      </c>
      <c r="AU45" s="80">
        <f t="shared" ca="1" si="6"/>
        <v>0</v>
      </c>
      <c r="AV45" s="80">
        <f t="shared" ca="1" si="6"/>
        <v>0</v>
      </c>
      <c r="AW45" s="80">
        <f t="shared" ca="1" si="6"/>
        <v>0</v>
      </c>
      <c r="AX45" s="80">
        <f t="shared" ca="1" si="6"/>
        <v>0</v>
      </c>
      <c r="AY45" s="80">
        <f t="shared" ca="1" si="6"/>
        <v>0</v>
      </c>
      <c r="AZ45" s="80">
        <f t="shared" ca="1" si="6"/>
        <v>0</v>
      </c>
      <c r="BA45" s="80">
        <f t="shared" ca="1" si="6"/>
        <v>0</v>
      </c>
      <c r="BB45" s="80">
        <f t="shared" ca="1" si="6"/>
        <v>0</v>
      </c>
      <c r="BC45" s="80">
        <f t="shared" ca="1" si="6"/>
        <v>0</v>
      </c>
      <c r="BD45" s="80">
        <f t="shared" ca="1" si="6"/>
        <v>0</v>
      </c>
      <c r="BE45" s="80">
        <f t="shared" ca="1" si="6"/>
        <v>0</v>
      </c>
      <c r="BF45" s="80">
        <f t="shared" ca="1" si="6"/>
        <v>0</v>
      </c>
      <c r="BG45" s="80">
        <f t="shared" ca="1" si="6"/>
        <v>0</v>
      </c>
      <c r="BH45" s="80">
        <f t="shared" ca="1" si="6"/>
        <v>0</v>
      </c>
      <c r="BI45" s="80">
        <f t="shared" ca="1" si="6"/>
        <v>0</v>
      </c>
      <c r="BJ45" s="80">
        <f t="shared" ca="1" si="6"/>
        <v>0</v>
      </c>
      <c r="BK45" s="80">
        <f t="shared" ca="1" si="6"/>
        <v>0</v>
      </c>
      <c r="BL45" s="80">
        <f t="shared" ca="1" si="6"/>
        <v>0</v>
      </c>
      <c r="BM45" s="80">
        <f t="shared" ca="1" si="6"/>
        <v>0</v>
      </c>
      <c r="BN45" s="80">
        <f t="shared" ref="BN45" ca="1" si="7">BM48</f>
        <v>0</v>
      </c>
      <c r="BO45" s="80">
        <f t="shared" ref="BO45" ca="1" si="8">BN48</f>
        <v>0</v>
      </c>
      <c r="BP45" s="80">
        <f t="shared" ref="BP45" ca="1" si="9">BO48</f>
        <v>0</v>
      </c>
      <c r="BQ45" s="80">
        <f t="shared" ref="BQ45" ca="1" si="10">BP48</f>
        <v>0</v>
      </c>
      <c r="BR45" s="80">
        <f t="shared" ref="BR45" ca="1" si="11">BQ48</f>
        <v>0</v>
      </c>
      <c r="BS45" s="80">
        <f t="shared" ref="BS45" ca="1" si="12">BR48</f>
        <v>0</v>
      </c>
      <c r="BT45" s="80">
        <f t="shared" ref="BT45" ca="1" si="13">BS48</f>
        <v>0</v>
      </c>
      <c r="BU45" s="80">
        <f t="shared" ref="BU45" ca="1" si="14">BT48</f>
        <v>0</v>
      </c>
      <c r="BV45" s="80">
        <f t="shared" ref="BV45" ca="1" si="15">BU48</f>
        <v>0</v>
      </c>
      <c r="BW45" s="80">
        <f t="shared" ref="BW45" ca="1" si="16">BV48</f>
        <v>0</v>
      </c>
      <c r="BX45" s="80">
        <f t="shared" ref="BX45" ca="1" si="17">BW48</f>
        <v>0</v>
      </c>
      <c r="BY45" s="80">
        <f t="shared" ref="BY45" ca="1" si="18">BX48</f>
        <v>0</v>
      </c>
      <c r="BZ45" s="80">
        <f t="shared" ref="BZ45" ca="1" si="19">BY48</f>
        <v>0</v>
      </c>
      <c r="CA45" s="80">
        <f t="shared" ref="CA45" ca="1" si="20">BZ48</f>
        <v>0</v>
      </c>
      <c r="CB45" s="80">
        <f t="shared" ref="CB45" ca="1" si="21">CA48</f>
        <v>0</v>
      </c>
      <c r="CC45" s="80">
        <f t="shared" ref="CC45" ca="1" si="22">CB48</f>
        <v>0</v>
      </c>
      <c r="CD45" s="80">
        <f t="shared" ref="CD45" ca="1" si="23">CC48</f>
        <v>0</v>
      </c>
      <c r="CE45" s="80">
        <f t="shared" ref="CE45" ca="1" si="24">CD48</f>
        <v>0</v>
      </c>
      <c r="CF45" s="80">
        <f t="shared" ref="CF45" ca="1" si="25">CE48</f>
        <v>0</v>
      </c>
      <c r="CG45" s="80">
        <f t="shared" ref="CG45" ca="1" si="26">CF48</f>
        <v>0</v>
      </c>
      <c r="CH45" s="80">
        <f t="shared" ref="CH45" ca="1" si="27">CG48</f>
        <v>0</v>
      </c>
      <c r="CI45" s="80">
        <f t="shared" ref="CI45" ca="1" si="28">CH48</f>
        <v>0</v>
      </c>
      <c r="CJ45" s="80">
        <f t="shared" ref="CJ45" ca="1" si="29">CI48</f>
        <v>0</v>
      </c>
      <c r="CK45" s="80">
        <f t="shared" ref="CK45" ca="1" si="30">CJ48</f>
        <v>0</v>
      </c>
    </row>
    <row r="46" spans="2:89">
      <c r="B46" s="77" t="s">
        <v>295</v>
      </c>
      <c r="C46" s="78"/>
      <c r="D46" s="98">
        <f ca="1">SUM(F46:BM46)</f>
        <v>936420.61385559302</v>
      </c>
      <c r="E46" s="79"/>
      <c r="F46" s="80">
        <f ca="1">Инвестиции!F138</f>
        <v>0</v>
      </c>
      <c r="G46" s="80">
        <f ca="1">Инвестиции!G138</f>
        <v>0</v>
      </c>
      <c r="H46" s="80">
        <f ca="1">Инвестиции!H138</f>
        <v>0</v>
      </c>
      <c r="I46" s="80">
        <f ca="1">Инвестиции!I138</f>
        <v>0</v>
      </c>
      <c r="J46" s="80">
        <f ca="1">Инвестиции!J138</f>
        <v>0</v>
      </c>
      <c r="K46" s="80">
        <f ca="1">Инвестиции!K138</f>
        <v>0</v>
      </c>
      <c r="L46" s="80">
        <f ca="1">Инвестиции!L138</f>
        <v>0</v>
      </c>
      <c r="M46" s="80">
        <f ca="1">Инвестиции!M138</f>
        <v>0</v>
      </c>
      <c r="N46" s="80">
        <f ca="1">Инвестиции!N138</f>
        <v>0</v>
      </c>
      <c r="O46" s="80">
        <f ca="1">Инвестиции!O138</f>
        <v>0</v>
      </c>
      <c r="P46" s="80">
        <f ca="1">Инвестиции!P138</f>
        <v>0</v>
      </c>
      <c r="Q46" s="80">
        <f ca="1">Инвестиции!Q138</f>
        <v>936420.61385559302</v>
      </c>
      <c r="R46" s="80">
        <f ca="1">Инвестиции!R138</f>
        <v>0</v>
      </c>
      <c r="S46" s="80">
        <f ca="1">Инвестиции!S138</f>
        <v>0</v>
      </c>
      <c r="T46" s="80">
        <f ca="1">Инвестиции!T138</f>
        <v>0</v>
      </c>
      <c r="U46" s="80">
        <f ca="1">Инвестиции!U138</f>
        <v>0</v>
      </c>
      <c r="V46" s="80">
        <f ca="1">Инвестиции!V138</f>
        <v>0</v>
      </c>
      <c r="W46" s="80">
        <f ca="1">Инвестиции!W138</f>
        <v>0</v>
      </c>
      <c r="X46" s="80">
        <f ca="1">Инвестиции!X138</f>
        <v>0</v>
      </c>
      <c r="Y46" s="80">
        <f ca="1">Инвестиции!Y138</f>
        <v>0</v>
      </c>
      <c r="Z46" s="80">
        <f ca="1">Инвестиции!Z138</f>
        <v>0</v>
      </c>
      <c r="AA46" s="80">
        <f ca="1">Инвестиции!AA138</f>
        <v>0</v>
      </c>
      <c r="AB46" s="80">
        <f ca="1">Инвестиции!AB138</f>
        <v>0</v>
      </c>
      <c r="AC46" s="80">
        <f ca="1">Инвестиции!AC138</f>
        <v>0</v>
      </c>
      <c r="AD46" s="80">
        <f ca="1">Инвестиции!AD138</f>
        <v>0</v>
      </c>
      <c r="AE46" s="80">
        <f ca="1">Инвестиции!AE138</f>
        <v>0</v>
      </c>
      <c r="AF46" s="80">
        <f ca="1">Инвестиции!AF138</f>
        <v>0</v>
      </c>
      <c r="AG46" s="80">
        <f ca="1">Инвестиции!AG138</f>
        <v>0</v>
      </c>
      <c r="AH46" s="80">
        <f ca="1">Инвестиции!AH138</f>
        <v>0</v>
      </c>
      <c r="AI46" s="80">
        <f ca="1">Инвестиции!AI138</f>
        <v>0</v>
      </c>
      <c r="AJ46" s="80">
        <f ca="1">Инвестиции!AJ138</f>
        <v>0</v>
      </c>
      <c r="AK46" s="80">
        <f ca="1">Инвестиции!AK138</f>
        <v>0</v>
      </c>
      <c r="AL46" s="80">
        <f ca="1">Инвестиции!AL138</f>
        <v>0</v>
      </c>
      <c r="AM46" s="80">
        <f ca="1">Инвестиции!AM138</f>
        <v>0</v>
      </c>
      <c r="AN46" s="80">
        <f ca="1">Инвестиции!AN138</f>
        <v>0</v>
      </c>
      <c r="AO46" s="80">
        <f ca="1">Инвестиции!AO138</f>
        <v>0</v>
      </c>
      <c r="AP46" s="80">
        <f ca="1">Инвестиции!AP138</f>
        <v>0</v>
      </c>
      <c r="AQ46" s="80">
        <f ca="1">Инвестиции!AQ138</f>
        <v>0</v>
      </c>
      <c r="AR46" s="80">
        <f ca="1">Инвестиции!AR138</f>
        <v>0</v>
      </c>
      <c r="AS46" s="80">
        <f ca="1">Инвестиции!AS138</f>
        <v>0</v>
      </c>
      <c r="AT46" s="80">
        <f ca="1">Инвестиции!AT138</f>
        <v>0</v>
      </c>
      <c r="AU46" s="80">
        <f ca="1">Инвестиции!AU138</f>
        <v>0</v>
      </c>
      <c r="AV46" s="80">
        <f ca="1">Инвестиции!AV138</f>
        <v>0</v>
      </c>
      <c r="AW46" s="80">
        <f ca="1">Инвестиции!AW138</f>
        <v>0</v>
      </c>
      <c r="AX46" s="80">
        <f ca="1">Инвестиции!AX138</f>
        <v>0</v>
      </c>
      <c r="AY46" s="80">
        <f ca="1">Инвестиции!AY138</f>
        <v>0</v>
      </c>
      <c r="AZ46" s="80">
        <f ca="1">Инвестиции!AZ138</f>
        <v>0</v>
      </c>
      <c r="BA46" s="80">
        <f ca="1">Инвестиции!BA138</f>
        <v>0</v>
      </c>
      <c r="BB46" s="80">
        <f ca="1">Инвестиции!BB138</f>
        <v>0</v>
      </c>
      <c r="BC46" s="80">
        <f ca="1">Инвестиции!BC138</f>
        <v>0</v>
      </c>
      <c r="BD46" s="80">
        <f ca="1">Инвестиции!BD138</f>
        <v>0</v>
      </c>
      <c r="BE46" s="80">
        <f ca="1">Инвестиции!BE138</f>
        <v>0</v>
      </c>
      <c r="BF46" s="80">
        <f ca="1">Инвестиции!BF138</f>
        <v>0</v>
      </c>
      <c r="BG46" s="80">
        <f ca="1">Инвестиции!BG138</f>
        <v>0</v>
      </c>
      <c r="BH46" s="80">
        <f ca="1">Инвестиции!BH138</f>
        <v>0</v>
      </c>
      <c r="BI46" s="80">
        <f ca="1">Инвестиции!BI138</f>
        <v>0</v>
      </c>
      <c r="BJ46" s="80">
        <f ca="1">Инвестиции!BJ138</f>
        <v>0</v>
      </c>
      <c r="BK46" s="80">
        <f ca="1">Инвестиции!BK138</f>
        <v>0</v>
      </c>
      <c r="BL46" s="80">
        <f ca="1">Инвестиции!BL138</f>
        <v>0</v>
      </c>
      <c r="BM46" s="80">
        <f ca="1">Инвестиции!BM138</f>
        <v>0</v>
      </c>
      <c r="BN46" s="80">
        <f ca="1">Инвестиции!BN138</f>
        <v>0</v>
      </c>
      <c r="BO46" s="80">
        <f ca="1">Инвестиции!BO138</f>
        <v>0</v>
      </c>
      <c r="BP46" s="80">
        <f ca="1">Инвестиции!BP138</f>
        <v>0</v>
      </c>
      <c r="BQ46" s="80">
        <f ca="1">Инвестиции!BQ138</f>
        <v>0</v>
      </c>
      <c r="BR46" s="80">
        <f ca="1">Инвестиции!BR138</f>
        <v>0</v>
      </c>
      <c r="BS46" s="80">
        <f ca="1">Инвестиции!BS138</f>
        <v>0</v>
      </c>
      <c r="BT46" s="80">
        <f ca="1">Инвестиции!BT138</f>
        <v>0</v>
      </c>
      <c r="BU46" s="80">
        <f ca="1">Инвестиции!BU138</f>
        <v>0</v>
      </c>
      <c r="BV46" s="80">
        <f ca="1">Инвестиции!BV138</f>
        <v>0</v>
      </c>
      <c r="BW46" s="80">
        <f ca="1">Инвестиции!BW138</f>
        <v>0</v>
      </c>
      <c r="BX46" s="80">
        <f ca="1">Инвестиции!BX138</f>
        <v>0</v>
      </c>
      <c r="BY46" s="80">
        <f ca="1">Инвестиции!BY138</f>
        <v>0</v>
      </c>
      <c r="BZ46" s="80">
        <f ca="1">Инвестиции!BZ138</f>
        <v>0</v>
      </c>
      <c r="CA46" s="80">
        <f ca="1">Инвестиции!CA138</f>
        <v>0</v>
      </c>
      <c r="CB46" s="80">
        <f ca="1">Инвестиции!CB138</f>
        <v>0</v>
      </c>
      <c r="CC46" s="80">
        <f ca="1">Инвестиции!CC138</f>
        <v>0</v>
      </c>
      <c r="CD46" s="80">
        <f ca="1">Инвестиции!CD138</f>
        <v>0</v>
      </c>
      <c r="CE46" s="80">
        <f ca="1">Инвестиции!CE138</f>
        <v>0</v>
      </c>
      <c r="CF46" s="80">
        <f ca="1">Инвестиции!CF138</f>
        <v>0</v>
      </c>
      <c r="CG46" s="80">
        <f ca="1">Инвестиции!CG138</f>
        <v>0</v>
      </c>
      <c r="CH46" s="80">
        <f ca="1">Инвестиции!CH138</f>
        <v>0</v>
      </c>
      <c r="CI46" s="80">
        <f ca="1">Инвестиции!CI138</f>
        <v>0</v>
      </c>
      <c r="CJ46" s="80">
        <f ca="1">Инвестиции!CJ138</f>
        <v>0</v>
      </c>
      <c r="CK46" s="80">
        <f ca="1">Инвестиции!CK138</f>
        <v>0</v>
      </c>
    </row>
    <row r="47" spans="2:89" ht="15.75" thickBot="1">
      <c r="B47" s="45" t="s">
        <v>548</v>
      </c>
      <c r="C47" s="46"/>
      <c r="D47" s="98">
        <f ca="1">SUM(F47:BM47)</f>
        <v>-936420.61385559302</v>
      </c>
      <c r="E47" s="48"/>
      <c r="F47" s="49">
        <f t="shared" ref="F47:AK47" ca="1" si="31">-MIN(F52,F45)</f>
        <v>0</v>
      </c>
      <c r="G47" s="49">
        <f t="shared" ca="1" si="31"/>
        <v>0</v>
      </c>
      <c r="H47" s="49">
        <f t="shared" ca="1" si="31"/>
        <v>0</v>
      </c>
      <c r="I47" s="49">
        <f t="shared" ca="1" si="31"/>
        <v>0</v>
      </c>
      <c r="J47" s="49">
        <f t="shared" ca="1" si="31"/>
        <v>0</v>
      </c>
      <c r="K47" s="49">
        <f t="shared" ca="1" si="31"/>
        <v>0</v>
      </c>
      <c r="L47" s="49">
        <f t="shared" ca="1" si="31"/>
        <v>0</v>
      </c>
      <c r="M47" s="49">
        <f t="shared" ca="1" si="31"/>
        <v>0</v>
      </c>
      <c r="N47" s="49">
        <f t="shared" ca="1" si="31"/>
        <v>0</v>
      </c>
      <c r="O47" s="49">
        <f t="shared" ca="1" si="31"/>
        <v>0</v>
      </c>
      <c r="P47" s="49">
        <f t="shared" ca="1" si="31"/>
        <v>0</v>
      </c>
      <c r="Q47" s="49">
        <f t="shared" ca="1" si="31"/>
        <v>0</v>
      </c>
      <c r="R47" s="49">
        <f t="shared" ca="1" si="31"/>
        <v>-936420.61385559302</v>
      </c>
      <c r="S47" s="49">
        <f t="shared" ca="1" si="31"/>
        <v>0</v>
      </c>
      <c r="T47" s="49">
        <f t="shared" ca="1" si="31"/>
        <v>0</v>
      </c>
      <c r="U47" s="49">
        <f t="shared" ca="1" si="31"/>
        <v>0</v>
      </c>
      <c r="V47" s="49">
        <f t="shared" ca="1" si="31"/>
        <v>0</v>
      </c>
      <c r="W47" s="49">
        <f t="shared" ca="1" si="31"/>
        <v>0</v>
      </c>
      <c r="X47" s="49">
        <f t="shared" ca="1" si="31"/>
        <v>0</v>
      </c>
      <c r="Y47" s="49">
        <f t="shared" ca="1" si="31"/>
        <v>0</v>
      </c>
      <c r="Z47" s="49">
        <f t="shared" ca="1" si="31"/>
        <v>0</v>
      </c>
      <c r="AA47" s="49">
        <f t="shared" ca="1" si="31"/>
        <v>0</v>
      </c>
      <c r="AB47" s="49">
        <f t="shared" ca="1" si="31"/>
        <v>0</v>
      </c>
      <c r="AC47" s="49">
        <f t="shared" ca="1" si="31"/>
        <v>0</v>
      </c>
      <c r="AD47" s="49">
        <f t="shared" ca="1" si="31"/>
        <v>0</v>
      </c>
      <c r="AE47" s="49">
        <f t="shared" ca="1" si="31"/>
        <v>0</v>
      </c>
      <c r="AF47" s="49">
        <f t="shared" ca="1" si="31"/>
        <v>0</v>
      </c>
      <c r="AG47" s="49">
        <f t="shared" ca="1" si="31"/>
        <v>0</v>
      </c>
      <c r="AH47" s="49">
        <f t="shared" ca="1" si="31"/>
        <v>0</v>
      </c>
      <c r="AI47" s="49">
        <f t="shared" ca="1" si="31"/>
        <v>0</v>
      </c>
      <c r="AJ47" s="49">
        <f t="shared" ca="1" si="31"/>
        <v>0</v>
      </c>
      <c r="AK47" s="49">
        <f t="shared" ca="1" si="31"/>
        <v>0</v>
      </c>
      <c r="AL47" s="49">
        <f t="shared" ref="AL47:BM47" ca="1" si="32">-MIN(AL52,AL45)</f>
        <v>0</v>
      </c>
      <c r="AM47" s="49">
        <f t="shared" ca="1" si="32"/>
        <v>0</v>
      </c>
      <c r="AN47" s="49">
        <f t="shared" ca="1" si="32"/>
        <v>0</v>
      </c>
      <c r="AO47" s="49">
        <f t="shared" ca="1" si="32"/>
        <v>0</v>
      </c>
      <c r="AP47" s="49">
        <f t="shared" ca="1" si="32"/>
        <v>0</v>
      </c>
      <c r="AQ47" s="49">
        <f t="shared" ca="1" si="32"/>
        <v>0</v>
      </c>
      <c r="AR47" s="49">
        <f t="shared" ca="1" si="32"/>
        <v>0</v>
      </c>
      <c r="AS47" s="49">
        <f t="shared" ca="1" si="32"/>
        <v>0</v>
      </c>
      <c r="AT47" s="49">
        <f t="shared" ca="1" si="32"/>
        <v>0</v>
      </c>
      <c r="AU47" s="49">
        <f t="shared" ca="1" si="32"/>
        <v>0</v>
      </c>
      <c r="AV47" s="49">
        <f t="shared" ca="1" si="32"/>
        <v>0</v>
      </c>
      <c r="AW47" s="49">
        <f t="shared" ca="1" si="32"/>
        <v>0</v>
      </c>
      <c r="AX47" s="49">
        <f t="shared" ca="1" si="32"/>
        <v>0</v>
      </c>
      <c r="AY47" s="49">
        <f t="shared" ca="1" si="32"/>
        <v>0</v>
      </c>
      <c r="AZ47" s="49">
        <f t="shared" ca="1" si="32"/>
        <v>0</v>
      </c>
      <c r="BA47" s="49">
        <f t="shared" ca="1" si="32"/>
        <v>0</v>
      </c>
      <c r="BB47" s="49">
        <f t="shared" ca="1" si="32"/>
        <v>0</v>
      </c>
      <c r="BC47" s="49">
        <f t="shared" ca="1" si="32"/>
        <v>0</v>
      </c>
      <c r="BD47" s="49">
        <f t="shared" ca="1" si="32"/>
        <v>0</v>
      </c>
      <c r="BE47" s="49">
        <f t="shared" ca="1" si="32"/>
        <v>0</v>
      </c>
      <c r="BF47" s="49">
        <f t="shared" ca="1" si="32"/>
        <v>0</v>
      </c>
      <c r="BG47" s="49">
        <f t="shared" ca="1" si="32"/>
        <v>0</v>
      </c>
      <c r="BH47" s="49">
        <f t="shared" ca="1" si="32"/>
        <v>0</v>
      </c>
      <c r="BI47" s="49">
        <f t="shared" ca="1" si="32"/>
        <v>0</v>
      </c>
      <c r="BJ47" s="49">
        <f t="shared" ca="1" si="32"/>
        <v>0</v>
      </c>
      <c r="BK47" s="49">
        <f t="shared" ca="1" si="32"/>
        <v>0</v>
      </c>
      <c r="BL47" s="49">
        <f t="shared" ca="1" si="32"/>
        <v>0</v>
      </c>
      <c r="BM47" s="49">
        <f t="shared" ca="1" si="32"/>
        <v>0</v>
      </c>
      <c r="BN47" s="49">
        <f t="shared" ref="BN47:CK47" ca="1" si="33">-MIN(BN52,BN45)</f>
        <v>0</v>
      </c>
      <c r="BO47" s="49">
        <f t="shared" ca="1" si="33"/>
        <v>0</v>
      </c>
      <c r="BP47" s="49">
        <f t="shared" ca="1" si="33"/>
        <v>0</v>
      </c>
      <c r="BQ47" s="49">
        <f t="shared" ca="1" si="33"/>
        <v>0</v>
      </c>
      <c r="BR47" s="49">
        <f t="shared" ca="1" si="33"/>
        <v>0</v>
      </c>
      <c r="BS47" s="49">
        <f t="shared" ca="1" si="33"/>
        <v>0</v>
      </c>
      <c r="BT47" s="49">
        <f t="shared" ca="1" si="33"/>
        <v>0</v>
      </c>
      <c r="BU47" s="49">
        <f t="shared" ca="1" si="33"/>
        <v>0</v>
      </c>
      <c r="BV47" s="49">
        <f t="shared" ca="1" si="33"/>
        <v>0</v>
      </c>
      <c r="BW47" s="49">
        <f t="shared" ca="1" si="33"/>
        <v>0</v>
      </c>
      <c r="BX47" s="49">
        <f t="shared" ca="1" si="33"/>
        <v>0</v>
      </c>
      <c r="BY47" s="49">
        <f t="shared" ca="1" si="33"/>
        <v>0</v>
      </c>
      <c r="BZ47" s="49">
        <f t="shared" ca="1" si="33"/>
        <v>0</v>
      </c>
      <c r="CA47" s="49">
        <f t="shared" ca="1" si="33"/>
        <v>0</v>
      </c>
      <c r="CB47" s="49">
        <f t="shared" ca="1" si="33"/>
        <v>0</v>
      </c>
      <c r="CC47" s="49">
        <f t="shared" ca="1" si="33"/>
        <v>0</v>
      </c>
      <c r="CD47" s="49">
        <f t="shared" ca="1" si="33"/>
        <v>0</v>
      </c>
      <c r="CE47" s="49">
        <f t="shared" ca="1" si="33"/>
        <v>0</v>
      </c>
      <c r="CF47" s="49">
        <f t="shared" ca="1" si="33"/>
        <v>0</v>
      </c>
      <c r="CG47" s="49">
        <f t="shared" ca="1" si="33"/>
        <v>0</v>
      </c>
      <c r="CH47" s="49">
        <f t="shared" ca="1" si="33"/>
        <v>0</v>
      </c>
      <c r="CI47" s="49">
        <f t="shared" ca="1" si="33"/>
        <v>0</v>
      </c>
      <c r="CJ47" s="49">
        <f t="shared" ca="1" si="33"/>
        <v>0</v>
      </c>
      <c r="CK47" s="49">
        <f t="shared" ca="1" si="33"/>
        <v>0</v>
      </c>
    </row>
    <row r="48" spans="2:89" ht="15.75" thickTop="1">
      <c r="B48" s="50" t="s">
        <v>58</v>
      </c>
      <c r="C48" s="51"/>
      <c r="D48" s="52">
        <f ca="1">SUM(D45:D47)</f>
        <v>0</v>
      </c>
      <c r="E48" s="53"/>
      <c r="F48" s="54">
        <f ca="1">SUM(F45:F47)</f>
        <v>0</v>
      </c>
      <c r="G48" s="54">
        <f t="shared" ref="G48:BM48" ca="1" si="34">SUM(G45:G47)</f>
        <v>0</v>
      </c>
      <c r="H48" s="54">
        <f t="shared" ca="1" si="34"/>
        <v>0</v>
      </c>
      <c r="I48" s="54">
        <f t="shared" ca="1" si="34"/>
        <v>0</v>
      </c>
      <c r="J48" s="54">
        <f t="shared" ca="1" si="34"/>
        <v>0</v>
      </c>
      <c r="K48" s="54">
        <f t="shared" ca="1" si="34"/>
        <v>0</v>
      </c>
      <c r="L48" s="54">
        <f t="shared" ca="1" si="34"/>
        <v>0</v>
      </c>
      <c r="M48" s="54">
        <f t="shared" ca="1" si="34"/>
        <v>0</v>
      </c>
      <c r="N48" s="54">
        <f t="shared" ca="1" si="34"/>
        <v>0</v>
      </c>
      <c r="O48" s="54">
        <f t="shared" ca="1" si="34"/>
        <v>0</v>
      </c>
      <c r="P48" s="54">
        <f t="shared" ca="1" si="34"/>
        <v>0</v>
      </c>
      <c r="Q48" s="54">
        <f t="shared" ca="1" si="34"/>
        <v>936420.61385559302</v>
      </c>
      <c r="R48" s="54">
        <f t="shared" ca="1" si="34"/>
        <v>0</v>
      </c>
      <c r="S48" s="54">
        <f t="shared" ca="1" si="34"/>
        <v>0</v>
      </c>
      <c r="T48" s="54">
        <f t="shared" ca="1" si="34"/>
        <v>0</v>
      </c>
      <c r="U48" s="54">
        <f t="shared" ca="1" si="34"/>
        <v>0</v>
      </c>
      <c r="V48" s="54">
        <f t="shared" ca="1" si="34"/>
        <v>0</v>
      </c>
      <c r="W48" s="54">
        <f t="shared" ca="1" si="34"/>
        <v>0</v>
      </c>
      <c r="X48" s="54">
        <f t="shared" ca="1" si="34"/>
        <v>0</v>
      </c>
      <c r="Y48" s="54">
        <f t="shared" ca="1" si="34"/>
        <v>0</v>
      </c>
      <c r="Z48" s="54">
        <f t="shared" ca="1" si="34"/>
        <v>0</v>
      </c>
      <c r="AA48" s="54">
        <f t="shared" ca="1" si="34"/>
        <v>0</v>
      </c>
      <c r="AB48" s="54">
        <f t="shared" ca="1" si="34"/>
        <v>0</v>
      </c>
      <c r="AC48" s="54">
        <f t="shared" ca="1" si="34"/>
        <v>0</v>
      </c>
      <c r="AD48" s="54">
        <f t="shared" ca="1" si="34"/>
        <v>0</v>
      </c>
      <c r="AE48" s="54">
        <f t="shared" ca="1" si="34"/>
        <v>0</v>
      </c>
      <c r="AF48" s="54">
        <f t="shared" ca="1" si="34"/>
        <v>0</v>
      </c>
      <c r="AG48" s="54">
        <f t="shared" ca="1" si="34"/>
        <v>0</v>
      </c>
      <c r="AH48" s="54">
        <f t="shared" ca="1" si="34"/>
        <v>0</v>
      </c>
      <c r="AI48" s="54">
        <f t="shared" ca="1" si="34"/>
        <v>0</v>
      </c>
      <c r="AJ48" s="54">
        <f t="shared" ca="1" si="34"/>
        <v>0</v>
      </c>
      <c r="AK48" s="54">
        <f t="shared" ca="1" si="34"/>
        <v>0</v>
      </c>
      <c r="AL48" s="54">
        <f t="shared" ca="1" si="34"/>
        <v>0</v>
      </c>
      <c r="AM48" s="54">
        <f t="shared" ca="1" si="34"/>
        <v>0</v>
      </c>
      <c r="AN48" s="54">
        <f t="shared" ca="1" si="34"/>
        <v>0</v>
      </c>
      <c r="AO48" s="54">
        <f t="shared" ca="1" si="34"/>
        <v>0</v>
      </c>
      <c r="AP48" s="54">
        <f t="shared" ca="1" si="34"/>
        <v>0</v>
      </c>
      <c r="AQ48" s="54">
        <f t="shared" ca="1" si="34"/>
        <v>0</v>
      </c>
      <c r="AR48" s="54">
        <f t="shared" ca="1" si="34"/>
        <v>0</v>
      </c>
      <c r="AS48" s="54">
        <f t="shared" ca="1" si="34"/>
        <v>0</v>
      </c>
      <c r="AT48" s="54">
        <f t="shared" ca="1" si="34"/>
        <v>0</v>
      </c>
      <c r="AU48" s="54">
        <f t="shared" ca="1" si="34"/>
        <v>0</v>
      </c>
      <c r="AV48" s="54">
        <f t="shared" ca="1" si="34"/>
        <v>0</v>
      </c>
      <c r="AW48" s="54">
        <f t="shared" ca="1" si="34"/>
        <v>0</v>
      </c>
      <c r="AX48" s="54">
        <f t="shared" ca="1" si="34"/>
        <v>0</v>
      </c>
      <c r="AY48" s="54">
        <f t="shared" ca="1" si="34"/>
        <v>0</v>
      </c>
      <c r="AZ48" s="54">
        <f t="shared" ca="1" si="34"/>
        <v>0</v>
      </c>
      <c r="BA48" s="54">
        <f t="shared" ca="1" si="34"/>
        <v>0</v>
      </c>
      <c r="BB48" s="54">
        <f t="shared" ca="1" si="34"/>
        <v>0</v>
      </c>
      <c r="BC48" s="54">
        <f t="shared" ca="1" si="34"/>
        <v>0</v>
      </c>
      <c r="BD48" s="54">
        <f t="shared" ca="1" si="34"/>
        <v>0</v>
      </c>
      <c r="BE48" s="54">
        <f t="shared" ca="1" si="34"/>
        <v>0</v>
      </c>
      <c r="BF48" s="54">
        <f t="shared" ca="1" si="34"/>
        <v>0</v>
      </c>
      <c r="BG48" s="54">
        <f t="shared" ca="1" si="34"/>
        <v>0</v>
      </c>
      <c r="BH48" s="54">
        <f t="shared" ca="1" si="34"/>
        <v>0</v>
      </c>
      <c r="BI48" s="54">
        <f t="shared" ca="1" si="34"/>
        <v>0</v>
      </c>
      <c r="BJ48" s="54">
        <f t="shared" ca="1" si="34"/>
        <v>0</v>
      </c>
      <c r="BK48" s="54">
        <f t="shared" ca="1" si="34"/>
        <v>0</v>
      </c>
      <c r="BL48" s="54">
        <f t="shared" ca="1" si="34"/>
        <v>0</v>
      </c>
      <c r="BM48" s="54">
        <f t="shared" ca="1" si="34"/>
        <v>0</v>
      </c>
      <c r="BN48" s="54">
        <f t="shared" ref="BN48:CK48" ca="1" si="35">SUM(BN45:BN47)</f>
        <v>0</v>
      </c>
      <c r="BO48" s="54">
        <f t="shared" ca="1" si="35"/>
        <v>0</v>
      </c>
      <c r="BP48" s="54">
        <f t="shared" ca="1" si="35"/>
        <v>0</v>
      </c>
      <c r="BQ48" s="54">
        <f t="shared" ca="1" si="35"/>
        <v>0</v>
      </c>
      <c r="BR48" s="54">
        <f t="shared" ca="1" si="35"/>
        <v>0</v>
      </c>
      <c r="BS48" s="54">
        <f t="shared" ca="1" si="35"/>
        <v>0</v>
      </c>
      <c r="BT48" s="54">
        <f t="shared" ca="1" si="35"/>
        <v>0</v>
      </c>
      <c r="BU48" s="54">
        <f t="shared" ca="1" si="35"/>
        <v>0</v>
      </c>
      <c r="BV48" s="54">
        <f t="shared" ca="1" si="35"/>
        <v>0</v>
      </c>
      <c r="BW48" s="54">
        <f t="shared" ca="1" si="35"/>
        <v>0</v>
      </c>
      <c r="BX48" s="54">
        <f t="shared" ca="1" si="35"/>
        <v>0</v>
      </c>
      <c r="BY48" s="54">
        <f t="shared" ca="1" si="35"/>
        <v>0</v>
      </c>
      <c r="BZ48" s="54">
        <f t="shared" ca="1" si="35"/>
        <v>0</v>
      </c>
      <c r="CA48" s="54">
        <f t="shared" ca="1" si="35"/>
        <v>0</v>
      </c>
      <c r="CB48" s="54">
        <f t="shared" ca="1" si="35"/>
        <v>0</v>
      </c>
      <c r="CC48" s="54">
        <f t="shared" ca="1" si="35"/>
        <v>0</v>
      </c>
      <c r="CD48" s="54">
        <f t="shared" ca="1" si="35"/>
        <v>0</v>
      </c>
      <c r="CE48" s="54">
        <f t="shared" ca="1" si="35"/>
        <v>0</v>
      </c>
      <c r="CF48" s="54">
        <f t="shared" ca="1" si="35"/>
        <v>0</v>
      </c>
      <c r="CG48" s="54">
        <f t="shared" ca="1" si="35"/>
        <v>0</v>
      </c>
      <c r="CH48" s="54">
        <f t="shared" ca="1" si="35"/>
        <v>0</v>
      </c>
      <c r="CI48" s="54">
        <f t="shared" ca="1" si="35"/>
        <v>0</v>
      </c>
      <c r="CJ48" s="54">
        <f t="shared" ca="1" si="35"/>
        <v>0</v>
      </c>
      <c r="CK48" s="54">
        <f t="shared" ca="1" si="35"/>
        <v>0</v>
      </c>
    </row>
    <row r="49" spans="2:89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</row>
    <row r="50" spans="2:89" ht="15.75" thickBot="1">
      <c r="B50" s="96" t="str">
        <f>"Движение материалов без учета первой закупки, в "&amp;Ед_измерения_денег&amp;" без НДС"</f>
        <v>Движение материалов без учета первой закупки, в  руб. без НДС</v>
      </c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</row>
    <row r="51" spans="2:89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</row>
    <row r="52" spans="2:89">
      <c r="B52" s="77" t="s">
        <v>232</v>
      </c>
      <c r="C52" s="124"/>
      <c r="D52" s="124"/>
      <c r="E52" s="124"/>
      <c r="F52" s="80">
        <f ca="1">Операции!F212/(1+Налоги!F$37)</f>
        <v>0</v>
      </c>
      <c r="G52" s="80">
        <f ca="1">Операции!G212/(1+Налоги!G$37)</f>
        <v>0</v>
      </c>
      <c r="H52" s="80">
        <f ca="1">Операции!H212/(1+Налоги!H$37)</f>
        <v>0</v>
      </c>
      <c r="I52" s="80">
        <f ca="1">Операции!I212/(1+Налоги!I$37)</f>
        <v>0</v>
      </c>
      <c r="J52" s="80">
        <f ca="1">Операции!J212/(1+Налоги!J$37)</f>
        <v>0</v>
      </c>
      <c r="K52" s="80">
        <f ca="1">Операции!K212/(1+Налоги!K$37)</f>
        <v>0</v>
      </c>
      <c r="L52" s="80">
        <f ca="1">Операции!L212/(1+Налоги!L$37)</f>
        <v>0</v>
      </c>
      <c r="M52" s="80">
        <f ca="1">Операции!M212/(1+Налоги!M$37)</f>
        <v>0</v>
      </c>
      <c r="N52" s="80">
        <f ca="1">Операции!N212/(1+Налоги!N$37)</f>
        <v>0</v>
      </c>
      <c r="O52" s="80">
        <f ca="1">Операции!O212/(1+Налоги!O$37)</f>
        <v>0</v>
      </c>
      <c r="P52" s="80">
        <f ca="1">Операции!P212/(1+Налоги!P$37)</f>
        <v>0</v>
      </c>
      <c r="Q52" s="80">
        <f ca="1">Операции!Q212/(1+Налоги!Q$37)</f>
        <v>0</v>
      </c>
      <c r="R52" s="80">
        <f ca="1">Операции!R212/(1+Налоги!R$37)</f>
        <v>43862238.709859125</v>
      </c>
      <c r="S52" s="80">
        <f ca="1">Операции!S212/(1+Налоги!S$37)</f>
        <v>44050973.981057428</v>
      </c>
      <c r="T52" s="80">
        <f ca="1">Операции!T212/(1+Налоги!T$37)</f>
        <v>44234394.219719678</v>
      </c>
      <c r="U52" s="80">
        <f ca="1">Операции!U212/(1+Налоги!U$37)</f>
        <v>44424730.842630692</v>
      </c>
      <c r="V52" s="80">
        <f ca="1">Операции!V212/(1+Налоги!V$37)</f>
        <v>44615886.466924235</v>
      </c>
      <c r="W52" s="80">
        <f ca="1">Операции!W212/(1+Налоги!W$37)</f>
        <v>44801658.898367174</v>
      </c>
      <c r="X52" s="80">
        <f ca="1">Операции!X212/(1+Налоги!X$37)</f>
        <v>44994436.41020941</v>
      </c>
      <c r="Y52" s="80">
        <f ca="1">Операции!Y212/(1+Налоги!Y$37)</f>
        <v>45181785.054722533</v>
      </c>
      <c r="Z52" s="80">
        <f ca="1">Операции!Z212/(1+Налоги!Z$37)</f>
        <v>45376198.215253025</v>
      </c>
      <c r="AA52" s="80">
        <f ca="1">Операции!AA212/(1+Налоги!AA$37)</f>
        <v>45571984.001219176</v>
      </c>
      <c r="AB52" s="80">
        <f ca="1">Операции!AB212/(1+Налоги!AB$37)</f>
        <v>45749548.765393667</v>
      </c>
      <c r="AC52" s="80">
        <f ca="1">Операции!AC212/(1+Налоги!AC$37)</f>
        <v>45946945.456058219</v>
      </c>
      <c r="AD52" s="80">
        <f ca="1">Операции!AD212/(1+Налоги!AD$37)</f>
        <v>47627269.348996051</v>
      </c>
      <c r="AE52" s="80">
        <f ca="1">Операции!AE212/(1+Налоги!AE$37)</f>
        <v>49098023.00619635</v>
      </c>
      <c r="AF52" s="80">
        <f ca="1">Операции!AF212/(1+Налоги!AF$37)</f>
        <v>50588810.836980611</v>
      </c>
      <c r="AG52" s="80">
        <f ca="1">Операции!AG212/(1+Налоги!AG$37)</f>
        <v>52204411.601489738</v>
      </c>
      <c r="AH52" s="80">
        <f ca="1">Операции!AH212/(1+Налоги!AH$37)</f>
        <v>53902467.355674282</v>
      </c>
      <c r="AI52" s="80">
        <f ca="1">Операции!AI212/(1+Налоги!AI$37)</f>
        <v>55630738.191950537</v>
      </c>
      <c r="AJ52" s="80">
        <f ca="1">Операции!AJ212/(1+Налоги!AJ$37)</f>
        <v>57511942.568097487</v>
      </c>
      <c r="AK52" s="80">
        <f ca="1">Операции!AK212/(1+Налоги!AK$37)</f>
        <v>59432765.122759961</v>
      </c>
      <c r="AL52" s="80">
        <f ca="1">Операции!AL212/(1+Налоги!AL$37)</f>
        <v>61530721.949938126</v>
      </c>
      <c r="AM52" s="80">
        <f ca="1">Операции!AM212/(1+Налоги!AM$37)</f>
        <v>63754494.096603401</v>
      </c>
      <c r="AN52" s="80">
        <f ca="1">Операции!AN212/(1+Налоги!AN$37)</f>
        <v>65881499.411035851</v>
      </c>
      <c r="AO52" s="80">
        <f ca="1">Операции!AO212/(1+Налоги!AO$37)</f>
        <v>68380429.536776781</v>
      </c>
      <c r="AP52" s="80">
        <f ca="1">Операции!AP212/(1+Налоги!AP$37)</f>
        <v>68789640.120848447</v>
      </c>
      <c r="AQ52" s="80">
        <f ca="1">Операции!AQ212/(1+Налоги!AQ$37)</f>
        <v>69222485.398666739</v>
      </c>
      <c r="AR52" s="80">
        <f ca="1">Операции!AR212/(1+Налоги!AR$37)</f>
        <v>69651586.672846645</v>
      </c>
      <c r="AS52" s="80">
        <f ca="1">Операции!AS212/(1+Налоги!AS$37)</f>
        <v>70106158.261919424</v>
      </c>
      <c r="AT52" s="80">
        <f ca="1">Операции!AT212/(1+Налоги!AT$37)</f>
        <v>70572737.000640571</v>
      </c>
      <c r="AU52" s="80">
        <f ca="1">Операции!AU212/(1+Налоги!AU$37)</f>
        <v>71036362.7304959</v>
      </c>
      <c r="AV52" s="80">
        <f ca="1">Операции!AV212/(1+Налоги!AV$37)</f>
        <v>71528675.684607506</v>
      </c>
      <c r="AW52" s="80">
        <f ca="1">Операции!AW212/(1+Налоги!AW$37)</f>
        <v>72018658.900021166</v>
      </c>
      <c r="AX52" s="80">
        <f ca="1">Операции!AX212/(1+Налоги!AX$37)</f>
        <v>72539805.99815847</v>
      </c>
      <c r="AY52" s="80">
        <f ca="1">Операции!AY212/(1+Налоги!AY$37)</f>
        <v>73076923.093895316</v>
      </c>
      <c r="AZ52" s="80">
        <f ca="1">Операции!AZ212/(1+Налоги!AZ$37)</f>
        <v>73576588.054210752</v>
      </c>
      <c r="BA52" s="80">
        <f ca="1">Операции!BA212/(1+Налоги!BA$37)</f>
        <v>74146814.119404361</v>
      </c>
      <c r="BB52" s="80">
        <f ca="1">Операции!BB212/(1+Налоги!BB$37)</f>
        <v>74456395.568649232</v>
      </c>
      <c r="BC52" s="80">
        <f ca="1">Операции!BC212/(1+Налоги!BC$37)</f>
        <v>74777654.389352173</v>
      </c>
      <c r="BD52" s="80">
        <f ca="1">Операции!BD212/(1+Налоги!BD$37)</f>
        <v>75089869.754124388</v>
      </c>
      <c r="BE52" s="80">
        <f ca="1">Операции!BE212/(1+Налоги!BE$37)</f>
        <v>75413861.841301188</v>
      </c>
      <c r="BF52" s="80">
        <f ca="1">Операции!BF212/(1+Налоги!BF$37)</f>
        <v>75739251.865015805</v>
      </c>
      <c r="BG52" s="80">
        <f ca="1">Операции!BG212/(1+Налоги!BG$37)</f>
        <v>76055482.139176145</v>
      </c>
      <c r="BH52" s="80">
        <f ca="1">Операции!BH212/(1+Налоги!BH$37)</f>
        <v>76383640.577593923</v>
      </c>
      <c r="BI52" s="80">
        <f ca="1">Операции!BI212/(1+Налоги!BI$37)</f>
        <v>76702561.335410044</v>
      </c>
      <c r="BJ52" s="80">
        <f ca="1">Операции!BJ212/(1+Налоги!BJ$37)</f>
        <v>77033511.742172465</v>
      </c>
      <c r="BK52" s="80">
        <f ca="1">Операции!BK212/(1+Налоги!BK$37)</f>
        <v>77364980.020072937</v>
      </c>
      <c r="BL52" s="80">
        <f ca="1">Операции!BL212/(1+Налоги!BL$37)</f>
        <v>77676354.348046526</v>
      </c>
      <c r="BM52" s="80">
        <f ca="1">Операции!BM212/(1+Налоги!BM$37)</f>
        <v>78010588.719906777</v>
      </c>
      <c r="BN52" s="80">
        <f ca="1">Операции!BN212/(1+Налоги!BN$37)</f>
        <v>78335410.613909408</v>
      </c>
      <c r="BO52" s="80">
        <f ca="1">Операции!BO212/(1+Налоги!BO$37)</f>
        <v>78672480.845651209</v>
      </c>
      <c r="BP52" s="80">
        <f ca="1">Операции!BP212/(1+Налоги!BP$37)</f>
        <v>79000058.738005325</v>
      </c>
      <c r="BQ52" s="80">
        <f ca="1">Операции!BQ212/(1+Налоги!BQ$37)</f>
        <v>79339988.890892118</v>
      </c>
      <c r="BR52" s="80">
        <f ca="1">Операции!BR212/(1+Налоги!BR$37)</f>
        <v>79681381.7326767</v>
      </c>
      <c r="BS52" s="80">
        <f ca="1">Операции!BS212/(1+Налоги!BS$37)</f>
        <v>80013160.504710883</v>
      </c>
      <c r="BT52" s="80">
        <f ca="1">Операции!BT212/(1+Налоги!BT$37)</f>
        <v>80357449.943450704</v>
      </c>
      <c r="BU52" s="80">
        <f ca="1">Операции!BU212/(1+Налоги!BU$37)</f>
        <v>80692043.740474463</v>
      </c>
      <c r="BV52" s="80">
        <f ca="1">Операции!BV212/(1+Налоги!BV$37)</f>
        <v>81039254.352765456</v>
      </c>
      <c r="BW52" s="80">
        <f ca="1">Операции!BW212/(1+Налоги!BW$37)</f>
        <v>81388916.394356102</v>
      </c>
      <c r="BX52" s="80">
        <f ca="1">Операции!BX212/(1+Налоги!BX$37)</f>
        <v>81706036.749388158</v>
      </c>
      <c r="BY52" s="80">
        <f ca="1">Операции!BY212/(1+Налоги!BY$37)</f>
        <v>82058575.773201317</v>
      </c>
      <c r="BZ52" s="80">
        <f ca="1">Операции!BZ212/(1+Налоги!BZ$37)</f>
        <v>82401190.801406443</v>
      </c>
      <c r="CA52" s="80">
        <f ca="1">Операции!CA212/(1+Налоги!CA$37)</f>
        <v>82756729.223313645</v>
      </c>
      <c r="CB52" s="80">
        <f ca="1">Операции!CB212/(1+Налоги!CB$37)</f>
        <v>83102259.216368526</v>
      </c>
      <c r="CC52" s="80">
        <f ca="1">Операции!CC212/(1+Налоги!CC$37)</f>
        <v>83460822.555215433</v>
      </c>
      <c r="CD52" s="80">
        <f ca="1">Операции!CD212/(1+Налоги!CD$37)</f>
        <v>83820932.996020511</v>
      </c>
      <c r="CE52" s="80">
        <f ca="1">Операции!CE212/(1+Налоги!CE$37)</f>
        <v>84170906.305354863</v>
      </c>
      <c r="CF52" s="80">
        <f ca="1">Операции!CF212/(1+Налоги!CF$37)</f>
        <v>84534080.561785579</v>
      </c>
      <c r="CG52" s="80">
        <f ca="1">Операции!CG212/(1+Налоги!CG$37)</f>
        <v>84887031.440143719</v>
      </c>
      <c r="CH52" s="80">
        <f ca="1">Операции!CH212/(1+Налоги!CH$37)</f>
        <v>85253295.579109326</v>
      </c>
      <c r="CI52" s="80">
        <f ca="1">Операции!CI212/(1+Налоги!CI$37)</f>
        <v>85621140.046862662</v>
      </c>
      <c r="CJ52" s="80">
        <f ca="1">Операции!CJ212/(1+Налоги!CJ$37)</f>
        <v>85954750.660356387</v>
      </c>
      <c r="CK52" s="80">
        <f ca="1">Операции!CK212/(1+Налоги!CK$37)</f>
        <v>86325621.713407844</v>
      </c>
    </row>
    <row r="53" spans="2:89">
      <c r="B53" s="77" t="s">
        <v>299</v>
      </c>
      <c r="C53" s="124"/>
      <c r="D53" s="124"/>
      <c r="E53" s="124"/>
      <c r="F53" s="80">
        <f t="shared" ref="F53:AK53" ca="1" si="36">F52*F37/F26</f>
        <v>0</v>
      </c>
      <c r="G53" s="80">
        <f t="shared" ca="1" si="36"/>
        <v>0</v>
      </c>
      <c r="H53" s="80">
        <f t="shared" ca="1" si="36"/>
        <v>0</v>
      </c>
      <c r="I53" s="80">
        <f t="shared" ca="1" si="36"/>
        <v>0</v>
      </c>
      <c r="J53" s="80">
        <f t="shared" ca="1" si="36"/>
        <v>0</v>
      </c>
      <c r="K53" s="80">
        <f t="shared" ca="1" si="36"/>
        <v>0</v>
      </c>
      <c r="L53" s="80">
        <f t="shared" ca="1" si="36"/>
        <v>0</v>
      </c>
      <c r="M53" s="80">
        <f t="shared" ca="1" si="36"/>
        <v>0</v>
      </c>
      <c r="N53" s="80">
        <f t="shared" ca="1" si="36"/>
        <v>0</v>
      </c>
      <c r="O53" s="80">
        <f t="shared" ca="1" si="36"/>
        <v>0</v>
      </c>
      <c r="P53" s="80">
        <f t="shared" ca="1" si="36"/>
        <v>0</v>
      </c>
      <c r="Q53" s="80">
        <f t="shared" ca="1" si="36"/>
        <v>0</v>
      </c>
      <c r="R53" s="80">
        <f t="shared" ca="1" si="36"/>
        <v>30703567.096901391</v>
      </c>
      <c r="S53" s="80">
        <f t="shared" ca="1" si="36"/>
        <v>29840982.37426471</v>
      </c>
      <c r="T53" s="80">
        <f t="shared" ca="1" si="36"/>
        <v>30964075.953803774</v>
      </c>
      <c r="U53" s="80">
        <f t="shared" ca="1" si="36"/>
        <v>30094172.50629821</v>
      </c>
      <c r="V53" s="80">
        <f t="shared" ca="1" si="36"/>
        <v>30223665.025980935</v>
      </c>
      <c r="W53" s="80">
        <f t="shared" ca="1" si="36"/>
        <v>31361161.228857022</v>
      </c>
      <c r="X53" s="80">
        <f t="shared" ca="1" si="36"/>
        <v>30480102.084335409</v>
      </c>
      <c r="Y53" s="80">
        <f t="shared" ca="1" si="36"/>
        <v>31627249.538305771</v>
      </c>
      <c r="Z53" s="80">
        <f t="shared" ca="1" si="36"/>
        <v>30738714.920010112</v>
      </c>
      <c r="AA53" s="80">
        <f t="shared" ca="1" si="36"/>
        <v>30871344.000825893</v>
      </c>
      <c r="AB53" s="80">
        <f t="shared" ca="1" si="36"/>
        <v>34312161.574045248</v>
      </c>
      <c r="AC53" s="80">
        <f t="shared" ca="1" si="36"/>
        <v>31125350.147652343</v>
      </c>
      <c r="AD53" s="80">
        <f t="shared" ca="1" si="36"/>
        <v>33339088.544297233</v>
      </c>
      <c r="AE53" s="80">
        <f t="shared" ca="1" si="36"/>
        <v>33259951.068713658</v>
      </c>
      <c r="AF53" s="80">
        <f t="shared" ca="1" si="36"/>
        <v>35412167.585886426</v>
      </c>
      <c r="AG53" s="80">
        <f t="shared" ca="1" si="36"/>
        <v>35364278.826815628</v>
      </c>
      <c r="AH53" s="80">
        <f t="shared" ca="1" si="36"/>
        <v>36514574.660295479</v>
      </c>
      <c r="AI53" s="80">
        <f t="shared" ca="1" si="36"/>
        <v>38941516.734365374</v>
      </c>
      <c r="AJ53" s="80">
        <f t="shared" ca="1" si="36"/>
        <v>38959703.030001529</v>
      </c>
      <c r="AK53" s="80">
        <f t="shared" ca="1" si="36"/>
        <v>41602935.585931972</v>
      </c>
      <c r="AL53" s="80">
        <f t="shared" ref="AL53:BM53" ca="1" si="37">AL52*AL37/AL26</f>
        <v>41682101.966087118</v>
      </c>
      <c r="AM53" s="80">
        <f t="shared" ca="1" si="37"/>
        <v>43188528.258989401</v>
      </c>
      <c r="AN53" s="80">
        <f t="shared" ca="1" si="37"/>
        <v>49411124.558276892</v>
      </c>
      <c r="AO53" s="80">
        <f t="shared" ca="1" si="37"/>
        <v>46322226.460397176</v>
      </c>
      <c r="AP53" s="80">
        <f t="shared" ca="1" si="37"/>
        <v>48152748.084593914</v>
      </c>
      <c r="AQ53" s="80">
        <f t="shared" ca="1" si="37"/>
        <v>46892651.399096824</v>
      </c>
      <c r="AR53" s="80">
        <f t="shared" ca="1" si="37"/>
        <v>48756110.67099265</v>
      </c>
      <c r="AS53" s="80">
        <f t="shared" ca="1" si="37"/>
        <v>47491268.500009932</v>
      </c>
      <c r="AT53" s="80">
        <f t="shared" ca="1" si="37"/>
        <v>47807337.968175873</v>
      </c>
      <c r="AU53" s="80">
        <f t="shared" ca="1" si="37"/>
        <v>49725453.911347128</v>
      </c>
      <c r="AV53" s="80">
        <f t="shared" ca="1" si="37"/>
        <v>48454909.334734119</v>
      </c>
      <c r="AW53" s="80">
        <f t="shared" ca="1" si="37"/>
        <v>50413061.230014816</v>
      </c>
      <c r="AX53" s="80">
        <f t="shared" ca="1" si="37"/>
        <v>49139868.579397671</v>
      </c>
      <c r="AY53" s="80">
        <f t="shared" ca="1" si="37"/>
        <v>49503722.095864572</v>
      </c>
      <c r="AZ53" s="80">
        <f t="shared" ca="1" si="37"/>
        <v>55182441.040658064</v>
      </c>
      <c r="BA53" s="80">
        <f t="shared" ca="1" si="37"/>
        <v>50228486.984112635</v>
      </c>
      <c r="BB53" s="80">
        <f t="shared" ca="1" si="37"/>
        <v>52119476.898054466</v>
      </c>
      <c r="BC53" s="80">
        <f t="shared" ca="1" si="37"/>
        <v>50655830.392786957</v>
      </c>
      <c r="BD53" s="80">
        <f t="shared" ca="1" si="37"/>
        <v>52562908.827887073</v>
      </c>
      <c r="BE53" s="80">
        <f t="shared" ca="1" si="37"/>
        <v>51086809.634429842</v>
      </c>
      <c r="BF53" s="80">
        <f t="shared" ca="1" si="37"/>
        <v>51307235.134365544</v>
      </c>
      <c r="BG53" s="80">
        <f t="shared" ca="1" si="37"/>
        <v>53238837.497423299</v>
      </c>
      <c r="BH53" s="80">
        <f t="shared" ca="1" si="37"/>
        <v>51743756.520305559</v>
      </c>
      <c r="BI53" s="80">
        <f t="shared" ca="1" si="37"/>
        <v>53691792.934787028</v>
      </c>
      <c r="BJ53" s="80">
        <f t="shared" ca="1" si="37"/>
        <v>52183991.82534264</v>
      </c>
      <c r="BK53" s="80">
        <f t="shared" ca="1" si="37"/>
        <v>52408534.852307476</v>
      </c>
      <c r="BL53" s="80">
        <f t="shared" ca="1" si="37"/>
        <v>56248394.527895764</v>
      </c>
      <c r="BM53" s="80">
        <f t="shared" ca="1" si="37"/>
        <v>52845882.68122717</v>
      </c>
      <c r="BN53" s="80">
        <f t="shared" ref="BN53:CK53" ca="1" si="38">BN52*BN37/BN26</f>
        <v>54834787.429736584</v>
      </c>
      <c r="BO53" s="80">
        <f t="shared" ca="1" si="38"/>
        <v>53294261.218021788</v>
      </c>
      <c r="BP53" s="80">
        <f t="shared" ca="1" si="38"/>
        <v>55300041.116603725</v>
      </c>
      <c r="BQ53" s="80">
        <f t="shared" ca="1" si="38"/>
        <v>53746444.087378532</v>
      </c>
      <c r="BR53" s="80">
        <f t="shared" ca="1" si="38"/>
        <v>53977710.206006795</v>
      </c>
      <c r="BS53" s="80">
        <f t="shared" ca="1" si="38"/>
        <v>56009212.353297614</v>
      </c>
      <c r="BT53" s="80">
        <f t="shared" ca="1" si="38"/>
        <v>54435691.897176281</v>
      </c>
      <c r="BU53" s="80">
        <f t="shared" ca="1" si="38"/>
        <v>56484430.618332125</v>
      </c>
      <c r="BV53" s="80">
        <f t="shared" ca="1" si="38"/>
        <v>54897559.400260471</v>
      </c>
      <c r="BW53" s="80">
        <f t="shared" ca="1" si="38"/>
        <v>55134427.234886393</v>
      </c>
      <c r="BX53" s="80">
        <f t="shared" ca="1" si="38"/>
        <v>61279527.562041119</v>
      </c>
      <c r="BY53" s="80">
        <f t="shared" ca="1" si="38"/>
        <v>55588067.459265411</v>
      </c>
      <c r="BZ53" s="80">
        <f t="shared" ca="1" si="38"/>
        <v>57680833.560984507</v>
      </c>
      <c r="CA53" s="80">
        <f t="shared" ca="1" si="38"/>
        <v>56061010.119018927</v>
      </c>
      <c r="CB53" s="80">
        <f t="shared" ca="1" si="38"/>
        <v>58171581.45145797</v>
      </c>
      <c r="CC53" s="80">
        <f t="shared" ca="1" si="38"/>
        <v>56537976.569662072</v>
      </c>
      <c r="CD53" s="80">
        <f t="shared" ca="1" si="38"/>
        <v>56781922.352142923</v>
      </c>
      <c r="CE53" s="80">
        <f t="shared" ca="1" si="38"/>
        <v>58919634.413748406</v>
      </c>
      <c r="CF53" s="80">
        <f t="shared" ca="1" si="38"/>
        <v>57265022.316048302</v>
      </c>
      <c r="CG53" s="80">
        <f t="shared" ca="1" si="38"/>
        <v>59420922.008100607</v>
      </c>
      <c r="CH53" s="80">
        <f t="shared" ca="1" si="38"/>
        <v>57752232.489074059</v>
      </c>
      <c r="CI53" s="80">
        <f t="shared" ca="1" si="38"/>
        <v>58001417.451100513</v>
      </c>
      <c r="CJ53" s="80">
        <f t="shared" ca="1" si="38"/>
        <v>64466062.995267287</v>
      </c>
      <c r="CK53" s="80">
        <f t="shared" ca="1" si="38"/>
        <v>58478646.967147253</v>
      </c>
    </row>
    <row r="54" spans="2:89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</row>
    <row r="55" spans="2:89" ht="15.75" thickBot="1">
      <c r="B55" s="96" t="str">
        <f>"Итого запасы, в "&amp;Ед_измерения_денег&amp;" без НДС"</f>
        <v>Итого запасы, в  руб. без НДС</v>
      </c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</row>
    <row r="56" spans="2:89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</row>
    <row r="57" spans="2:89">
      <c r="B57" s="77" t="s">
        <v>57</v>
      </c>
      <c r="C57" s="78"/>
      <c r="D57" s="98">
        <v>0</v>
      </c>
      <c r="E57" s="79"/>
      <c r="F57" s="80">
        <f>E60</f>
        <v>0</v>
      </c>
      <c r="G57" s="80">
        <f t="shared" ref="G57:BM57" ca="1" si="39">F60</f>
        <v>0</v>
      </c>
      <c r="H57" s="80">
        <f t="shared" ca="1" si="39"/>
        <v>0</v>
      </c>
      <c r="I57" s="80">
        <f t="shared" ca="1" si="39"/>
        <v>0</v>
      </c>
      <c r="J57" s="80">
        <f t="shared" ca="1" si="39"/>
        <v>0</v>
      </c>
      <c r="K57" s="80">
        <f t="shared" ca="1" si="39"/>
        <v>0</v>
      </c>
      <c r="L57" s="80">
        <f t="shared" ca="1" si="39"/>
        <v>0</v>
      </c>
      <c r="M57" s="80">
        <f t="shared" ca="1" si="39"/>
        <v>0</v>
      </c>
      <c r="N57" s="80">
        <f t="shared" ca="1" si="39"/>
        <v>0</v>
      </c>
      <c r="O57" s="80">
        <f t="shared" ca="1" si="39"/>
        <v>0</v>
      </c>
      <c r="P57" s="80">
        <f t="shared" ca="1" si="39"/>
        <v>0</v>
      </c>
      <c r="Q57" s="80">
        <f t="shared" ca="1" si="39"/>
        <v>0</v>
      </c>
      <c r="R57" s="80">
        <f t="shared" ca="1" si="39"/>
        <v>936420.61385559302</v>
      </c>
      <c r="S57" s="80">
        <f t="shared" ca="1" si="39"/>
        <v>30703567.096901394</v>
      </c>
      <c r="T57" s="80">
        <f t="shared" ca="1" si="39"/>
        <v>29840982.37426471</v>
      </c>
      <c r="U57" s="80">
        <f t="shared" ca="1" si="39"/>
        <v>30964075.953803778</v>
      </c>
      <c r="V57" s="80">
        <f t="shared" ca="1" si="39"/>
        <v>30094172.506298207</v>
      </c>
      <c r="W57" s="80">
        <f t="shared" ca="1" si="39"/>
        <v>30223665.025980935</v>
      </c>
      <c r="X57" s="80">
        <f t="shared" ca="1" si="39"/>
        <v>31361161.228857018</v>
      </c>
      <c r="Y57" s="80">
        <f t="shared" ca="1" si="39"/>
        <v>30480102.084335409</v>
      </c>
      <c r="Z57" s="80">
        <f t="shared" ca="1" si="39"/>
        <v>31627249.538305774</v>
      </c>
      <c r="AA57" s="80">
        <f t="shared" ca="1" si="39"/>
        <v>30738714.92001012</v>
      </c>
      <c r="AB57" s="80">
        <f t="shared" ca="1" si="39"/>
        <v>30871344.000825889</v>
      </c>
      <c r="AC57" s="80">
        <f t="shared" ca="1" si="39"/>
        <v>34312161.574045248</v>
      </c>
      <c r="AD57" s="80">
        <f t="shared" ca="1" si="39"/>
        <v>31125350.147652343</v>
      </c>
      <c r="AE57" s="80">
        <f t="shared" ca="1" si="39"/>
        <v>33339088.544297241</v>
      </c>
      <c r="AF57" s="80">
        <f t="shared" ca="1" si="39"/>
        <v>33259951.068713665</v>
      </c>
      <c r="AG57" s="80">
        <f t="shared" ca="1" si="39"/>
        <v>35412167.585886419</v>
      </c>
      <c r="AH57" s="80">
        <f t="shared" ca="1" si="39"/>
        <v>35364278.82681562</v>
      </c>
      <c r="AI57" s="80">
        <f t="shared" ca="1" si="39"/>
        <v>36514574.660295472</v>
      </c>
      <c r="AJ57" s="80">
        <f t="shared" ca="1" si="39"/>
        <v>38941516.734365366</v>
      </c>
      <c r="AK57" s="80">
        <f t="shared" ca="1" si="39"/>
        <v>38959703.030001536</v>
      </c>
      <c r="AL57" s="80">
        <f t="shared" ca="1" si="39"/>
        <v>41602935.585931964</v>
      </c>
      <c r="AM57" s="80">
        <f t="shared" ca="1" si="39"/>
        <v>41682101.966087125</v>
      </c>
      <c r="AN57" s="80">
        <f t="shared" ca="1" si="39"/>
        <v>43188528.258989401</v>
      </c>
      <c r="AO57" s="80">
        <f t="shared" ca="1" si="39"/>
        <v>49411124.558276877</v>
      </c>
      <c r="AP57" s="80">
        <f t="shared" ca="1" si="39"/>
        <v>46322226.460397184</v>
      </c>
      <c r="AQ57" s="80">
        <f t="shared" ca="1" si="39"/>
        <v>48152748.084593922</v>
      </c>
      <c r="AR57" s="80">
        <f t="shared" ca="1" si="39"/>
        <v>46892651.399096817</v>
      </c>
      <c r="AS57" s="80">
        <f t="shared" ca="1" si="39"/>
        <v>48756110.670992643</v>
      </c>
      <c r="AT57" s="80">
        <f t="shared" ca="1" si="39"/>
        <v>47491268.500009939</v>
      </c>
      <c r="AU57" s="80">
        <f t="shared" ca="1" si="39"/>
        <v>47807337.968175873</v>
      </c>
      <c r="AV57" s="80">
        <f t="shared" ca="1" si="39"/>
        <v>49725453.911347121</v>
      </c>
      <c r="AW57" s="80">
        <f t="shared" ca="1" si="39"/>
        <v>48454909.334734112</v>
      </c>
      <c r="AX57" s="80">
        <f t="shared" ca="1" si="39"/>
        <v>50413061.230014816</v>
      </c>
      <c r="AY57" s="80">
        <f t="shared" ca="1" si="39"/>
        <v>49139868.579397663</v>
      </c>
      <c r="AZ57" s="80">
        <f t="shared" ca="1" si="39"/>
        <v>49503722.095864564</v>
      </c>
      <c r="BA57" s="80">
        <f t="shared" ca="1" si="39"/>
        <v>55182441.040658057</v>
      </c>
      <c r="BB57" s="80">
        <f t="shared" ca="1" si="39"/>
        <v>50228486.984112635</v>
      </c>
      <c r="BC57" s="80">
        <f t="shared" ca="1" si="39"/>
        <v>52119476.898054466</v>
      </c>
      <c r="BD57" s="80">
        <f t="shared" ca="1" si="39"/>
        <v>50655830.39278695</v>
      </c>
      <c r="BE57" s="80">
        <f t="shared" ca="1" si="39"/>
        <v>52562908.827887073</v>
      </c>
      <c r="BF57" s="80">
        <f t="shared" ca="1" si="39"/>
        <v>51086809.634429842</v>
      </c>
      <c r="BG57" s="80">
        <f t="shared" ca="1" si="39"/>
        <v>51307235.134365544</v>
      </c>
      <c r="BH57" s="80">
        <f t="shared" ca="1" si="39"/>
        <v>53238837.497423306</v>
      </c>
      <c r="BI57" s="80">
        <f t="shared" ca="1" si="39"/>
        <v>51743756.520305559</v>
      </c>
      <c r="BJ57" s="80">
        <f t="shared" ca="1" si="39"/>
        <v>53691792.93478702</v>
      </c>
      <c r="BK57" s="80">
        <f t="shared" ca="1" si="39"/>
        <v>52183991.82534264</v>
      </c>
      <c r="BL57" s="80">
        <f t="shared" ca="1" si="39"/>
        <v>52408534.852307469</v>
      </c>
      <c r="BM57" s="80">
        <f t="shared" ca="1" si="39"/>
        <v>56248394.527895764</v>
      </c>
      <c r="BN57" s="80">
        <f t="shared" ref="BN57" ca="1" si="40">BM60</f>
        <v>52845882.681227177</v>
      </c>
      <c r="BO57" s="80">
        <f t="shared" ref="BO57" ca="1" si="41">BN60</f>
        <v>54834787.429736584</v>
      </c>
      <c r="BP57" s="80">
        <f t="shared" ref="BP57" ca="1" si="42">BO60</f>
        <v>53294261.21802178</v>
      </c>
      <c r="BQ57" s="80">
        <f t="shared" ref="BQ57" ca="1" si="43">BP60</f>
        <v>55300041.116603717</v>
      </c>
      <c r="BR57" s="80">
        <f t="shared" ref="BR57" ca="1" si="44">BQ60</f>
        <v>53746444.087378532</v>
      </c>
      <c r="BS57" s="80">
        <f t="shared" ref="BS57" ca="1" si="45">BR60</f>
        <v>53977710.206006795</v>
      </c>
      <c r="BT57" s="80">
        <f t="shared" ref="BT57" ca="1" si="46">BS60</f>
        <v>56009212.353297621</v>
      </c>
      <c r="BU57" s="80">
        <f t="shared" ref="BU57" ca="1" si="47">BT60</f>
        <v>54435691.897176281</v>
      </c>
      <c r="BV57" s="80">
        <f t="shared" ref="BV57" ca="1" si="48">BU60</f>
        <v>56484430.618332118</v>
      </c>
      <c r="BW57" s="80">
        <f t="shared" ref="BW57" ca="1" si="49">BV60</f>
        <v>54897559.400260463</v>
      </c>
      <c r="BX57" s="80">
        <f t="shared" ref="BX57" ca="1" si="50">BW60</f>
        <v>55134427.234886378</v>
      </c>
      <c r="BY57" s="80">
        <f t="shared" ref="BY57" ca="1" si="51">BX60</f>
        <v>61279527.562041104</v>
      </c>
      <c r="BZ57" s="80">
        <f t="shared" ref="BZ57" ca="1" si="52">BY60</f>
        <v>55588067.459265411</v>
      </c>
      <c r="CA57" s="80">
        <f t="shared" ref="CA57" ca="1" si="53">BZ60</f>
        <v>57680833.560984492</v>
      </c>
      <c r="CB57" s="80">
        <f t="shared" ref="CB57" ca="1" si="54">CA60</f>
        <v>56061010.119018927</v>
      </c>
      <c r="CC57" s="80">
        <f t="shared" ref="CC57" ca="1" si="55">CB60</f>
        <v>58171581.451457977</v>
      </c>
      <c r="CD57" s="80">
        <f t="shared" ref="CD57" ca="1" si="56">CC60</f>
        <v>56537976.569662079</v>
      </c>
      <c r="CE57" s="80">
        <f t="shared" ref="CE57" ca="1" si="57">CD60</f>
        <v>56781922.352142915</v>
      </c>
      <c r="CF57" s="80">
        <f t="shared" ref="CF57" ca="1" si="58">CE60</f>
        <v>58919634.413748413</v>
      </c>
      <c r="CG57" s="80">
        <f t="shared" ref="CG57" ca="1" si="59">CF60</f>
        <v>57265022.316048294</v>
      </c>
      <c r="CH57" s="80">
        <f t="shared" ref="CH57" ca="1" si="60">CG60</f>
        <v>59420922.008100614</v>
      </c>
      <c r="CI57" s="80">
        <f t="shared" ref="CI57" ca="1" si="61">CH60</f>
        <v>57752232.489074066</v>
      </c>
      <c r="CJ57" s="80">
        <f t="shared" ref="CJ57" ca="1" si="62">CI60</f>
        <v>58001417.451100528</v>
      </c>
      <c r="CK57" s="80">
        <f t="shared" ref="CK57" ca="1" si="63">CJ60</f>
        <v>64466062.995267287</v>
      </c>
    </row>
    <row r="58" spans="2:89">
      <c r="B58" s="77" t="s">
        <v>298</v>
      </c>
      <c r="C58" s="78"/>
      <c r="D58" s="98">
        <f ca="1">SUM(F58:CK58)</f>
        <v>5028377108.7304249</v>
      </c>
      <c r="E58" s="79"/>
      <c r="F58" s="80">
        <f ca="1">MAX(F46+(SUM(F52:F53)-F57),0)</f>
        <v>0</v>
      </c>
      <c r="G58" s="80">
        <f t="shared" ref="G58:BM58" ca="1" si="64">MAX(G46+(SUM(G52:G53)-G57),0)</f>
        <v>0</v>
      </c>
      <c r="H58" s="80">
        <f t="shared" ca="1" si="64"/>
        <v>0</v>
      </c>
      <c r="I58" s="80">
        <f t="shared" ca="1" si="64"/>
        <v>0</v>
      </c>
      <c r="J58" s="80">
        <f t="shared" ca="1" si="64"/>
        <v>0</v>
      </c>
      <c r="K58" s="80">
        <f t="shared" ca="1" si="64"/>
        <v>0</v>
      </c>
      <c r="L58" s="80">
        <f t="shared" ca="1" si="64"/>
        <v>0</v>
      </c>
      <c r="M58" s="80">
        <f t="shared" ca="1" si="64"/>
        <v>0</v>
      </c>
      <c r="N58" s="80">
        <f t="shared" ca="1" si="64"/>
        <v>0</v>
      </c>
      <c r="O58" s="80">
        <f t="shared" ca="1" si="64"/>
        <v>0</v>
      </c>
      <c r="P58" s="80">
        <f t="shared" ca="1" si="64"/>
        <v>0</v>
      </c>
      <c r="Q58" s="80">
        <f t="shared" ca="1" si="64"/>
        <v>936420.61385559302</v>
      </c>
      <c r="R58" s="80">
        <f t="shared" ca="1" si="64"/>
        <v>73629385.192904919</v>
      </c>
      <c r="S58" s="80">
        <f t="shared" ca="1" si="64"/>
        <v>43188389.258420743</v>
      </c>
      <c r="T58" s="80">
        <f t="shared" ca="1" si="64"/>
        <v>45357487.799258746</v>
      </c>
      <c r="U58" s="80">
        <f t="shared" ca="1" si="64"/>
        <v>43554827.395125121</v>
      </c>
      <c r="V58" s="80">
        <f t="shared" ca="1" si="64"/>
        <v>44745378.986606963</v>
      </c>
      <c r="W58" s="80">
        <f t="shared" ca="1" si="64"/>
        <v>45939155.101243258</v>
      </c>
      <c r="X58" s="80">
        <f t="shared" ca="1" si="64"/>
        <v>44113377.265687801</v>
      </c>
      <c r="Y58" s="80">
        <f t="shared" ca="1" si="64"/>
        <v>46328932.508692898</v>
      </c>
      <c r="Z58" s="80">
        <f t="shared" ca="1" si="64"/>
        <v>44487663.596957371</v>
      </c>
      <c r="AA58" s="80">
        <f t="shared" ca="1" si="64"/>
        <v>45704613.082034945</v>
      </c>
      <c r="AB58" s="80">
        <f t="shared" ca="1" si="64"/>
        <v>49190366.338613026</v>
      </c>
      <c r="AC58" s="80">
        <f t="shared" ca="1" si="64"/>
        <v>42760134.029665314</v>
      </c>
      <c r="AD58" s="80">
        <f t="shared" ca="1" si="64"/>
        <v>49841007.745640948</v>
      </c>
      <c r="AE58" s="80">
        <f t="shared" ca="1" si="64"/>
        <v>49018885.530612774</v>
      </c>
      <c r="AF58" s="80">
        <f t="shared" ca="1" si="64"/>
        <v>52741027.354153365</v>
      </c>
      <c r="AG58" s="80">
        <f t="shared" ca="1" si="64"/>
        <v>52156522.842418939</v>
      </c>
      <c r="AH58" s="80">
        <f t="shared" ca="1" si="64"/>
        <v>55052763.189154133</v>
      </c>
      <c r="AI58" s="80">
        <f t="shared" ca="1" si="64"/>
        <v>58057680.266020432</v>
      </c>
      <c r="AJ58" s="80">
        <f t="shared" ca="1" si="64"/>
        <v>57530128.863733657</v>
      </c>
      <c r="AK58" s="80">
        <f t="shared" ca="1" si="64"/>
        <v>62075997.678690389</v>
      </c>
      <c r="AL58" s="80">
        <f t="shared" ca="1" si="64"/>
        <v>61609888.330093287</v>
      </c>
      <c r="AM58" s="80">
        <f t="shared" ca="1" si="64"/>
        <v>65260920.389505677</v>
      </c>
      <c r="AN58" s="80">
        <f t="shared" ca="1" si="64"/>
        <v>72104095.710323334</v>
      </c>
      <c r="AO58" s="80">
        <f t="shared" ca="1" si="64"/>
        <v>65291531.438897088</v>
      </c>
      <c r="AP58" s="80">
        <f t="shared" ca="1" si="64"/>
        <v>70620161.745045185</v>
      </c>
      <c r="AQ58" s="80">
        <f t="shared" ca="1" si="64"/>
        <v>67962388.713169634</v>
      </c>
      <c r="AR58" s="80">
        <f t="shared" ca="1" si="64"/>
        <v>71515045.944742471</v>
      </c>
      <c r="AS58" s="80">
        <f t="shared" ca="1" si="64"/>
        <v>68841316.09093672</v>
      </c>
      <c r="AT58" s="80">
        <f t="shared" ca="1" si="64"/>
        <v>70888806.468806505</v>
      </c>
      <c r="AU58" s="80">
        <f t="shared" ca="1" si="64"/>
        <v>72954478.673667148</v>
      </c>
      <c r="AV58" s="80">
        <f t="shared" ca="1" si="64"/>
        <v>70258131.107994497</v>
      </c>
      <c r="AW58" s="80">
        <f t="shared" ca="1" si="64"/>
        <v>73976810.79530187</v>
      </c>
      <c r="AX58" s="80">
        <f t="shared" ca="1" si="64"/>
        <v>71266613.347541317</v>
      </c>
      <c r="AY58" s="80">
        <f t="shared" ca="1" si="64"/>
        <v>73440776.610362217</v>
      </c>
      <c r="AZ58" s="80">
        <f t="shared" ca="1" si="64"/>
        <v>79255306.999004245</v>
      </c>
      <c r="BA58" s="80">
        <f t="shared" ca="1" si="64"/>
        <v>69192860.062858939</v>
      </c>
      <c r="BB58" s="80">
        <f t="shared" ca="1" si="64"/>
        <v>76347385.482591063</v>
      </c>
      <c r="BC58" s="80">
        <f t="shared" ca="1" si="64"/>
        <v>73314007.884084657</v>
      </c>
      <c r="BD58" s="80">
        <f t="shared" ca="1" si="64"/>
        <v>76996948.189224511</v>
      </c>
      <c r="BE58" s="80">
        <f t="shared" ca="1" si="64"/>
        <v>73937762.647843957</v>
      </c>
      <c r="BF58" s="80">
        <f t="shared" ca="1" si="64"/>
        <v>75959677.364951506</v>
      </c>
      <c r="BG58" s="80">
        <f t="shared" ca="1" si="64"/>
        <v>77987084.502233908</v>
      </c>
      <c r="BH58" s="80">
        <f t="shared" ca="1" si="64"/>
        <v>74888559.600476176</v>
      </c>
      <c r="BI58" s="80">
        <f t="shared" ca="1" si="64"/>
        <v>78650597.749891505</v>
      </c>
      <c r="BJ58" s="80">
        <f t="shared" ca="1" si="64"/>
        <v>75525710.632728085</v>
      </c>
      <c r="BK58" s="80">
        <f t="shared" ca="1" si="64"/>
        <v>77589523.047037765</v>
      </c>
      <c r="BL58" s="80">
        <f t="shared" ca="1" si="64"/>
        <v>81516214.023634821</v>
      </c>
      <c r="BM58" s="80">
        <f t="shared" ca="1" si="64"/>
        <v>74608076.873238191</v>
      </c>
      <c r="BN58" s="80">
        <f t="shared" ref="BN58:CK58" ca="1" si="65">MAX(BN46+(SUM(BN52:BN53)-BN57),0)</f>
        <v>80324315.362418815</v>
      </c>
      <c r="BO58" s="80">
        <f t="shared" ca="1" si="65"/>
        <v>77131954.633936405</v>
      </c>
      <c r="BP58" s="80">
        <f t="shared" ca="1" si="65"/>
        <v>81005838.636587262</v>
      </c>
      <c r="BQ58" s="80">
        <f t="shared" ca="1" si="65"/>
        <v>77786391.861666933</v>
      </c>
      <c r="BR58" s="80">
        <f t="shared" ca="1" si="65"/>
        <v>79912647.851304963</v>
      </c>
      <c r="BS58" s="80">
        <f t="shared" ca="1" si="65"/>
        <v>82044662.652001709</v>
      </c>
      <c r="BT58" s="80">
        <f t="shared" ca="1" si="65"/>
        <v>78783929.487329364</v>
      </c>
      <c r="BU58" s="80">
        <f t="shared" ca="1" si="65"/>
        <v>82740782.4616303</v>
      </c>
      <c r="BV58" s="80">
        <f t="shared" ca="1" si="65"/>
        <v>79452383.134693801</v>
      </c>
      <c r="BW58" s="80">
        <f t="shared" ca="1" si="65"/>
        <v>81625784.228982016</v>
      </c>
      <c r="BX58" s="80">
        <f t="shared" ca="1" si="65"/>
        <v>87851137.076542884</v>
      </c>
      <c r="BY58" s="80">
        <f t="shared" ca="1" si="65"/>
        <v>76367115.670425624</v>
      </c>
      <c r="BZ58" s="80">
        <f t="shared" ca="1" si="65"/>
        <v>84493956.903125525</v>
      </c>
      <c r="CA58" s="80">
        <f t="shared" ca="1" si="65"/>
        <v>81136905.781348079</v>
      </c>
      <c r="CB58" s="80">
        <f t="shared" ca="1" si="65"/>
        <v>85212830.548807576</v>
      </c>
      <c r="CC58" s="80">
        <f t="shared" ca="1" si="65"/>
        <v>81827217.673419535</v>
      </c>
      <c r="CD58" s="80">
        <f t="shared" ca="1" si="65"/>
        <v>84064878.778501347</v>
      </c>
      <c r="CE58" s="80">
        <f t="shared" ca="1" si="65"/>
        <v>86308618.366960362</v>
      </c>
      <c r="CF58" s="80">
        <f t="shared" ca="1" si="65"/>
        <v>82879468.46408546</v>
      </c>
      <c r="CG58" s="80">
        <f t="shared" ca="1" si="65"/>
        <v>87042931.132196039</v>
      </c>
      <c r="CH58" s="80">
        <f t="shared" ca="1" si="65"/>
        <v>83584606.060082778</v>
      </c>
      <c r="CI58" s="80">
        <f t="shared" ca="1" si="65"/>
        <v>85870325.008889124</v>
      </c>
      <c r="CJ58" s="80">
        <f t="shared" ca="1" si="65"/>
        <v>92419396.204523146</v>
      </c>
      <c r="CK58" s="80">
        <f t="shared" ca="1" si="65"/>
        <v>80338205.685287818</v>
      </c>
    </row>
    <row r="59" spans="2:89" ht="15.75" thickBot="1">
      <c r="B59" s="45" t="s">
        <v>297</v>
      </c>
      <c r="C59" s="46"/>
      <c r="D59" s="98">
        <f ca="1">SUM(F59:CK59)</f>
        <v>-4969898461.7632771</v>
      </c>
      <c r="E59" s="48"/>
      <c r="F59" s="49">
        <f ca="1">-F52</f>
        <v>0</v>
      </c>
      <c r="G59" s="49">
        <f t="shared" ref="G59:BM59" ca="1" si="66">-G52</f>
        <v>0</v>
      </c>
      <c r="H59" s="49">
        <f t="shared" ca="1" si="66"/>
        <v>0</v>
      </c>
      <c r="I59" s="49">
        <f t="shared" ca="1" si="66"/>
        <v>0</v>
      </c>
      <c r="J59" s="49">
        <f t="shared" ca="1" si="66"/>
        <v>0</v>
      </c>
      <c r="K59" s="49">
        <f t="shared" ca="1" si="66"/>
        <v>0</v>
      </c>
      <c r="L59" s="49">
        <f t="shared" ca="1" si="66"/>
        <v>0</v>
      </c>
      <c r="M59" s="49">
        <f t="shared" ca="1" si="66"/>
        <v>0</v>
      </c>
      <c r="N59" s="49">
        <f t="shared" ca="1" si="66"/>
        <v>0</v>
      </c>
      <c r="O59" s="49">
        <f t="shared" ca="1" si="66"/>
        <v>0</v>
      </c>
      <c r="P59" s="49">
        <f t="shared" ca="1" si="66"/>
        <v>0</v>
      </c>
      <c r="Q59" s="49">
        <f t="shared" ca="1" si="66"/>
        <v>0</v>
      </c>
      <c r="R59" s="49">
        <f t="shared" ca="1" si="66"/>
        <v>-43862238.709859125</v>
      </c>
      <c r="S59" s="49">
        <f t="shared" ca="1" si="66"/>
        <v>-44050973.981057428</v>
      </c>
      <c r="T59" s="49">
        <f t="shared" ca="1" si="66"/>
        <v>-44234394.219719678</v>
      </c>
      <c r="U59" s="49">
        <f t="shared" ca="1" si="66"/>
        <v>-44424730.842630692</v>
      </c>
      <c r="V59" s="49">
        <f t="shared" ca="1" si="66"/>
        <v>-44615886.466924235</v>
      </c>
      <c r="W59" s="49">
        <f t="shared" ca="1" si="66"/>
        <v>-44801658.898367174</v>
      </c>
      <c r="X59" s="49">
        <f t="shared" ca="1" si="66"/>
        <v>-44994436.41020941</v>
      </c>
      <c r="Y59" s="49">
        <f t="shared" ca="1" si="66"/>
        <v>-45181785.054722533</v>
      </c>
      <c r="Z59" s="49">
        <f t="shared" ca="1" si="66"/>
        <v>-45376198.215253025</v>
      </c>
      <c r="AA59" s="49">
        <f t="shared" ca="1" si="66"/>
        <v>-45571984.001219176</v>
      </c>
      <c r="AB59" s="49">
        <f t="shared" ca="1" si="66"/>
        <v>-45749548.765393667</v>
      </c>
      <c r="AC59" s="49">
        <f t="shared" ca="1" si="66"/>
        <v>-45946945.456058219</v>
      </c>
      <c r="AD59" s="49">
        <f t="shared" ca="1" si="66"/>
        <v>-47627269.348996051</v>
      </c>
      <c r="AE59" s="49">
        <f t="shared" ca="1" si="66"/>
        <v>-49098023.00619635</v>
      </c>
      <c r="AF59" s="49">
        <f t="shared" ca="1" si="66"/>
        <v>-50588810.836980611</v>
      </c>
      <c r="AG59" s="49">
        <f t="shared" ca="1" si="66"/>
        <v>-52204411.601489738</v>
      </c>
      <c r="AH59" s="49">
        <f t="shared" ca="1" si="66"/>
        <v>-53902467.355674282</v>
      </c>
      <c r="AI59" s="49">
        <f t="shared" ca="1" si="66"/>
        <v>-55630738.191950537</v>
      </c>
      <c r="AJ59" s="49">
        <f t="shared" ca="1" si="66"/>
        <v>-57511942.568097487</v>
      </c>
      <c r="AK59" s="49">
        <f t="shared" ca="1" si="66"/>
        <v>-59432765.122759961</v>
      </c>
      <c r="AL59" s="49">
        <f t="shared" ca="1" si="66"/>
        <v>-61530721.949938126</v>
      </c>
      <c r="AM59" s="49">
        <f t="shared" ca="1" si="66"/>
        <v>-63754494.096603401</v>
      </c>
      <c r="AN59" s="49">
        <f t="shared" ca="1" si="66"/>
        <v>-65881499.411035851</v>
      </c>
      <c r="AO59" s="49">
        <f t="shared" ca="1" si="66"/>
        <v>-68380429.536776781</v>
      </c>
      <c r="AP59" s="49">
        <f t="shared" ca="1" si="66"/>
        <v>-68789640.120848447</v>
      </c>
      <c r="AQ59" s="49">
        <f t="shared" ca="1" si="66"/>
        <v>-69222485.398666739</v>
      </c>
      <c r="AR59" s="49">
        <f t="shared" ca="1" si="66"/>
        <v>-69651586.672846645</v>
      </c>
      <c r="AS59" s="49">
        <f t="shared" ca="1" si="66"/>
        <v>-70106158.261919424</v>
      </c>
      <c r="AT59" s="49">
        <f t="shared" ca="1" si="66"/>
        <v>-70572737.000640571</v>
      </c>
      <c r="AU59" s="49">
        <f t="shared" ca="1" si="66"/>
        <v>-71036362.7304959</v>
      </c>
      <c r="AV59" s="49">
        <f t="shared" ca="1" si="66"/>
        <v>-71528675.684607506</v>
      </c>
      <c r="AW59" s="49">
        <f t="shared" ca="1" si="66"/>
        <v>-72018658.900021166</v>
      </c>
      <c r="AX59" s="49">
        <f t="shared" ca="1" si="66"/>
        <v>-72539805.99815847</v>
      </c>
      <c r="AY59" s="49">
        <f t="shared" ca="1" si="66"/>
        <v>-73076923.093895316</v>
      </c>
      <c r="AZ59" s="49">
        <f t="shared" ca="1" si="66"/>
        <v>-73576588.054210752</v>
      </c>
      <c r="BA59" s="49">
        <f t="shared" ca="1" si="66"/>
        <v>-74146814.119404361</v>
      </c>
      <c r="BB59" s="49">
        <f t="shared" ca="1" si="66"/>
        <v>-74456395.568649232</v>
      </c>
      <c r="BC59" s="49">
        <f t="shared" ca="1" si="66"/>
        <v>-74777654.389352173</v>
      </c>
      <c r="BD59" s="49">
        <f t="shared" ca="1" si="66"/>
        <v>-75089869.754124388</v>
      </c>
      <c r="BE59" s="49">
        <f t="shared" ca="1" si="66"/>
        <v>-75413861.841301188</v>
      </c>
      <c r="BF59" s="49">
        <f t="shared" ca="1" si="66"/>
        <v>-75739251.865015805</v>
      </c>
      <c r="BG59" s="49">
        <f t="shared" ca="1" si="66"/>
        <v>-76055482.139176145</v>
      </c>
      <c r="BH59" s="49">
        <f t="shared" ca="1" si="66"/>
        <v>-76383640.577593923</v>
      </c>
      <c r="BI59" s="49">
        <f t="shared" ca="1" si="66"/>
        <v>-76702561.335410044</v>
      </c>
      <c r="BJ59" s="49">
        <f t="shared" ca="1" si="66"/>
        <v>-77033511.742172465</v>
      </c>
      <c r="BK59" s="49">
        <f t="shared" ca="1" si="66"/>
        <v>-77364980.020072937</v>
      </c>
      <c r="BL59" s="49">
        <f t="shared" ca="1" si="66"/>
        <v>-77676354.348046526</v>
      </c>
      <c r="BM59" s="49">
        <f t="shared" ca="1" si="66"/>
        <v>-78010588.719906777</v>
      </c>
      <c r="BN59" s="49">
        <f t="shared" ref="BN59:CK59" ca="1" si="67">-BN52</f>
        <v>-78335410.613909408</v>
      </c>
      <c r="BO59" s="49">
        <f t="shared" ca="1" si="67"/>
        <v>-78672480.845651209</v>
      </c>
      <c r="BP59" s="49">
        <f t="shared" ca="1" si="67"/>
        <v>-79000058.738005325</v>
      </c>
      <c r="BQ59" s="49">
        <f t="shared" ca="1" si="67"/>
        <v>-79339988.890892118</v>
      </c>
      <c r="BR59" s="49">
        <f t="shared" ca="1" si="67"/>
        <v>-79681381.7326767</v>
      </c>
      <c r="BS59" s="49">
        <f t="shared" ca="1" si="67"/>
        <v>-80013160.504710883</v>
      </c>
      <c r="BT59" s="49">
        <f t="shared" ca="1" si="67"/>
        <v>-80357449.943450704</v>
      </c>
      <c r="BU59" s="49">
        <f t="shared" ca="1" si="67"/>
        <v>-80692043.740474463</v>
      </c>
      <c r="BV59" s="49">
        <f t="shared" ca="1" si="67"/>
        <v>-81039254.352765456</v>
      </c>
      <c r="BW59" s="49">
        <f t="shared" ca="1" si="67"/>
        <v>-81388916.394356102</v>
      </c>
      <c r="BX59" s="49">
        <f t="shared" ca="1" si="67"/>
        <v>-81706036.749388158</v>
      </c>
      <c r="BY59" s="49">
        <f t="shared" ca="1" si="67"/>
        <v>-82058575.773201317</v>
      </c>
      <c r="BZ59" s="49">
        <f t="shared" ca="1" si="67"/>
        <v>-82401190.801406443</v>
      </c>
      <c r="CA59" s="49">
        <f t="shared" ca="1" si="67"/>
        <v>-82756729.223313645</v>
      </c>
      <c r="CB59" s="49">
        <f t="shared" ca="1" si="67"/>
        <v>-83102259.216368526</v>
      </c>
      <c r="CC59" s="49">
        <f t="shared" ca="1" si="67"/>
        <v>-83460822.555215433</v>
      </c>
      <c r="CD59" s="49">
        <f t="shared" ca="1" si="67"/>
        <v>-83820932.996020511</v>
      </c>
      <c r="CE59" s="49">
        <f t="shared" ca="1" si="67"/>
        <v>-84170906.305354863</v>
      </c>
      <c r="CF59" s="49">
        <f t="shared" ca="1" si="67"/>
        <v>-84534080.561785579</v>
      </c>
      <c r="CG59" s="49">
        <f t="shared" ca="1" si="67"/>
        <v>-84887031.440143719</v>
      </c>
      <c r="CH59" s="49">
        <f t="shared" ca="1" si="67"/>
        <v>-85253295.579109326</v>
      </c>
      <c r="CI59" s="49">
        <f t="shared" ca="1" si="67"/>
        <v>-85621140.046862662</v>
      </c>
      <c r="CJ59" s="49">
        <f t="shared" ca="1" si="67"/>
        <v>-85954750.660356387</v>
      </c>
      <c r="CK59" s="49">
        <f t="shared" ca="1" si="67"/>
        <v>-86325621.713407844</v>
      </c>
    </row>
    <row r="60" spans="2:89" ht="15.75" thickTop="1">
      <c r="B60" s="50" t="s">
        <v>58</v>
      </c>
      <c r="C60" s="51"/>
      <c r="D60" s="52">
        <f ca="1">SUM(D57:D59)</f>
        <v>58478646.967147827</v>
      </c>
      <c r="E60" s="53"/>
      <c r="F60" s="54">
        <f ca="1">SUM(F57:F59)</f>
        <v>0</v>
      </c>
      <c r="G60" s="54">
        <f t="shared" ref="G60:BM60" ca="1" si="68">SUM(G57:G59)</f>
        <v>0</v>
      </c>
      <c r="H60" s="54">
        <f t="shared" ca="1" si="68"/>
        <v>0</v>
      </c>
      <c r="I60" s="54">
        <f t="shared" ca="1" si="68"/>
        <v>0</v>
      </c>
      <c r="J60" s="54">
        <f t="shared" ca="1" si="68"/>
        <v>0</v>
      </c>
      <c r="K60" s="54">
        <f t="shared" ca="1" si="68"/>
        <v>0</v>
      </c>
      <c r="L60" s="54">
        <f t="shared" ca="1" si="68"/>
        <v>0</v>
      </c>
      <c r="M60" s="54">
        <f t="shared" ca="1" si="68"/>
        <v>0</v>
      </c>
      <c r="N60" s="54">
        <f t="shared" ca="1" si="68"/>
        <v>0</v>
      </c>
      <c r="O60" s="54">
        <f t="shared" ca="1" si="68"/>
        <v>0</v>
      </c>
      <c r="P60" s="54">
        <f t="shared" ca="1" si="68"/>
        <v>0</v>
      </c>
      <c r="Q60" s="54">
        <f t="shared" ca="1" si="68"/>
        <v>936420.61385559302</v>
      </c>
      <c r="R60" s="54">
        <f t="shared" ca="1" si="68"/>
        <v>30703567.096901394</v>
      </c>
      <c r="S60" s="54">
        <f t="shared" ca="1" si="68"/>
        <v>29840982.37426471</v>
      </c>
      <c r="T60" s="54">
        <f t="shared" ca="1" si="68"/>
        <v>30964075.953803778</v>
      </c>
      <c r="U60" s="54">
        <f t="shared" ca="1" si="68"/>
        <v>30094172.506298207</v>
      </c>
      <c r="V60" s="54">
        <f t="shared" ca="1" si="68"/>
        <v>30223665.025980935</v>
      </c>
      <c r="W60" s="54">
        <f t="shared" ca="1" si="68"/>
        <v>31361161.228857018</v>
      </c>
      <c r="X60" s="54">
        <f t="shared" ca="1" si="68"/>
        <v>30480102.084335409</v>
      </c>
      <c r="Y60" s="54">
        <f t="shared" ca="1" si="68"/>
        <v>31627249.538305774</v>
      </c>
      <c r="Z60" s="54">
        <f t="shared" ca="1" si="68"/>
        <v>30738714.92001012</v>
      </c>
      <c r="AA60" s="54">
        <f t="shared" ca="1" si="68"/>
        <v>30871344.000825889</v>
      </c>
      <c r="AB60" s="54">
        <f t="shared" ca="1" si="68"/>
        <v>34312161.574045248</v>
      </c>
      <c r="AC60" s="54">
        <f t="shared" ca="1" si="68"/>
        <v>31125350.147652343</v>
      </c>
      <c r="AD60" s="54">
        <f t="shared" ca="1" si="68"/>
        <v>33339088.544297241</v>
      </c>
      <c r="AE60" s="54">
        <f t="shared" ca="1" si="68"/>
        <v>33259951.068713665</v>
      </c>
      <c r="AF60" s="54">
        <f t="shared" ca="1" si="68"/>
        <v>35412167.585886419</v>
      </c>
      <c r="AG60" s="54">
        <f t="shared" ca="1" si="68"/>
        <v>35364278.82681562</v>
      </c>
      <c r="AH60" s="54">
        <f t="shared" ca="1" si="68"/>
        <v>36514574.660295472</v>
      </c>
      <c r="AI60" s="54">
        <f t="shared" ca="1" si="68"/>
        <v>38941516.734365366</v>
      </c>
      <c r="AJ60" s="54">
        <f t="shared" ca="1" si="68"/>
        <v>38959703.030001536</v>
      </c>
      <c r="AK60" s="54">
        <f t="shared" ca="1" si="68"/>
        <v>41602935.585931964</v>
      </c>
      <c r="AL60" s="54">
        <f t="shared" ca="1" si="68"/>
        <v>41682101.966087125</v>
      </c>
      <c r="AM60" s="54">
        <f t="shared" ca="1" si="68"/>
        <v>43188528.258989401</v>
      </c>
      <c r="AN60" s="54">
        <f t="shared" ca="1" si="68"/>
        <v>49411124.558276877</v>
      </c>
      <c r="AO60" s="54">
        <f t="shared" ca="1" si="68"/>
        <v>46322226.460397184</v>
      </c>
      <c r="AP60" s="54">
        <f t="shared" ca="1" si="68"/>
        <v>48152748.084593922</v>
      </c>
      <c r="AQ60" s="54">
        <f t="shared" ca="1" si="68"/>
        <v>46892651.399096817</v>
      </c>
      <c r="AR60" s="54">
        <f t="shared" ca="1" si="68"/>
        <v>48756110.670992643</v>
      </c>
      <c r="AS60" s="54">
        <f t="shared" ca="1" si="68"/>
        <v>47491268.500009939</v>
      </c>
      <c r="AT60" s="54">
        <f t="shared" ca="1" si="68"/>
        <v>47807337.968175873</v>
      </c>
      <c r="AU60" s="54">
        <f t="shared" ca="1" si="68"/>
        <v>49725453.911347121</v>
      </c>
      <c r="AV60" s="54">
        <f t="shared" ca="1" si="68"/>
        <v>48454909.334734112</v>
      </c>
      <c r="AW60" s="54">
        <f t="shared" ca="1" si="68"/>
        <v>50413061.230014816</v>
      </c>
      <c r="AX60" s="54">
        <f t="shared" ca="1" si="68"/>
        <v>49139868.579397663</v>
      </c>
      <c r="AY60" s="54">
        <f t="shared" ca="1" si="68"/>
        <v>49503722.095864564</v>
      </c>
      <c r="AZ60" s="54">
        <f t="shared" ca="1" si="68"/>
        <v>55182441.040658057</v>
      </c>
      <c r="BA60" s="54">
        <f t="shared" ca="1" si="68"/>
        <v>50228486.984112635</v>
      </c>
      <c r="BB60" s="54">
        <f t="shared" ca="1" si="68"/>
        <v>52119476.898054466</v>
      </c>
      <c r="BC60" s="54">
        <f t="shared" ca="1" si="68"/>
        <v>50655830.39278695</v>
      </c>
      <c r="BD60" s="54">
        <f t="shared" ca="1" si="68"/>
        <v>52562908.827887073</v>
      </c>
      <c r="BE60" s="54">
        <f t="shared" ca="1" si="68"/>
        <v>51086809.634429842</v>
      </c>
      <c r="BF60" s="54">
        <f t="shared" ca="1" si="68"/>
        <v>51307235.134365544</v>
      </c>
      <c r="BG60" s="54">
        <f t="shared" ca="1" si="68"/>
        <v>53238837.497423306</v>
      </c>
      <c r="BH60" s="54">
        <f t="shared" ca="1" si="68"/>
        <v>51743756.520305559</v>
      </c>
      <c r="BI60" s="54">
        <f t="shared" ca="1" si="68"/>
        <v>53691792.93478702</v>
      </c>
      <c r="BJ60" s="54">
        <f t="shared" ca="1" si="68"/>
        <v>52183991.82534264</v>
      </c>
      <c r="BK60" s="54">
        <f t="shared" ca="1" si="68"/>
        <v>52408534.852307469</v>
      </c>
      <c r="BL60" s="54">
        <f t="shared" ca="1" si="68"/>
        <v>56248394.527895764</v>
      </c>
      <c r="BM60" s="54">
        <f t="shared" ca="1" si="68"/>
        <v>52845882.681227177</v>
      </c>
      <c r="BN60" s="54">
        <f t="shared" ref="BN60:CK60" ca="1" si="69">SUM(BN57:BN59)</f>
        <v>54834787.429736584</v>
      </c>
      <c r="BO60" s="54">
        <f t="shared" ca="1" si="69"/>
        <v>53294261.21802178</v>
      </c>
      <c r="BP60" s="54">
        <f t="shared" ca="1" si="69"/>
        <v>55300041.116603717</v>
      </c>
      <c r="BQ60" s="54">
        <f t="shared" ca="1" si="69"/>
        <v>53746444.087378532</v>
      </c>
      <c r="BR60" s="54">
        <f t="shared" ca="1" si="69"/>
        <v>53977710.206006795</v>
      </c>
      <c r="BS60" s="54">
        <f t="shared" ca="1" si="69"/>
        <v>56009212.353297621</v>
      </c>
      <c r="BT60" s="54">
        <f t="shared" ca="1" si="69"/>
        <v>54435691.897176281</v>
      </c>
      <c r="BU60" s="54">
        <f t="shared" ca="1" si="69"/>
        <v>56484430.618332118</v>
      </c>
      <c r="BV60" s="54">
        <f t="shared" ca="1" si="69"/>
        <v>54897559.400260463</v>
      </c>
      <c r="BW60" s="54">
        <f t="shared" ca="1" si="69"/>
        <v>55134427.234886378</v>
      </c>
      <c r="BX60" s="54">
        <f t="shared" ca="1" si="69"/>
        <v>61279527.562041104</v>
      </c>
      <c r="BY60" s="54">
        <f t="shared" ca="1" si="69"/>
        <v>55588067.459265411</v>
      </c>
      <c r="BZ60" s="54">
        <f t="shared" ca="1" si="69"/>
        <v>57680833.560984492</v>
      </c>
      <c r="CA60" s="54">
        <f t="shared" ca="1" si="69"/>
        <v>56061010.119018927</v>
      </c>
      <c r="CB60" s="54">
        <f t="shared" ca="1" si="69"/>
        <v>58171581.451457977</v>
      </c>
      <c r="CC60" s="54">
        <f t="shared" ca="1" si="69"/>
        <v>56537976.569662079</v>
      </c>
      <c r="CD60" s="54">
        <f t="shared" ca="1" si="69"/>
        <v>56781922.352142915</v>
      </c>
      <c r="CE60" s="54">
        <f t="shared" ca="1" si="69"/>
        <v>58919634.413748413</v>
      </c>
      <c r="CF60" s="54">
        <f t="shared" ca="1" si="69"/>
        <v>57265022.316048294</v>
      </c>
      <c r="CG60" s="54">
        <f t="shared" ca="1" si="69"/>
        <v>59420922.008100614</v>
      </c>
      <c r="CH60" s="54">
        <f t="shared" ca="1" si="69"/>
        <v>57752232.489074066</v>
      </c>
      <c r="CI60" s="54">
        <f t="shared" ca="1" si="69"/>
        <v>58001417.451100528</v>
      </c>
      <c r="CJ60" s="54">
        <f t="shared" ca="1" si="69"/>
        <v>64466062.995267287</v>
      </c>
      <c r="CK60" s="54">
        <f t="shared" ca="1" si="69"/>
        <v>58478646.967147261</v>
      </c>
    </row>
    <row r="61" spans="2:89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</row>
    <row r="62" spans="2:89" ht="15.75" thickBot="1">
      <c r="B62" s="96" t="str">
        <f>"Текущие инвестиции в склады, в "&amp;Ед_измерения_денег&amp;" без НДС"</f>
        <v>Текущие инвестиции в склады, в  руб. без НДС</v>
      </c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</row>
    <row r="63" spans="2:89" ht="15.75" thickBot="1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</row>
    <row r="64" spans="2:89" ht="15.75" thickTop="1">
      <c r="B64" s="50" t="s">
        <v>300</v>
      </c>
      <c r="C64" s="51"/>
      <c r="D64" s="52">
        <f ca="1">SUM(F64:BM64)</f>
        <v>51909462.067371584</v>
      </c>
      <c r="E64" s="53"/>
      <c r="F64" s="54">
        <f t="shared" ref="F64:AK64" ca="1" si="70">(F60-F57)-F46</f>
        <v>0</v>
      </c>
      <c r="G64" s="54">
        <f t="shared" ca="1" si="70"/>
        <v>0</v>
      </c>
      <c r="H64" s="54">
        <f t="shared" ca="1" si="70"/>
        <v>0</v>
      </c>
      <c r="I64" s="54">
        <f t="shared" ca="1" si="70"/>
        <v>0</v>
      </c>
      <c r="J64" s="54">
        <f t="shared" ca="1" si="70"/>
        <v>0</v>
      </c>
      <c r="K64" s="54">
        <f t="shared" ca="1" si="70"/>
        <v>0</v>
      </c>
      <c r="L64" s="54">
        <f t="shared" ca="1" si="70"/>
        <v>0</v>
      </c>
      <c r="M64" s="54">
        <f t="shared" ca="1" si="70"/>
        <v>0</v>
      </c>
      <c r="N64" s="54">
        <f t="shared" ca="1" si="70"/>
        <v>0</v>
      </c>
      <c r="O64" s="54">
        <f t="shared" ca="1" si="70"/>
        <v>0</v>
      </c>
      <c r="P64" s="54">
        <f t="shared" ca="1" si="70"/>
        <v>0</v>
      </c>
      <c r="Q64" s="54">
        <f t="shared" ca="1" si="70"/>
        <v>0</v>
      </c>
      <c r="R64" s="54">
        <f t="shared" ca="1" si="70"/>
        <v>29767146.483045802</v>
      </c>
      <c r="S64" s="54">
        <f t="shared" ca="1" si="70"/>
        <v>-862584.72263668478</v>
      </c>
      <c r="T64" s="54">
        <f t="shared" ca="1" si="70"/>
        <v>1123093.579539068</v>
      </c>
      <c r="U64" s="54">
        <f t="shared" ca="1" si="70"/>
        <v>-869903.44750557095</v>
      </c>
      <c r="V64" s="54">
        <f t="shared" ca="1" si="70"/>
        <v>129492.51968272775</v>
      </c>
      <c r="W64" s="54">
        <f t="shared" ca="1" si="70"/>
        <v>1137496.2028760836</v>
      </c>
      <c r="X64" s="54">
        <f t="shared" ca="1" si="70"/>
        <v>-881059.14452160895</v>
      </c>
      <c r="Y64" s="54">
        <f t="shared" ca="1" si="70"/>
        <v>1147147.4539703652</v>
      </c>
      <c r="Z64" s="54">
        <f t="shared" ca="1" si="70"/>
        <v>-888534.61829565465</v>
      </c>
      <c r="AA64" s="54">
        <f t="shared" ca="1" si="70"/>
        <v>132629.08081576973</v>
      </c>
      <c r="AB64" s="54">
        <f t="shared" ca="1" si="70"/>
        <v>3440817.5732193589</v>
      </c>
      <c r="AC64" s="54">
        <f t="shared" ca="1" si="70"/>
        <v>-3186811.4263929054</v>
      </c>
      <c r="AD64" s="54">
        <f t="shared" ca="1" si="70"/>
        <v>2213738.3966448978</v>
      </c>
      <c r="AE64" s="54">
        <f t="shared" ca="1" si="70"/>
        <v>-79137.475583575666</v>
      </c>
      <c r="AF64" s="54">
        <f t="shared" ca="1" si="70"/>
        <v>2152216.5171727538</v>
      </c>
      <c r="AG64" s="54">
        <f t="shared" ca="1" si="70"/>
        <v>-47888.759070798755</v>
      </c>
      <c r="AH64" s="54">
        <f t="shared" ca="1" si="70"/>
        <v>1150295.8334798515</v>
      </c>
      <c r="AI64" s="54">
        <f t="shared" ca="1" si="70"/>
        <v>2426942.0740698949</v>
      </c>
      <c r="AJ64" s="54">
        <f t="shared" ca="1" si="70"/>
        <v>18186.295636169612</v>
      </c>
      <c r="AK64" s="54">
        <f t="shared" ca="1" si="70"/>
        <v>2643232.5559304282</v>
      </c>
      <c r="AL64" s="54">
        <f t="shared" ref="AL64:CK64" ca="1" si="71">(AL60-AL57)-AL46</f>
        <v>79166.380155161023</v>
      </c>
      <c r="AM64" s="54">
        <f t="shared" ca="1" si="71"/>
        <v>1506426.2929022759</v>
      </c>
      <c r="AN64" s="54">
        <f t="shared" ca="1" si="71"/>
        <v>6222596.2992874756</v>
      </c>
      <c r="AO64" s="54">
        <f t="shared" ca="1" si="71"/>
        <v>-3088898.0978796929</v>
      </c>
      <c r="AP64" s="54">
        <f t="shared" ca="1" si="71"/>
        <v>1830521.624196738</v>
      </c>
      <c r="AQ64" s="54">
        <f t="shared" ca="1" si="71"/>
        <v>-1260096.6854971051</v>
      </c>
      <c r="AR64" s="54">
        <f t="shared" ca="1" si="71"/>
        <v>1863459.2718958259</v>
      </c>
      <c r="AS64" s="54">
        <f t="shared" ca="1" si="71"/>
        <v>-1264842.1709827036</v>
      </c>
      <c r="AT64" s="54">
        <f t="shared" ca="1" si="71"/>
        <v>316069.46816593409</v>
      </c>
      <c r="AU64" s="54">
        <f t="shared" ca="1" si="71"/>
        <v>1918115.9431712478</v>
      </c>
      <c r="AV64" s="54">
        <f t="shared" ca="1" si="71"/>
        <v>-1270544.576613009</v>
      </c>
      <c r="AW64" s="54">
        <f t="shared" ca="1" si="71"/>
        <v>1958151.8952807039</v>
      </c>
      <c r="AX64" s="54">
        <f t="shared" ca="1" si="71"/>
        <v>-1273192.6506171525</v>
      </c>
      <c r="AY64" s="54">
        <f t="shared" ca="1" si="71"/>
        <v>363853.51646690071</v>
      </c>
      <c r="AZ64" s="54">
        <f t="shared" ca="1" si="71"/>
        <v>5678718.9447934926</v>
      </c>
      <c r="BA64" s="54">
        <f t="shared" ca="1" si="71"/>
        <v>-4953954.0565454215</v>
      </c>
      <c r="BB64" s="54">
        <f t="shared" ca="1" si="71"/>
        <v>1890989.9139418304</v>
      </c>
      <c r="BC64" s="54">
        <f t="shared" ca="1" si="71"/>
        <v>-1463646.5052675158</v>
      </c>
      <c r="BD64" s="54">
        <f t="shared" ca="1" si="71"/>
        <v>1907078.4351001233</v>
      </c>
      <c r="BE64" s="54">
        <f t="shared" ca="1" si="71"/>
        <v>-1476099.1934572309</v>
      </c>
      <c r="BF64" s="54">
        <f t="shared" ca="1" si="71"/>
        <v>220425.49993570149</v>
      </c>
      <c r="BG64" s="54">
        <f t="shared" ca="1" si="71"/>
        <v>1931602.3630577624</v>
      </c>
      <c r="BH64" s="54">
        <f t="shared" ca="1" si="71"/>
        <v>-1495080.9771177471</v>
      </c>
      <c r="BI64" s="54">
        <f t="shared" ca="1" si="71"/>
        <v>1948036.414481461</v>
      </c>
      <c r="BJ64" s="54">
        <f t="shared" ca="1" si="71"/>
        <v>-1507801.1094443798</v>
      </c>
      <c r="BK64" s="54">
        <f t="shared" ca="1" si="71"/>
        <v>224543.02696482837</v>
      </c>
      <c r="BL64" s="54">
        <f t="shared" ca="1" si="71"/>
        <v>3839859.6755882949</v>
      </c>
      <c r="BM64" s="54">
        <f t="shared" ca="1" si="71"/>
        <v>-3402511.8466685861</v>
      </c>
      <c r="BN64" s="54">
        <f t="shared" ca="1" si="71"/>
        <v>1988904.748509407</v>
      </c>
      <c r="BO64" s="54">
        <f t="shared" ca="1" si="71"/>
        <v>-1540526.2117148042</v>
      </c>
      <c r="BP64" s="54">
        <f t="shared" ca="1" si="71"/>
        <v>2005779.898581937</v>
      </c>
      <c r="BQ64" s="54">
        <f t="shared" ca="1" si="71"/>
        <v>-1553597.0292251855</v>
      </c>
      <c r="BR64" s="54">
        <f t="shared" ca="1" si="71"/>
        <v>231266.11862826347</v>
      </c>
      <c r="BS64" s="54">
        <f t="shared" ca="1" si="71"/>
        <v>2031502.1472908258</v>
      </c>
      <c r="BT64" s="54">
        <f t="shared" ca="1" si="71"/>
        <v>-1573520.4561213404</v>
      </c>
      <c r="BU64" s="54">
        <f t="shared" ca="1" si="71"/>
        <v>2048738.7211558372</v>
      </c>
      <c r="BV64" s="54">
        <f t="shared" ca="1" si="71"/>
        <v>-1586871.2180716544</v>
      </c>
      <c r="BW64" s="54">
        <f t="shared" ca="1" si="71"/>
        <v>236867.83462591469</v>
      </c>
      <c r="BX64" s="54">
        <f t="shared" ca="1" si="71"/>
        <v>6145100.3271547258</v>
      </c>
      <c r="BY64" s="54">
        <f t="shared" ca="1" si="71"/>
        <v>-5691460.1027756929</v>
      </c>
      <c r="BZ64" s="54">
        <f t="shared" ca="1" si="71"/>
        <v>2092766.1017190814</v>
      </c>
      <c r="CA64" s="54">
        <f t="shared" ca="1" si="71"/>
        <v>-1619823.4419655651</v>
      </c>
      <c r="CB64" s="54">
        <f t="shared" ca="1" si="71"/>
        <v>2110571.3324390501</v>
      </c>
      <c r="CC64" s="54">
        <f t="shared" ca="1" si="71"/>
        <v>-1633604.8817958981</v>
      </c>
      <c r="CD64" s="54">
        <f t="shared" ca="1" si="71"/>
        <v>243945.78248083591</v>
      </c>
      <c r="CE64" s="54">
        <f t="shared" ca="1" si="71"/>
        <v>2137712.0616054982</v>
      </c>
      <c r="CF64" s="54">
        <f t="shared" ca="1" si="71"/>
        <v>-1654612.097700119</v>
      </c>
      <c r="CG64" s="54">
        <f t="shared" ca="1" si="71"/>
        <v>2155899.6920523196</v>
      </c>
      <c r="CH64" s="54">
        <f t="shared" ca="1" si="71"/>
        <v>-1668689.5190265477</v>
      </c>
      <c r="CI64" s="54">
        <f t="shared" ca="1" si="71"/>
        <v>249184.96202646196</v>
      </c>
      <c r="CJ64" s="54">
        <f t="shared" ca="1" si="71"/>
        <v>6464645.5441667587</v>
      </c>
      <c r="CK64" s="54">
        <f t="shared" ca="1" si="71"/>
        <v>-5987416.028120026</v>
      </c>
    </row>
    <row r="65" spans="2:89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</row>
    <row r="66" spans="2:89" ht="18" thickBot="1">
      <c r="B66" s="100" t="str">
        <f>"Дебиторская задолженность, в "&amp;Ед_измерения_денег&amp;" в т.ч. НДС"</f>
        <v>Дебиторская задолженность, в  руб. в т.ч. НДС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</row>
    <row r="67" spans="2:89" ht="15.75" thickTop="1">
      <c r="B67" s="168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</row>
    <row r="68" spans="2:89">
      <c r="B68" s="77" t="s">
        <v>57</v>
      </c>
      <c r="C68" s="124"/>
      <c r="D68" s="152"/>
      <c r="E68" s="153"/>
      <c r="F68" s="80">
        <f>E70</f>
        <v>0</v>
      </c>
      <c r="G68" s="80">
        <f t="shared" ref="G68:AG68" si="72">F70</f>
        <v>0</v>
      </c>
      <c r="H68" s="80">
        <f t="shared" si="72"/>
        <v>0</v>
      </c>
      <c r="I68" s="80">
        <f t="shared" si="72"/>
        <v>0</v>
      </c>
      <c r="J68" s="80">
        <f t="shared" si="72"/>
        <v>0</v>
      </c>
      <c r="K68" s="80">
        <f t="shared" si="72"/>
        <v>0</v>
      </c>
      <c r="L68" s="80">
        <f t="shared" si="72"/>
        <v>0</v>
      </c>
      <c r="M68" s="80">
        <f t="shared" si="72"/>
        <v>0</v>
      </c>
      <c r="N68" s="80">
        <f t="shared" si="72"/>
        <v>0</v>
      </c>
      <c r="O68" s="80">
        <f t="shared" si="72"/>
        <v>0</v>
      </c>
      <c r="P68" s="80">
        <f t="shared" si="72"/>
        <v>0</v>
      </c>
      <c r="Q68" s="80">
        <f t="shared" si="72"/>
        <v>0</v>
      </c>
      <c r="R68" s="80">
        <f t="shared" si="72"/>
        <v>0</v>
      </c>
      <c r="S68" s="80">
        <f t="shared" si="72"/>
        <v>84593234.819203585</v>
      </c>
      <c r="T68" s="80">
        <f t="shared" si="72"/>
        <v>82203425.517773941</v>
      </c>
      <c r="U68" s="80">
        <f t="shared" si="72"/>
        <v>85283925.558534667</v>
      </c>
      <c r="V68" s="80">
        <f t="shared" si="72"/>
        <v>82874603.832065463</v>
      </c>
      <c r="W68" s="80">
        <f t="shared" si="72"/>
        <v>83217791.776342049</v>
      </c>
      <c r="X68" s="80">
        <f t="shared" si="72"/>
        <v>86336304.287765473</v>
      </c>
      <c r="Y68" s="80">
        <f t="shared" si="72"/>
        <v>83897252.23497504</v>
      </c>
      <c r="Z68" s="80">
        <f t="shared" si="72"/>
        <v>87041226.92096515</v>
      </c>
      <c r="AA68" s="80">
        <f t="shared" si="72"/>
        <v>84582260.383651137</v>
      </c>
      <c r="AB68" s="80">
        <f t="shared" si="72"/>
        <v>84933481.424961179</v>
      </c>
      <c r="AC68" s="80">
        <f t="shared" si="72"/>
        <v>94386105.996128097</v>
      </c>
      <c r="AD68" s="80">
        <f t="shared" si="72"/>
        <v>85605968.649193585</v>
      </c>
      <c r="AE68" s="80">
        <f t="shared" si="72"/>
        <v>97882680.373785973</v>
      </c>
      <c r="AF68" s="80">
        <f t="shared" si="72"/>
        <v>97577886.872450233</v>
      </c>
      <c r="AG68" s="80">
        <f t="shared" si="72"/>
        <v>103973509.84813656</v>
      </c>
      <c r="AH68" s="80">
        <f t="shared" ref="AH68:BM68" si="73">AG70</f>
        <v>104099628.85047336</v>
      </c>
      <c r="AI68" s="80">
        <f t="shared" si="73"/>
        <v>107978283.98639429</v>
      </c>
      <c r="AJ68" s="80">
        <f t="shared" si="73"/>
        <v>115913075.40317665</v>
      </c>
      <c r="AK68" s="80">
        <f t="shared" si="73"/>
        <v>117042574.92659537</v>
      </c>
      <c r="AL68" s="80">
        <f t="shared" si="73"/>
        <v>126434493.4312381</v>
      </c>
      <c r="AM68" s="80">
        <f t="shared" si="73"/>
        <v>128573944.8912687</v>
      </c>
      <c r="AN68" s="80">
        <f t="shared" si="73"/>
        <v>135657887.38556522</v>
      </c>
      <c r="AO68" s="80">
        <f t="shared" si="73"/>
        <v>158238989.1891312</v>
      </c>
      <c r="AP68" s="80">
        <f t="shared" si="73"/>
        <v>152096931.05564311</v>
      </c>
      <c r="AQ68" s="80">
        <f t="shared" si="73"/>
        <v>160109728.21769783</v>
      </c>
      <c r="AR68" s="80">
        <f t="shared" si="73"/>
        <v>158047687.43670976</v>
      </c>
      <c r="AS68" s="80">
        <f t="shared" si="73"/>
        <v>166588676.17932671</v>
      </c>
      <c r="AT68" s="80">
        <f t="shared" si="73"/>
        <v>164668337.54028085</v>
      </c>
      <c r="AU68" s="80">
        <f t="shared" si="73"/>
        <v>168317247.07675678</v>
      </c>
      <c r="AV68" s="80">
        <f t="shared" si="73"/>
        <v>177781246.08966392</v>
      </c>
      <c r="AW68" s="80">
        <f t="shared" si="73"/>
        <v>176117341.84921578</v>
      </c>
      <c r="AX68" s="80">
        <f t="shared" si="73"/>
        <v>186290163.56738788</v>
      </c>
      <c r="AY68" s="80">
        <f t="shared" si="73"/>
        <v>184829071.96331811</v>
      </c>
      <c r="AZ68" s="80">
        <f t="shared" si="73"/>
        <v>189643363.20116648</v>
      </c>
      <c r="BA68" s="80">
        <f t="shared" si="73"/>
        <v>215045532.54679123</v>
      </c>
      <c r="BB68" s="80">
        <f t="shared" si="73"/>
        <v>199603655.27826634</v>
      </c>
      <c r="BC68" s="80">
        <f t="shared" si="73"/>
        <v>207085893.1656689</v>
      </c>
      <c r="BD68" s="80">
        <f t="shared" si="73"/>
        <v>201237871.64588916</v>
      </c>
      <c r="BE68" s="80">
        <f t="shared" si="73"/>
        <v>208781368.9105562</v>
      </c>
      <c r="BF68" s="80">
        <f t="shared" si="73"/>
        <v>202885467.84431961</v>
      </c>
      <c r="BG68" s="80">
        <f t="shared" si="73"/>
        <v>203727933.45069796</v>
      </c>
      <c r="BH68" s="80">
        <f t="shared" si="73"/>
        <v>211364771.86561558</v>
      </c>
      <c r="BI68" s="80">
        <f t="shared" si="73"/>
        <v>205395916.54911846</v>
      </c>
      <c r="BJ68" s="80">
        <f t="shared" si="73"/>
        <v>213095280.10325339</v>
      </c>
      <c r="BK68" s="80">
        <f t="shared" si="73"/>
        <v>207077555.93693185</v>
      </c>
      <c r="BL68" s="80">
        <f t="shared" si="73"/>
        <v>207935074.61505204</v>
      </c>
      <c r="BM68" s="80">
        <f t="shared" si="73"/>
        <v>223136379.44002801</v>
      </c>
      <c r="BN68" s="80">
        <f t="shared" ref="BN68" si="74">BM70</f>
        <v>209604888.93995404</v>
      </c>
      <c r="BO68" s="80">
        <f t="shared" ref="BO68" si="75">BN70</f>
        <v>217459645.17250997</v>
      </c>
      <c r="BP68" s="80">
        <f t="shared" ref="BP68" si="76">BO70</f>
        <v>211316280.58987457</v>
      </c>
      <c r="BQ68" s="80">
        <f t="shared" ref="BQ68" si="77">BP70</f>
        <v>219235169.69784456</v>
      </c>
      <c r="BR68" s="80">
        <f t="shared" ref="BR68" si="78">BQ70</f>
        <v>213041645.48915124</v>
      </c>
      <c r="BS68" s="80">
        <f t="shared" ref="BS68" si="79">BR70</f>
        <v>213923861.76506701</v>
      </c>
      <c r="BT68" s="80">
        <f t="shared" ref="BT68" si="80">BS70</f>
        <v>221940467.65145433</v>
      </c>
      <c r="BU68" s="80">
        <f t="shared" ref="BU68" si="81">BT70</f>
        <v>215670517.16320696</v>
      </c>
      <c r="BV68" s="80">
        <f t="shared" ref="BV68" si="82">BU70</f>
        <v>223752577.40251541</v>
      </c>
      <c r="BW68" s="80">
        <f t="shared" ref="BW68" si="83">BV70</f>
        <v>217431433.73377845</v>
      </c>
      <c r="BX68" s="80">
        <f t="shared" ref="BX68" si="84">BW70</f>
        <v>218334300.29495966</v>
      </c>
      <c r="BY68" s="80">
        <f t="shared" ref="BY68" si="85">BX70</f>
        <v>242633694.79841083</v>
      </c>
      <c r="BZ68" s="80">
        <f t="shared" ref="BZ68" si="86">BY70</f>
        <v>220063029.94428888</v>
      </c>
      <c r="CA68" s="80">
        <f t="shared" ref="CA68" si="87">BZ70</f>
        <v>228312197.21515024</v>
      </c>
      <c r="CB68" s="80">
        <f t="shared" ref="CB68" si="88">CA70</f>
        <v>221864753.48959306</v>
      </c>
      <c r="CC68" s="80">
        <f t="shared" ref="CC68" si="89">CB70</f>
        <v>230181459.22388843</v>
      </c>
      <c r="CD68" s="80">
        <f t="shared" ref="CD68" si="90">CC70</f>
        <v>223681228.29836264</v>
      </c>
      <c r="CE68" s="80">
        <f t="shared" ref="CE68" si="91">CD70</f>
        <v>224610046.62939474</v>
      </c>
      <c r="CF68" s="80">
        <f t="shared" ref="CF68" si="92">CE70</f>
        <v>233029660.98184144</v>
      </c>
      <c r="CG68" s="80">
        <f t="shared" ref="CG68" si="93">CF70</f>
        <v>226448997.99540329</v>
      </c>
      <c r="CH68" s="80">
        <f t="shared" ref="CH68" si="94">CG70</f>
        <v>234937546.31383711</v>
      </c>
      <c r="CI68" s="80">
        <f t="shared" ref="CI68" si="95">CH70</f>
        <v>228303005.42046759</v>
      </c>
      <c r="CJ68" s="80">
        <f t="shared" ref="CJ68" si="96">CI70</f>
        <v>229251015.30970785</v>
      </c>
      <c r="CK68" s="80">
        <f t="shared" ref="CK68" si="97">CJ70</f>
        <v>254765379.5383316</v>
      </c>
    </row>
    <row r="69" spans="2:89" ht="15.75" thickBot="1">
      <c r="B69" s="45" t="s">
        <v>48</v>
      </c>
      <c r="C69" s="118"/>
      <c r="D69" s="152"/>
      <c r="E69" s="119"/>
      <c r="F69" s="49">
        <f>Операции!F162</f>
        <v>0</v>
      </c>
      <c r="G69" s="49">
        <f>Операции!G162</f>
        <v>0</v>
      </c>
      <c r="H69" s="49">
        <f>Операции!H162</f>
        <v>0</v>
      </c>
      <c r="I69" s="49">
        <f>Операции!I162</f>
        <v>0</v>
      </c>
      <c r="J69" s="49">
        <f>Операции!J162</f>
        <v>0</v>
      </c>
      <c r="K69" s="49">
        <f>Операции!K162</f>
        <v>0</v>
      </c>
      <c r="L69" s="49">
        <f>Операции!L162</f>
        <v>0</v>
      </c>
      <c r="M69" s="49">
        <f>Операции!M162</f>
        <v>0</v>
      </c>
      <c r="N69" s="49">
        <f>Операции!N162</f>
        <v>0</v>
      </c>
      <c r="O69" s="49">
        <f>Операции!O162</f>
        <v>0</v>
      </c>
      <c r="P69" s="49">
        <f>Операции!P162</f>
        <v>0</v>
      </c>
      <c r="Q69" s="49">
        <f>Операции!Q162</f>
        <v>0</v>
      </c>
      <c r="R69" s="49">
        <f>Операции!R162</f>
        <v>84593234.819203585</v>
      </c>
      <c r="S69" s="49">
        <f>Операции!S162</f>
        <v>84943539.701699734</v>
      </c>
      <c r="T69" s="49">
        <f>Операции!T162</f>
        <v>85283925.558534667</v>
      </c>
      <c r="U69" s="49">
        <f>Операции!U162</f>
        <v>85637090.626467645</v>
      </c>
      <c r="V69" s="49">
        <f>Операции!V162</f>
        <v>85991718.168886796</v>
      </c>
      <c r="W69" s="49">
        <f>Операции!W162</f>
        <v>86336304.287765473</v>
      </c>
      <c r="X69" s="49">
        <f>Операции!X162</f>
        <v>86693827.309474215</v>
      </c>
      <c r="Y69" s="49">
        <f>Операции!Y162</f>
        <v>87041226.92096515</v>
      </c>
      <c r="Z69" s="49">
        <f>Операции!Z162</f>
        <v>87401669.063106164</v>
      </c>
      <c r="AA69" s="49">
        <f>Операции!AA162</f>
        <v>87764597.472459882</v>
      </c>
      <c r="AB69" s="49">
        <f>Операции!AB162</f>
        <v>88093698.929719552</v>
      </c>
      <c r="AC69" s="49">
        <f>Операции!AC162</f>
        <v>88459500.93750003</v>
      </c>
      <c r="AD69" s="49">
        <f>Операции!AD162</f>
        <v>97882680.373785973</v>
      </c>
      <c r="AE69" s="49">
        <f>Операции!AE162</f>
        <v>100830483.10153191</v>
      </c>
      <c r="AF69" s="49">
        <f>Операции!AF162</f>
        <v>103973509.84813654</v>
      </c>
      <c r="AG69" s="49">
        <f>Операции!AG162</f>
        <v>107569616.47882247</v>
      </c>
      <c r="AH69" s="49">
        <f>Операции!AH162</f>
        <v>111577560.11927409</v>
      </c>
      <c r="AI69" s="49">
        <f>Операции!AI162</f>
        <v>115913075.40317665</v>
      </c>
      <c r="AJ69" s="49">
        <f>Операции!AJ162</f>
        <v>120943994.09081523</v>
      </c>
      <c r="AK69" s="49">
        <f>Операции!AK162</f>
        <v>126434493.4312381</v>
      </c>
      <c r="AL69" s="49">
        <f>Операции!AL162</f>
        <v>132859743.05431099</v>
      </c>
      <c r="AM69" s="49">
        <f>Операции!AM162</f>
        <v>140179816.96508408</v>
      </c>
      <c r="AN69" s="49">
        <f>Операции!AN162</f>
        <v>147689723.2431891</v>
      </c>
      <c r="AO69" s="49">
        <f>Операции!AO162</f>
        <v>157166828.75749788</v>
      </c>
      <c r="AP69" s="49">
        <f>Операции!AP162</f>
        <v>160109728.21769786</v>
      </c>
      <c r="AQ69" s="49">
        <f>Операции!AQ162</f>
        <v>163315943.68460009</v>
      </c>
      <c r="AR69" s="49">
        <f>Операции!AR162</f>
        <v>166588676.17932671</v>
      </c>
      <c r="AS69" s="49">
        <f>Операции!AS162</f>
        <v>170157282.12495688</v>
      </c>
      <c r="AT69" s="49">
        <f>Операции!AT162</f>
        <v>173927821.97931534</v>
      </c>
      <c r="AU69" s="49">
        <f>Операции!AU162</f>
        <v>177781246.08966392</v>
      </c>
      <c r="AV69" s="49">
        <f>Операции!AV162</f>
        <v>181987919.91085631</v>
      </c>
      <c r="AW69" s="49">
        <f>Операции!AW162</f>
        <v>186290163.56738788</v>
      </c>
      <c r="AX69" s="49">
        <f>Операции!AX162</f>
        <v>190990041.02876204</v>
      </c>
      <c r="AY69" s="49">
        <f>Операции!AY162</f>
        <v>195964808.64120537</v>
      </c>
      <c r="AZ69" s="49">
        <f>Операции!AZ162</f>
        <v>200709163.71033847</v>
      </c>
      <c r="BA69" s="49">
        <f>Операции!BA162</f>
        <v>206257110.45420855</v>
      </c>
      <c r="BB69" s="49">
        <f>Операции!BB162</f>
        <v>207085893.1656689</v>
      </c>
      <c r="BC69" s="49">
        <f>Операции!BC162</f>
        <v>207945800.70075214</v>
      </c>
      <c r="BD69" s="49">
        <f>Операции!BD162</f>
        <v>208781368.9105562</v>
      </c>
      <c r="BE69" s="49">
        <f>Операции!BE162</f>
        <v>209648316.77246362</v>
      </c>
      <c r="BF69" s="49">
        <f>Операции!BF162</f>
        <v>210518864.56572121</v>
      </c>
      <c r="BG69" s="49">
        <f>Операции!BG162</f>
        <v>211364771.86561561</v>
      </c>
      <c r="BH69" s="49">
        <f>Операции!BH162</f>
        <v>212242447.10075575</v>
      </c>
      <c r="BI69" s="49">
        <f>Операции!BI162</f>
        <v>213095280.10325339</v>
      </c>
      <c r="BJ69" s="49">
        <f>Операции!BJ162</f>
        <v>213980141.13482958</v>
      </c>
      <c r="BK69" s="49">
        <f>Операции!BK162</f>
        <v>214866243.7688871</v>
      </c>
      <c r="BL69" s="49">
        <f>Операции!BL162</f>
        <v>215698500.12536043</v>
      </c>
      <c r="BM69" s="49">
        <f>Операции!BM162</f>
        <v>216591718.57128584</v>
      </c>
      <c r="BN69" s="49">
        <f>Операции!BN162</f>
        <v>217459645.17250997</v>
      </c>
      <c r="BO69" s="49">
        <f>Операции!BO162</f>
        <v>218360156.60953707</v>
      </c>
      <c r="BP69" s="49">
        <f>Операции!BP162</f>
        <v>219235169.69784456</v>
      </c>
      <c r="BQ69" s="49">
        <f>Операции!BQ162</f>
        <v>220143033.67212296</v>
      </c>
      <c r="BR69" s="49">
        <f>Операции!BR162</f>
        <v>221054657.15723592</v>
      </c>
      <c r="BS69" s="49">
        <f>Операции!BS162</f>
        <v>221940467.65145433</v>
      </c>
      <c r="BT69" s="49">
        <f>Операции!BT162</f>
        <v>222859534.40198052</v>
      </c>
      <c r="BU69" s="49">
        <f>Операции!BU162</f>
        <v>223752577.40251541</v>
      </c>
      <c r="BV69" s="49">
        <f>Операции!BV162</f>
        <v>224679148.19157109</v>
      </c>
      <c r="BW69" s="49">
        <f>Операции!BW162</f>
        <v>225612110.30479163</v>
      </c>
      <c r="BX69" s="49">
        <f>Операции!BX162</f>
        <v>226458115.14518344</v>
      </c>
      <c r="BY69" s="49">
        <f>Операции!BY162</f>
        <v>227398464.27576518</v>
      </c>
      <c r="BZ69" s="49">
        <f>Операции!BZ162</f>
        <v>228312197.21515024</v>
      </c>
      <c r="CA69" s="49">
        <f>Операции!CA162</f>
        <v>229260245.27257949</v>
      </c>
      <c r="CB69" s="49">
        <f>Операции!CB162</f>
        <v>230181459.22388843</v>
      </c>
      <c r="CC69" s="49">
        <f>Операции!CC162</f>
        <v>231137269.2416414</v>
      </c>
      <c r="CD69" s="49">
        <f>Операции!CD162</f>
        <v>232097048.18370789</v>
      </c>
      <c r="CE69" s="49">
        <f>Операции!CE162</f>
        <v>233029660.98184144</v>
      </c>
      <c r="CF69" s="49">
        <f>Операции!CF162</f>
        <v>233997297.92858341</v>
      </c>
      <c r="CG69" s="49">
        <f>Операции!CG162</f>
        <v>234937546.31383711</v>
      </c>
      <c r="CH69" s="49">
        <f>Операции!CH162</f>
        <v>235913105.60114986</v>
      </c>
      <c r="CI69" s="49">
        <f>Операции!CI162</f>
        <v>236892715.82003146</v>
      </c>
      <c r="CJ69" s="49">
        <f>Операции!CJ162</f>
        <v>237781020.90244284</v>
      </c>
      <c r="CK69" s="49">
        <f>Операции!CK162</f>
        <v>238768387.48955363</v>
      </c>
    </row>
    <row r="70" spans="2:89" ht="15.75" thickTop="1">
      <c r="B70" s="50" t="s">
        <v>58</v>
      </c>
      <c r="C70" s="58"/>
      <c r="D70" s="59"/>
      <c r="E70" s="60"/>
      <c r="F70" s="54">
        <f t="shared" ref="F70:AK70" si="98">F69*F38/F26</f>
        <v>0</v>
      </c>
      <c r="G70" s="54">
        <f t="shared" si="98"/>
        <v>0</v>
      </c>
      <c r="H70" s="54">
        <f t="shared" si="98"/>
        <v>0</v>
      </c>
      <c r="I70" s="54">
        <f t="shared" si="98"/>
        <v>0</v>
      </c>
      <c r="J70" s="54">
        <f t="shared" si="98"/>
        <v>0</v>
      </c>
      <c r="K70" s="54">
        <f t="shared" si="98"/>
        <v>0</v>
      </c>
      <c r="L70" s="54">
        <f t="shared" si="98"/>
        <v>0</v>
      </c>
      <c r="M70" s="54">
        <f t="shared" si="98"/>
        <v>0</v>
      </c>
      <c r="N70" s="54">
        <f t="shared" si="98"/>
        <v>0</v>
      </c>
      <c r="O70" s="54">
        <f t="shared" si="98"/>
        <v>0</v>
      </c>
      <c r="P70" s="54">
        <f t="shared" si="98"/>
        <v>0</v>
      </c>
      <c r="Q70" s="54">
        <f t="shared" si="98"/>
        <v>0</v>
      </c>
      <c r="R70" s="54">
        <f t="shared" si="98"/>
        <v>84593234.819203585</v>
      </c>
      <c r="S70" s="54">
        <f t="shared" si="98"/>
        <v>82203425.517773941</v>
      </c>
      <c r="T70" s="54">
        <f t="shared" si="98"/>
        <v>85283925.558534667</v>
      </c>
      <c r="U70" s="54">
        <f t="shared" si="98"/>
        <v>82874603.832065463</v>
      </c>
      <c r="V70" s="54">
        <f t="shared" si="98"/>
        <v>83217791.776342049</v>
      </c>
      <c r="W70" s="54">
        <f t="shared" si="98"/>
        <v>86336304.287765473</v>
      </c>
      <c r="X70" s="54">
        <f t="shared" si="98"/>
        <v>83897252.23497504</v>
      </c>
      <c r="Y70" s="54">
        <f t="shared" si="98"/>
        <v>87041226.92096515</v>
      </c>
      <c r="Z70" s="54">
        <f t="shared" si="98"/>
        <v>84582260.383651137</v>
      </c>
      <c r="AA70" s="54">
        <f t="shared" si="98"/>
        <v>84933481.424961179</v>
      </c>
      <c r="AB70" s="54">
        <f t="shared" si="98"/>
        <v>94386105.996128097</v>
      </c>
      <c r="AC70" s="54">
        <f t="shared" si="98"/>
        <v>85605968.649193585</v>
      </c>
      <c r="AD70" s="54">
        <f t="shared" si="98"/>
        <v>97882680.373785973</v>
      </c>
      <c r="AE70" s="54">
        <f t="shared" si="98"/>
        <v>97577886.872450233</v>
      </c>
      <c r="AF70" s="54">
        <f t="shared" si="98"/>
        <v>103973509.84813656</v>
      </c>
      <c r="AG70" s="54">
        <f t="shared" si="98"/>
        <v>104099628.85047336</v>
      </c>
      <c r="AH70" s="54">
        <f t="shared" si="98"/>
        <v>107978283.98639429</v>
      </c>
      <c r="AI70" s="54">
        <f t="shared" si="98"/>
        <v>115913075.40317665</v>
      </c>
      <c r="AJ70" s="54">
        <f t="shared" si="98"/>
        <v>117042574.92659537</v>
      </c>
      <c r="AK70" s="54">
        <f t="shared" si="98"/>
        <v>126434493.4312381</v>
      </c>
      <c r="AL70" s="54">
        <f t="shared" ref="AL70:BM70" si="99">AL69*AL38/AL26</f>
        <v>128573944.8912687</v>
      </c>
      <c r="AM70" s="54">
        <f t="shared" si="99"/>
        <v>135657887.38556522</v>
      </c>
      <c r="AN70" s="54">
        <f t="shared" si="99"/>
        <v>158238989.1891312</v>
      </c>
      <c r="AO70" s="54">
        <f t="shared" si="99"/>
        <v>152096931.05564311</v>
      </c>
      <c r="AP70" s="54">
        <f t="shared" si="99"/>
        <v>160109728.21769783</v>
      </c>
      <c r="AQ70" s="54">
        <f t="shared" si="99"/>
        <v>158047687.43670976</v>
      </c>
      <c r="AR70" s="54">
        <f t="shared" si="99"/>
        <v>166588676.17932671</v>
      </c>
      <c r="AS70" s="54">
        <f t="shared" si="99"/>
        <v>164668337.54028085</v>
      </c>
      <c r="AT70" s="54">
        <f t="shared" si="99"/>
        <v>168317247.07675678</v>
      </c>
      <c r="AU70" s="54">
        <f t="shared" si="99"/>
        <v>177781246.08966392</v>
      </c>
      <c r="AV70" s="54">
        <f t="shared" si="99"/>
        <v>176117341.84921578</v>
      </c>
      <c r="AW70" s="54">
        <f t="shared" si="99"/>
        <v>186290163.56738788</v>
      </c>
      <c r="AX70" s="54">
        <f t="shared" si="99"/>
        <v>184829071.96331811</v>
      </c>
      <c r="AY70" s="54">
        <f t="shared" si="99"/>
        <v>189643363.20116648</v>
      </c>
      <c r="AZ70" s="54">
        <f t="shared" si="99"/>
        <v>215045532.54679123</v>
      </c>
      <c r="BA70" s="54">
        <f t="shared" si="99"/>
        <v>199603655.27826634</v>
      </c>
      <c r="BB70" s="54">
        <f t="shared" si="99"/>
        <v>207085893.1656689</v>
      </c>
      <c r="BC70" s="54">
        <f t="shared" si="99"/>
        <v>201237871.64588916</v>
      </c>
      <c r="BD70" s="54">
        <f t="shared" si="99"/>
        <v>208781368.9105562</v>
      </c>
      <c r="BE70" s="54">
        <f t="shared" si="99"/>
        <v>202885467.84431961</v>
      </c>
      <c r="BF70" s="54">
        <f t="shared" si="99"/>
        <v>203727933.45069796</v>
      </c>
      <c r="BG70" s="54">
        <f t="shared" si="99"/>
        <v>211364771.86561558</v>
      </c>
      <c r="BH70" s="54">
        <f t="shared" si="99"/>
        <v>205395916.54911846</v>
      </c>
      <c r="BI70" s="54">
        <f t="shared" si="99"/>
        <v>213095280.10325339</v>
      </c>
      <c r="BJ70" s="54">
        <f t="shared" si="99"/>
        <v>207077555.93693185</v>
      </c>
      <c r="BK70" s="54">
        <f t="shared" si="99"/>
        <v>207935074.61505204</v>
      </c>
      <c r="BL70" s="54">
        <f t="shared" si="99"/>
        <v>223136379.44002801</v>
      </c>
      <c r="BM70" s="54">
        <f t="shared" si="99"/>
        <v>209604888.93995404</v>
      </c>
      <c r="BN70" s="54">
        <f t="shared" ref="BN70:CK70" si="100">BN69*BN38/BN26</f>
        <v>217459645.17250997</v>
      </c>
      <c r="BO70" s="54">
        <f t="shared" si="100"/>
        <v>211316280.58987457</v>
      </c>
      <c r="BP70" s="54">
        <f t="shared" si="100"/>
        <v>219235169.69784456</v>
      </c>
      <c r="BQ70" s="54">
        <f t="shared" si="100"/>
        <v>213041645.48915124</v>
      </c>
      <c r="BR70" s="54">
        <f t="shared" si="100"/>
        <v>213923861.76506701</v>
      </c>
      <c r="BS70" s="54">
        <f t="shared" si="100"/>
        <v>221940467.65145433</v>
      </c>
      <c r="BT70" s="54">
        <f t="shared" si="100"/>
        <v>215670517.16320696</v>
      </c>
      <c r="BU70" s="54">
        <f t="shared" si="100"/>
        <v>223752577.40251541</v>
      </c>
      <c r="BV70" s="54">
        <f t="shared" si="100"/>
        <v>217431433.73377845</v>
      </c>
      <c r="BW70" s="54">
        <f t="shared" si="100"/>
        <v>218334300.29495966</v>
      </c>
      <c r="BX70" s="54">
        <f t="shared" si="100"/>
        <v>242633694.79841083</v>
      </c>
      <c r="BY70" s="54">
        <f t="shared" si="100"/>
        <v>220063029.94428888</v>
      </c>
      <c r="BZ70" s="54">
        <f t="shared" si="100"/>
        <v>228312197.21515024</v>
      </c>
      <c r="CA70" s="54">
        <f t="shared" si="100"/>
        <v>221864753.48959306</v>
      </c>
      <c r="CB70" s="54">
        <f t="shared" si="100"/>
        <v>230181459.22388843</v>
      </c>
      <c r="CC70" s="54">
        <f t="shared" si="100"/>
        <v>223681228.29836264</v>
      </c>
      <c r="CD70" s="54">
        <f t="shared" si="100"/>
        <v>224610046.62939474</v>
      </c>
      <c r="CE70" s="54">
        <f t="shared" si="100"/>
        <v>233029660.98184144</v>
      </c>
      <c r="CF70" s="54">
        <f t="shared" si="100"/>
        <v>226448997.99540329</v>
      </c>
      <c r="CG70" s="54">
        <f t="shared" si="100"/>
        <v>234937546.31383711</v>
      </c>
      <c r="CH70" s="54">
        <f t="shared" si="100"/>
        <v>228303005.42046759</v>
      </c>
      <c r="CI70" s="54">
        <f t="shared" si="100"/>
        <v>229251015.30970785</v>
      </c>
      <c r="CJ70" s="54">
        <f t="shared" si="100"/>
        <v>254765379.5383316</v>
      </c>
      <c r="CK70" s="54">
        <f t="shared" si="100"/>
        <v>231066181.44150352</v>
      </c>
    </row>
    <row r="71" spans="2:89"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</row>
    <row r="72" spans="2:89" ht="18" thickBot="1">
      <c r="B72" s="100" t="str">
        <f>"Кредиторская задолженность, в "&amp;Ед_измерения_денег&amp;" в т.ч. НДС"</f>
        <v>Кредиторская задолженность, в  руб. в т.ч. НДС</v>
      </c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</row>
    <row r="73" spans="2:89" ht="15.75" thickTop="1">
      <c r="B73" s="168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</row>
    <row r="74" spans="2:89">
      <c r="B74" s="77" t="s">
        <v>57</v>
      </c>
      <c r="C74" s="124"/>
      <c r="D74" s="152"/>
      <c r="E74" s="153"/>
      <c r="F74" s="80">
        <f>E76</f>
        <v>0</v>
      </c>
      <c r="G74" s="80">
        <f t="shared" ref="G74:AG74" ca="1" si="101">F76</f>
        <v>0</v>
      </c>
      <c r="H74" s="80">
        <f t="shared" ca="1" si="101"/>
        <v>0</v>
      </c>
      <c r="I74" s="80">
        <f t="shared" ca="1" si="101"/>
        <v>0</v>
      </c>
      <c r="J74" s="80">
        <f t="shared" ca="1" si="101"/>
        <v>0</v>
      </c>
      <c r="K74" s="80">
        <f t="shared" ca="1" si="101"/>
        <v>0</v>
      </c>
      <c r="L74" s="80">
        <f t="shared" ca="1" si="101"/>
        <v>0</v>
      </c>
      <c r="M74" s="80">
        <f t="shared" ca="1" si="101"/>
        <v>0</v>
      </c>
      <c r="N74" s="80">
        <f t="shared" ca="1" si="101"/>
        <v>0</v>
      </c>
      <c r="O74" s="80">
        <f t="shared" ca="1" si="101"/>
        <v>0</v>
      </c>
      <c r="P74" s="80">
        <f t="shared" ca="1" si="101"/>
        <v>0</v>
      </c>
      <c r="Q74" s="80">
        <f t="shared" ca="1" si="101"/>
        <v>0</v>
      </c>
      <c r="R74" s="80">
        <f t="shared" ca="1" si="101"/>
        <v>0</v>
      </c>
      <c r="S74" s="80">
        <f t="shared" ca="1" si="101"/>
        <v>33199085.062594414</v>
      </c>
      <c r="T74" s="80">
        <f t="shared" ca="1" si="101"/>
        <v>32265986.141835876</v>
      </c>
      <c r="U74" s="80">
        <f t="shared" ca="1" si="101"/>
        <v>33479940.283353336</v>
      </c>
      <c r="V74" s="80">
        <f t="shared" ca="1" si="101"/>
        <v>32538947.914035574</v>
      </c>
      <c r="W74" s="80">
        <f t="shared" ca="1" si="101"/>
        <v>32678550.155846514</v>
      </c>
      <c r="X74" s="80">
        <f t="shared" ca="1" si="101"/>
        <v>33908026.810919292</v>
      </c>
      <c r="Y74" s="80">
        <f t="shared" ca="1" si="101"/>
        <v>32955003.05516335</v>
      </c>
      <c r="Z74" s="80">
        <f t="shared" ca="1" si="101"/>
        <v>34194881.114608169</v>
      </c>
      <c r="AA74" s="80">
        <f t="shared" ca="1" si="101"/>
        <v>33233795.311947543</v>
      </c>
      <c r="AB74" s="80">
        <f t="shared" ca="1" si="101"/>
        <v>33376770.953965224</v>
      </c>
      <c r="AC74" s="80">
        <f t="shared" ca="1" si="101"/>
        <v>37096414.608973302</v>
      </c>
      <c r="AD74" s="80">
        <f t="shared" ca="1" si="101"/>
        <v>33650587.903573573</v>
      </c>
      <c r="AE74" s="80">
        <f t="shared" ca="1" si="101"/>
        <v>36008588.231619105</v>
      </c>
      <c r="AF74" s="80">
        <f t="shared" ca="1" si="101"/>
        <v>35894873.747941263</v>
      </c>
      <c r="AG74" s="80">
        <f t="shared" ca="1" si="101"/>
        <v>38188721.902990296</v>
      </c>
      <c r="AH74" s="80">
        <f t="shared" ref="AH74:BM74" ca="1" si="102">AG76</f>
        <v>38107506.779892854</v>
      </c>
      <c r="AI74" s="80">
        <f t="shared" ca="1" si="102"/>
        <v>39316718.473412879</v>
      </c>
      <c r="AJ74" s="80">
        <f t="shared" ca="1" si="102"/>
        <v>41898830.155846782</v>
      </c>
      <c r="AK74" s="80">
        <f t="shared" ca="1" si="102"/>
        <v>41886475.02348458</v>
      </c>
      <c r="AL74" s="80">
        <f t="shared" ca="1" si="102"/>
        <v>44695481.872772694</v>
      </c>
      <c r="AM74" s="80">
        <f t="shared" ca="1" si="102"/>
        <v>44746768.633818775</v>
      </c>
      <c r="AN74" s="80">
        <f t="shared" ca="1" si="102"/>
        <v>46329149.854646504</v>
      </c>
      <c r="AO74" s="80">
        <f t="shared" ca="1" si="102"/>
        <v>52968441.837763295</v>
      </c>
      <c r="AP74" s="80">
        <f t="shared" ca="1" si="102"/>
        <v>49620149.66969458</v>
      </c>
      <c r="AQ74" s="80">
        <f t="shared" ca="1" si="102"/>
        <v>51578510.560968243</v>
      </c>
      <c r="AR74" s="80">
        <f t="shared" ca="1" si="102"/>
        <v>50226152.712350674</v>
      </c>
      <c r="AS74" s="80">
        <f t="shared" ca="1" si="102"/>
        <v>52219333.09855134</v>
      </c>
      <c r="AT74" s="80">
        <f t="shared" ca="1" si="102"/>
        <v>50861755.241564356</v>
      </c>
      <c r="AU74" s="80">
        <f t="shared" ca="1" si="102"/>
        <v>51197210.078550093</v>
      </c>
      <c r="AV74" s="80">
        <f t="shared" ca="1" si="102"/>
        <v>53248127.058422282</v>
      </c>
      <c r="AW74" s="80">
        <f t="shared" ca="1" si="102"/>
        <v>51884196.767259568</v>
      </c>
      <c r="AX74" s="80">
        <f t="shared" ca="1" si="102"/>
        <v>53977375.652886756</v>
      </c>
      <c r="AY74" s="80">
        <f t="shared" ca="1" si="102"/>
        <v>52610417.810079597</v>
      </c>
      <c r="AZ74" s="80">
        <f t="shared" ca="1" si="102"/>
        <v>52996016.383122437</v>
      </c>
      <c r="BA74" s="80">
        <f t="shared" ca="1" si="102"/>
        <v>59071190.024096623</v>
      </c>
      <c r="BB74" s="80">
        <f t="shared" ca="1" si="102"/>
        <v>53763751.435679235</v>
      </c>
      <c r="BC74" s="80">
        <f t="shared" ca="1" si="102"/>
        <v>55787371.622889072</v>
      </c>
      <c r="BD74" s="80">
        <f t="shared" ca="1" si="102"/>
        <v>54220255.047665298</v>
      </c>
      <c r="BE74" s="80">
        <f t="shared" ca="1" si="102"/>
        <v>56261057.993129477</v>
      </c>
      <c r="BF74" s="80">
        <f t="shared" ca="1" si="102"/>
        <v>54680635.515452527</v>
      </c>
      <c r="BG74" s="80">
        <f t="shared" ca="1" si="102"/>
        <v>54916095.628293328</v>
      </c>
      <c r="BH74" s="80">
        <f t="shared" ca="1" si="102"/>
        <v>56983089.961089216</v>
      </c>
      <c r="BI74" s="80">
        <f t="shared" ca="1" si="102"/>
        <v>55382385.531056806</v>
      </c>
      <c r="BJ74" s="80">
        <f t="shared" ca="1" si="102"/>
        <v>57466930.984436892</v>
      </c>
      <c r="BK74" s="80">
        <f t="shared" ca="1" si="102"/>
        <v>55852635.413805328</v>
      </c>
      <c r="BL74" s="80">
        <f t="shared" ca="1" si="102"/>
        <v>56092484.678371146</v>
      </c>
      <c r="BM74" s="80">
        <f t="shared" ca="1" si="102"/>
        <v>60201778.018964782</v>
      </c>
      <c r="BN74" s="80">
        <f t="shared" ref="BN74" ca="1" si="103">BM76</f>
        <v>56559639.508595541</v>
      </c>
      <c r="BO74" s="80">
        <f t="shared" ref="BO74" ca="1" si="104">BN76</f>
        <v>58687829.955547974</v>
      </c>
      <c r="BP74" s="80">
        <f t="shared" ref="BP74" ca="1" si="105">BO76</f>
        <v>57038569.585135452</v>
      </c>
      <c r="BQ74" s="80">
        <f t="shared" ref="BQ74" ca="1" si="106">BP76</f>
        <v>59184781.291017406</v>
      </c>
      <c r="BR74" s="80">
        <f t="shared" ref="BR74" ca="1" si="107">BQ76</f>
        <v>57521555.848914899</v>
      </c>
      <c r="BS74" s="80">
        <f t="shared" ref="BS74" ca="1" si="108">BR76</f>
        <v>57768573.33580751</v>
      </c>
      <c r="BT74" s="80">
        <f t="shared" ref="BT74" ca="1" si="109">BS76</f>
        <v>59942253.747274511</v>
      </c>
      <c r="BU74" s="80">
        <f t="shared" ref="BU74" ca="1" si="110">BT76</f>
        <v>58257742.208061323</v>
      </c>
      <c r="BV74" s="80">
        <f t="shared" ref="BV74" ca="1" si="111">BU76</f>
        <v>60449829.152959682</v>
      </c>
      <c r="BW74" s="80">
        <f t="shared" ref="BW74" ca="1" si="112">BV76</f>
        <v>58751053.997339323</v>
      </c>
      <c r="BX74" s="80">
        <f t="shared" ref="BX74" ca="1" si="113">BW76</f>
        <v>59004045.069889009</v>
      </c>
      <c r="BY74" s="80">
        <f t="shared" ref="BY74" ca="1" si="114">BX76</f>
        <v>65579934.865536951</v>
      </c>
      <c r="BZ74" s="80">
        <f t="shared" ref="BZ74" ca="1" si="115">BY76</f>
        <v>59488558.452781275</v>
      </c>
      <c r="CA74" s="80">
        <f t="shared" ref="CA74" ca="1" si="116">BZ76</f>
        <v>61727660.098450504</v>
      </c>
      <c r="CB74" s="80">
        <f t="shared" ref="CB74" ca="1" si="117">CA76</f>
        <v>59993680.35980285</v>
      </c>
      <c r="CC74" s="80">
        <f t="shared" ref="CC74" ca="1" si="118">CB76</f>
        <v>62251794.789174825</v>
      </c>
      <c r="CD74" s="80">
        <f t="shared" ref="CD74" ca="1" si="119">CC76</f>
        <v>60503092.086163186</v>
      </c>
      <c r="CE74" s="80">
        <f t="shared" ref="CE74" ca="1" si="120">CD76</f>
        <v>60763629.106889829</v>
      </c>
      <c r="CF74" s="80">
        <f t="shared" ref="CF74" ca="1" si="121">CE76</f>
        <v>63050724.405526169</v>
      </c>
      <c r="CG74" s="80">
        <f t="shared" ref="CG74" ca="1" si="122">CF76</f>
        <v>61279579.743613027</v>
      </c>
      <c r="CH74" s="80">
        <f t="shared" ref="CH74" ca="1" si="123">CG76</f>
        <v>63586095.427076384</v>
      </c>
      <c r="CI74" s="80">
        <f t="shared" ref="CI74" ca="1" si="124">CH76</f>
        <v>61799912.179691873</v>
      </c>
      <c r="CJ74" s="80">
        <f t="shared" ref="CJ74" ca="1" si="125">CI76</f>
        <v>62066034.568927988</v>
      </c>
      <c r="CK74" s="80">
        <f t="shared" ref="CK74" ca="1" si="126">CJ76</f>
        <v>68983179.805732682</v>
      </c>
    </row>
    <row r="75" spans="2:89" ht="15.75" thickBot="1">
      <c r="B75" s="45" t="s">
        <v>184</v>
      </c>
      <c r="C75" s="118"/>
      <c r="D75" s="152"/>
      <c r="E75" s="119"/>
      <c r="F75" s="49">
        <f ca="1">SUM(Операции!F245,Операции!F279)</f>
        <v>0</v>
      </c>
      <c r="G75" s="49">
        <f ca="1">SUM(Операции!G245,Операции!G279)</f>
        <v>0</v>
      </c>
      <c r="H75" s="49">
        <f ca="1">SUM(Операции!H245,Операции!H279)</f>
        <v>0</v>
      </c>
      <c r="I75" s="49">
        <f ca="1">SUM(Операции!I245,Операции!I279)</f>
        <v>0</v>
      </c>
      <c r="J75" s="49">
        <f ca="1">SUM(Операции!J245,Операции!J279)</f>
        <v>0</v>
      </c>
      <c r="K75" s="49">
        <f ca="1">SUM(Операции!K245,Операции!K279)</f>
        <v>0</v>
      </c>
      <c r="L75" s="49">
        <f ca="1">SUM(Операции!L245,Операции!L279)</f>
        <v>0</v>
      </c>
      <c r="M75" s="49">
        <f ca="1">SUM(Операции!M245,Операции!M279)</f>
        <v>0</v>
      </c>
      <c r="N75" s="49">
        <f ca="1">SUM(Операции!N245,Операции!N279)</f>
        <v>0</v>
      </c>
      <c r="O75" s="49">
        <f ca="1">SUM(Операции!O245,Операции!O279)</f>
        <v>0</v>
      </c>
      <c r="P75" s="49">
        <f ca="1">SUM(Операции!P245,Операции!P279)</f>
        <v>0</v>
      </c>
      <c r="Q75" s="49">
        <f ca="1">SUM(Операции!Q245,Операции!Q279)</f>
        <v>0</v>
      </c>
      <c r="R75" s="49">
        <f ca="1">SUM(Операции!R245,Операции!R279)</f>
        <v>49798627.593891621</v>
      </c>
      <c r="S75" s="49">
        <f ca="1">SUM(Операции!S245,Операции!S279)</f>
        <v>50012278.519845605</v>
      </c>
      <c r="T75" s="49">
        <f ca="1">SUM(Операции!T245,Операции!T279)</f>
        <v>50219910.425030008</v>
      </c>
      <c r="U75" s="49">
        <f ca="1">SUM(Операции!U245,Операции!U279)</f>
        <v>50435369.266755141</v>
      </c>
      <c r="V75" s="49">
        <f ca="1">SUM(Операции!V245,Операции!V279)</f>
        <v>50651752.741562098</v>
      </c>
      <c r="W75" s="49">
        <f ca="1">SUM(Операции!W245,Операции!W279)</f>
        <v>50862040.216378942</v>
      </c>
      <c r="X75" s="49">
        <f ca="1">SUM(Операции!X245,Операции!X279)</f>
        <v>51080254.735503189</v>
      </c>
      <c r="Y75" s="49">
        <f ca="1">SUM(Операции!Y245,Операции!Y279)</f>
        <v>51292321.671912253</v>
      </c>
      <c r="Z75" s="49">
        <f ca="1">SUM(Операции!Z245,Операции!Z279)</f>
        <v>51512382.73351869</v>
      </c>
      <c r="AA75" s="49">
        <f ca="1">SUM(Операции!AA245,Операции!AA279)</f>
        <v>51733994.9786461</v>
      </c>
      <c r="AB75" s="49">
        <f ca="1">SUM(Операции!AB245,Операции!AB279)</f>
        <v>51934980.452562615</v>
      </c>
      <c r="AC75" s="49">
        <f ca="1">SUM(Операции!AC245,Операции!AC279)</f>
        <v>52158411.250539042</v>
      </c>
      <c r="AD75" s="49">
        <f ca="1">SUM(Операции!AD245,Операции!AD279)</f>
        <v>54012882.347428657</v>
      </c>
      <c r="AE75" s="49">
        <f ca="1">SUM(Операции!AE245,Операции!AE279)</f>
        <v>55637054.309308954</v>
      </c>
      <c r="AF75" s="49">
        <f ca="1">SUM(Операции!AF245,Операции!AF279)</f>
        <v>57283082.854485437</v>
      </c>
      <c r="AG75" s="49">
        <f ca="1">SUM(Операции!AG245,Операции!AG279)</f>
        <v>59066635.508833922</v>
      </c>
      <c r="AH75" s="49">
        <f ca="1">SUM(Операции!AH245,Операции!AH279)</f>
        <v>60940913.633789957</v>
      </c>
      <c r="AI75" s="49">
        <f ca="1">SUM(Операции!AI245,Операции!AI279)</f>
        <v>62848245.233770169</v>
      </c>
      <c r="AJ75" s="49">
        <f ca="1">SUM(Операции!AJ245,Операции!AJ279)</f>
        <v>64924036.2864011</v>
      </c>
      <c r="AK75" s="49">
        <f ca="1">SUM(Операции!AK245,Операции!AK279)</f>
        <v>67043222.80915904</v>
      </c>
      <c r="AL75" s="49">
        <f ca="1">SUM(Операции!AL245,Операции!AL279)</f>
        <v>69357491.382419094</v>
      </c>
      <c r="AM75" s="49">
        <f ca="1">SUM(Операции!AM245,Операции!AM279)</f>
        <v>71810182.274702087</v>
      </c>
      <c r="AN75" s="49">
        <f ca="1">SUM(Операции!AN245,Операции!AN279)</f>
        <v>74155818.572868615</v>
      </c>
      <c r="AO75" s="49">
        <f ca="1">SUM(Операции!AO245,Операции!AO279)</f>
        <v>76911231.988026589</v>
      </c>
      <c r="AP75" s="49">
        <f ca="1">SUM(Операции!AP245,Операции!AP279)</f>
        <v>77367765.84145236</v>
      </c>
      <c r="AQ75" s="49">
        <f ca="1">SUM(Операции!AQ245,Операции!AQ279)</f>
        <v>77850536.704143554</v>
      </c>
      <c r="AR75" s="49">
        <f ca="1">SUM(Операции!AR245,Операции!AR279)</f>
        <v>78328999.647826999</v>
      </c>
      <c r="AS75" s="49">
        <f ca="1">SUM(Операции!AS245,Операции!AS279)</f>
        <v>78835720.624424756</v>
      </c>
      <c r="AT75" s="49">
        <f ca="1">SUM(Операции!AT245,Операции!AT279)</f>
        <v>79355675.62175265</v>
      </c>
      <c r="AU75" s="49">
        <f ca="1">SUM(Операции!AU245,Операции!AU279)</f>
        <v>79872190.587633416</v>
      </c>
      <c r="AV75" s="49">
        <f ca="1">SUM(Операции!AV245,Операции!AV279)</f>
        <v>80420504.989252329</v>
      </c>
      <c r="AW75" s="49">
        <f ca="1">SUM(Операции!AW245,Операции!AW279)</f>
        <v>80966063.479330137</v>
      </c>
      <c r="AX75" s="49">
        <f ca="1">SUM(Операции!AX245,Операции!AX279)</f>
        <v>81546147.605623379</v>
      </c>
      <c r="AY75" s="49">
        <f ca="1">SUM(Операции!AY245,Операции!AY279)</f>
        <v>82143825.393839777</v>
      </c>
      <c r="AZ75" s="49">
        <f ca="1">SUM(Операции!AZ245,Операции!AZ279)</f>
        <v>82699666.033735275</v>
      </c>
      <c r="BA75" s="49">
        <f ca="1">SUM(Операции!BA245,Операции!BA279)</f>
        <v>83333814.725302815</v>
      </c>
      <c r="BB75" s="49">
        <f ca="1">SUM(Операции!BB245,Операции!BB279)</f>
        <v>83681057.434333608</v>
      </c>
      <c r="BC75" s="49">
        <f ca="1">SUM(Операции!BC245,Операции!BC279)</f>
        <v>84041395.323881209</v>
      </c>
      <c r="BD75" s="49">
        <f ca="1">SUM(Операции!BD245,Операции!BD279)</f>
        <v>84391586.989694208</v>
      </c>
      <c r="BE75" s="49">
        <f ca="1">SUM(Операции!BE245,Операции!BE279)</f>
        <v>84754985.048951417</v>
      </c>
      <c r="BF75" s="49">
        <f ca="1">SUM(Операции!BF245,Операции!BF279)</f>
        <v>85119948.223854661</v>
      </c>
      <c r="BG75" s="49">
        <f ca="1">SUM(Операции!BG245,Операции!BG279)</f>
        <v>85474634.941633821</v>
      </c>
      <c r="BH75" s="49">
        <f ca="1">SUM(Операции!BH245,Операции!BH279)</f>
        <v>85842697.573138043</v>
      </c>
      <c r="BI75" s="49">
        <f ca="1">SUM(Операции!BI245,Операции!BI279)</f>
        <v>86200396.476655334</v>
      </c>
      <c r="BJ75" s="49">
        <f ca="1">SUM(Операции!BJ245,Операции!BJ279)</f>
        <v>86571584.891398266</v>
      </c>
      <c r="BK75" s="49">
        <f ca="1">SUM(Операции!BK245,Операции!BK279)</f>
        <v>86943351.251475275</v>
      </c>
      <c r="BL75" s="49">
        <f ca="1">SUM(Операции!BL245,Операции!BL279)</f>
        <v>87292578.12749894</v>
      </c>
      <c r="BM75" s="49">
        <f ca="1">SUM(Операции!BM245,Операции!BM279)</f>
        <v>87667441.238323092</v>
      </c>
      <c r="BN75" s="49">
        <f ca="1">SUM(Операции!BN245,Операции!BN279)</f>
        <v>88031744.933321968</v>
      </c>
      <c r="BO75" s="49">
        <f ca="1">SUM(Операции!BO245,Операции!BO279)</f>
        <v>88409782.856959954</v>
      </c>
      <c r="BP75" s="49">
        <f ca="1">SUM(Операции!BP245,Операции!BP279)</f>
        <v>88777171.936526105</v>
      </c>
      <c r="BQ75" s="49">
        <f ca="1">SUM(Операции!BQ245,Операции!BQ279)</f>
        <v>89158411.565818101</v>
      </c>
      <c r="BR75" s="49">
        <f ca="1">SUM(Операции!BR245,Операции!BR279)</f>
        <v>89541288.670501634</v>
      </c>
      <c r="BS75" s="49">
        <f ca="1">SUM(Операции!BS245,Операции!BS279)</f>
        <v>89913380.620911762</v>
      </c>
      <c r="BT75" s="49">
        <f ca="1">SUM(Операции!BT245,Операции!BT279)</f>
        <v>90299500.422495052</v>
      </c>
      <c r="BU75" s="49">
        <f ca="1">SUM(Операции!BU245,Операции!BU279)</f>
        <v>90674743.729439527</v>
      </c>
      <c r="BV75" s="49">
        <f ca="1">SUM(Операции!BV245,Операции!BV279)</f>
        <v>91064133.695875958</v>
      </c>
      <c r="BW75" s="49">
        <f ca="1">SUM(Операции!BW245,Операции!BW279)</f>
        <v>91456269.858327955</v>
      </c>
      <c r="BX75" s="49">
        <f ca="1">SUM(Операции!BX245,Операции!BX279)</f>
        <v>91811908.811751738</v>
      </c>
      <c r="BY75" s="49">
        <f ca="1">SUM(Операции!BY245,Операции!BY279)</f>
        <v>92207265.601810977</v>
      </c>
      <c r="BZ75" s="49">
        <f ca="1">SUM(Операции!BZ245,Операции!BZ279)</f>
        <v>92591490.147675753</v>
      </c>
      <c r="CA75" s="49">
        <f ca="1">SUM(Операции!CA245,Операции!CA279)</f>
        <v>92990204.557694405</v>
      </c>
      <c r="CB75" s="49">
        <f ca="1">SUM(Операции!CB245,Операции!CB279)</f>
        <v>93377692.183762237</v>
      </c>
      <c r="CC75" s="49">
        <f ca="1">SUM(Операции!CC245,Операции!CC279)</f>
        <v>93779792.733552933</v>
      </c>
      <c r="CD75" s="49">
        <f ca="1">SUM(Операции!CD245,Операции!CD279)</f>
        <v>94183625.115679234</v>
      </c>
      <c r="CE75" s="49">
        <f ca="1">SUM(Операции!CE245,Операции!CE279)</f>
        <v>94576086.608289257</v>
      </c>
      <c r="CF75" s="49">
        <f ca="1">SUM(Операции!CF245,Операции!CF279)</f>
        <v>94983348.602600187</v>
      </c>
      <c r="CG75" s="49">
        <f ca="1">SUM(Операции!CG245,Операции!CG279)</f>
        <v>95379143.140614584</v>
      </c>
      <c r="CH75" s="49">
        <f ca="1">SUM(Операции!CH245,Операции!CH279)</f>
        <v>95789863.878522411</v>
      </c>
      <c r="CI75" s="49">
        <f ca="1">SUM(Операции!CI245,Операции!CI279)</f>
        <v>96202353.581838384</v>
      </c>
      <c r="CJ75" s="49">
        <f ca="1">SUM(Операции!CJ245,Операции!CJ279)</f>
        <v>96576451.728025749</v>
      </c>
      <c r="CK75" s="49">
        <f ca="1">SUM(Операции!CK245,Операции!CK279)</f>
        <v>96992329.251848757</v>
      </c>
    </row>
    <row r="76" spans="2:89" ht="15.75" thickTop="1">
      <c r="B76" s="50" t="s">
        <v>58</v>
      </c>
      <c r="C76" s="58"/>
      <c r="D76" s="59"/>
      <c r="E76" s="60"/>
      <c r="F76" s="54">
        <f t="shared" ref="F76:AK76" ca="1" si="127">F75*F39/F26</f>
        <v>0</v>
      </c>
      <c r="G76" s="54">
        <f t="shared" ca="1" si="127"/>
        <v>0</v>
      </c>
      <c r="H76" s="54">
        <f t="shared" ca="1" si="127"/>
        <v>0</v>
      </c>
      <c r="I76" s="54">
        <f t="shared" ca="1" si="127"/>
        <v>0</v>
      </c>
      <c r="J76" s="54">
        <f t="shared" ca="1" si="127"/>
        <v>0</v>
      </c>
      <c r="K76" s="54">
        <f t="shared" ca="1" si="127"/>
        <v>0</v>
      </c>
      <c r="L76" s="54">
        <f t="shared" ca="1" si="127"/>
        <v>0</v>
      </c>
      <c r="M76" s="54">
        <f t="shared" ca="1" si="127"/>
        <v>0</v>
      </c>
      <c r="N76" s="54">
        <f t="shared" ca="1" si="127"/>
        <v>0</v>
      </c>
      <c r="O76" s="54">
        <f t="shared" ca="1" si="127"/>
        <v>0</v>
      </c>
      <c r="P76" s="54">
        <f t="shared" ca="1" si="127"/>
        <v>0</v>
      </c>
      <c r="Q76" s="54">
        <f t="shared" ca="1" si="127"/>
        <v>0</v>
      </c>
      <c r="R76" s="54">
        <f t="shared" ca="1" si="127"/>
        <v>33199085.062594414</v>
      </c>
      <c r="S76" s="54">
        <f t="shared" ca="1" si="127"/>
        <v>32265986.141835876</v>
      </c>
      <c r="T76" s="54">
        <f t="shared" ca="1" si="127"/>
        <v>33479940.283353336</v>
      </c>
      <c r="U76" s="54">
        <f t="shared" ca="1" si="127"/>
        <v>32538947.914035574</v>
      </c>
      <c r="V76" s="54">
        <f t="shared" ca="1" si="127"/>
        <v>32678550.155846514</v>
      </c>
      <c r="W76" s="54">
        <f t="shared" ca="1" si="127"/>
        <v>33908026.810919292</v>
      </c>
      <c r="X76" s="54">
        <f t="shared" ca="1" si="127"/>
        <v>32955003.05516335</v>
      </c>
      <c r="Y76" s="54">
        <f t="shared" ca="1" si="127"/>
        <v>34194881.114608169</v>
      </c>
      <c r="Z76" s="54">
        <f t="shared" ca="1" si="127"/>
        <v>33233795.311947543</v>
      </c>
      <c r="AA76" s="54">
        <f t="shared" ca="1" si="127"/>
        <v>33376770.953965224</v>
      </c>
      <c r="AB76" s="54">
        <f t="shared" ca="1" si="127"/>
        <v>37096414.608973302</v>
      </c>
      <c r="AC76" s="54">
        <f t="shared" ca="1" si="127"/>
        <v>33650587.903573573</v>
      </c>
      <c r="AD76" s="54">
        <f t="shared" ca="1" si="127"/>
        <v>36008588.231619105</v>
      </c>
      <c r="AE76" s="54">
        <f t="shared" ca="1" si="127"/>
        <v>35894873.747941263</v>
      </c>
      <c r="AF76" s="54">
        <f t="shared" ca="1" si="127"/>
        <v>38188721.902990296</v>
      </c>
      <c r="AG76" s="54">
        <f t="shared" ca="1" si="127"/>
        <v>38107506.779892854</v>
      </c>
      <c r="AH76" s="54">
        <f t="shared" ca="1" si="127"/>
        <v>39316718.473412879</v>
      </c>
      <c r="AI76" s="54">
        <f t="shared" ca="1" si="127"/>
        <v>41898830.155846782</v>
      </c>
      <c r="AJ76" s="54">
        <f t="shared" ca="1" si="127"/>
        <v>41886475.02348458</v>
      </c>
      <c r="AK76" s="54">
        <f t="shared" ca="1" si="127"/>
        <v>44695481.872772694</v>
      </c>
      <c r="AL76" s="54">
        <f t="shared" ref="AL76:BM76" ca="1" si="128">AL75*AL39/AL26</f>
        <v>44746768.633818775</v>
      </c>
      <c r="AM76" s="54">
        <f t="shared" ca="1" si="128"/>
        <v>46329149.854646504</v>
      </c>
      <c r="AN76" s="54">
        <f t="shared" ca="1" si="128"/>
        <v>52968441.837763295</v>
      </c>
      <c r="AO76" s="54">
        <f t="shared" ca="1" si="128"/>
        <v>49620149.66969458</v>
      </c>
      <c r="AP76" s="54">
        <f t="shared" ca="1" si="128"/>
        <v>51578510.560968243</v>
      </c>
      <c r="AQ76" s="54">
        <f t="shared" ca="1" si="128"/>
        <v>50226152.712350674</v>
      </c>
      <c r="AR76" s="54">
        <f t="shared" ca="1" si="128"/>
        <v>52219333.09855134</v>
      </c>
      <c r="AS76" s="54">
        <f t="shared" ca="1" si="128"/>
        <v>50861755.241564356</v>
      </c>
      <c r="AT76" s="54">
        <f t="shared" ca="1" si="128"/>
        <v>51197210.078550093</v>
      </c>
      <c r="AU76" s="54">
        <f t="shared" ca="1" si="128"/>
        <v>53248127.058422282</v>
      </c>
      <c r="AV76" s="54">
        <f t="shared" ca="1" si="128"/>
        <v>51884196.767259568</v>
      </c>
      <c r="AW76" s="54">
        <f t="shared" ca="1" si="128"/>
        <v>53977375.652886756</v>
      </c>
      <c r="AX76" s="54">
        <f t="shared" ca="1" si="128"/>
        <v>52610417.810079597</v>
      </c>
      <c r="AY76" s="54">
        <f t="shared" ca="1" si="128"/>
        <v>52996016.383122437</v>
      </c>
      <c r="AZ76" s="54">
        <f t="shared" ca="1" si="128"/>
        <v>59071190.024096623</v>
      </c>
      <c r="BA76" s="54">
        <f t="shared" ca="1" si="128"/>
        <v>53763751.435679235</v>
      </c>
      <c r="BB76" s="54">
        <f t="shared" ca="1" si="128"/>
        <v>55787371.622889072</v>
      </c>
      <c r="BC76" s="54">
        <f t="shared" ca="1" si="128"/>
        <v>54220255.047665298</v>
      </c>
      <c r="BD76" s="54">
        <f t="shared" ca="1" si="128"/>
        <v>56261057.993129477</v>
      </c>
      <c r="BE76" s="54">
        <f t="shared" ca="1" si="128"/>
        <v>54680635.515452527</v>
      </c>
      <c r="BF76" s="54">
        <f t="shared" ca="1" si="128"/>
        <v>54916095.628293328</v>
      </c>
      <c r="BG76" s="54">
        <f t="shared" ca="1" si="128"/>
        <v>56983089.961089216</v>
      </c>
      <c r="BH76" s="54">
        <f t="shared" ca="1" si="128"/>
        <v>55382385.531056806</v>
      </c>
      <c r="BI76" s="54">
        <f t="shared" ca="1" si="128"/>
        <v>57466930.984436892</v>
      </c>
      <c r="BJ76" s="54">
        <f t="shared" ca="1" si="128"/>
        <v>55852635.413805328</v>
      </c>
      <c r="BK76" s="54">
        <f t="shared" ca="1" si="128"/>
        <v>56092484.678371146</v>
      </c>
      <c r="BL76" s="54">
        <f t="shared" ca="1" si="128"/>
        <v>60201778.018964782</v>
      </c>
      <c r="BM76" s="54">
        <f t="shared" ca="1" si="128"/>
        <v>56559639.508595541</v>
      </c>
      <c r="BN76" s="54">
        <f t="shared" ref="BN76:CK76" ca="1" si="129">BN75*BN39/BN26</f>
        <v>58687829.955547974</v>
      </c>
      <c r="BO76" s="54">
        <f t="shared" ca="1" si="129"/>
        <v>57038569.585135452</v>
      </c>
      <c r="BP76" s="54">
        <f t="shared" ca="1" si="129"/>
        <v>59184781.291017406</v>
      </c>
      <c r="BQ76" s="54">
        <f t="shared" ca="1" si="129"/>
        <v>57521555.848914899</v>
      </c>
      <c r="BR76" s="54">
        <f t="shared" ca="1" si="129"/>
        <v>57768573.33580751</v>
      </c>
      <c r="BS76" s="54">
        <f t="shared" ca="1" si="129"/>
        <v>59942253.747274511</v>
      </c>
      <c r="BT76" s="54">
        <f t="shared" ca="1" si="129"/>
        <v>58257742.208061323</v>
      </c>
      <c r="BU76" s="54">
        <f t="shared" ca="1" si="129"/>
        <v>60449829.152959682</v>
      </c>
      <c r="BV76" s="54">
        <f t="shared" ca="1" si="129"/>
        <v>58751053.997339323</v>
      </c>
      <c r="BW76" s="54">
        <f t="shared" ca="1" si="129"/>
        <v>59004045.069889009</v>
      </c>
      <c r="BX76" s="54">
        <f t="shared" ca="1" si="129"/>
        <v>65579934.865536951</v>
      </c>
      <c r="BY76" s="54">
        <f t="shared" ca="1" si="129"/>
        <v>59488558.452781275</v>
      </c>
      <c r="BZ76" s="54">
        <f t="shared" ca="1" si="129"/>
        <v>61727660.098450504</v>
      </c>
      <c r="CA76" s="54">
        <f t="shared" ca="1" si="129"/>
        <v>59993680.35980285</v>
      </c>
      <c r="CB76" s="54">
        <f t="shared" ca="1" si="129"/>
        <v>62251794.789174825</v>
      </c>
      <c r="CC76" s="54">
        <f t="shared" ca="1" si="129"/>
        <v>60503092.086163186</v>
      </c>
      <c r="CD76" s="54">
        <f t="shared" ca="1" si="129"/>
        <v>60763629.106889829</v>
      </c>
      <c r="CE76" s="54">
        <f t="shared" ca="1" si="129"/>
        <v>63050724.405526169</v>
      </c>
      <c r="CF76" s="54">
        <f t="shared" ca="1" si="129"/>
        <v>61279579.743613027</v>
      </c>
      <c r="CG76" s="54">
        <f t="shared" ca="1" si="129"/>
        <v>63586095.427076384</v>
      </c>
      <c r="CH76" s="54">
        <f t="shared" ca="1" si="129"/>
        <v>61799912.179691873</v>
      </c>
      <c r="CI76" s="54">
        <f t="shared" ca="1" si="129"/>
        <v>62066034.568927988</v>
      </c>
      <c r="CJ76" s="54">
        <f t="shared" ca="1" si="129"/>
        <v>68983179.805732682</v>
      </c>
      <c r="CK76" s="54">
        <f t="shared" ca="1" si="129"/>
        <v>62575696.291515328</v>
      </c>
    </row>
    <row r="77" spans="2:89"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</row>
    <row r="78" spans="2:89" ht="20.25" thickBot="1">
      <c r="B78" s="26" t="str">
        <f>"Изменение оборотного капитала, в "&amp;Ед_измерения_денег</f>
        <v>Изменение оборотного капитала, в  руб.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</row>
    <row r="79" spans="2:89" ht="15.75" thickTop="1"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</row>
    <row r="80" spans="2:89">
      <c r="B80" s="77" t="str">
        <f t="array" ref="B80:B82">Оборачиваемость_показатели</f>
        <v>Запасы (материальные затраты)</v>
      </c>
      <c r="C80" s="78"/>
      <c r="D80" s="98">
        <f ca="1">SUM(F80:CK80)</f>
        <v>57542226.353291668</v>
      </c>
      <c r="E80" s="79"/>
      <c r="F80" s="80">
        <f ca="1">F64</f>
        <v>0</v>
      </c>
      <c r="G80" s="80">
        <f t="shared" ref="G80:BM80" ca="1" si="130">G64</f>
        <v>0</v>
      </c>
      <c r="H80" s="80">
        <f t="shared" ca="1" si="130"/>
        <v>0</v>
      </c>
      <c r="I80" s="80">
        <f t="shared" ca="1" si="130"/>
        <v>0</v>
      </c>
      <c r="J80" s="80">
        <f t="shared" ca="1" si="130"/>
        <v>0</v>
      </c>
      <c r="K80" s="80">
        <f t="shared" ca="1" si="130"/>
        <v>0</v>
      </c>
      <c r="L80" s="80">
        <f t="shared" ca="1" si="130"/>
        <v>0</v>
      </c>
      <c r="M80" s="80">
        <f t="shared" ca="1" si="130"/>
        <v>0</v>
      </c>
      <c r="N80" s="80">
        <f t="shared" ca="1" si="130"/>
        <v>0</v>
      </c>
      <c r="O80" s="80">
        <f t="shared" ca="1" si="130"/>
        <v>0</v>
      </c>
      <c r="P80" s="80">
        <f t="shared" ca="1" si="130"/>
        <v>0</v>
      </c>
      <c r="Q80" s="80">
        <f t="shared" ca="1" si="130"/>
        <v>0</v>
      </c>
      <c r="R80" s="80">
        <f t="shared" ca="1" si="130"/>
        <v>29767146.483045802</v>
      </c>
      <c r="S80" s="80">
        <f t="shared" ca="1" si="130"/>
        <v>-862584.72263668478</v>
      </c>
      <c r="T80" s="80">
        <f t="shared" ca="1" si="130"/>
        <v>1123093.579539068</v>
      </c>
      <c r="U80" s="80">
        <f t="shared" ca="1" si="130"/>
        <v>-869903.44750557095</v>
      </c>
      <c r="V80" s="80">
        <f t="shared" ca="1" si="130"/>
        <v>129492.51968272775</v>
      </c>
      <c r="W80" s="80">
        <f t="shared" ca="1" si="130"/>
        <v>1137496.2028760836</v>
      </c>
      <c r="X80" s="80">
        <f t="shared" ca="1" si="130"/>
        <v>-881059.14452160895</v>
      </c>
      <c r="Y80" s="80">
        <f t="shared" ca="1" si="130"/>
        <v>1147147.4539703652</v>
      </c>
      <c r="Z80" s="80">
        <f t="shared" ca="1" si="130"/>
        <v>-888534.61829565465</v>
      </c>
      <c r="AA80" s="80">
        <f t="shared" ca="1" si="130"/>
        <v>132629.08081576973</v>
      </c>
      <c r="AB80" s="80">
        <f t="shared" ca="1" si="130"/>
        <v>3440817.5732193589</v>
      </c>
      <c r="AC80" s="80">
        <f t="shared" ca="1" si="130"/>
        <v>-3186811.4263929054</v>
      </c>
      <c r="AD80" s="80">
        <f t="shared" ca="1" si="130"/>
        <v>2213738.3966448978</v>
      </c>
      <c r="AE80" s="80">
        <f t="shared" ca="1" si="130"/>
        <v>-79137.475583575666</v>
      </c>
      <c r="AF80" s="80">
        <f t="shared" ca="1" si="130"/>
        <v>2152216.5171727538</v>
      </c>
      <c r="AG80" s="80">
        <f t="shared" ca="1" si="130"/>
        <v>-47888.759070798755</v>
      </c>
      <c r="AH80" s="80">
        <f t="shared" ca="1" si="130"/>
        <v>1150295.8334798515</v>
      </c>
      <c r="AI80" s="80">
        <f t="shared" ca="1" si="130"/>
        <v>2426942.0740698949</v>
      </c>
      <c r="AJ80" s="80">
        <f t="shared" ca="1" si="130"/>
        <v>18186.295636169612</v>
      </c>
      <c r="AK80" s="80">
        <f t="shared" ca="1" si="130"/>
        <v>2643232.5559304282</v>
      </c>
      <c r="AL80" s="80">
        <f t="shared" ca="1" si="130"/>
        <v>79166.380155161023</v>
      </c>
      <c r="AM80" s="80">
        <f t="shared" ca="1" si="130"/>
        <v>1506426.2929022759</v>
      </c>
      <c r="AN80" s="80">
        <f t="shared" ca="1" si="130"/>
        <v>6222596.2992874756</v>
      </c>
      <c r="AO80" s="80">
        <f t="shared" ca="1" si="130"/>
        <v>-3088898.0978796929</v>
      </c>
      <c r="AP80" s="80">
        <f t="shared" ca="1" si="130"/>
        <v>1830521.624196738</v>
      </c>
      <c r="AQ80" s="80">
        <f t="shared" ca="1" si="130"/>
        <v>-1260096.6854971051</v>
      </c>
      <c r="AR80" s="80">
        <f t="shared" ca="1" si="130"/>
        <v>1863459.2718958259</v>
      </c>
      <c r="AS80" s="80">
        <f t="shared" ca="1" si="130"/>
        <v>-1264842.1709827036</v>
      </c>
      <c r="AT80" s="80">
        <f t="shared" ca="1" si="130"/>
        <v>316069.46816593409</v>
      </c>
      <c r="AU80" s="80">
        <f t="shared" ca="1" si="130"/>
        <v>1918115.9431712478</v>
      </c>
      <c r="AV80" s="80">
        <f t="shared" ca="1" si="130"/>
        <v>-1270544.576613009</v>
      </c>
      <c r="AW80" s="80">
        <f t="shared" ca="1" si="130"/>
        <v>1958151.8952807039</v>
      </c>
      <c r="AX80" s="80">
        <f t="shared" ca="1" si="130"/>
        <v>-1273192.6506171525</v>
      </c>
      <c r="AY80" s="80">
        <f t="shared" ca="1" si="130"/>
        <v>363853.51646690071</v>
      </c>
      <c r="AZ80" s="80">
        <f t="shared" ca="1" si="130"/>
        <v>5678718.9447934926</v>
      </c>
      <c r="BA80" s="80">
        <f t="shared" ca="1" si="130"/>
        <v>-4953954.0565454215</v>
      </c>
      <c r="BB80" s="80">
        <f t="shared" ca="1" si="130"/>
        <v>1890989.9139418304</v>
      </c>
      <c r="BC80" s="80">
        <f t="shared" ca="1" si="130"/>
        <v>-1463646.5052675158</v>
      </c>
      <c r="BD80" s="80">
        <f t="shared" ca="1" si="130"/>
        <v>1907078.4351001233</v>
      </c>
      <c r="BE80" s="80">
        <f t="shared" ca="1" si="130"/>
        <v>-1476099.1934572309</v>
      </c>
      <c r="BF80" s="80">
        <f t="shared" ca="1" si="130"/>
        <v>220425.49993570149</v>
      </c>
      <c r="BG80" s="80">
        <f t="shared" ca="1" si="130"/>
        <v>1931602.3630577624</v>
      </c>
      <c r="BH80" s="80">
        <f t="shared" ca="1" si="130"/>
        <v>-1495080.9771177471</v>
      </c>
      <c r="BI80" s="80">
        <f t="shared" ca="1" si="130"/>
        <v>1948036.414481461</v>
      </c>
      <c r="BJ80" s="80">
        <f t="shared" ca="1" si="130"/>
        <v>-1507801.1094443798</v>
      </c>
      <c r="BK80" s="80">
        <f t="shared" ca="1" si="130"/>
        <v>224543.02696482837</v>
      </c>
      <c r="BL80" s="80">
        <f t="shared" ca="1" si="130"/>
        <v>3839859.6755882949</v>
      </c>
      <c r="BM80" s="80">
        <f t="shared" ca="1" si="130"/>
        <v>-3402511.8466685861</v>
      </c>
      <c r="BN80" s="80">
        <f t="shared" ref="BN80:CK80" ca="1" si="131">BN64</f>
        <v>1988904.748509407</v>
      </c>
      <c r="BO80" s="80">
        <f t="shared" ca="1" si="131"/>
        <v>-1540526.2117148042</v>
      </c>
      <c r="BP80" s="80">
        <f t="shared" ca="1" si="131"/>
        <v>2005779.898581937</v>
      </c>
      <c r="BQ80" s="80">
        <f t="shared" ca="1" si="131"/>
        <v>-1553597.0292251855</v>
      </c>
      <c r="BR80" s="80">
        <f t="shared" ca="1" si="131"/>
        <v>231266.11862826347</v>
      </c>
      <c r="BS80" s="80">
        <f t="shared" ca="1" si="131"/>
        <v>2031502.1472908258</v>
      </c>
      <c r="BT80" s="80">
        <f t="shared" ca="1" si="131"/>
        <v>-1573520.4561213404</v>
      </c>
      <c r="BU80" s="80">
        <f t="shared" ca="1" si="131"/>
        <v>2048738.7211558372</v>
      </c>
      <c r="BV80" s="80">
        <f t="shared" ca="1" si="131"/>
        <v>-1586871.2180716544</v>
      </c>
      <c r="BW80" s="80">
        <f t="shared" ca="1" si="131"/>
        <v>236867.83462591469</v>
      </c>
      <c r="BX80" s="80">
        <f t="shared" ca="1" si="131"/>
        <v>6145100.3271547258</v>
      </c>
      <c r="BY80" s="80">
        <f t="shared" ca="1" si="131"/>
        <v>-5691460.1027756929</v>
      </c>
      <c r="BZ80" s="80">
        <f t="shared" ca="1" si="131"/>
        <v>2092766.1017190814</v>
      </c>
      <c r="CA80" s="80">
        <f t="shared" ca="1" si="131"/>
        <v>-1619823.4419655651</v>
      </c>
      <c r="CB80" s="80">
        <f t="shared" ca="1" si="131"/>
        <v>2110571.3324390501</v>
      </c>
      <c r="CC80" s="80">
        <f t="shared" ca="1" si="131"/>
        <v>-1633604.8817958981</v>
      </c>
      <c r="CD80" s="80">
        <f t="shared" ca="1" si="131"/>
        <v>243945.78248083591</v>
      </c>
      <c r="CE80" s="80">
        <f t="shared" ca="1" si="131"/>
        <v>2137712.0616054982</v>
      </c>
      <c r="CF80" s="80">
        <f t="shared" ca="1" si="131"/>
        <v>-1654612.097700119</v>
      </c>
      <c r="CG80" s="80">
        <f t="shared" ca="1" si="131"/>
        <v>2155899.6920523196</v>
      </c>
      <c r="CH80" s="80">
        <f t="shared" ca="1" si="131"/>
        <v>-1668689.5190265477</v>
      </c>
      <c r="CI80" s="80">
        <f t="shared" ca="1" si="131"/>
        <v>249184.96202646196</v>
      </c>
      <c r="CJ80" s="80">
        <f t="shared" ca="1" si="131"/>
        <v>6464645.5441667587</v>
      </c>
      <c r="CK80" s="80">
        <f t="shared" ca="1" si="131"/>
        <v>-5987416.028120026</v>
      </c>
    </row>
    <row r="81" spans="2:89">
      <c r="B81" s="128" t="str">
        <v>Дебиторская задолженность</v>
      </c>
      <c r="C81" s="78"/>
      <c r="D81" s="98">
        <f>SUM(F81:CK81)</f>
        <v>231066181.44150352</v>
      </c>
      <c r="E81" s="79"/>
      <c r="F81" s="80">
        <f>F70-F68</f>
        <v>0</v>
      </c>
      <c r="G81" s="80">
        <f t="shared" ref="G81:AG81" si="132">G70-G68</f>
        <v>0</v>
      </c>
      <c r="H81" s="80">
        <f t="shared" si="132"/>
        <v>0</v>
      </c>
      <c r="I81" s="80">
        <f t="shared" si="132"/>
        <v>0</v>
      </c>
      <c r="J81" s="80">
        <f t="shared" si="132"/>
        <v>0</v>
      </c>
      <c r="K81" s="80">
        <f t="shared" si="132"/>
        <v>0</v>
      </c>
      <c r="L81" s="80">
        <f t="shared" si="132"/>
        <v>0</v>
      </c>
      <c r="M81" s="80">
        <f t="shared" si="132"/>
        <v>0</v>
      </c>
      <c r="N81" s="80">
        <f t="shared" si="132"/>
        <v>0</v>
      </c>
      <c r="O81" s="80">
        <f t="shared" si="132"/>
        <v>0</v>
      </c>
      <c r="P81" s="80">
        <f t="shared" si="132"/>
        <v>0</v>
      </c>
      <c r="Q81" s="80">
        <f t="shared" si="132"/>
        <v>0</v>
      </c>
      <c r="R81" s="80">
        <f t="shared" si="132"/>
        <v>84593234.819203585</v>
      </c>
      <c r="S81" s="80">
        <f t="shared" si="132"/>
        <v>-2389809.3014296442</v>
      </c>
      <c r="T81" s="80">
        <f t="shared" si="132"/>
        <v>3080500.0407607257</v>
      </c>
      <c r="U81" s="80">
        <f t="shared" si="132"/>
        <v>-2409321.7264692038</v>
      </c>
      <c r="V81" s="80">
        <f t="shared" si="132"/>
        <v>343187.94427658617</v>
      </c>
      <c r="W81" s="80">
        <f t="shared" si="132"/>
        <v>3118512.5114234239</v>
      </c>
      <c r="X81" s="80">
        <f t="shared" si="132"/>
        <v>-2439052.0527904332</v>
      </c>
      <c r="Y81" s="80">
        <f t="shared" si="132"/>
        <v>3143974.68599011</v>
      </c>
      <c r="Z81" s="80">
        <f t="shared" si="132"/>
        <v>-2458966.5373140126</v>
      </c>
      <c r="AA81" s="80">
        <f t="shared" si="132"/>
        <v>351221.04131004214</v>
      </c>
      <c r="AB81" s="80">
        <f t="shared" si="132"/>
        <v>9452624.5711669177</v>
      </c>
      <c r="AC81" s="80">
        <f t="shared" si="132"/>
        <v>-8780137.3469345123</v>
      </c>
      <c r="AD81" s="80">
        <f t="shared" si="132"/>
        <v>12276711.724592388</v>
      </c>
      <c r="AE81" s="80">
        <f t="shared" si="132"/>
        <v>-304793.50133574009</v>
      </c>
      <c r="AF81" s="80">
        <f t="shared" si="132"/>
        <v>6395622.9756863266</v>
      </c>
      <c r="AG81" s="80">
        <f t="shared" si="132"/>
        <v>126119.0023368001</v>
      </c>
      <c r="AH81" s="80">
        <f t="shared" ref="AH81:BM81" si="133">AH70-AH68</f>
        <v>3878655.1359209269</v>
      </c>
      <c r="AI81" s="80">
        <f t="shared" si="133"/>
        <v>7934791.4167823642</v>
      </c>
      <c r="AJ81" s="80">
        <f t="shared" si="133"/>
        <v>1129499.5234187245</v>
      </c>
      <c r="AK81" s="80">
        <f t="shared" si="133"/>
        <v>9391918.504642725</v>
      </c>
      <c r="AL81" s="80">
        <f t="shared" si="133"/>
        <v>2139451.4600306004</v>
      </c>
      <c r="AM81" s="80">
        <f t="shared" si="133"/>
        <v>7083942.4942965209</v>
      </c>
      <c r="AN81" s="80">
        <f t="shared" si="133"/>
        <v>22581101.803565979</v>
      </c>
      <c r="AO81" s="80">
        <f t="shared" si="133"/>
        <v>-6142058.1334880888</v>
      </c>
      <c r="AP81" s="80">
        <f t="shared" si="133"/>
        <v>8012797.1620547175</v>
      </c>
      <c r="AQ81" s="80">
        <f t="shared" si="133"/>
        <v>-2062040.7809880674</v>
      </c>
      <c r="AR81" s="80">
        <f t="shared" si="133"/>
        <v>8540988.7426169515</v>
      </c>
      <c r="AS81" s="80">
        <f t="shared" si="133"/>
        <v>-1920338.6390458643</v>
      </c>
      <c r="AT81" s="80">
        <f t="shared" si="133"/>
        <v>3648909.5364759266</v>
      </c>
      <c r="AU81" s="80">
        <f t="shared" si="133"/>
        <v>9463999.0129071474</v>
      </c>
      <c r="AV81" s="80">
        <f t="shared" si="133"/>
        <v>-1663904.2404481471</v>
      </c>
      <c r="AW81" s="80">
        <f t="shared" si="133"/>
        <v>10172821.718172103</v>
      </c>
      <c r="AX81" s="80">
        <f t="shared" si="133"/>
        <v>-1461091.6040697694</v>
      </c>
      <c r="AY81" s="80">
        <f t="shared" si="133"/>
        <v>4814291.2378483713</v>
      </c>
      <c r="AZ81" s="80">
        <f t="shared" si="133"/>
        <v>25402169.345624745</v>
      </c>
      <c r="BA81" s="80">
        <f t="shared" si="133"/>
        <v>-15441877.268524885</v>
      </c>
      <c r="BB81" s="80">
        <f t="shared" si="133"/>
        <v>7482237.8874025643</v>
      </c>
      <c r="BC81" s="80">
        <f t="shared" si="133"/>
        <v>-5848021.5197797418</v>
      </c>
      <c r="BD81" s="80">
        <f t="shared" si="133"/>
        <v>7543497.2646670341</v>
      </c>
      <c r="BE81" s="80">
        <f t="shared" si="133"/>
        <v>-5895901.0662365854</v>
      </c>
      <c r="BF81" s="80">
        <f t="shared" si="133"/>
        <v>842465.60637834668</v>
      </c>
      <c r="BG81" s="80">
        <f t="shared" si="133"/>
        <v>7636838.414917618</v>
      </c>
      <c r="BH81" s="80">
        <f t="shared" si="133"/>
        <v>-5968855.3164971173</v>
      </c>
      <c r="BI81" s="80">
        <f t="shared" si="133"/>
        <v>7699363.5541349351</v>
      </c>
      <c r="BJ81" s="80">
        <f t="shared" si="133"/>
        <v>-6017724.1663215458</v>
      </c>
      <c r="BK81" s="80">
        <f t="shared" si="133"/>
        <v>857518.67812019587</v>
      </c>
      <c r="BL81" s="80">
        <f t="shared" si="133"/>
        <v>15201304.824975967</v>
      </c>
      <c r="BM81" s="80">
        <f t="shared" si="133"/>
        <v>-13531490.500073969</v>
      </c>
      <c r="BN81" s="80">
        <f t="shared" ref="BN81:CK81" si="134">BN70-BN68</f>
        <v>7854756.2325559258</v>
      </c>
      <c r="BO81" s="80">
        <f t="shared" si="134"/>
        <v>-6143364.5826354027</v>
      </c>
      <c r="BP81" s="80">
        <f t="shared" si="134"/>
        <v>7918889.1079699993</v>
      </c>
      <c r="BQ81" s="80">
        <f t="shared" si="134"/>
        <v>-6193524.2086933255</v>
      </c>
      <c r="BR81" s="80">
        <f t="shared" si="134"/>
        <v>882216.27591577172</v>
      </c>
      <c r="BS81" s="80">
        <f t="shared" si="134"/>
        <v>8016605.8863873184</v>
      </c>
      <c r="BT81" s="80">
        <f t="shared" si="134"/>
        <v>-6269950.4882473648</v>
      </c>
      <c r="BU81" s="80">
        <f t="shared" si="134"/>
        <v>8082060.2393084466</v>
      </c>
      <c r="BV81" s="80">
        <f t="shared" si="134"/>
        <v>-6321143.6687369645</v>
      </c>
      <c r="BW81" s="80">
        <f t="shared" si="134"/>
        <v>902866.56118121743</v>
      </c>
      <c r="BX81" s="80">
        <f t="shared" si="134"/>
        <v>24299394.503451169</v>
      </c>
      <c r="BY81" s="80">
        <f t="shared" si="134"/>
        <v>-22570664.854121953</v>
      </c>
      <c r="BZ81" s="80">
        <f t="shared" si="134"/>
        <v>8249167.2708613575</v>
      </c>
      <c r="CA81" s="80">
        <f t="shared" si="134"/>
        <v>-6447443.7255571783</v>
      </c>
      <c r="CB81" s="80">
        <f t="shared" si="134"/>
        <v>8316705.7342953682</v>
      </c>
      <c r="CC81" s="80">
        <f t="shared" si="134"/>
        <v>-6500230.9255257845</v>
      </c>
      <c r="CD81" s="80">
        <f t="shared" si="134"/>
        <v>928818.33103209734</v>
      </c>
      <c r="CE81" s="80">
        <f t="shared" si="134"/>
        <v>8419614.3524467051</v>
      </c>
      <c r="CF81" s="80">
        <f t="shared" si="134"/>
        <v>-6580662.9864381552</v>
      </c>
      <c r="CG81" s="80">
        <f t="shared" si="134"/>
        <v>8488548.3184338212</v>
      </c>
      <c r="CH81" s="80">
        <f t="shared" si="134"/>
        <v>-6634540.8933695257</v>
      </c>
      <c r="CI81" s="80">
        <f t="shared" si="134"/>
        <v>948009.88924026489</v>
      </c>
      <c r="CJ81" s="80">
        <f t="shared" si="134"/>
        <v>25514364.228623748</v>
      </c>
      <c r="CK81" s="80">
        <f t="shared" si="134"/>
        <v>-23699198.096828073</v>
      </c>
    </row>
    <row r="82" spans="2:89" ht="15.75" thickBot="1">
      <c r="B82" s="86" t="str">
        <v>Кредиторская задолженность</v>
      </c>
      <c r="C82" s="46"/>
      <c r="D82" s="98">
        <f ca="1">SUM(F82:CK82)</f>
        <v>62575696.291515328</v>
      </c>
      <c r="E82" s="48"/>
      <c r="F82" s="49">
        <f ca="1">F76-F74</f>
        <v>0</v>
      </c>
      <c r="G82" s="49">
        <f t="shared" ref="G82:AG82" ca="1" si="135">G76-G74</f>
        <v>0</v>
      </c>
      <c r="H82" s="49">
        <f t="shared" ca="1" si="135"/>
        <v>0</v>
      </c>
      <c r="I82" s="49">
        <f t="shared" ca="1" si="135"/>
        <v>0</v>
      </c>
      <c r="J82" s="49">
        <f t="shared" ca="1" si="135"/>
        <v>0</v>
      </c>
      <c r="K82" s="49">
        <f t="shared" ca="1" si="135"/>
        <v>0</v>
      </c>
      <c r="L82" s="49">
        <f t="shared" ca="1" si="135"/>
        <v>0</v>
      </c>
      <c r="M82" s="49">
        <f t="shared" ca="1" si="135"/>
        <v>0</v>
      </c>
      <c r="N82" s="49">
        <f t="shared" ca="1" si="135"/>
        <v>0</v>
      </c>
      <c r="O82" s="49">
        <f t="shared" ca="1" si="135"/>
        <v>0</v>
      </c>
      <c r="P82" s="49">
        <f t="shared" ca="1" si="135"/>
        <v>0</v>
      </c>
      <c r="Q82" s="49">
        <f t="shared" ca="1" si="135"/>
        <v>0</v>
      </c>
      <c r="R82" s="49">
        <f t="shared" ca="1" si="135"/>
        <v>33199085.062594414</v>
      </c>
      <c r="S82" s="49">
        <f t="shared" ca="1" si="135"/>
        <v>-933098.92075853795</v>
      </c>
      <c r="T82" s="49">
        <f t="shared" ca="1" si="135"/>
        <v>1213954.1415174603</v>
      </c>
      <c r="U82" s="49">
        <f t="shared" ca="1" si="135"/>
        <v>-940992.36931776255</v>
      </c>
      <c r="V82" s="49">
        <f t="shared" ca="1" si="135"/>
        <v>139602.24181094021</v>
      </c>
      <c r="W82" s="49">
        <f t="shared" ca="1" si="135"/>
        <v>1229476.6550727785</v>
      </c>
      <c r="X82" s="49">
        <f t="shared" ca="1" si="135"/>
        <v>-953023.75575594231</v>
      </c>
      <c r="Y82" s="49">
        <f t="shared" ca="1" si="135"/>
        <v>1239878.0594448186</v>
      </c>
      <c r="Z82" s="49">
        <f t="shared" ca="1" si="135"/>
        <v>-961085.80266062543</v>
      </c>
      <c r="AA82" s="49">
        <f t="shared" ca="1" si="135"/>
        <v>142975.64201768115</v>
      </c>
      <c r="AB82" s="49">
        <f t="shared" ca="1" si="135"/>
        <v>3719643.6550080776</v>
      </c>
      <c r="AC82" s="49">
        <f t="shared" ca="1" si="135"/>
        <v>-3445826.7053997293</v>
      </c>
      <c r="AD82" s="49">
        <f t="shared" ca="1" si="135"/>
        <v>2358000.3280455321</v>
      </c>
      <c r="AE82" s="49">
        <f t="shared" ca="1" si="135"/>
        <v>-113714.48367784172</v>
      </c>
      <c r="AF82" s="49">
        <f t="shared" ca="1" si="135"/>
        <v>2293848.1550490335</v>
      </c>
      <c r="AG82" s="49">
        <f t="shared" ca="1" si="135"/>
        <v>-81215.123097442091</v>
      </c>
      <c r="AH82" s="49">
        <f t="shared" ref="AH82:BM82" ca="1" si="136">AH76-AH74</f>
        <v>1209211.6935200244</v>
      </c>
      <c r="AI82" s="49">
        <f t="shared" ca="1" si="136"/>
        <v>2582111.6824339032</v>
      </c>
      <c r="AJ82" s="49">
        <f t="shared" ca="1" si="136"/>
        <v>-12355.13236220181</v>
      </c>
      <c r="AK82" s="49">
        <f t="shared" ca="1" si="136"/>
        <v>2809006.8492881134</v>
      </c>
      <c r="AL82" s="49">
        <f t="shared" ca="1" si="136"/>
        <v>51286.761046081781</v>
      </c>
      <c r="AM82" s="49">
        <f t="shared" ca="1" si="136"/>
        <v>1582381.2208277285</v>
      </c>
      <c r="AN82" s="49">
        <f t="shared" ca="1" si="136"/>
        <v>6639291.9831167907</v>
      </c>
      <c r="AO82" s="49">
        <f t="shared" ca="1" si="136"/>
        <v>-3348292.1680687144</v>
      </c>
      <c r="AP82" s="49">
        <f t="shared" ca="1" si="136"/>
        <v>1958360.8912736624</v>
      </c>
      <c r="AQ82" s="49">
        <f t="shared" ca="1" si="136"/>
        <v>-1352357.8486175686</v>
      </c>
      <c r="AR82" s="49">
        <f t="shared" ca="1" si="136"/>
        <v>1993180.3862006664</v>
      </c>
      <c r="AS82" s="49">
        <f t="shared" ca="1" si="136"/>
        <v>-1357577.8569869846</v>
      </c>
      <c r="AT82" s="49">
        <f t="shared" ca="1" si="136"/>
        <v>335454.83698573709</v>
      </c>
      <c r="AU82" s="49">
        <f t="shared" ca="1" si="136"/>
        <v>2050916.9798721895</v>
      </c>
      <c r="AV82" s="49">
        <f t="shared" ca="1" si="136"/>
        <v>-1363930.2911627144</v>
      </c>
      <c r="AW82" s="49">
        <f t="shared" ca="1" si="136"/>
        <v>2093178.8856271878</v>
      </c>
      <c r="AX82" s="49">
        <f t="shared" ca="1" si="136"/>
        <v>-1366957.8428071588</v>
      </c>
      <c r="AY82" s="49">
        <f t="shared" ca="1" si="136"/>
        <v>385598.57304283977</v>
      </c>
      <c r="AZ82" s="49">
        <f t="shared" ca="1" si="136"/>
        <v>6075173.6409741864</v>
      </c>
      <c r="BA82" s="49">
        <f t="shared" ca="1" si="136"/>
        <v>-5307438.5884173885</v>
      </c>
      <c r="BB82" s="49">
        <f t="shared" ca="1" si="136"/>
        <v>2023620.1872098371</v>
      </c>
      <c r="BC82" s="49">
        <f t="shared" ca="1" si="136"/>
        <v>-1567116.5752237737</v>
      </c>
      <c r="BD82" s="49">
        <f t="shared" ca="1" si="136"/>
        <v>2040802.9454641789</v>
      </c>
      <c r="BE82" s="49">
        <f t="shared" ca="1" si="136"/>
        <v>-1580422.4776769504</v>
      </c>
      <c r="BF82" s="49">
        <f t="shared" ca="1" si="136"/>
        <v>235460.11284080148</v>
      </c>
      <c r="BG82" s="49">
        <f t="shared" ca="1" si="136"/>
        <v>2066994.3327958882</v>
      </c>
      <c r="BH82" s="49">
        <f t="shared" ca="1" si="136"/>
        <v>-1600704.4300324097</v>
      </c>
      <c r="BI82" s="49">
        <f t="shared" ca="1" si="136"/>
        <v>2084545.4533800855</v>
      </c>
      <c r="BJ82" s="49">
        <f t="shared" ca="1" si="136"/>
        <v>-1614295.5706315637</v>
      </c>
      <c r="BK82" s="49">
        <f t="shared" ca="1" si="136"/>
        <v>239849.26456581801</v>
      </c>
      <c r="BL82" s="49">
        <f t="shared" ca="1" si="136"/>
        <v>4109293.340593636</v>
      </c>
      <c r="BM82" s="49">
        <f t="shared" ca="1" si="136"/>
        <v>-3642138.5103692412</v>
      </c>
      <c r="BN82" s="49">
        <f t="shared" ref="BN82:CK82" ca="1" si="137">BN76-BN74</f>
        <v>2128190.4469524324</v>
      </c>
      <c r="BO82" s="49">
        <f t="shared" ca="1" si="137"/>
        <v>-1649260.3704125211</v>
      </c>
      <c r="BP82" s="49">
        <f t="shared" ca="1" si="137"/>
        <v>2146211.7058819532</v>
      </c>
      <c r="BQ82" s="49">
        <f t="shared" ca="1" si="137"/>
        <v>-1663225.4421025068</v>
      </c>
      <c r="BR82" s="49">
        <f t="shared" ca="1" si="137"/>
        <v>247017.48689261079</v>
      </c>
      <c r="BS82" s="49">
        <f t="shared" ca="1" si="137"/>
        <v>2173680.4114670008</v>
      </c>
      <c r="BT82" s="49">
        <f t="shared" ca="1" si="137"/>
        <v>-1684511.539213188</v>
      </c>
      <c r="BU82" s="49">
        <f t="shared" ca="1" si="137"/>
        <v>2192086.9448983595</v>
      </c>
      <c r="BV82" s="49">
        <f t="shared" ca="1" si="137"/>
        <v>-1698775.1556203589</v>
      </c>
      <c r="BW82" s="49">
        <f t="shared" ca="1" si="137"/>
        <v>252991.07254968584</v>
      </c>
      <c r="BX82" s="49">
        <f t="shared" ca="1" si="137"/>
        <v>6575889.7956479415</v>
      </c>
      <c r="BY82" s="49">
        <f t="shared" ca="1" si="137"/>
        <v>-6091376.4127556756</v>
      </c>
      <c r="BZ82" s="49">
        <f t="shared" ca="1" si="137"/>
        <v>2239101.6456692293</v>
      </c>
      <c r="CA82" s="49">
        <f t="shared" ca="1" si="137"/>
        <v>-1733979.7386476547</v>
      </c>
      <c r="CB82" s="49">
        <f t="shared" ca="1" si="137"/>
        <v>2258114.4293719754</v>
      </c>
      <c r="CC82" s="49">
        <f t="shared" ca="1" si="137"/>
        <v>-1748702.7030116394</v>
      </c>
      <c r="CD82" s="49">
        <f t="shared" ca="1" si="137"/>
        <v>260537.0207266435</v>
      </c>
      <c r="CE82" s="49">
        <f t="shared" ca="1" si="137"/>
        <v>2287095.2986363396</v>
      </c>
      <c r="CF82" s="49">
        <f t="shared" ca="1" si="137"/>
        <v>-1771144.6619131416</v>
      </c>
      <c r="CG82" s="49">
        <f t="shared" ca="1" si="137"/>
        <v>2306515.6834633574</v>
      </c>
      <c r="CH82" s="49">
        <f t="shared" ca="1" si="137"/>
        <v>-1786183.2473845109</v>
      </c>
      <c r="CI82" s="49">
        <f t="shared" ca="1" si="137"/>
        <v>266122.38923611492</v>
      </c>
      <c r="CJ82" s="49">
        <f t="shared" ca="1" si="137"/>
        <v>6917145.2368046939</v>
      </c>
      <c r="CK82" s="49">
        <f t="shared" ca="1" si="137"/>
        <v>-6407483.5142173544</v>
      </c>
    </row>
    <row r="83" spans="2:89" ht="15.75" thickTop="1">
      <c r="B83" s="50" t="s">
        <v>208</v>
      </c>
      <c r="C83" s="51"/>
      <c r="D83" s="52">
        <f ca="1">SUM(D80,D81,-D82)</f>
        <v>226032711.50327989</v>
      </c>
      <c r="E83" s="53"/>
      <c r="F83" s="54">
        <f ca="1">SUM(F80,F81,-F82)</f>
        <v>0</v>
      </c>
      <c r="G83" s="54">
        <f t="shared" ref="G83:AG83" ca="1" si="138">SUM(G80,G81,-G82)</f>
        <v>0</v>
      </c>
      <c r="H83" s="54">
        <f t="shared" ca="1" si="138"/>
        <v>0</v>
      </c>
      <c r="I83" s="54">
        <f t="shared" ca="1" si="138"/>
        <v>0</v>
      </c>
      <c r="J83" s="54">
        <f t="shared" ca="1" si="138"/>
        <v>0</v>
      </c>
      <c r="K83" s="54">
        <f t="shared" ca="1" si="138"/>
        <v>0</v>
      </c>
      <c r="L83" s="54">
        <f t="shared" ca="1" si="138"/>
        <v>0</v>
      </c>
      <c r="M83" s="54">
        <f t="shared" ca="1" si="138"/>
        <v>0</v>
      </c>
      <c r="N83" s="54">
        <f t="shared" ca="1" si="138"/>
        <v>0</v>
      </c>
      <c r="O83" s="54">
        <f t="shared" ca="1" si="138"/>
        <v>0</v>
      </c>
      <c r="P83" s="54">
        <f t="shared" ca="1" si="138"/>
        <v>0</v>
      </c>
      <c r="Q83" s="54">
        <f t="shared" ca="1" si="138"/>
        <v>0</v>
      </c>
      <c r="R83" s="54">
        <f t="shared" ca="1" si="138"/>
        <v>81161296.239654973</v>
      </c>
      <c r="S83" s="54">
        <f t="shared" ca="1" si="138"/>
        <v>-2319295.1033077911</v>
      </c>
      <c r="T83" s="54">
        <f t="shared" ca="1" si="138"/>
        <v>2989639.4787823334</v>
      </c>
      <c r="U83" s="54">
        <f t="shared" ca="1" si="138"/>
        <v>-2338232.8046570122</v>
      </c>
      <c r="V83" s="54">
        <f t="shared" ca="1" si="138"/>
        <v>333078.22214837372</v>
      </c>
      <c r="W83" s="54">
        <f t="shared" ca="1" si="138"/>
        <v>3026532.059226729</v>
      </c>
      <c r="X83" s="54">
        <f t="shared" ca="1" si="138"/>
        <v>-2367087.4415560998</v>
      </c>
      <c r="Y83" s="54">
        <f t="shared" ca="1" si="138"/>
        <v>3051244.0805156566</v>
      </c>
      <c r="Z83" s="54">
        <f t="shared" ca="1" si="138"/>
        <v>-2386415.3529490419</v>
      </c>
      <c r="AA83" s="54">
        <f t="shared" ca="1" si="138"/>
        <v>340874.48010813072</v>
      </c>
      <c r="AB83" s="54">
        <f t="shared" ca="1" si="138"/>
        <v>9173798.489378199</v>
      </c>
      <c r="AC83" s="54">
        <f t="shared" ca="1" si="138"/>
        <v>-8521122.0679276884</v>
      </c>
      <c r="AD83" s="54">
        <f t="shared" ca="1" si="138"/>
        <v>12132449.793191753</v>
      </c>
      <c r="AE83" s="54">
        <f t="shared" ca="1" si="138"/>
        <v>-270216.49324147403</v>
      </c>
      <c r="AF83" s="54">
        <f t="shared" ca="1" si="138"/>
        <v>6253991.337810047</v>
      </c>
      <c r="AG83" s="54">
        <f t="shared" ca="1" si="138"/>
        <v>159445.36636344343</v>
      </c>
      <c r="AH83" s="54">
        <f t="shared" ref="AH83:BM83" ca="1" si="139">SUM(AH80,AH81,-AH82)</f>
        <v>3819739.275880754</v>
      </c>
      <c r="AI83" s="54">
        <f t="shared" ca="1" si="139"/>
        <v>7779621.8084183559</v>
      </c>
      <c r="AJ83" s="54">
        <f t="shared" ca="1" si="139"/>
        <v>1160040.951417096</v>
      </c>
      <c r="AK83" s="54">
        <f t="shared" ca="1" si="139"/>
        <v>9226144.2112850398</v>
      </c>
      <c r="AL83" s="54">
        <f t="shared" ca="1" si="139"/>
        <v>2167331.0791396797</v>
      </c>
      <c r="AM83" s="54">
        <f t="shared" ca="1" si="139"/>
        <v>7007987.5663710684</v>
      </c>
      <c r="AN83" s="54">
        <f t="shared" ca="1" si="139"/>
        <v>22164406.119736664</v>
      </c>
      <c r="AO83" s="54">
        <f t="shared" ca="1" si="139"/>
        <v>-5882664.0632990673</v>
      </c>
      <c r="AP83" s="54">
        <f t="shared" ca="1" si="139"/>
        <v>7884957.8949777931</v>
      </c>
      <c r="AQ83" s="54">
        <f t="shared" ca="1" si="139"/>
        <v>-1969779.6178676039</v>
      </c>
      <c r="AR83" s="54">
        <f t="shared" ca="1" si="139"/>
        <v>8411267.6283121109</v>
      </c>
      <c r="AS83" s="54">
        <f t="shared" ca="1" si="139"/>
        <v>-1827602.9530415833</v>
      </c>
      <c r="AT83" s="54">
        <f t="shared" ca="1" si="139"/>
        <v>3629524.1676561236</v>
      </c>
      <c r="AU83" s="54">
        <f t="shared" ca="1" si="139"/>
        <v>9331197.9762062058</v>
      </c>
      <c r="AV83" s="54">
        <f t="shared" ca="1" si="139"/>
        <v>-1570518.5258984417</v>
      </c>
      <c r="AW83" s="54">
        <f t="shared" ca="1" si="139"/>
        <v>10037794.727825619</v>
      </c>
      <c r="AX83" s="54">
        <f t="shared" ca="1" si="139"/>
        <v>-1367326.411879763</v>
      </c>
      <c r="AY83" s="54">
        <f t="shared" ca="1" si="139"/>
        <v>4792546.1812724322</v>
      </c>
      <c r="AZ83" s="54">
        <f t="shared" ca="1" si="139"/>
        <v>25005714.649444051</v>
      </c>
      <c r="BA83" s="54">
        <f t="shared" ca="1" si="139"/>
        <v>-15088392.736652918</v>
      </c>
      <c r="BB83" s="54">
        <f t="shared" ca="1" si="139"/>
        <v>7349607.6141345575</v>
      </c>
      <c r="BC83" s="54">
        <f t="shared" ca="1" si="139"/>
        <v>-5744551.4498234838</v>
      </c>
      <c r="BD83" s="54">
        <f t="shared" ca="1" si="139"/>
        <v>7409772.7543029785</v>
      </c>
      <c r="BE83" s="54">
        <f t="shared" ca="1" si="139"/>
        <v>-5791577.7820168659</v>
      </c>
      <c r="BF83" s="54">
        <f t="shared" ca="1" si="139"/>
        <v>827430.99347324669</v>
      </c>
      <c r="BG83" s="54">
        <f t="shared" ca="1" si="139"/>
        <v>7501446.4451794922</v>
      </c>
      <c r="BH83" s="54">
        <f t="shared" ca="1" si="139"/>
        <v>-5863231.8635824546</v>
      </c>
      <c r="BI83" s="54">
        <f t="shared" ca="1" si="139"/>
        <v>7562854.5152363107</v>
      </c>
      <c r="BJ83" s="54">
        <f t="shared" ca="1" si="139"/>
        <v>-5911229.705134362</v>
      </c>
      <c r="BK83" s="54">
        <f t="shared" ca="1" si="139"/>
        <v>842212.44051920623</v>
      </c>
      <c r="BL83" s="54">
        <f t="shared" ca="1" si="139"/>
        <v>14931871.159970626</v>
      </c>
      <c r="BM83" s="54">
        <f t="shared" ca="1" si="139"/>
        <v>-13291863.836373314</v>
      </c>
      <c r="BN83" s="54">
        <f t="shared" ref="BN83:CK83" ca="1" si="140">SUM(BN80,BN81,-BN82)</f>
        <v>7715470.5341129005</v>
      </c>
      <c r="BO83" s="54">
        <f t="shared" ca="1" si="140"/>
        <v>-6034630.4239376858</v>
      </c>
      <c r="BP83" s="54">
        <f t="shared" ca="1" si="140"/>
        <v>7778457.300669983</v>
      </c>
      <c r="BQ83" s="54">
        <f t="shared" ca="1" si="140"/>
        <v>-6083895.7958160043</v>
      </c>
      <c r="BR83" s="54">
        <f t="shared" ca="1" si="140"/>
        <v>866464.90765142441</v>
      </c>
      <c r="BS83" s="54">
        <f t="shared" ca="1" si="140"/>
        <v>7874427.6222111434</v>
      </c>
      <c r="BT83" s="54">
        <f t="shared" ca="1" si="140"/>
        <v>-6158959.4051555172</v>
      </c>
      <c r="BU83" s="54">
        <f t="shared" ca="1" si="140"/>
        <v>7938712.0155659243</v>
      </c>
      <c r="BV83" s="54">
        <f t="shared" ca="1" si="140"/>
        <v>-6209239.73118826</v>
      </c>
      <c r="BW83" s="54">
        <f t="shared" ca="1" si="140"/>
        <v>886743.32325744629</v>
      </c>
      <c r="BX83" s="54">
        <f t="shared" ca="1" si="140"/>
        <v>23868605.034957953</v>
      </c>
      <c r="BY83" s="54">
        <f t="shared" ca="1" si="140"/>
        <v>-22170748.544141971</v>
      </c>
      <c r="BZ83" s="54">
        <f t="shared" ca="1" si="140"/>
        <v>8102831.7269112095</v>
      </c>
      <c r="CA83" s="54">
        <f t="shared" ca="1" si="140"/>
        <v>-6333287.4288750887</v>
      </c>
      <c r="CB83" s="54">
        <f t="shared" ca="1" si="140"/>
        <v>8169162.6373624429</v>
      </c>
      <c r="CC83" s="54">
        <f t="shared" ca="1" si="140"/>
        <v>-6385133.1043100432</v>
      </c>
      <c r="CD83" s="54">
        <f t="shared" ca="1" si="140"/>
        <v>912227.09278628975</v>
      </c>
      <c r="CE83" s="54">
        <f t="shared" ca="1" si="140"/>
        <v>8270231.1154158637</v>
      </c>
      <c r="CF83" s="54">
        <f t="shared" ca="1" si="140"/>
        <v>-6464130.4222251326</v>
      </c>
      <c r="CG83" s="54">
        <f t="shared" ca="1" si="140"/>
        <v>8337932.3270227835</v>
      </c>
      <c r="CH83" s="54">
        <f t="shared" ca="1" si="140"/>
        <v>-6517047.1650115624</v>
      </c>
      <c r="CI83" s="54">
        <f t="shared" ca="1" si="140"/>
        <v>931072.46203061193</v>
      </c>
      <c r="CJ83" s="54">
        <f t="shared" ca="1" si="140"/>
        <v>25061864.535985813</v>
      </c>
      <c r="CK83" s="54">
        <f t="shared" ca="1" si="140"/>
        <v>-23279130.610730745</v>
      </c>
    </row>
    <row r="84" spans="2:89"/>
    <row r="85" spans="2:89"/>
    <row r="86" spans="2:89"/>
    <row r="87" spans="2:89"/>
  </sheetData>
  <sheetProtection algorithmName="SHA-512" hashValue="sNpHrnRB9RCkBDD7yMByitfFfHHaIQqCi+J+vDGLkfHnUgbOxuCdw4G/N0ewRba2PUudF73SR9GQMLnUVU1Lkg==" saltValue="BrnumEi6sF2HlE8HcY16gw==" spinCount="100000" sheet="1" objects="1" scenarios="1"/>
  <mergeCells count="1">
    <mergeCell ref="E1:G2"/>
  </mergeCells>
  <conditionalFormatting sqref="F13:CK14">
    <cfRule type="cellIs" dxfId="15" priority="2" operator="equal">
      <formula>1</formula>
    </cfRule>
  </conditionalFormatting>
  <conditionalFormatting sqref="K1:K2">
    <cfRule type="expression" dxfId="14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-0.249977111117893"/>
  </sheetPr>
  <dimension ref="A1:CL110"/>
  <sheetViews>
    <sheetView showGridLines="0" zoomScaleNormal="100" workbookViewId="0">
      <pane xSplit="5" ySplit="10" topLeftCell="F71" activePane="bottomRight" state="frozen"/>
      <selection activeCell="D18" sqref="D18"/>
      <selection pane="topRight" activeCell="D18" sqref="D18"/>
      <selection pane="bottomLeft" activeCell="D18" sqref="D18"/>
      <selection pane="bottomRight" activeCell="B3" sqref="B3"/>
    </sheetView>
  </sheetViews>
  <sheetFormatPr defaultColWidth="0" defaultRowHeight="15" zeroHeight="1"/>
  <cols>
    <col min="1" max="1" width="2.5703125" customWidth="1"/>
    <col min="2" max="2" width="28.5703125" customWidth="1"/>
    <col min="3" max="3" width="7.140625" customWidth="1"/>
    <col min="4" max="4" width="14.5703125" bestFit="1" customWidth="1"/>
    <col min="5" max="5" width="12.85546875" customWidth="1"/>
    <col min="6" max="6" width="14.7109375" bestFit="1" customWidth="1"/>
    <col min="7" max="10" width="12.7109375" bestFit="1" customWidth="1"/>
    <col min="11" max="11" width="12.85546875" bestFit="1" customWidth="1"/>
    <col min="12" max="14" width="12.7109375" bestFit="1" customWidth="1"/>
    <col min="15" max="19" width="14.28515625" bestFit="1" customWidth="1"/>
    <col min="20" max="23" width="14.140625" bestFit="1" customWidth="1"/>
    <col min="24" max="25" width="12.5703125" bestFit="1" customWidth="1"/>
    <col min="26" max="44" width="13.7109375" bestFit="1" customWidth="1"/>
    <col min="45" max="89" width="14.7109375" bestFit="1" customWidth="1"/>
    <col min="90" max="90" width="4.5703125" customWidth="1"/>
    <col min="91" max="16384" width="4.5703125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549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>
      <c r="B8" s="16" t="str">
        <f t="array" ref="B8:B9">Время!B8:B9</f>
        <v>Начало периода</v>
      </c>
      <c r="C8" s="17"/>
      <c r="D8" s="18"/>
      <c r="E8" s="19"/>
      <c r="F8" s="20">
        <f t="array" ref="F8:CK9">Время!F8:CK9</f>
        <v>45017</v>
      </c>
      <c r="G8" s="20">
        <v>45047</v>
      </c>
      <c r="H8" s="20">
        <v>45078</v>
      </c>
      <c r="I8" s="20">
        <v>45108</v>
      </c>
      <c r="J8" s="20">
        <v>45139</v>
      </c>
      <c r="K8" s="20">
        <v>45170</v>
      </c>
      <c r="L8" s="20">
        <v>45200</v>
      </c>
      <c r="M8" s="20">
        <v>45231</v>
      </c>
      <c r="N8" s="20">
        <v>45261</v>
      </c>
      <c r="O8" s="20">
        <v>45292</v>
      </c>
      <c r="P8" s="20">
        <v>45323</v>
      </c>
      <c r="Q8" s="20">
        <v>45352</v>
      </c>
      <c r="R8" s="20">
        <v>45383</v>
      </c>
      <c r="S8" s="20">
        <v>45413</v>
      </c>
      <c r="T8" s="20">
        <v>45444</v>
      </c>
      <c r="U8" s="20">
        <v>45474</v>
      </c>
      <c r="V8" s="20">
        <v>45505</v>
      </c>
      <c r="W8" s="20">
        <v>45536</v>
      </c>
      <c r="X8" s="20">
        <v>45566</v>
      </c>
      <c r="Y8" s="20">
        <v>45597</v>
      </c>
      <c r="Z8" s="20">
        <v>45627</v>
      </c>
      <c r="AA8" s="20">
        <v>45658</v>
      </c>
      <c r="AB8" s="20">
        <v>45689</v>
      </c>
      <c r="AC8" s="20">
        <v>45717</v>
      </c>
      <c r="AD8" s="20">
        <v>45748</v>
      </c>
      <c r="AE8" s="20">
        <v>45778</v>
      </c>
      <c r="AF8" s="20">
        <v>45809</v>
      </c>
      <c r="AG8" s="20">
        <v>45839</v>
      </c>
      <c r="AH8" s="20">
        <v>45870</v>
      </c>
      <c r="AI8" s="20">
        <v>45901</v>
      </c>
      <c r="AJ8" s="20">
        <v>45931</v>
      </c>
      <c r="AK8" s="20">
        <v>45962</v>
      </c>
      <c r="AL8" s="20">
        <v>45992</v>
      </c>
      <c r="AM8" s="20">
        <v>46023</v>
      </c>
      <c r="AN8" s="20">
        <v>46054</v>
      </c>
      <c r="AO8" s="20">
        <v>46082</v>
      </c>
      <c r="AP8" s="20">
        <v>46113</v>
      </c>
      <c r="AQ8" s="20">
        <v>46143</v>
      </c>
      <c r="AR8" s="20">
        <v>46174</v>
      </c>
      <c r="AS8" s="20">
        <v>46204</v>
      </c>
      <c r="AT8" s="20">
        <v>46235</v>
      </c>
      <c r="AU8" s="20">
        <v>46266</v>
      </c>
      <c r="AV8" s="20">
        <v>46296</v>
      </c>
      <c r="AW8" s="20">
        <v>46327</v>
      </c>
      <c r="AX8" s="20">
        <v>46357</v>
      </c>
      <c r="AY8" s="20">
        <v>46388</v>
      </c>
      <c r="AZ8" s="20">
        <v>46419</v>
      </c>
      <c r="BA8" s="20">
        <v>46447</v>
      </c>
      <c r="BB8" s="20">
        <v>46478</v>
      </c>
      <c r="BC8" s="20">
        <v>46508</v>
      </c>
      <c r="BD8" s="20">
        <v>46539</v>
      </c>
      <c r="BE8" s="20">
        <v>46569</v>
      </c>
      <c r="BF8" s="20">
        <v>46600</v>
      </c>
      <c r="BG8" s="20">
        <v>46631</v>
      </c>
      <c r="BH8" s="20">
        <v>46661</v>
      </c>
      <c r="BI8" s="20">
        <v>46692</v>
      </c>
      <c r="BJ8" s="20">
        <v>46722</v>
      </c>
      <c r="BK8" s="20">
        <v>46753</v>
      </c>
      <c r="BL8" s="20">
        <v>46784</v>
      </c>
      <c r="BM8" s="20">
        <v>46813</v>
      </c>
      <c r="BN8" s="20">
        <v>46844</v>
      </c>
      <c r="BO8" s="20">
        <v>46874</v>
      </c>
      <c r="BP8" s="20">
        <v>46905</v>
      </c>
      <c r="BQ8" s="20">
        <v>46935</v>
      </c>
      <c r="BR8" s="20">
        <v>46966</v>
      </c>
      <c r="BS8" s="20">
        <v>46997</v>
      </c>
      <c r="BT8" s="20">
        <v>47027</v>
      </c>
      <c r="BU8" s="20">
        <v>47058</v>
      </c>
      <c r="BV8" s="20">
        <v>47088</v>
      </c>
      <c r="BW8" s="20">
        <v>47119</v>
      </c>
      <c r="BX8" s="20">
        <v>47150</v>
      </c>
      <c r="BY8" s="20">
        <v>47178</v>
      </c>
      <c r="BZ8" s="20">
        <v>47209</v>
      </c>
      <c r="CA8" s="20">
        <v>47239</v>
      </c>
      <c r="CB8" s="20">
        <v>47270</v>
      </c>
      <c r="CC8" s="20">
        <v>47300</v>
      </c>
      <c r="CD8" s="20">
        <v>47331</v>
      </c>
      <c r="CE8" s="20">
        <v>47362</v>
      </c>
      <c r="CF8" s="20">
        <v>47392</v>
      </c>
      <c r="CG8" s="20">
        <v>47423</v>
      </c>
      <c r="CH8" s="20">
        <v>47453</v>
      </c>
      <c r="CI8" s="20">
        <v>47484</v>
      </c>
      <c r="CJ8" s="20">
        <v>47515</v>
      </c>
      <c r="CK8" s="20">
        <v>47543</v>
      </c>
    </row>
    <row r="9" spans="2:89">
      <c r="B9" s="21" t="str">
        <v>Конец периода</v>
      </c>
      <c r="C9" s="22"/>
      <c r="D9" s="23"/>
      <c r="E9" s="24">
        <f>Время!E9</f>
        <v>45016</v>
      </c>
      <c r="F9" s="25">
        <v>45046</v>
      </c>
      <c r="G9" s="25">
        <v>45077</v>
      </c>
      <c r="H9" s="25">
        <v>45107</v>
      </c>
      <c r="I9" s="25">
        <v>45138</v>
      </c>
      <c r="J9" s="25">
        <v>45169</v>
      </c>
      <c r="K9" s="25">
        <v>45199</v>
      </c>
      <c r="L9" s="25">
        <v>45230</v>
      </c>
      <c r="M9" s="25">
        <v>45260</v>
      </c>
      <c r="N9" s="25">
        <v>45291</v>
      </c>
      <c r="O9" s="25">
        <v>45322</v>
      </c>
      <c r="P9" s="25">
        <v>45351</v>
      </c>
      <c r="Q9" s="25">
        <v>45382</v>
      </c>
      <c r="R9" s="25">
        <v>45412</v>
      </c>
      <c r="S9" s="25">
        <v>45443</v>
      </c>
      <c r="T9" s="25">
        <v>45473</v>
      </c>
      <c r="U9" s="25">
        <v>45504</v>
      </c>
      <c r="V9" s="25">
        <v>45535</v>
      </c>
      <c r="W9" s="25">
        <v>45565</v>
      </c>
      <c r="X9" s="25">
        <v>45596</v>
      </c>
      <c r="Y9" s="25">
        <v>45626</v>
      </c>
      <c r="Z9" s="25">
        <v>45657</v>
      </c>
      <c r="AA9" s="25">
        <v>45688</v>
      </c>
      <c r="AB9" s="25">
        <v>45716</v>
      </c>
      <c r="AC9" s="25">
        <v>45747</v>
      </c>
      <c r="AD9" s="25">
        <v>45777</v>
      </c>
      <c r="AE9" s="25">
        <v>45808</v>
      </c>
      <c r="AF9" s="25">
        <v>45838</v>
      </c>
      <c r="AG9" s="25">
        <v>45869</v>
      </c>
      <c r="AH9" s="25">
        <v>45900</v>
      </c>
      <c r="AI9" s="25">
        <v>45930</v>
      </c>
      <c r="AJ9" s="25">
        <v>45961</v>
      </c>
      <c r="AK9" s="25">
        <v>45991</v>
      </c>
      <c r="AL9" s="25">
        <v>46022</v>
      </c>
      <c r="AM9" s="25">
        <v>46053</v>
      </c>
      <c r="AN9" s="25">
        <v>46081</v>
      </c>
      <c r="AO9" s="25">
        <v>46112</v>
      </c>
      <c r="AP9" s="25">
        <v>46142</v>
      </c>
      <c r="AQ9" s="25">
        <v>46173</v>
      </c>
      <c r="AR9" s="25">
        <v>46203</v>
      </c>
      <c r="AS9" s="25">
        <v>46234</v>
      </c>
      <c r="AT9" s="25">
        <v>46265</v>
      </c>
      <c r="AU9" s="25">
        <v>46295</v>
      </c>
      <c r="AV9" s="25">
        <v>46326</v>
      </c>
      <c r="AW9" s="25">
        <v>46356</v>
      </c>
      <c r="AX9" s="25">
        <v>46387</v>
      </c>
      <c r="AY9" s="25">
        <v>46418</v>
      </c>
      <c r="AZ9" s="25">
        <v>46446</v>
      </c>
      <c r="BA9" s="25">
        <v>46477</v>
      </c>
      <c r="BB9" s="25">
        <v>46507</v>
      </c>
      <c r="BC9" s="25">
        <v>46538</v>
      </c>
      <c r="BD9" s="25">
        <v>46568</v>
      </c>
      <c r="BE9" s="25">
        <v>46599</v>
      </c>
      <c r="BF9" s="25">
        <v>46630</v>
      </c>
      <c r="BG9" s="25">
        <v>46660</v>
      </c>
      <c r="BH9" s="25">
        <v>46691</v>
      </c>
      <c r="BI9" s="25">
        <v>46721</v>
      </c>
      <c r="BJ9" s="25">
        <v>46752</v>
      </c>
      <c r="BK9" s="25">
        <v>46783</v>
      </c>
      <c r="BL9" s="25">
        <v>46812</v>
      </c>
      <c r="BM9" s="25">
        <v>46843</v>
      </c>
      <c r="BN9" s="25">
        <v>46873</v>
      </c>
      <c r="BO9" s="25">
        <v>46904</v>
      </c>
      <c r="BP9" s="25">
        <v>46934</v>
      </c>
      <c r="BQ9" s="25">
        <v>46965</v>
      </c>
      <c r="BR9" s="25">
        <v>46996</v>
      </c>
      <c r="BS9" s="25">
        <v>47026</v>
      </c>
      <c r="BT9" s="25">
        <v>47057</v>
      </c>
      <c r="BU9" s="25">
        <v>47087</v>
      </c>
      <c r="BV9" s="25">
        <v>47118</v>
      </c>
      <c r="BW9" s="25">
        <v>47149</v>
      </c>
      <c r="BX9" s="25">
        <v>47177</v>
      </c>
      <c r="BY9" s="25">
        <v>47208</v>
      </c>
      <c r="BZ9" s="25">
        <v>47238</v>
      </c>
      <c r="CA9" s="25">
        <v>47269</v>
      </c>
      <c r="CB9" s="25">
        <v>47299</v>
      </c>
      <c r="CC9" s="25">
        <v>47330</v>
      </c>
      <c r="CD9" s="25">
        <v>47361</v>
      </c>
      <c r="CE9" s="25">
        <v>47391</v>
      </c>
      <c r="CF9" s="25">
        <v>47422</v>
      </c>
      <c r="CG9" s="25">
        <v>47452</v>
      </c>
      <c r="CH9" s="25">
        <v>47483</v>
      </c>
      <c r="CI9" s="25">
        <v>47514</v>
      </c>
      <c r="CJ9" s="25">
        <v>47542</v>
      </c>
      <c r="CK9" s="25"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5"/>
      <c r="G12" s="15"/>
      <c r="H12" s="15"/>
      <c r="I12" s="15"/>
      <c r="J12" s="15"/>
      <c r="K12" s="15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>
      <c r="B13" s="145" t="str">
        <f t="array" ref="B13:B14">Время!B13:B14</f>
        <v>Инвестиции</v>
      </c>
      <c r="C13" s="146"/>
      <c r="D13" s="146"/>
      <c r="E13" s="146"/>
      <c r="F13" s="29">
        <f t="array" ref="F13:CK14">Время!F13:CK14</f>
        <v>1</v>
      </c>
      <c r="G13" s="30">
        <v>1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1">
        <v>0</v>
      </c>
    </row>
    <row r="14" spans="2:89">
      <c r="B14" s="145" t="str">
        <v>Операции</v>
      </c>
      <c r="C14" s="146"/>
      <c r="D14" s="146"/>
      <c r="E14" s="146"/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>
        <v>1</v>
      </c>
      <c r="AU14" s="30">
        <v>1</v>
      </c>
      <c r="AV14" s="30">
        <v>1</v>
      </c>
      <c r="AW14" s="30">
        <v>1</v>
      </c>
      <c r="AX14" s="30">
        <v>1</v>
      </c>
      <c r="AY14" s="30">
        <v>1</v>
      </c>
      <c r="AZ14" s="30">
        <v>1</v>
      </c>
      <c r="BA14" s="30">
        <v>1</v>
      </c>
      <c r="BB14" s="30">
        <v>1</v>
      </c>
      <c r="BC14" s="30">
        <v>1</v>
      </c>
      <c r="BD14" s="30">
        <v>1</v>
      </c>
      <c r="BE14" s="30">
        <v>1</v>
      </c>
      <c r="BF14" s="30">
        <v>1</v>
      </c>
      <c r="BG14" s="30">
        <v>1</v>
      </c>
      <c r="BH14" s="30">
        <v>1</v>
      </c>
      <c r="BI14" s="30">
        <v>1</v>
      </c>
      <c r="BJ14" s="30">
        <v>1</v>
      </c>
      <c r="BK14" s="30">
        <v>1</v>
      </c>
      <c r="BL14" s="30">
        <v>1</v>
      </c>
      <c r="BM14" s="30">
        <v>1</v>
      </c>
      <c r="BN14" s="30">
        <v>1</v>
      </c>
      <c r="BO14" s="30">
        <v>1</v>
      </c>
      <c r="BP14" s="30">
        <v>1</v>
      </c>
      <c r="BQ14" s="30">
        <v>1</v>
      </c>
      <c r="BR14" s="30">
        <v>1</v>
      </c>
      <c r="BS14" s="30">
        <v>1</v>
      </c>
      <c r="BT14" s="30">
        <v>1</v>
      </c>
      <c r="BU14" s="30">
        <v>1</v>
      </c>
      <c r="BV14" s="30">
        <v>1</v>
      </c>
      <c r="BW14" s="30">
        <v>1</v>
      </c>
      <c r="BX14" s="30">
        <v>1</v>
      </c>
      <c r="BY14" s="30">
        <v>1</v>
      </c>
      <c r="BZ14" s="30">
        <v>1</v>
      </c>
      <c r="CA14" s="30">
        <v>1</v>
      </c>
      <c r="CB14" s="30">
        <v>1</v>
      </c>
      <c r="CC14" s="30">
        <v>1</v>
      </c>
      <c r="CD14" s="30">
        <v>1</v>
      </c>
      <c r="CE14" s="30">
        <v>1</v>
      </c>
      <c r="CF14" s="30">
        <v>1</v>
      </c>
      <c r="CG14" s="30">
        <v>1</v>
      </c>
      <c r="CH14" s="30">
        <v>1</v>
      </c>
      <c r="CI14" s="30">
        <v>1</v>
      </c>
      <c r="CJ14" s="30">
        <v>1</v>
      </c>
      <c r="CK14" s="31">
        <v>1</v>
      </c>
    </row>
    <row r="15" spans="2:89" ht="3" customHeight="1">
      <c r="B15" s="14"/>
      <c r="C15" s="14"/>
      <c r="D15" s="14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5"/>
      <c r="G17" s="15"/>
      <c r="H17" s="15"/>
      <c r="I17" s="15"/>
      <c r="J17" s="15"/>
      <c r="K17" s="1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>
      <c r="B18" s="32" t="str">
        <f t="array" ref="B18:B29">Время!B18:B29</f>
        <v>Название периода</v>
      </c>
      <c r="C18" s="33"/>
      <c r="D18" s="33"/>
      <c r="E18" s="34"/>
      <c r="F18" s="35">
        <f t="array" ref="F18:CK29">Время!F18:CK29</f>
        <v>45046</v>
      </c>
      <c r="G18" s="36">
        <v>45077</v>
      </c>
      <c r="H18" s="36">
        <v>45107</v>
      </c>
      <c r="I18" s="36">
        <v>45138</v>
      </c>
      <c r="J18" s="36">
        <v>45169</v>
      </c>
      <c r="K18" s="36">
        <v>45199</v>
      </c>
      <c r="L18" s="36">
        <v>45230</v>
      </c>
      <c r="M18" s="36">
        <v>45260</v>
      </c>
      <c r="N18" s="36">
        <v>45291</v>
      </c>
      <c r="O18" s="36">
        <v>45322</v>
      </c>
      <c r="P18" s="36">
        <v>45351</v>
      </c>
      <c r="Q18" s="36">
        <v>45382</v>
      </c>
      <c r="R18" s="36">
        <v>45412</v>
      </c>
      <c r="S18" s="36">
        <v>45443</v>
      </c>
      <c r="T18" s="36">
        <v>45473</v>
      </c>
      <c r="U18" s="36">
        <v>45504</v>
      </c>
      <c r="V18" s="36">
        <v>45535</v>
      </c>
      <c r="W18" s="36">
        <v>45565</v>
      </c>
      <c r="X18" s="36">
        <v>45596</v>
      </c>
      <c r="Y18" s="36">
        <v>45626</v>
      </c>
      <c r="Z18" s="36">
        <v>45657</v>
      </c>
      <c r="AA18" s="36">
        <v>45688</v>
      </c>
      <c r="AB18" s="36">
        <v>45716</v>
      </c>
      <c r="AC18" s="36">
        <v>45747</v>
      </c>
      <c r="AD18" s="36">
        <v>45777</v>
      </c>
      <c r="AE18" s="36">
        <v>45808</v>
      </c>
      <c r="AF18" s="36">
        <v>45838</v>
      </c>
      <c r="AG18" s="36">
        <v>45869</v>
      </c>
      <c r="AH18" s="36">
        <v>45900</v>
      </c>
      <c r="AI18" s="36">
        <v>45930</v>
      </c>
      <c r="AJ18" s="36">
        <v>45961</v>
      </c>
      <c r="AK18" s="36">
        <v>45991</v>
      </c>
      <c r="AL18" s="36">
        <v>46022</v>
      </c>
      <c r="AM18" s="36">
        <v>46053</v>
      </c>
      <c r="AN18" s="36">
        <v>46081</v>
      </c>
      <c r="AO18" s="36">
        <v>46112</v>
      </c>
      <c r="AP18" s="36">
        <v>46142</v>
      </c>
      <c r="AQ18" s="36">
        <v>46173</v>
      </c>
      <c r="AR18" s="36">
        <v>46203</v>
      </c>
      <c r="AS18" s="36">
        <v>46234</v>
      </c>
      <c r="AT18" s="36">
        <v>46265</v>
      </c>
      <c r="AU18" s="36">
        <v>46295</v>
      </c>
      <c r="AV18" s="36">
        <v>46326</v>
      </c>
      <c r="AW18" s="36">
        <v>46356</v>
      </c>
      <c r="AX18" s="36">
        <v>46387</v>
      </c>
      <c r="AY18" s="36">
        <v>46418</v>
      </c>
      <c r="AZ18" s="36">
        <v>46446</v>
      </c>
      <c r="BA18" s="36">
        <v>46477</v>
      </c>
      <c r="BB18" s="36">
        <v>46507</v>
      </c>
      <c r="BC18" s="36">
        <v>46538</v>
      </c>
      <c r="BD18" s="36">
        <v>46568</v>
      </c>
      <c r="BE18" s="36">
        <v>46599</v>
      </c>
      <c r="BF18" s="36">
        <v>46630</v>
      </c>
      <c r="BG18" s="36">
        <v>46660</v>
      </c>
      <c r="BH18" s="36">
        <v>46691</v>
      </c>
      <c r="BI18" s="36">
        <v>46721</v>
      </c>
      <c r="BJ18" s="36">
        <v>46752</v>
      </c>
      <c r="BK18" s="36">
        <v>46783</v>
      </c>
      <c r="BL18" s="36">
        <v>46812</v>
      </c>
      <c r="BM18" s="36">
        <v>46843</v>
      </c>
      <c r="BN18" s="36">
        <v>46873</v>
      </c>
      <c r="BO18" s="36">
        <v>46904</v>
      </c>
      <c r="BP18" s="36">
        <v>46934</v>
      </c>
      <c r="BQ18" s="36">
        <v>46965</v>
      </c>
      <c r="BR18" s="36">
        <v>46996</v>
      </c>
      <c r="BS18" s="36">
        <v>47026</v>
      </c>
      <c r="BT18" s="36">
        <v>47057</v>
      </c>
      <c r="BU18" s="36">
        <v>47087</v>
      </c>
      <c r="BV18" s="36">
        <v>47118</v>
      </c>
      <c r="BW18" s="36">
        <v>47149</v>
      </c>
      <c r="BX18" s="36">
        <v>47177</v>
      </c>
      <c r="BY18" s="36">
        <v>47208</v>
      </c>
      <c r="BZ18" s="36">
        <v>47238</v>
      </c>
      <c r="CA18" s="36">
        <v>47269</v>
      </c>
      <c r="CB18" s="36">
        <v>47299</v>
      </c>
      <c r="CC18" s="36">
        <v>47330</v>
      </c>
      <c r="CD18" s="36">
        <v>47361</v>
      </c>
      <c r="CE18" s="36">
        <v>47391</v>
      </c>
      <c r="CF18" s="36">
        <v>47422</v>
      </c>
      <c r="CG18" s="36">
        <v>47452</v>
      </c>
      <c r="CH18" s="36">
        <v>47483</v>
      </c>
      <c r="CI18" s="36">
        <v>47514</v>
      </c>
      <c r="CJ18" s="36">
        <v>47542</v>
      </c>
      <c r="CK18" s="36">
        <v>47573</v>
      </c>
    </row>
    <row r="19" spans="2:89">
      <c r="B19" s="37" t="str">
        <v>Календарный год</v>
      </c>
      <c r="C19" s="33"/>
      <c r="D19" s="33"/>
      <c r="E19" s="34"/>
      <c r="F19" s="38">
        <v>2023</v>
      </c>
      <c r="G19" s="38">
        <v>2023</v>
      </c>
      <c r="H19" s="38">
        <v>2023</v>
      </c>
      <c r="I19" s="38">
        <v>2023</v>
      </c>
      <c r="J19" s="38">
        <v>2023</v>
      </c>
      <c r="K19" s="38">
        <v>2023</v>
      </c>
      <c r="L19" s="38">
        <v>2023</v>
      </c>
      <c r="M19" s="38">
        <v>2023</v>
      </c>
      <c r="N19" s="38">
        <v>2023</v>
      </c>
      <c r="O19" s="38">
        <v>2024</v>
      </c>
      <c r="P19" s="38">
        <v>2024</v>
      </c>
      <c r="Q19" s="38">
        <v>2024</v>
      </c>
      <c r="R19" s="38">
        <v>2024</v>
      </c>
      <c r="S19" s="38">
        <v>2024</v>
      </c>
      <c r="T19" s="38">
        <v>2024</v>
      </c>
      <c r="U19" s="38">
        <v>2024</v>
      </c>
      <c r="V19" s="38">
        <v>2024</v>
      </c>
      <c r="W19" s="38">
        <v>2024</v>
      </c>
      <c r="X19" s="38">
        <v>2024</v>
      </c>
      <c r="Y19" s="38">
        <v>2024</v>
      </c>
      <c r="Z19" s="38">
        <v>2024</v>
      </c>
      <c r="AA19" s="38">
        <v>2025</v>
      </c>
      <c r="AB19" s="38">
        <v>2025</v>
      </c>
      <c r="AC19" s="38">
        <v>2025</v>
      </c>
      <c r="AD19" s="38">
        <v>2025</v>
      </c>
      <c r="AE19" s="38">
        <v>2025</v>
      </c>
      <c r="AF19" s="38">
        <v>2025</v>
      </c>
      <c r="AG19" s="38">
        <v>2025</v>
      </c>
      <c r="AH19" s="38">
        <v>2025</v>
      </c>
      <c r="AI19" s="38">
        <v>2025</v>
      </c>
      <c r="AJ19" s="38">
        <v>2025</v>
      </c>
      <c r="AK19" s="38">
        <v>2025</v>
      </c>
      <c r="AL19" s="38">
        <v>2025</v>
      </c>
      <c r="AM19" s="38">
        <v>2026</v>
      </c>
      <c r="AN19" s="38">
        <v>2026</v>
      </c>
      <c r="AO19" s="38">
        <v>2026</v>
      </c>
      <c r="AP19" s="38">
        <v>2026</v>
      </c>
      <c r="AQ19" s="38">
        <v>2026</v>
      </c>
      <c r="AR19" s="38">
        <v>2026</v>
      </c>
      <c r="AS19" s="38">
        <v>2026</v>
      </c>
      <c r="AT19" s="38">
        <v>2026</v>
      </c>
      <c r="AU19" s="38">
        <v>2026</v>
      </c>
      <c r="AV19" s="38">
        <v>2026</v>
      </c>
      <c r="AW19" s="38">
        <v>2026</v>
      </c>
      <c r="AX19" s="38">
        <v>2026</v>
      </c>
      <c r="AY19" s="38">
        <v>2027</v>
      </c>
      <c r="AZ19" s="38">
        <v>2027</v>
      </c>
      <c r="BA19" s="38">
        <v>2027</v>
      </c>
      <c r="BB19" s="38">
        <v>2027</v>
      </c>
      <c r="BC19" s="38">
        <v>2027</v>
      </c>
      <c r="BD19" s="38">
        <v>2027</v>
      </c>
      <c r="BE19" s="38">
        <v>2027</v>
      </c>
      <c r="BF19" s="38">
        <v>2027</v>
      </c>
      <c r="BG19" s="38">
        <v>2027</v>
      </c>
      <c r="BH19" s="38">
        <v>2027</v>
      </c>
      <c r="BI19" s="38">
        <v>2027</v>
      </c>
      <c r="BJ19" s="38">
        <v>2027</v>
      </c>
      <c r="BK19" s="38">
        <v>2028</v>
      </c>
      <c r="BL19" s="38">
        <v>2028</v>
      </c>
      <c r="BM19" s="38">
        <v>2028</v>
      </c>
      <c r="BN19" s="38">
        <v>2028</v>
      </c>
      <c r="BO19" s="38">
        <v>2028</v>
      </c>
      <c r="BP19" s="38">
        <v>2028</v>
      </c>
      <c r="BQ19" s="38">
        <v>2028</v>
      </c>
      <c r="BR19" s="38">
        <v>2028</v>
      </c>
      <c r="BS19" s="38">
        <v>2028</v>
      </c>
      <c r="BT19" s="38">
        <v>2028</v>
      </c>
      <c r="BU19" s="38">
        <v>2028</v>
      </c>
      <c r="BV19" s="38">
        <v>2028</v>
      </c>
      <c r="BW19" s="38">
        <v>2029</v>
      </c>
      <c r="BX19" s="38">
        <v>2029</v>
      </c>
      <c r="BY19" s="38">
        <v>2029</v>
      </c>
      <c r="BZ19" s="38">
        <v>2029</v>
      </c>
      <c r="CA19" s="38">
        <v>2029</v>
      </c>
      <c r="CB19" s="38">
        <v>2029</v>
      </c>
      <c r="CC19" s="38">
        <v>2029</v>
      </c>
      <c r="CD19" s="38">
        <v>2029</v>
      </c>
      <c r="CE19" s="38">
        <v>2029</v>
      </c>
      <c r="CF19" s="38">
        <v>2029</v>
      </c>
      <c r="CG19" s="38">
        <v>2029</v>
      </c>
      <c r="CH19" s="38">
        <v>2029</v>
      </c>
      <c r="CI19" s="38">
        <v>2030</v>
      </c>
      <c r="CJ19" s="38">
        <v>2030</v>
      </c>
      <c r="CK19" s="38">
        <v>2030</v>
      </c>
    </row>
    <row r="20" spans="2:89">
      <c r="B20" s="37" t="str">
        <v>Дней в году</v>
      </c>
      <c r="C20" s="33"/>
      <c r="D20" s="33"/>
      <c r="E20" s="34"/>
      <c r="F20" s="38">
        <v>365</v>
      </c>
      <c r="G20" s="38">
        <v>365</v>
      </c>
      <c r="H20" s="38">
        <v>365</v>
      </c>
      <c r="I20" s="38">
        <v>365</v>
      </c>
      <c r="J20" s="38">
        <v>365</v>
      </c>
      <c r="K20" s="38">
        <v>365</v>
      </c>
      <c r="L20" s="38">
        <v>365</v>
      </c>
      <c r="M20" s="38">
        <v>365</v>
      </c>
      <c r="N20" s="38">
        <v>365</v>
      </c>
      <c r="O20" s="38">
        <v>366</v>
      </c>
      <c r="P20" s="38">
        <v>366</v>
      </c>
      <c r="Q20" s="38">
        <v>366</v>
      </c>
      <c r="R20" s="38">
        <v>366</v>
      </c>
      <c r="S20" s="38">
        <v>366</v>
      </c>
      <c r="T20" s="38">
        <v>366</v>
      </c>
      <c r="U20" s="38">
        <v>366</v>
      </c>
      <c r="V20" s="38">
        <v>366</v>
      </c>
      <c r="W20" s="38">
        <v>366</v>
      </c>
      <c r="X20" s="38">
        <v>366</v>
      </c>
      <c r="Y20" s="38">
        <v>366</v>
      </c>
      <c r="Z20" s="38">
        <v>366</v>
      </c>
      <c r="AA20" s="38">
        <v>365</v>
      </c>
      <c r="AB20" s="38">
        <v>365</v>
      </c>
      <c r="AC20" s="38">
        <v>365</v>
      </c>
      <c r="AD20" s="38">
        <v>365</v>
      </c>
      <c r="AE20" s="38">
        <v>365</v>
      </c>
      <c r="AF20" s="38">
        <v>365</v>
      </c>
      <c r="AG20" s="38">
        <v>365</v>
      </c>
      <c r="AH20" s="38">
        <v>365</v>
      </c>
      <c r="AI20" s="38">
        <v>365</v>
      </c>
      <c r="AJ20" s="38">
        <v>365</v>
      </c>
      <c r="AK20" s="38">
        <v>365</v>
      </c>
      <c r="AL20" s="38">
        <v>365</v>
      </c>
      <c r="AM20" s="38">
        <v>365</v>
      </c>
      <c r="AN20" s="38">
        <v>365</v>
      </c>
      <c r="AO20" s="38">
        <v>365</v>
      </c>
      <c r="AP20" s="38">
        <v>365</v>
      </c>
      <c r="AQ20" s="38">
        <v>365</v>
      </c>
      <c r="AR20" s="38">
        <v>365</v>
      </c>
      <c r="AS20" s="38">
        <v>365</v>
      </c>
      <c r="AT20" s="38">
        <v>365</v>
      </c>
      <c r="AU20" s="38">
        <v>365</v>
      </c>
      <c r="AV20" s="38">
        <v>365</v>
      </c>
      <c r="AW20" s="38">
        <v>365</v>
      </c>
      <c r="AX20" s="38">
        <v>365</v>
      </c>
      <c r="AY20" s="38">
        <v>365</v>
      </c>
      <c r="AZ20" s="38">
        <v>365</v>
      </c>
      <c r="BA20" s="38">
        <v>365</v>
      </c>
      <c r="BB20" s="38">
        <v>365</v>
      </c>
      <c r="BC20" s="38">
        <v>365</v>
      </c>
      <c r="BD20" s="38">
        <v>365</v>
      </c>
      <c r="BE20" s="38">
        <v>365</v>
      </c>
      <c r="BF20" s="38">
        <v>365</v>
      </c>
      <c r="BG20" s="38">
        <v>365</v>
      </c>
      <c r="BH20" s="38">
        <v>365</v>
      </c>
      <c r="BI20" s="38">
        <v>365</v>
      </c>
      <c r="BJ20" s="38">
        <v>365</v>
      </c>
      <c r="BK20" s="38">
        <v>366</v>
      </c>
      <c r="BL20" s="38">
        <v>366</v>
      </c>
      <c r="BM20" s="38">
        <v>366</v>
      </c>
      <c r="BN20" s="38">
        <v>366</v>
      </c>
      <c r="BO20" s="38">
        <v>366</v>
      </c>
      <c r="BP20" s="38">
        <v>366</v>
      </c>
      <c r="BQ20" s="38">
        <v>366</v>
      </c>
      <c r="BR20" s="38">
        <v>366</v>
      </c>
      <c r="BS20" s="38">
        <v>366</v>
      </c>
      <c r="BT20" s="38">
        <v>366</v>
      </c>
      <c r="BU20" s="38">
        <v>366</v>
      </c>
      <c r="BV20" s="38">
        <v>366</v>
      </c>
      <c r="BW20" s="38">
        <v>365</v>
      </c>
      <c r="BX20" s="38">
        <v>365</v>
      </c>
      <c r="BY20" s="38">
        <v>365</v>
      </c>
      <c r="BZ20" s="38">
        <v>365</v>
      </c>
      <c r="CA20" s="38">
        <v>365</v>
      </c>
      <c r="CB20" s="38">
        <v>365</v>
      </c>
      <c r="CC20" s="38">
        <v>365</v>
      </c>
      <c r="CD20" s="38">
        <v>365</v>
      </c>
      <c r="CE20" s="38">
        <v>365</v>
      </c>
      <c r="CF20" s="38">
        <v>365</v>
      </c>
      <c r="CG20" s="38">
        <v>365</v>
      </c>
      <c r="CH20" s="38">
        <v>365</v>
      </c>
      <c r="CI20" s="38">
        <v>365</v>
      </c>
      <c r="CJ20" s="38">
        <v>365</v>
      </c>
      <c r="CK20" s="38">
        <v>365</v>
      </c>
    </row>
    <row r="21" spans="2:89">
      <c r="B21" s="37" t="str">
        <v>№ месяца</v>
      </c>
      <c r="C21" s="33"/>
      <c r="D21" s="33"/>
      <c r="E21" s="34"/>
      <c r="F21" s="38">
        <v>4</v>
      </c>
      <c r="G21" s="38">
        <v>5</v>
      </c>
      <c r="H21" s="38">
        <v>6</v>
      </c>
      <c r="I21" s="38">
        <v>7</v>
      </c>
      <c r="J21" s="38">
        <v>8</v>
      </c>
      <c r="K21" s="38">
        <v>9</v>
      </c>
      <c r="L21" s="38">
        <v>10</v>
      </c>
      <c r="M21" s="38">
        <v>11</v>
      </c>
      <c r="N21" s="38">
        <v>12</v>
      </c>
      <c r="O21" s="38">
        <v>1</v>
      </c>
      <c r="P21" s="38">
        <v>2</v>
      </c>
      <c r="Q21" s="38">
        <v>3</v>
      </c>
      <c r="R21" s="38">
        <v>4</v>
      </c>
      <c r="S21" s="38">
        <v>5</v>
      </c>
      <c r="T21" s="38">
        <v>6</v>
      </c>
      <c r="U21" s="38">
        <v>7</v>
      </c>
      <c r="V21" s="38">
        <v>8</v>
      </c>
      <c r="W21" s="38">
        <v>9</v>
      </c>
      <c r="X21" s="38">
        <v>10</v>
      </c>
      <c r="Y21" s="38">
        <v>11</v>
      </c>
      <c r="Z21" s="38">
        <v>12</v>
      </c>
      <c r="AA21" s="38">
        <v>1</v>
      </c>
      <c r="AB21" s="38">
        <v>2</v>
      </c>
      <c r="AC21" s="38">
        <v>3</v>
      </c>
      <c r="AD21" s="38">
        <v>4</v>
      </c>
      <c r="AE21" s="38">
        <v>5</v>
      </c>
      <c r="AF21" s="38">
        <v>6</v>
      </c>
      <c r="AG21" s="38">
        <v>7</v>
      </c>
      <c r="AH21" s="38">
        <v>8</v>
      </c>
      <c r="AI21" s="38">
        <v>9</v>
      </c>
      <c r="AJ21" s="38">
        <v>10</v>
      </c>
      <c r="AK21" s="38">
        <v>11</v>
      </c>
      <c r="AL21" s="38">
        <v>12</v>
      </c>
      <c r="AM21" s="38">
        <v>1</v>
      </c>
      <c r="AN21" s="38">
        <v>2</v>
      </c>
      <c r="AO21" s="38">
        <v>3</v>
      </c>
      <c r="AP21" s="38">
        <v>4</v>
      </c>
      <c r="AQ21" s="38">
        <v>5</v>
      </c>
      <c r="AR21" s="38">
        <v>6</v>
      </c>
      <c r="AS21" s="38">
        <v>7</v>
      </c>
      <c r="AT21" s="38">
        <v>8</v>
      </c>
      <c r="AU21" s="38">
        <v>9</v>
      </c>
      <c r="AV21" s="38">
        <v>10</v>
      </c>
      <c r="AW21" s="38">
        <v>11</v>
      </c>
      <c r="AX21" s="38">
        <v>12</v>
      </c>
      <c r="AY21" s="38">
        <v>1</v>
      </c>
      <c r="AZ21" s="38">
        <v>2</v>
      </c>
      <c r="BA21" s="38">
        <v>3</v>
      </c>
      <c r="BB21" s="38">
        <v>4</v>
      </c>
      <c r="BC21" s="38">
        <v>5</v>
      </c>
      <c r="BD21" s="38">
        <v>6</v>
      </c>
      <c r="BE21" s="38">
        <v>7</v>
      </c>
      <c r="BF21" s="38">
        <v>8</v>
      </c>
      <c r="BG21" s="38">
        <v>9</v>
      </c>
      <c r="BH21" s="38">
        <v>10</v>
      </c>
      <c r="BI21" s="38">
        <v>11</v>
      </c>
      <c r="BJ21" s="38">
        <v>12</v>
      </c>
      <c r="BK21" s="38">
        <v>1</v>
      </c>
      <c r="BL21" s="38">
        <v>2</v>
      </c>
      <c r="BM21" s="38">
        <v>3</v>
      </c>
      <c r="BN21" s="38">
        <v>4</v>
      </c>
      <c r="BO21" s="38">
        <v>5</v>
      </c>
      <c r="BP21" s="38">
        <v>6</v>
      </c>
      <c r="BQ21" s="38">
        <v>7</v>
      </c>
      <c r="BR21" s="38">
        <v>8</v>
      </c>
      <c r="BS21" s="38">
        <v>9</v>
      </c>
      <c r="BT21" s="38">
        <v>10</v>
      </c>
      <c r="BU21" s="38">
        <v>11</v>
      </c>
      <c r="BV21" s="38">
        <v>12</v>
      </c>
      <c r="BW21" s="38">
        <v>1</v>
      </c>
      <c r="BX21" s="38">
        <v>2</v>
      </c>
      <c r="BY21" s="38">
        <v>3</v>
      </c>
      <c r="BZ21" s="38">
        <v>4</v>
      </c>
      <c r="CA21" s="38">
        <v>5</v>
      </c>
      <c r="CB21" s="38">
        <v>6</v>
      </c>
      <c r="CC21" s="38">
        <v>7</v>
      </c>
      <c r="CD21" s="38">
        <v>8</v>
      </c>
      <c r="CE21" s="38">
        <v>9</v>
      </c>
      <c r="CF21" s="38">
        <v>10</v>
      </c>
      <c r="CG21" s="38">
        <v>11</v>
      </c>
      <c r="CH21" s="38">
        <v>12</v>
      </c>
      <c r="CI21" s="38">
        <v>1</v>
      </c>
      <c r="CJ21" s="38">
        <v>2</v>
      </c>
      <c r="CK21" s="38">
        <v>3</v>
      </c>
    </row>
    <row r="22" spans="2:89">
      <c r="B22" s="37" t="str">
        <v>Календарное полугодие</v>
      </c>
      <c r="C22" s="33"/>
      <c r="D22" s="33"/>
      <c r="E22" s="34"/>
      <c r="F22" s="38">
        <v>1</v>
      </c>
      <c r="G22" s="38">
        <v>1</v>
      </c>
      <c r="H22" s="38">
        <v>1</v>
      </c>
      <c r="I22" s="38">
        <v>2</v>
      </c>
      <c r="J22" s="38">
        <v>2</v>
      </c>
      <c r="K22" s="38">
        <v>2</v>
      </c>
      <c r="L22" s="38">
        <v>2</v>
      </c>
      <c r="M22" s="38">
        <v>2</v>
      </c>
      <c r="N22" s="38">
        <v>2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2</v>
      </c>
      <c r="V22" s="38">
        <v>2</v>
      </c>
      <c r="W22" s="38">
        <v>2</v>
      </c>
      <c r="X22" s="38">
        <v>2</v>
      </c>
      <c r="Y22" s="38">
        <v>2</v>
      </c>
      <c r="Z22" s="38">
        <v>2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2</v>
      </c>
      <c r="AH22" s="38">
        <v>2</v>
      </c>
      <c r="AI22" s="38">
        <v>2</v>
      </c>
      <c r="AJ22" s="38">
        <v>2</v>
      </c>
      <c r="AK22" s="38">
        <v>2</v>
      </c>
      <c r="AL22" s="38">
        <v>2</v>
      </c>
      <c r="AM22" s="38">
        <v>1</v>
      </c>
      <c r="AN22" s="38">
        <v>1</v>
      </c>
      <c r="AO22" s="38">
        <v>1</v>
      </c>
      <c r="AP22" s="38">
        <v>1</v>
      </c>
      <c r="AQ22" s="38">
        <v>1</v>
      </c>
      <c r="AR22" s="38">
        <v>1</v>
      </c>
      <c r="AS22" s="38">
        <v>2</v>
      </c>
      <c r="AT22" s="38">
        <v>2</v>
      </c>
      <c r="AU22" s="38">
        <v>2</v>
      </c>
      <c r="AV22" s="38">
        <v>2</v>
      </c>
      <c r="AW22" s="38">
        <v>2</v>
      </c>
      <c r="AX22" s="38">
        <v>2</v>
      </c>
      <c r="AY22" s="38">
        <v>1</v>
      </c>
      <c r="AZ22" s="38">
        <v>1</v>
      </c>
      <c r="BA22" s="38">
        <v>1</v>
      </c>
      <c r="BB22" s="38">
        <v>1</v>
      </c>
      <c r="BC22" s="38">
        <v>1</v>
      </c>
      <c r="BD22" s="38">
        <v>1</v>
      </c>
      <c r="BE22" s="38">
        <v>2</v>
      </c>
      <c r="BF22" s="38">
        <v>2</v>
      </c>
      <c r="BG22" s="38">
        <v>2</v>
      </c>
      <c r="BH22" s="38">
        <v>2</v>
      </c>
      <c r="BI22" s="38">
        <v>2</v>
      </c>
      <c r="BJ22" s="38">
        <v>2</v>
      </c>
      <c r="BK22" s="38">
        <v>1</v>
      </c>
      <c r="BL22" s="38">
        <v>1</v>
      </c>
      <c r="BM22" s="38">
        <v>1</v>
      </c>
      <c r="BN22" s="38">
        <v>1</v>
      </c>
      <c r="BO22" s="38">
        <v>1</v>
      </c>
      <c r="BP22" s="38">
        <v>1</v>
      </c>
      <c r="BQ22" s="38">
        <v>2</v>
      </c>
      <c r="BR22" s="38">
        <v>2</v>
      </c>
      <c r="BS22" s="38">
        <v>2</v>
      </c>
      <c r="BT22" s="38">
        <v>2</v>
      </c>
      <c r="BU22" s="38">
        <v>2</v>
      </c>
      <c r="BV22" s="38">
        <v>2</v>
      </c>
      <c r="BW22" s="38">
        <v>1</v>
      </c>
      <c r="BX22" s="38">
        <v>1</v>
      </c>
      <c r="BY22" s="38">
        <v>1</v>
      </c>
      <c r="BZ22" s="38">
        <v>1</v>
      </c>
      <c r="CA22" s="38">
        <v>1</v>
      </c>
      <c r="CB22" s="38">
        <v>1</v>
      </c>
      <c r="CC22" s="38">
        <v>2</v>
      </c>
      <c r="CD22" s="38">
        <v>2</v>
      </c>
      <c r="CE22" s="38">
        <v>2</v>
      </c>
      <c r="CF22" s="38">
        <v>2</v>
      </c>
      <c r="CG22" s="38">
        <v>2</v>
      </c>
      <c r="CH22" s="38">
        <v>2</v>
      </c>
      <c r="CI22" s="38">
        <v>1</v>
      </c>
      <c r="CJ22" s="38">
        <v>1</v>
      </c>
      <c r="CK22" s="38">
        <v>1</v>
      </c>
    </row>
    <row r="23" spans="2:89">
      <c r="B23" s="37" t="str">
        <v>Месяц с начала полугодия</v>
      </c>
      <c r="C23" s="33"/>
      <c r="D23" s="33"/>
      <c r="E23" s="34"/>
      <c r="F23" s="38">
        <v>4</v>
      </c>
      <c r="G23" s="38">
        <v>5</v>
      </c>
      <c r="H23" s="38">
        <v>6</v>
      </c>
      <c r="I23" s="38">
        <v>1</v>
      </c>
      <c r="J23" s="38">
        <v>2</v>
      </c>
      <c r="K23" s="38">
        <v>3</v>
      </c>
      <c r="L23" s="38">
        <v>4</v>
      </c>
      <c r="M23" s="38">
        <v>5</v>
      </c>
      <c r="N23" s="38">
        <v>6</v>
      </c>
      <c r="O23" s="38">
        <v>1</v>
      </c>
      <c r="P23" s="38">
        <v>2</v>
      </c>
      <c r="Q23" s="38">
        <v>3</v>
      </c>
      <c r="R23" s="38">
        <v>4</v>
      </c>
      <c r="S23" s="38">
        <v>5</v>
      </c>
      <c r="T23" s="38">
        <v>6</v>
      </c>
      <c r="U23" s="38">
        <v>1</v>
      </c>
      <c r="V23" s="38">
        <v>2</v>
      </c>
      <c r="W23" s="38">
        <v>3</v>
      </c>
      <c r="X23" s="38">
        <v>4</v>
      </c>
      <c r="Y23" s="38">
        <v>5</v>
      </c>
      <c r="Z23" s="38">
        <v>6</v>
      </c>
      <c r="AA23" s="38">
        <v>1</v>
      </c>
      <c r="AB23" s="38">
        <v>2</v>
      </c>
      <c r="AC23" s="38">
        <v>3</v>
      </c>
      <c r="AD23" s="38">
        <v>4</v>
      </c>
      <c r="AE23" s="38">
        <v>5</v>
      </c>
      <c r="AF23" s="38">
        <v>6</v>
      </c>
      <c r="AG23" s="38">
        <v>1</v>
      </c>
      <c r="AH23" s="38">
        <v>2</v>
      </c>
      <c r="AI23" s="38">
        <v>3</v>
      </c>
      <c r="AJ23" s="38">
        <v>4</v>
      </c>
      <c r="AK23" s="38">
        <v>5</v>
      </c>
      <c r="AL23" s="38">
        <v>6</v>
      </c>
      <c r="AM23" s="38">
        <v>1</v>
      </c>
      <c r="AN23" s="38">
        <v>2</v>
      </c>
      <c r="AO23" s="38">
        <v>3</v>
      </c>
      <c r="AP23" s="38">
        <v>4</v>
      </c>
      <c r="AQ23" s="38">
        <v>5</v>
      </c>
      <c r="AR23" s="38">
        <v>6</v>
      </c>
      <c r="AS23" s="38">
        <v>1</v>
      </c>
      <c r="AT23" s="38">
        <v>2</v>
      </c>
      <c r="AU23" s="38">
        <v>3</v>
      </c>
      <c r="AV23" s="38">
        <v>4</v>
      </c>
      <c r="AW23" s="38">
        <v>5</v>
      </c>
      <c r="AX23" s="38">
        <v>6</v>
      </c>
      <c r="AY23" s="38">
        <v>1</v>
      </c>
      <c r="AZ23" s="38">
        <v>2</v>
      </c>
      <c r="BA23" s="38">
        <v>3</v>
      </c>
      <c r="BB23" s="38">
        <v>4</v>
      </c>
      <c r="BC23" s="38">
        <v>5</v>
      </c>
      <c r="BD23" s="38">
        <v>6</v>
      </c>
      <c r="BE23" s="38">
        <v>1</v>
      </c>
      <c r="BF23" s="38">
        <v>2</v>
      </c>
      <c r="BG23" s="38">
        <v>3</v>
      </c>
      <c r="BH23" s="38">
        <v>4</v>
      </c>
      <c r="BI23" s="38">
        <v>5</v>
      </c>
      <c r="BJ23" s="38">
        <v>6</v>
      </c>
      <c r="BK23" s="38">
        <v>1</v>
      </c>
      <c r="BL23" s="38">
        <v>2</v>
      </c>
      <c r="BM23" s="38">
        <v>3</v>
      </c>
      <c r="BN23" s="38">
        <v>4</v>
      </c>
      <c r="BO23" s="38">
        <v>5</v>
      </c>
      <c r="BP23" s="38">
        <v>6</v>
      </c>
      <c r="BQ23" s="38">
        <v>1</v>
      </c>
      <c r="BR23" s="38">
        <v>2</v>
      </c>
      <c r="BS23" s="38">
        <v>3</v>
      </c>
      <c r="BT23" s="38">
        <v>4</v>
      </c>
      <c r="BU23" s="38">
        <v>5</v>
      </c>
      <c r="BV23" s="38">
        <v>6</v>
      </c>
      <c r="BW23" s="38">
        <v>1</v>
      </c>
      <c r="BX23" s="38">
        <v>2</v>
      </c>
      <c r="BY23" s="38">
        <v>3</v>
      </c>
      <c r="BZ23" s="38">
        <v>4</v>
      </c>
      <c r="CA23" s="38">
        <v>5</v>
      </c>
      <c r="CB23" s="38">
        <v>6</v>
      </c>
      <c r="CC23" s="38">
        <v>1</v>
      </c>
      <c r="CD23" s="38">
        <v>2</v>
      </c>
      <c r="CE23" s="38">
        <v>3</v>
      </c>
      <c r="CF23" s="38">
        <v>4</v>
      </c>
      <c r="CG23" s="38">
        <v>5</v>
      </c>
      <c r="CH23" s="38">
        <v>6</v>
      </c>
      <c r="CI23" s="38">
        <v>1</v>
      </c>
      <c r="CJ23" s="38">
        <v>2</v>
      </c>
      <c r="CK23" s="38">
        <v>3</v>
      </c>
    </row>
    <row r="24" spans="2:89">
      <c r="B24" s="37" t="str">
        <v>Календарный квартал</v>
      </c>
      <c r="C24" s="33"/>
      <c r="D24" s="33"/>
      <c r="E24" s="34"/>
      <c r="F24" s="38">
        <v>2</v>
      </c>
      <c r="G24" s="38">
        <v>2</v>
      </c>
      <c r="H24" s="38">
        <v>2</v>
      </c>
      <c r="I24" s="38">
        <v>3</v>
      </c>
      <c r="J24" s="38">
        <v>3</v>
      </c>
      <c r="K24" s="38">
        <v>3</v>
      </c>
      <c r="L24" s="38">
        <v>4</v>
      </c>
      <c r="M24" s="38">
        <v>4</v>
      </c>
      <c r="N24" s="38">
        <v>4</v>
      </c>
      <c r="O24" s="38">
        <v>1</v>
      </c>
      <c r="P24" s="38">
        <v>1</v>
      </c>
      <c r="Q24" s="38">
        <v>1</v>
      </c>
      <c r="R24" s="38">
        <v>2</v>
      </c>
      <c r="S24" s="38">
        <v>2</v>
      </c>
      <c r="T24" s="38">
        <v>2</v>
      </c>
      <c r="U24" s="38">
        <v>3</v>
      </c>
      <c r="V24" s="38">
        <v>3</v>
      </c>
      <c r="W24" s="38">
        <v>3</v>
      </c>
      <c r="X24" s="38">
        <v>4</v>
      </c>
      <c r="Y24" s="38">
        <v>4</v>
      </c>
      <c r="Z24" s="38">
        <v>4</v>
      </c>
      <c r="AA24" s="38">
        <v>1</v>
      </c>
      <c r="AB24" s="38">
        <v>1</v>
      </c>
      <c r="AC24" s="38">
        <v>1</v>
      </c>
      <c r="AD24" s="38">
        <v>2</v>
      </c>
      <c r="AE24" s="38">
        <v>2</v>
      </c>
      <c r="AF24" s="38">
        <v>2</v>
      </c>
      <c r="AG24" s="38">
        <v>3</v>
      </c>
      <c r="AH24" s="38">
        <v>3</v>
      </c>
      <c r="AI24" s="38">
        <v>3</v>
      </c>
      <c r="AJ24" s="38">
        <v>4</v>
      </c>
      <c r="AK24" s="38">
        <v>4</v>
      </c>
      <c r="AL24" s="38">
        <v>4</v>
      </c>
      <c r="AM24" s="38">
        <v>1</v>
      </c>
      <c r="AN24" s="38">
        <v>1</v>
      </c>
      <c r="AO24" s="38">
        <v>1</v>
      </c>
      <c r="AP24" s="38">
        <v>2</v>
      </c>
      <c r="AQ24" s="38">
        <v>2</v>
      </c>
      <c r="AR24" s="38">
        <v>2</v>
      </c>
      <c r="AS24" s="38">
        <v>3</v>
      </c>
      <c r="AT24" s="38">
        <v>3</v>
      </c>
      <c r="AU24" s="38">
        <v>3</v>
      </c>
      <c r="AV24" s="38">
        <v>4</v>
      </c>
      <c r="AW24" s="38">
        <v>4</v>
      </c>
      <c r="AX24" s="38">
        <v>4</v>
      </c>
      <c r="AY24" s="38">
        <v>1</v>
      </c>
      <c r="AZ24" s="38">
        <v>1</v>
      </c>
      <c r="BA24" s="38">
        <v>1</v>
      </c>
      <c r="BB24" s="38">
        <v>2</v>
      </c>
      <c r="BC24" s="38">
        <v>2</v>
      </c>
      <c r="BD24" s="38">
        <v>2</v>
      </c>
      <c r="BE24" s="38">
        <v>3</v>
      </c>
      <c r="BF24" s="38">
        <v>3</v>
      </c>
      <c r="BG24" s="38">
        <v>3</v>
      </c>
      <c r="BH24" s="38">
        <v>4</v>
      </c>
      <c r="BI24" s="38">
        <v>4</v>
      </c>
      <c r="BJ24" s="38">
        <v>4</v>
      </c>
      <c r="BK24" s="38">
        <v>1</v>
      </c>
      <c r="BL24" s="38">
        <v>1</v>
      </c>
      <c r="BM24" s="38">
        <v>1</v>
      </c>
      <c r="BN24" s="38">
        <v>2</v>
      </c>
      <c r="BO24" s="38">
        <v>2</v>
      </c>
      <c r="BP24" s="38">
        <v>2</v>
      </c>
      <c r="BQ24" s="38">
        <v>3</v>
      </c>
      <c r="BR24" s="38">
        <v>3</v>
      </c>
      <c r="BS24" s="38">
        <v>3</v>
      </c>
      <c r="BT24" s="38">
        <v>4</v>
      </c>
      <c r="BU24" s="38">
        <v>4</v>
      </c>
      <c r="BV24" s="38">
        <v>4</v>
      </c>
      <c r="BW24" s="38">
        <v>1</v>
      </c>
      <c r="BX24" s="38">
        <v>1</v>
      </c>
      <c r="BY24" s="38">
        <v>1</v>
      </c>
      <c r="BZ24" s="38">
        <v>2</v>
      </c>
      <c r="CA24" s="38">
        <v>2</v>
      </c>
      <c r="CB24" s="38">
        <v>2</v>
      </c>
      <c r="CC24" s="38">
        <v>3</v>
      </c>
      <c r="CD24" s="38">
        <v>3</v>
      </c>
      <c r="CE24" s="38">
        <v>3</v>
      </c>
      <c r="CF24" s="38">
        <v>4</v>
      </c>
      <c r="CG24" s="38">
        <v>4</v>
      </c>
      <c r="CH24" s="38">
        <v>4</v>
      </c>
      <c r="CI24" s="38">
        <v>1</v>
      </c>
      <c r="CJ24" s="38">
        <v>1</v>
      </c>
      <c r="CK24" s="38">
        <v>1</v>
      </c>
    </row>
    <row r="25" spans="2:89">
      <c r="B25" s="37" t="str">
        <v>Месяц с начала квартала</v>
      </c>
      <c r="C25" s="33"/>
      <c r="D25" s="33"/>
      <c r="E25" s="34"/>
      <c r="F25" s="38">
        <v>1</v>
      </c>
      <c r="G25" s="38">
        <v>2</v>
      </c>
      <c r="H25" s="38">
        <v>3</v>
      </c>
      <c r="I25" s="38">
        <v>1</v>
      </c>
      <c r="J25" s="38">
        <v>2</v>
      </c>
      <c r="K25" s="38">
        <v>3</v>
      </c>
      <c r="L25" s="38">
        <v>1</v>
      </c>
      <c r="M25" s="38">
        <v>2</v>
      </c>
      <c r="N25" s="38">
        <v>3</v>
      </c>
      <c r="O25" s="38">
        <v>1</v>
      </c>
      <c r="P25" s="38">
        <v>2</v>
      </c>
      <c r="Q25" s="38">
        <v>3</v>
      </c>
      <c r="R25" s="38">
        <v>1</v>
      </c>
      <c r="S25" s="38">
        <v>2</v>
      </c>
      <c r="T25" s="38">
        <v>3</v>
      </c>
      <c r="U25" s="38">
        <v>1</v>
      </c>
      <c r="V25" s="38">
        <v>2</v>
      </c>
      <c r="W25" s="38">
        <v>3</v>
      </c>
      <c r="X25" s="38">
        <v>1</v>
      </c>
      <c r="Y25" s="38">
        <v>2</v>
      </c>
      <c r="Z25" s="38">
        <v>3</v>
      </c>
      <c r="AA25" s="38">
        <v>1</v>
      </c>
      <c r="AB25" s="38">
        <v>2</v>
      </c>
      <c r="AC25" s="38">
        <v>3</v>
      </c>
      <c r="AD25" s="38">
        <v>1</v>
      </c>
      <c r="AE25" s="38">
        <v>2</v>
      </c>
      <c r="AF25" s="38">
        <v>3</v>
      </c>
      <c r="AG25" s="38">
        <v>1</v>
      </c>
      <c r="AH25" s="38">
        <v>2</v>
      </c>
      <c r="AI25" s="38">
        <v>3</v>
      </c>
      <c r="AJ25" s="38">
        <v>1</v>
      </c>
      <c r="AK25" s="38">
        <v>2</v>
      </c>
      <c r="AL25" s="38">
        <v>3</v>
      </c>
      <c r="AM25" s="38">
        <v>1</v>
      </c>
      <c r="AN25" s="38">
        <v>2</v>
      </c>
      <c r="AO25" s="38">
        <v>3</v>
      </c>
      <c r="AP25" s="38">
        <v>1</v>
      </c>
      <c r="AQ25" s="38">
        <v>2</v>
      </c>
      <c r="AR25" s="38">
        <v>3</v>
      </c>
      <c r="AS25" s="38">
        <v>1</v>
      </c>
      <c r="AT25" s="38">
        <v>2</v>
      </c>
      <c r="AU25" s="38">
        <v>3</v>
      </c>
      <c r="AV25" s="38">
        <v>1</v>
      </c>
      <c r="AW25" s="38">
        <v>2</v>
      </c>
      <c r="AX25" s="38">
        <v>3</v>
      </c>
      <c r="AY25" s="38">
        <v>1</v>
      </c>
      <c r="AZ25" s="38">
        <v>2</v>
      </c>
      <c r="BA25" s="38">
        <v>3</v>
      </c>
      <c r="BB25" s="38">
        <v>1</v>
      </c>
      <c r="BC25" s="38">
        <v>2</v>
      </c>
      <c r="BD25" s="38">
        <v>3</v>
      </c>
      <c r="BE25" s="38">
        <v>1</v>
      </c>
      <c r="BF25" s="38">
        <v>2</v>
      </c>
      <c r="BG25" s="38">
        <v>3</v>
      </c>
      <c r="BH25" s="38">
        <v>1</v>
      </c>
      <c r="BI25" s="38">
        <v>2</v>
      </c>
      <c r="BJ25" s="38">
        <v>3</v>
      </c>
      <c r="BK25" s="38">
        <v>1</v>
      </c>
      <c r="BL25" s="38">
        <v>2</v>
      </c>
      <c r="BM25" s="38">
        <v>3</v>
      </c>
      <c r="BN25" s="38">
        <v>1</v>
      </c>
      <c r="BO25" s="38">
        <v>2</v>
      </c>
      <c r="BP25" s="38">
        <v>3</v>
      </c>
      <c r="BQ25" s="38">
        <v>1</v>
      </c>
      <c r="BR25" s="38">
        <v>2</v>
      </c>
      <c r="BS25" s="38">
        <v>3</v>
      </c>
      <c r="BT25" s="38">
        <v>1</v>
      </c>
      <c r="BU25" s="38">
        <v>2</v>
      </c>
      <c r="BV25" s="38">
        <v>3</v>
      </c>
      <c r="BW25" s="38">
        <v>1</v>
      </c>
      <c r="BX25" s="38">
        <v>2</v>
      </c>
      <c r="BY25" s="38">
        <v>3</v>
      </c>
      <c r="BZ25" s="38">
        <v>1</v>
      </c>
      <c r="CA25" s="38">
        <v>2</v>
      </c>
      <c r="CB25" s="38">
        <v>3</v>
      </c>
      <c r="CC25" s="38">
        <v>1</v>
      </c>
      <c r="CD25" s="38">
        <v>2</v>
      </c>
      <c r="CE25" s="38">
        <v>3</v>
      </c>
      <c r="CF25" s="38">
        <v>1</v>
      </c>
      <c r="CG25" s="38">
        <v>2</v>
      </c>
      <c r="CH25" s="38">
        <v>3</v>
      </c>
      <c r="CI25" s="38">
        <v>1</v>
      </c>
      <c r="CJ25" s="38">
        <v>2</v>
      </c>
      <c r="CK25" s="38">
        <v>3</v>
      </c>
    </row>
    <row r="26" spans="2:89">
      <c r="B26" s="37" t="str">
        <v>Дней в периоде</v>
      </c>
      <c r="C26" s="33"/>
      <c r="D26" s="33"/>
      <c r="E26" s="34"/>
      <c r="F26" s="38">
        <v>30</v>
      </c>
      <c r="G26" s="38">
        <v>31</v>
      </c>
      <c r="H26" s="38">
        <v>30</v>
      </c>
      <c r="I26" s="38">
        <v>31</v>
      </c>
      <c r="J26" s="38">
        <v>31</v>
      </c>
      <c r="K26" s="38">
        <v>30</v>
      </c>
      <c r="L26" s="38">
        <v>31</v>
      </c>
      <c r="M26" s="38">
        <v>30</v>
      </c>
      <c r="N26" s="38">
        <v>31</v>
      </c>
      <c r="O26" s="38">
        <v>31</v>
      </c>
      <c r="P26" s="38">
        <v>29</v>
      </c>
      <c r="Q26" s="38">
        <v>31</v>
      </c>
      <c r="R26" s="38">
        <v>30</v>
      </c>
      <c r="S26" s="38">
        <v>31</v>
      </c>
      <c r="T26" s="38">
        <v>30</v>
      </c>
      <c r="U26" s="38">
        <v>31</v>
      </c>
      <c r="V26" s="38">
        <v>31</v>
      </c>
      <c r="W26" s="38">
        <v>30</v>
      </c>
      <c r="X26" s="38">
        <v>31</v>
      </c>
      <c r="Y26" s="38">
        <v>30</v>
      </c>
      <c r="Z26" s="38">
        <v>31</v>
      </c>
      <c r="AA26" s="38">
        <v>31</v>
      </c>
      <c r="AB26" s="38">
        <v>28</v>
      </c>
      <c r="AC26" s="38">
        <v>31</v>
      </c>
      <c r="AD26" s="38">
        <v>30</v>
      </c>
      <c r="AE26" s="38">
        <v>31</v>
      </c>
      <c r="AF26" s="38">
        <v>30</v>
      </c>
      <c r="AG26" s="38">
        <v>31</v>
      </c>
      <c r="AH26" s="38">
        <v>31</v>
      </c>
      <c r="AI26" s="38">
        <v>30</v>
      </c>
      <c r="AJ26" s="38">
        <v>31</v>
      </c>
      <c r="AK26" s="38">
        <v>30</v>
      </c>
      <c r="AL26" s="38">
        <v>31</v>
      </c>
      <c r="AM26" s="38">
        <v>31</v>
      </c>
      <c r="AN26" s="38">
        <v>28</v>
      </c>
      <c r="AO26" s="38">
        <v>31</v>
      </c>
      <c r="AP26" s="38">
        <v>30</v>
      </c>
      <c r="AQ26" s="38">
        <v>31</v>
      </c>
      <c r="AR26" s="38">
        <v>30</v>
      </c>
      <c r="AS26" s="38">
        <v>31</v>
      </c>
      <c r="AT26" s="38">
        <v>31</v>
      </c>
      <c r="AU26" s="38">
        <v>30</v>
      </c>
      <c r="AV26" s="38">
        <v>31</v>
      </c>
      <c r="AW26" s="38">
        <v>30</v>
      </c>
      <c r="AX26" s="38">
        <v>31</v>
      </c>
      <c r="AY26" s="38">
        <v>31</v>
      </c>
      <c r="AZ26" s="38">
        <v>28</v>
      </c>
      <c r="BA26" s="38">
        <v>31</v>
      </c>
      <c r="BB26" s="38">
        <v>30</v>
      </c>
      <c r="BC26" s="38">
        <v>31</v>
      </c>
      <c r="BD26" s="38">
        <v>30</v>
      </c>
      <c r="BE26" s="38">
        <v>31</v>
      </c>
      <c r="BF26" s="38">
        <v>31</v>
      </c>
      <c r="BG26" s="38">
        <v>30</v>
      </c>
      <c r="BH26" s="38">
        <v>31</v>
      </c>
      <c r="BI26" s="38">
        <v>30</v>
      </c>
      <c r="BJ26" s="38">
        <v>31</v>
      </c>
      <c r="BK26" s="38">
        <v>31</v>
      </c>
      <c r="BL26" s="38">
        <v>29</v>
      </c>
      <c r="BM26" s="38">
        <v>31</v>
      </c>
      <c r="BN26" s="38">
        <v>30</v>
      </c>
      <c r="BO26" s="38">
        <v>31</v>
      </c>
      <c r="BP26" s="38">
        <v>30</v>
      </c>
      <c r="BQ26" s="38">
        <v>31</v>
      </c>
      <c r="BR26" s="38">
        <v>31</v>
      </c>
      <c r="BS26" s="38">
        <v>30</v>
      </c>
      <c r="BT26" s="38">
        <v>31</v>
      </c>
      <c r="BU26" s="38">
        <v>30</v>
      </c>
      <c r="BV26" s="38">
        <v>31</v>
      </c>
      <c r="BW26" s="38">
        <v>31</v>
      </c>
      <c r="BX26" s="38">
        <v>28</v>
      </c>
      <c r="BY26" s="38">
        <v>31</v>
      </c>
      <c r="BZ26" s="38">
        <v>30</v>
      </c>
      <c r="CA26" s="38">
        <v>31</v>
      </c>
      <c r="CB26" s="38">
        <v>30</v>
      </c>
      <c r="CC26" s="38">
        <v>31</v>
      </c>
      <c r="CD26" s="38">
        <v>31</v>
      </c>
      <c r="CE26" s="38">
        <v>30</v>
      </c>
      <c r="CF26" s="38">
        <v>31</v>
      </c>
      <c r="CG26" s="38">
        <v>30</v>
      </c>
      <c r="CH26" s="38">
        <v>31</v>
      </c>
      <c r="CI26" s="38">
        <v>31</v>
      </c>
      <c r="CJ26" s="38">
        <v>28</v>
      </c>
      <c r="CK26" s="38">
        <v>31</v>
      </c>
    </row>
    <row r="27" spans="2:89">
      <c r="B27" s="37" t="str">
        <v>№ периода</v>
      </c>
      <c r="C27" s="33"/>
      <c r="D27" s="33"/>
      <c r="E27" s="34"/>
      <c r="F27" s="38">
        <v>1</v>
      </c>
      <c r="G27" s="38">
        <v>2</v>
      </c>
      <c r="H27" s="38">
        <v>3</v>
      </c>
      <c r="I27" s="38">
        <v>4</v>
      </c>
      <c r="J27" s="38">
        <v>5</v>
      </c>
      <c r="K27" s="38">
        <v>6</v>
      </c>
      <c r="L27" s="38">
        <v>7</v>
      </c>
      <c r="M27" s="38">
        <v>8</v>
      </c>
      <c r="N27" s="38">
        <v>9</v>
      </c>
      <c r="O27" s="38">
        <v>10</v>
      </c>
      <c r="P27" s="38">
        <v>11</v>
      </c>
      <c r="Q27" s="38">
        <v>12</v>
      </c>
      <c r="R27" s="38">
        <v>13</v>
      </c>
      <c r="S27" s="38">
        <v>14</v>
      </c>
      <c r="T27" s="38">
        <v>15</v>
      </c>
      <c r="U27" s="38">
        <v>16</v>
      </c>
      <c r="V27" s="38">
        <v>17</v>
      </c>
      <c r="W27" s="38">
        <v>18</v>
      </c>
      <c r="X27" s="38">
        <v>19</v>
      </c>
      <c r="Y27" s="38">
        <v>20</v>
      </c>
      <c r="Z27" s="38">
        <v>21</v>
      </c>
      <c r="AA27" s="38">
        <v>22</v>
      </c>
      <c r="AB27" s="38">
        <v>23</v>
      </c>
      <c r="AC27" s="38">
        <v>24</v>
      </c>
      <c r="AD27" s="38">
        <v>25</v>
      </c>
      <c r="AE27" s="38">
        <v>26</v>
      </c>
      <c r="AF27" s="38">
        <v>27</v>
      </c>
      <c r="AG27" s="38">
        <v>28</v>
      </c>
      <c r="AH27" s="38">
        <v>29</v>
      </c>
      <c r="AI27" s="38">
        <v>30</v>
      </c>
      <c r="AJ27" s="38">
        <v>31</v>
      </c>
      <c r="AK27" s="38">
        <v>32</v>
      </c>
      <c r="AL27" s="38">
        <v>33</v>
      </c>
      <c r="AM27" s="38">
        <v>34</v>
      </c>
      <c r="AN27" s="38">
        <v>35</v>
      </c>
      <c r="AO27" s="38">
        <v>36</v>
      </c>
      <c r="AP27" s="38">
        <v>37</v>
      </c>
      <c r="AQ27" s="38">
        <v>38</v>
      </c>
      <c r="AR27" s="38">
        <v>39</v>
      </c>
      <c r="AS27" s="38">
        <v>40</v>
      </c>
      <c r="AT27" s="38">
        <v>41</v>
      </c>
      <c r="AU27" s="38">
        <v>42</v>
      </c>
      <c r="AV27" s="38">
        <v>43</v>
      </c>
      <c r="AW27" s="38">
        <v>44</v>
      </c>
      <c r="AX27" s="38">
        <v>45</v>
      </c>
      <c r="AY27" s="38">
        <v>46</v>
      </c>
      <c r="AZ27" s="38">
        <v>47</v>
      </c>
      <c r="BA27" s="38">
        <v>48</v>
      </c>
      <c r="BB27" s="38">
        <v>49</v>
      </c>
      <c r="BC27" s="38">
        <v>50</v>
      </c>
      <c r="BD27" s="38">
        <v>51</v>
      </c>
      <c r="BE27" s="38">
        <v>52</v>
      </c>
      <c r="BF27" s="38">
        <v>53</v>
      </c>
      <c r="BG27" s="38">
        <v>54</v>
      </c>
      <c r="BH27" s="38">
        <v>55</v>
      </c>
      <c r="BI27" s="38">
        <v>56</v>
      </c>
      <c r="BJ27" s="38">
        <v>57</v>
      </c>
      <c r="BK27" s="38">
        <v>58</v>
      </c>
      <c r="BL27" s="38">
        <v>59</v>
      </c>
      <c r="BM27" s="38">
        <v>60</v>
      </c>
      <c r="BN27" s="38">
        <v>61</v>
      </c>
      <c r="BO27" s="38">
        <v>62</v>
      </c>
      <c r="BP27" s="38">
        <v>63</v>
      </c>
      <c r="BQ27" s="38">
        <v>64</v>
      </c>
      <c r="BR27" s="38">
        <v>65</v>
      </c>
      <c r="BS27" s="38">
        <v>66</v>
      </c>
      <c r="BT27" s="38">
        <v>67</v>
      </c>
      <c r="BU27" s="38">
        <v>68</v>
      </c>
      <c r="BV27" s="38">
        <v>69</v>
      </c>
      <c r="BW27" s="38">
        <v>70</v>
      </c>
      <c r="BX27" s="38">
        <v>71</v>
      </c>
      <c r="BY27" s="38">
        <v>72</v>
      </c>
      <c r="BZ27" s="38">
        <v>73</v>
      </c>
      <c r="CA27" s="38">
        <v>74</v>
      </c>
      <c r="CB27" s="38">
        <v>75</v>
      </c>
      <c r="CC27" s="38">
        <v>76</v>
      </c>
      <c r="CD27" s="38">
        <v>77</v>
      </c>
      <c r="CE27" s="38">
        <v>78</v>
      </c>
      <c r="CF27" s="38">
        <v>79</v>
      </c>
      <c r="CG27" s="38">
        <v>80</v>
      </c>
      <c r="CH27" s="38">
        <v>81</v>
      </c>
      <c r="CI27" s="38">
        <v>82</v>
      </c>
      <c r="CJ27" s="38">
        <v>83</v>
      </c>
      <c r="CK27" s="38">
        <v>84</v>
      </c>
    </row>
    <row r="28" spans="2:89">
      <c r="B28" s="37" t="str">
        <v>№ операционного периода</v>
      </c>
      <c r="C28" s="33"/>
      <c r="D28" s="39"/>
      <c r="E28" s="34"/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1</v>
      </c>
      <c r="S28" s="38">
        <v>2</v>
      </c>
      <c r="T28" s="38">
        <v>3</v>
      </c>
      <c r="U28" s="38">
        <v>4</v>
      </c>
      <c r="V28" s="38">
        <v>5</v>
      </c>
      <c r="W28" s="38">
        <v>6</v>
      </c>
      <c r="X28" s="38">
        <v>7</v>
      </c>
      <c r="Y28" s="38">
        <v>8</v>
      </c>
      <c r="Z28" s="38">
        <v>9</v>
      </c>
      <c r="AA28" s="38">
        <v>10</v>
      </c>
      <c r="AB28" s="38">
        <v>11</v>
      </c>
      <c r="AC28" s="38">
        <v>12</v>
      </c>
      <c r="AD28" s="38">
        <v>13</v>
      </c>
      <c r="AE28" s="38">
        <v>14</v>
      </c>
      <c r="AF28" s="38">
        <v>15</v>
      </c>
      <c r="AG28" s="38">
        <v>16</v>
      </c>
      <c r="AH28" s="38">
        <v>17</v>
      </c>
      <c r="AI28" s="38">
        <v>18</v>
      </c>
      <c r="AJ28" s="38">
        <v>19</v>
      </c>
      <c r="AK28" s="38">
        <v>20</v>
      </c>
      <c r="AL28" s="38">
        <v>21</v>
      </c>
      <c r="AM28" s="38">
        <v>22</v>
      </c>
      <c r="AN28" s="38">
        <v>23</v>
      </c>
      <c r="AO28" s="38">
        <v>24</v>
      </c>
      <c r="AP28" s="38">
        <v>25</v>
      </c>
      <c r="AQ28" s="38">
        <v>26</v>
      </c>
      <c r="AR28" s="38">
        <v>27</v>
      </c>
      <c r="AS28" s="38">
        <v>28</v>
      </c>
      <c r="AT28" s="38">
        <v>29</v>
      </c>
      <c r="AU28" s="38">
        <v>30</v>
      </c>
      <c r="AV28" s="38">
        <v>31</v>
      </c>
      <c r="AW28" s="38">
        <v>32</v>
      </c>
      <c r="AX28" s="38">
        <v>33</v>
      </c>
      <c r="AY28" s="38">
        <v>34</v>
      </c>
      <c r="AZ28" s="38">
        <v>35</v>
      </c>
      <c r="BA28" s="38">
        <v>36</v>
      </c>
      <c r="BB28" s="38">
        <v>37</v>
      </c>
      <c r="BC28" s="38">
        <v>38</v>
      </c>
      <c r="BD28" s="38">
        <v>39</v>
      </c>
      <c r="BE28" s="38">
        <v>40</v>
      </c>
      <c r="BF28" s="38">
        <v>41</v>
      </c>
      <c r="BG28" s="38">
        <v>42</v>
      </c>
      <c r="BH28" s="38">
        <v>43</v>
      </c>
      <c r="BI28" s="38">
        <v>44</v>
      </c>
      <c r="BJ28" s="38">
        <v>45</v>
      </c>
      <c r="BK28" s="38">
        <v>46</v>
      </c>
      <c r="BL28" s="38">
        <v>47</v>
      </c>
      <c r="BM28" s="38">
        <v>48</v>
      </c>
      <c r="BN28" s="38">
        <v>49</v>
      </c>
      <c r="BO28" s="38">
        <v>50</v>
      </c>
      <c r="BP28" s="38">
        <v>51</v>
      </c>
      <c r="BQ28" s="38">
        <v>52</v>
      </c>
      <c r="BR28" s="38">
        <v>53</v>
      </c>
      <c r="BS28" s="38">
        <v>54</v>
      </c>
      <c r="BT28" s="38">
        <v>55</v>
      </c>
      <c r="BU28" s="38">
        <v>56</v>
      </c>
      <c r="BV28" s="38">
        <v>57</v>
      </c>
      <c r="BW28" s="38">
        <v>58</v>
      </c>
      <c r="BX28" s="38">
        <v>59</v>
      </c>
      <c r="BY28" s="38">
        <v>60</v>
      </c>
      <c r="BZ28" s="38">
        <v>61</v>
      </c>
      <c r="CA28" s="38">
        <v>62</v>
      </c>
      <c r="CB28" s="38">
        <v>63</v>
      </c>
      <c r="CC28" s="38">
        <v>64</v>
      </c>
      <c r="CD28" s="38">
        <v>65</v>
      </c>
      <c r="CE28" s="38">
        <v>66</v>
      </c>
      <c r="CF28" s="38">
        <v>67</v>
      </c>
      <c r="CG28" s="38">
        <v>68</v>
      </c>
      <c r="CH28" s="38">
        <v>69</v>
      </c>
      <c r="CI28" s="38">
        <v>70</v>
      </c>
      <c r="CJ28" s="38">
        <v>71</v>
      </c>
      <c r="CK28" s="38">
        <v>72</v>
      </c>
    </row>
    <row r="29" spans="2:89">
      <c r="B29" s="37" t="str">
        <v>№ операционного года</v>
      </c>
      <c r="C29" s="33"/>
      <c r="D29" s="39"/>
      <c r="E29" s="34"/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2</v>
      </c>
      <c r="AE29" s="38">
        <v>2</v>
      </c>
      <c r="AF29" s="38">
        <v>2</v>
      </c>
      <c r="AG29" s="38">
        <v>2</v>
      </c>
      <c r="AH29" s="38">
        <v>2</v>
      </c>
      <c r="AI29" s="38">
        <v>2</v>
      </c>
      <c r="AJ29" s="38">
        <v>2</v>
      </c>
      <c r="AK29" s="38">
        <v>2</v>
      </c>
      <c r="AL29" s="38">
        <v>2</v>
      </c>
      <c r="AM29" s="38">
        <v>2</v>
      </c>
      <c r="AN29" s="38">
        <v>2</v>
      </c>
      <c r="AO29" s="38">
        <v>2</v>
      </c>
      <c r="AP29" s="38">
        <v>3</v>
      </c>
      <c r="AQ29" s="38">
        <v>3</v>
      </c>
      <c r="AR29" s="38">
        <v>3</v>
      </c>
      <c r="AS29" s="38">
        <v>3</v>
      </c>
      <c r="AT29" s="38">
        <v>3</v>
      </c>
      <c r="AU29" s="38">
        <v>3</v>
      </c>
      <c r="AV29" s="38">
        <v>3</v>
      </c>
      <c r="AW29" s="38">
        <v>3</v>
      </c>
      <c r="AX29" s="38">
        <v>3</v>
      </c>
      <c r="AY29" s="38">
        <v>3</v>
      </c>
      <c r="AZ29" s="38">
        <v>3</v>
      </c>
      <c r="BA29" s="38">
        <v>3</v>
      </c>
      <c r="BB29" s="38">
        <v>4</v>
      </c>
      <c r="BC29" s="38">
        <v>4</v>
      </c>
      <c r="BD29" s="38">
        <v>4</v>
      </c>
      <c r="BE29" s="38">
        <v>4</v>
      </c>
      <c r="BF29" s="38">
        <v>4</v>
      </c>
      <c r="BG29" s="38">
        <v>4</v>
      </c>
      <c r="BH29" s="38">
        <v>4</v>
      </c>
      <c r="BI29" s="38">
        <v>4</v>
      </c>
      <c r="BJ29" s="38">
        <v>4</v>
      </c>
      <c r="BK29" s="38">
        <v>4</v>
      </c>
      <c r="BL29" s="38">
        <v>4</v>
      </c>
      <c r="BM29" s="38">
        <v>4</v>
      </c>
      <c r="BN29" s="38">
        <v>5</v>
      </c>
      <c r="BO29" s="38">
        <v>5</v>
      </c>
      <c r="BP29" s="38">
        <v>5</v>
      </c>
      <c r="BQ29" s="38">
        <v>5</v>
      </c>
      <c r="BR29" s="38">
        <v>5</v>
      </c>
      <c r="BS29" s="38">
        <v>5</v>
      </c>
      <c r="BT29" s="38">
        <v>5</v>
      </c>
      <c r="BU29" s="38">
        <v>5</v>
      </c>
      <c r="BV29" s="38">
        <v>5</v>
      </c>
      <c r="BW29" s="38">
        <v>5</v>
      </c>
      <c r="BX29" s="38">
        <v>5</v>
      </c>
      <c r="BY29" s="38">
        <v>5</v>
      </c>
      <c r="BZ29" s="38">
        <v>6</v>
      </c>
      <c r="CA29" s="38">
        <v>6</v>
      </c>
      <c r="CB29" s="38">
        <v>6</v>
      </c>
      <c r="CC29" s="38">
        <v>6</v>
      </c>
      <c r="CD29" s="38">
        <v>6</v>
      </c>
      <c r="CE29" s="38">
        <v>6</v>
      </c>
      <c r="CF29" s="38">
        <v>6</v>
      </c>
      <c r="CG29" s="38">
        <v>6</v>
      </c>
      <c r="CH29" s="38">
        <v>6</v>
      </c>
      <c r="CI29" s="38">
        <v>6</v>
      </c>
      <c r="CJ29" s="38">
        <v>6</v>
      </c>
      <c r="CK29" s="38"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2:89" ht="20.25" thickBot="1">
      <c r="B33" s="26" t="s">
        <v>163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</row>
    <row r="34" spans="2:89" ht="15.75" thickTop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</row>
    <row r="35" spans="2:89" ht="18" thickBot="1">
      <c r="B35" s="100" t="s">
        <v>551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</row>
    <row r="36" spans="2:89" ht="15.75" thickTop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</row>
    <row r="37" spans="2:89" ht="15.75" thickBot="1">
      <c r="B37" s="96" t="str">
        <f>"Чистый денежный поток проекта, в "&amp;Ед_измерения_денег</f>
        <v>Чистый денежный поток проекта, в  руб.</v>
      </c>
      <c r="C37" s="96"/>
      <c r="D37" s="127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</row>
    <row r="38" spans="2:89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</row>
    <row r="39" spans="2:89">
      <c r="B39" s="77" t="s">
        <v>79</v>
      </c>
      <c r="C39" s="78"/>
      <c r="D39" s="98">
        <f ca="1">SUM(F39:CK39)</f>
        <v>5072703347.3362122</v>
      </c>
      <c r="E39" s="79"/>
      <c r="F39" s="80">
        <f ca="1">Отчетность_по_периодам!F98</f>
        <v>0</v>
      </c>
      <c r="G39" s="80">
        <f ca="1">Отчетность_по_периодам!G98</f>
        <v>0</v>
      </c>
      <c r="H39" s="80">
        <f ca="1">Отчетность_по_периодам!H98</f>
        <v>0</v>
      </c>
      <c r="I39" s="80">
        <f ca="1">Отчетность_по_периодам!I98</f>
        <v>0</v>
      </c>
      <c r="J39" s="80">
        <f ca="1">Отчетность_по_периодам!J98</f>
        <v>0</v>
      </c>
      <c r="K39" s="80">
        <f ca="1">Отчетность_по_периодам!K98</f>
        <v>0</v>
      </c>
      <c r="L39" s="80">
        <f ca="1">Отчетность_по_периодам!L98</f>
        <v>0</v>
      </c>
      <c r="M39" s="80">
        <f ca="1">Отчетность_по_периодам!M98</f>
        <v>0</v>
      </c>
      <c r="N39" s="80">
        <f ca="1">Отчетность_по_периодам!N98</f>
        <v>0</v>
      </c>
      <c r="O39" s="80">
        <f ca="1">Отчетность_по_периодам!O98</f>
        <v>0</v>
      </c>
      <c r="P39" s="80">
        <f ca="1">Отчетность_по_периодам!P98</f>
        <v>0</v>
      </c>
      <c r="Q39" s="80">
        <f ca="1">Отчетность_по_периодам!Q98</f>
        <v>-1030062.6752411524</v>
      </c>
      <c r="R39" s="80">
        <f ca="1">Отчетность_по_периодам!R98</f>
        <v>51372700.024010994</v>
      </c>
      <c r="S39" s="80">
        <f ca="1">Отчетность_по_периодам!S98</f>
        <v>25556252.968714036</v>
      </c>
      <c r="T39" s="80">
        <f ca="1">Отчетность_по_периодам!T98</f>
        <v>20342001.908056237</v>
      </c>
      <c r="U39" s="80">
        <f ca="1">Отчетность_по_периодам!U98</f>
        <v>20694696.763543017</v>
      </c>
      <c r="V39" s="80">
        <f ca="1">Отчетность_по_периодам!V98</f>
        <v>18122461.849501472</v>
      </c>
      <c r="W39" s="80">
        <f ca="1">Отчетность_по_периодам!W98</f>
        <v>15524859.04286433</v>
      </c>
      <c r="X39" s="80">
        <f ca="1">Отчетность_по_периодам!X98</f>
        <v>21050675.337103322</v>
      </c>
      <c r="Y39" s="80">
        <f ca="1">Отчетность_по_периодам!Y98</f>
        <v>15728976.729470951</v>
      </c>
      <c r="Z39" s="80">
        <f ca="1">Отчетность_по_периодам!Z98</f>
        <v>21267755.662836097</v>
      </c>
      <c r="AA39" s="80">
        <f ca="1">Отчетность_по_периодам!AA98</f>
        <v>18673492.093337081</v>
      </c>
      <c r="AB39" s="80">
        <f ca="1">Отчетность_по_периодам!AB98</f>
        <v>9931227.3595089186</v>
      </c>
      <c r="AC39" s="80">
        <f ca="1">Отчетность_по_периодам!AC98</f>
        <v>27729621.951419506</v>
      </c>
      <c r="AD39" s="80">
        <f ca="1">Отчетность_по_периодам!AD98</f>
        <v>15118661.995004714</v>
      </c>
      <c r="AE39" s="80">
        <f ca="1">Отчетность_по_периодам!AE98</f>
        <v>28202944.478607804</v>
      </c>
      <c r="AF39" s="80">
        <f ca="1">Отчетность_по_периодам!AF98</f>
        <v>23130121.000382647</v>
      </c>
      <c r="AG39" s="80">
        <f ca="1">Отчетность_по_периодам!AG98</f>
        <v>30164785.601121936</v>
      </c>
      <c r="AH39" s="80">
        <f ca="1">Отчетность_по_периодам!AH98</f>
        <v>28591227.518060483</v>
      </c>
      <c r="AI39" s="80">
        <f ca="1">Отчетность_по_периодам!AI98</f>
        <v>27013461.656634618</v>
      </c>
      <c r="AJ39" s="80">
        <f ca="1">Отчетность_по_периодам!AJ98</f>
        <v>36042924.731466047</v>
      </c>
      <c r="AK39" s="80">
        <f ca="1">Отчетность_по_периодам!AK98</f>
        <v>31301764.329477888</v>
      </c>
      <c r="AL39" s="80">
        <f ca="1">Отчетность_по_периодам!AL98</f>
        <v>42424514.95293282</v>
      </c>
      <c r="AM39" s="80">
        <f ca="1">Отчетность_по_периодам!AM98</f>
        <v>40590790.798295259</v>
      </c>
      <c r="AN39" s="80">
        <f ca="1">Отчетность_по_периодам!AN98</f>
        <v>30553883.572735876</v>
      </c>
      <c r="AO39" s="80">
        <f ca="1">Отчетность_по_периодам!AO98</f>
        <v>65276165.925659351</v>
      </c>
      <c r="AP39" s="80">
        <f ca="1">Отчетность_по_периодам!AP98</f>
        <v>52637306.673793353</v>
      </c>
      <c r="AQ39" s="80">
        <f ca="1">Отчетность_по_периодам!AQ98</f>
        <v>65167675.698310554</v>
      </c>
      <c r="AR39" s="80">
        <f ca="1">Отчетность_по_периодам!AR98</f>
        <v>57533459.600628182</v>
      </c>
      <c r="AS39" s="80">
        <f ca="1">Отчетность_по_периодам!AS98</f>
        <v>68289650.701986283</v>
      </c>
      <c r="AT39" s="80">
        <f ca="1">Отчетность_по_периодам!AT98</f>
        <v>66034301.561717801</v>
      </c>
      <c r="AU39" s="80">
        <f ca="1">Отчетность_по_периодам!AU98</f>
        <v>63621627.204312533</v>
      </c>
      <c r="AV39" s="80">
        <f ca="1">Отчетность_по_периодам!AV98</f>
        <v>77304742.391920924</v>
      </c>
      <c r="AW39" s="80">
        <f ca="1">Отчетность_по_периодам!AW98</f>
        <v>69404889.546474054</v>
      </c>
      <c r="AX39" s="80">
        <f ca="1">Отчетность_по_периодам!AX98</f>
        <v>84880878.720417023</v>
      </c>
      <c r="AY39" s="80">
        <f ca="1">Отчетность_по_периодам!AY98</f>
        <v>80937142.223391235</v>
      </c>
      <c r="AZ39" s="80">
        <f ca="1">Отчетность_по_периодам!AZ98</f>
        <v>64865939.18623969</v>
      </c>
      <c r="BA39" s="80">
        <f ca="1">Отчетность_по_периодам!BA98</f>
        <v>109825505.49820565</v>
      </c>
      <c r="BB39" s="80">
        <f ca="1">Отчетность_по_периодам!BB98</f>
        <v>86655838.559317887</v>
      </c>
      <c r="BC39" s="80">
        <f ca="1">Отчетность_по_периодам!BC98</f>
        <v>100199841.65257075</v>
      </c>
      <c r="BD39" s="80">
        <f ca="1">Отчетность_по_периодам!BD98</f>
        <v>87481558.053787678</v>
      </c>
      <c r="BE39" s="80">
        <f ca="1">Отчетность_по_периодам!BE98</f>
        <v>99446242.039511412</v>
      </c>
      <c r="BF39" s="80">
        <f ca="1">Отчетность_по_периодам!BF98</f>
        <v>93282058.730710268</v>
      </c>
      <c r="BG39" s="80">
        <f ca="1">Отчетность_по_периодам!BG98</f>
        <v>87049437.780063286</v>
      </c>
      <c r="BH39" s="80">
        <f ca="1">Отчетность_по_периодам!BH98</f>
        <v>100737319.35358956</v>
      </c>
      <c r="BI39" s="80">
        <f ca="1">Отчетность_по_периодам!BI98</f>
        <v>87756213.325247511</v>
      </c>
      <c r="BJ39" s="80">
        <f ca="1">Отчетность_по_периодам!BJ98</f>
        <v>101693087.8495743</v>
      </c>
      <c r="BK39" s="80">
        <f ca="1">Отчетность_по_периодам!BK98</f>
        <v>94967273.993581697</v>
      </c>
      <c r="BL39" s="80">
        <f ca="1">Отчетность_по_периодам!BL98</f>
        <v>81311249.169512779</v>
      </c>
      <c r="BM39" s="80">
        <f ca="1">Отчетность_по_периодам!BM98</f>
        <v>110002649.13935342</v>
      </c>
      <c r="BN39" s="80">
        <f ca="1">Отчетность_по_периодам!BN98</f>
        <v>89310222.924188897</v>
      </c>
      <c r="BO39" s="80">
        <f ca="1">Отчетность_по_периодам!BO98</f>
        <v>103531220.42752378</v>
      </c>
      <c r="BP39" s="80">
        <f ca="1">Отчетность_по_периодам!BP98</f>
        <v>90174584.380946681</v>
      </c>
      <c r="BQ39" s="80">
        <f ca="1">Отчетность_по_периодам!BQ98</f>
        <v>104181401.42789978</v>
      </c>
      <c r="BR39" s="80">
        <f ca="1">Отчетность_по_периодам!BR98</f>
        <v>97707139.537516743</v>
      </c>
      <c r="BS39" s="80">
        <f ca="1">Отчетность_по_периодам!BS98</f>
        <v>91161216.045361325</v>
      </c>
      <c r="BT39" s="80">
        <f ca="1">Отчетность_по_периодам!BT98</f>
        <v>105533035.42439212</v>
      </c>
      <c r="BU39" s="80">
        <f ca="1">Отчетность_по_периодам!BU98</f>
        <v>91901145.452689767</v>
      </c>
      <c r="BV39" s="80">
        <f ca="1">Отчетность_по_периодам!BV98</f>
        <v>106533504.60771182</v>
      </c>
      <c r="BW39" s="80">
        <f ca="1">Отчетность_по_периодам!BW98</f>
        <v>99590786.157027274</v>
      </c>
      <c r="BX39" s="80">
        <f ca="1">Отчетность_по_периодам!BX98</f>
        <v>77048942.935822695</v>
      </c>
      <c r="BY39" s="80">
        <f ca="1">Отчетность_по_периодам!BY98</f>
        <v>123581005.25629458</v>
      </c>
      <c r="BZ39" s="80">
        <f ca="1">Отчетность_по_периодам!BZ98</f>
        <v>93640272.880785197</v>
      </c>
      <c r="CA39" s="80">
        <f ca="1">Отчетность_по_периодам!CA98</f>
        <v>108571942.45745608</v>
      </c>
      <c r="CB39" s="80">
        <f ca="1">Отчетность_по_периодам!CB98</f>
        <v>94549856.965218306</v>
      </c>
      <c r="CC39" s="80">
        <f ca="1">Отчетность_по_периодам!CC98</f>
        <v>109280898.48095848</v>
      </c>
      <c r="CD39" s="80">
        <f ca="1">Отчетность_по_периодам!CD98</f>
        <v>102484583.74536109</v>
      </c>
      <c r="CE39" s="80">
        <f ca="1">Отчетность_по_периодам!CE98</f>
        <v>95612839.138984859</v>
      </c>
      <c r="CF39" s="80">
        <f ca="1">Отчетность_по_периодам!CF98</f>
        <v>110703508.17204452</v>
      </c>
      <c r="CG39" s="80">
        <f ca="1">Отчетность_по_периодам!CG98</f>
        <v>96391652.975654408</v>
      </c>
      <c r="CH39" s="80">
        <f ca="1">Отчетность_по_периодам!CH98</f>
        <v>111756436.70748574</v>
      </c>
      <c r="CI39" s="80">
        <f ca="1">Отчетность_по_периодам!CI98</f>
        <v>104491713.53280099</v>
      </c>
      <c r="CJ39" s="80">
        <f ca="1">Отчетность_по_периодам!CJ98</f>
        <v>80822767.102738827</v>
      </c>
      <c r="CK39" s="80">
        <f ca="1">Отчетность_по_периодам!CK98</f>
        <v>129680876.3696266</v>
      </c>
    </row>
    <row r="40" spans="2:89">
      <c r="B40" s="77" t="s">
        <v>146</v>
      </c>
      <c r="C40" s="78"/>
      <c r="D40" s="98">
        <f>SUM(F40:CK40)</f>
        <v>-1160000000</v>
      </c>
      <c r="E40" s="79"/>
      <c r="F40" s="80">
        <f>Отчетность_по_периодам!F107</f>
        <v>-65740000.000000007</v>
      </c>
      <c r="G40" s="80">
        <f>Отчетность_по_периодам!G107</f>
        <v>-65740000.000000007</v>
      </c>
      <c r="H40" s="80">
        <f>Отчетность_по_периодам!H107</f>
        <v>-61270000.000000007</v>
      </c>
      <c r="I40" s="80">
        <f>Отчетность_по_периодам!I107</f>
        <v>-148230000</v>
      </c>
      <c r="J40" s="80">
        <f>Отчетность_по_периодам!J107</f>
        <v>-148230000</v>
      </c>
      <c r="K40" s="80">
        <f>Отчетность_по_периодам!K107</f>
        <v>-143900000</v>
      </c>
      <c r="L40" s="80">
        <f>Отчетность_по_периодам!L107</f>
        <v>-94200000</v>
      </c>
      <c r="M40" s="80">
        <f>Отчетность_по_периодам!M107</f>
        <v>-99900000</v>
      </c>
      <c r="N40" s="80">
        <f>Отчетность_по_периодам!N107</f>
        <v>-104400000</v>
      </c>
      <c r="O40" s="80">
        <f>Отчетность_по_периодам!O107</f>
        <v>-67560000</v>
      </c>
      <c r="P40" s="80">
        <f>Отчетность_по_периодам!P107</f>
        <v>-74630000</v>
      </c>
      <c r="Q40" s="80">
        <f>Отчетность_по_периодам!Q107</f>
        <v>-86200000</v>
      </c>
      <c r="R40" s="80">
        <f>Отчетность_по_периодам!R107</f>
        <v>0</v>
      </c>
      <c r="S40" s="80">
        <f>Отчетность_по_периодам!S107</f>
        <v>0</v>
      </c>
      <c r="T40" s="80">
        <f>Отчетность_по_периодам!T107</f>
        <v>0</v>
      </c>
      <c r="U40" s="80">
        <f>Отчетность_по_периодам!U107</f>
        <v>0</v>
      </c>
      <c r="V40" s="80">
        <f>Отчетность_по_периодам!V107</f>
        <v>0</v>
      </c>
      <c r="W40" s="80">
        <f>Отчетность_по_периодам!W107</f>
        <v>0</v>
      </c>
      <c r="X40" s="80">
        <f>Отчетность_по_периодам!X107</f>
        <v>0</v>
      </c>
      <c r="Y40" s="80">
        <f>Отчетность_по_периодам!Y107</f>
        <v>0</v>
      </c>
      <c r="Z40" s="80">
        <f>Отчетность_по_периодам!Z107</f>
        <v>0</v>
      </c>
      <c r="AA40" s="80">
        <f>Отчетность_по_периодам!AA107</f>
        <v>0</v>
      </c>
      <c r="AB40" s="80">
        <f>Отчетность_по_периодам!AB107</f>
        <v>0</v>
      </c>
      <c r="AC40" s="80">
        <f>Отчетность_по_периодам!AC107</f>
        <v>0</v>
      </c>
      <c r="AD40" s="80">
        <f>Отчетность_по_периодам!AD107</f>
        <v>0</v>
      </c>
      <c r="AE40" s="80">
        <f>Отчетность_по_периодам!AE107</f>
        <v>0</v>
      </c>
      <c r="AF40" s="80">
        <f>Отчетность_по_периодам!AF107</f>
        <v>0</v>
      </c>
      <c r="AG40" s="80">
        <f>Отчетность_по_периодам!AG107</f>
        <v>0</v>
      </c>
      <c r="AH40" s="80">
        <f>Отчетность_по_периодам!AH107</f>
        <v>0</v>
      </c>
      <c r="AI40" s="80">
        <f>Отчетность_по_периодам!AI107</f>
        <v>0</v>
      </c>
      <c r="AJ40" s="80">
        <f>Отчетность_по_периодам!AJ107</f>
        <v>0</v>
      </c>
      <c r="AK40" s="80">
        <f>Отчетность_по_периодам!AK107</f>
        <v>0</v>
      </c>
      <c r="AL40" s="80">
        <f>Отчетность_по_периодам!AL107</f>
        <v>0</v>
      </c>
      <c r="AM40" s="80">
        <f>Отчетность_по_периодам!AM107</f>
        <v>0</v>
      </c>
      <c r="AN40" s="80">
        <f>Отчетность_по_периодам!AN107</f>
        <v>0</v>
      </c>
      <c r="AO40" s="80">
        <f>Отчетность_по_периодам!AO107</f>
        <v>0</v>
      </c>
      <c r="AP40" s="80">
        <f>Отчетность_по_периодам!AP107</f>
        <v>0</v>
      </c>
      <c r="AQ40" s="80">
        <f>Отчетность_по_периодам!AQ107</f>
        <v>0</v>
      </c>
      <c r="AR40" s="80">
        <f>Отчетность_по_периодам!AR107</f>
        <v>0</v>
      </c>
      <c r="AS40" s="80">
        <f>Отчетность_по_периодам!AS107</f>
        <v>0</v>
      </c>
      <c r="AT40" s="80">
        <f>Отчетность_по_периодам!AT107</f>
        <v>0</v>
      </c>
      <c r="AU40" s="80">
        <f>Отчетность_по_периодам!AU107</f>
        <v>0</v>
      </c>
      <c r="AV40" s="80">
        <f>Отчетность_по_периодам!AV107</f>
        <v>0</v>
      </c>
      <c r="AW40" s="80">
        <f>Отчетность_по_периодам!AW107</f>
        <v>0</v>
      </c>
      <c r="AX40" s="80">
        <f>Отчетность_по_периодам!AX107</f>
        <v>0</v>
      </c>
      <c r="AY40" s="80">
        <f>Отчетность_по_периодам!AY107</f>
        <v>0</v>
      </c>
      <c r="AZ40" s="80">
        <f>Отчетность_по_периодам!AZ107</f>
        <v>0</v>
      </c>
      <c r="BA40" s="80">
        <f>Отчетность_по_периодам!BA107</f>
        <v>0</v>
      </c>
      <c r="BB40" s="80">
        <f>Отчетность_по_периодам!BB107</f>
        <v>0</v>
      </c>
      <c r="BC40" s="80">
        <f>Отчетность_по_периодам!BC107</f>
        <v>0</v>
      </c>
      <c r="BD40" s="80">
        <f>Отчетность_по_периодам!BD107</f>
        <v>0</v>
      </c>
      <c r="BE40" s="80">
        <f>Отчетность_по_периодам!BE107</f>
        <v>0</v>
      </c>
      <c r="BF40" s="80">
        <f>Отчетность_по_периодам!BF107</f>
        <v>0</v>
      </c>
      <c r="BG40" s="80">
        <f>Отчетность_по_периодам!BG107</f>
        <v>0</v>
      </c>
      <c r="BH40" s="80">
        <f>Отчетность_по_периодам!BH107</f>
        <v>0</v>
      </c>
      <c r="BI40" s="80">
        <f>Отчетность_по_периодам!BI107</f>
        <v>0</v>
      </c>
      <c r="BJ40" s="80">
        <f>Отчетность_по_периодам!BJ107</f>
        <v>0</v>
      </c>
      <c r="BK40" s="80">
        <f>Отчетность_по_периодам!BK107</f>
        <v>0</v>
      </c>
      <c r="BL40" s="80">
        <f>Отчетность_по_периодам!BL107</f>
        <v>0</v>
      </c>
      <c r="BM40" s="80">
        <f>Отчетность_по_периодам!BM107</f>
        <v>0</v>
      </c>
      <c r="BN40" s="80">
        <f>Отчетность_по_периодам!BN107</f>
        <v>0</v>
      </c>
      <c r="BO40" s="80">
        <f>Отчетность_по_периодам!BO107</f>
        <v>0</v>
      </c>
      <c r="BP40" s="80">
        <f>Отчетность_по_периодам!BP107</f>
        <v>0</v>
      </c>
      <c r="BQ40" s="80">
        <f>Отчетность_по_периодам!BQ107</f>
        <v>0</v>
      </c>
      <c r="BR40" s="80">
        <f>Отчетность_по_периодам!BR107</f>
        <v>0</v>
      </c>
      <c r="BS40" s="80">
        <f>Отчетность_по_периодам!BS107</f>
        <v>0</v>
      </c>
      <c r="BT40" s="80">
        <f>Отчетность_по_периодам!BT107</f>
        <v>0</v>
      </c>
      <c r="BU40" s="80">
        <f>Отчетность_по_периодам!BU107</f>
        <v>0</v>
      </c>
      <c r="BV40" s="80">
        <f>Отчетность_по_периодам!BV107</f>
        <v>0</v>
      </c>
      <c r="BW40" s="80">
        <f>Отчетность_по_периодам!BW107</f>
        <v>0</v>
      </c>
      <c r="BX40" s="80">
        <f>Отчетность_по_периодам!BX107</f>
        <v>0</v>
      </c>
      <c r="BY40" s="80">
        <f>Отчетность_по_периодам!BY107</f>
        <v>0</v>
      </c>
      <c r="BZ40" s="80">
        <f>Отчетность_по_периодам!BZ107</f>
        <v>0</v>
      </c>
      <c r="CA40" s="80">
        <f>Отчетность_по_периодам!CA107</f>
        <v>0</v>
      </c>
      <c r="CB40" s="80">
        <f>Отчетность_по_периодам!CB107</f>
        <v>0</v>
      </c>
      <c r="CC40" s="80">
        <f>Отчетность_по_периодам!CC107</f>
        <v>0</v>
      </c>
      <c r="CD40" s="80">
        <f>Отчетность_по_периодам!CD107</f>
        <v>0</v>
      </c>
      <c r="CE40" s="80">
        <f>Отчетность_по_периодам!CE107</f>
        <v>0</v>
      </c>
      <c r="CF40" s="80">
        <f>Отчетность_по_периодам!CF107</f>
        <v>0</v>
      </c>
      <c r="CG40" s="80">
        <f>Отчетность_по_периодам!CG107</f>
        <v>0</v>
      </c>
      <c r="CH40" s="80">
        <f>Отчетность_по_периодам!CH107</f>
        <v>0</v>
      </c>
      <c r="CI40" s="80">
        <f>Отчетность_по_периодам!CI107</f>
        <v>0</v>
      </c>
      <c r="CJ40" s="80">
        <f>Отчетность_по_периодам!CJ107</f>
        <v>0</v>
      </c>
      <c r="CK40" s="80">
        <f>Отчетность_по_периодам!CK107</f>
        <v>0</v>
      </c>
    </row>
    <row r="41" spans="2:89" ht="15.75" thickBot="1">
      <c r="B41" s="45" t="s">
        <v>147</v>
      </c>
      <c r="C41" s="46"/>
      <c r="D41" s="47">
        <f ca="1">SUM(F41:CK41)</f>
        <v>7900196798.7041531</v>
      </c>
      <c r="E41" s="48"/>
      <c r="F41" s="49">
        <f ca="1">F107</f>
        <v>0</v>
      </c>
      <c r="G41" s="49">
        <f t="shared" ref="G41:AG41" ca="1" si="0">G107</f>
        <v>0</v>
      </c>
      <c r="H41" s="49">
        <f t="shared" ca="1" si="0"/>
        <v>0</v>
      </c>
      <c r="I41" s="49">
        <f t="shared" ca="1" si="0"/>
        <v>0</v>
      </c>
      <c r="J41" s="49">
        <f t="shared" ca="1" si="0"/>
        <v>0</v>
      </c>
      <c r="K41" s="49">
        <f t="shared" ca="1" si="0"/>
        <v>0</v>
      </c>
      <c r="L41" s="49">
        <f t="shared" ca="1" si="0"/>
        <v>0</v>
      </c>
      <c r="M41" s="49">
        <f t="shared" ca="1" si="0"/>
        <v>0</v>
      </c>
      <c r="N41" s="49">
        <f t="shared" ca="1" si="0"/>
        <v>0</v>
      </c>
      <c r="O41" s="49">
        <f t="shared" ca="1" si="0"/>
        <v>0</v>
      </c>
      <c r="P41" s="49">
        <f t="shared" ca="1" si="0"/>
        <v>0</v>
      </c>
      <c r="Q41" s="49">
        <f t="shared" ca="1" si="0"/>
        <v>0</v>
      </c>
      <c r="R41" s="49">
        <f t="shared" ca="1" si="0"/>
        <v>0</v>
      </c>
      <c r="S41" s="49">
        <f t="shared" ca="1" si="0"/>
        <v>0</v>
      </c>
      <c r="T41" s="49">
        <f t="shared" ca="1" si="0"/>
        <v>0</v>
      </c>
      <c r="U41" s="49">
        <f t="shared" ca="1" si="0"/>
        <v>0</v>
      </c>
      <c r="V41" s="49">
        <f t="shared" ca="1" si="0"/>
        <v>0</v>
      </c>
      <c r="W41" s="49">
        <f t="shared" ca="1" si="0"/>
        <v>0</v>
      </c>
      <c r="X41" s="49">
        <f t="shared" ca="1" si="0"/>
        <v>0</v>
      </c>
      <c r="Y41" s="49">
        <f t="shared" ca="1" si="0"/>
        <v>0</v>
      </c>
      <c r="Z41" s="49">
        <f t="shared" ca="1" si="0"/>
        <v>0</v>
      </c>
      <c r="AA41" s="49">
        <f t="shared" ca="1" si="0"/>
        <v>0</v>
      </c>
      <c r="AB41" s="49">
        <f t="shared" ca="1" si="0"/>
        <v>0</v>
      </c>
      <c r="AC41" s="49">
        <f t="shared" ca="1" si="0"/>
        <v>0</v>
      </c>
      <c r="AD41" s="49">
        <f t="shared" ca="1" si="0"/>
        <v>0</v>
      </c>
      <c r="AE41" s="49">
        <f t="shared" ca="1" si="0"/>
        <v>0</v>
      </c>
      <c r="AF41" s="49">
        <f t="shared" ca="1" si="0"/>
        <v>0</v>
      </c>
      <c r="AG41" s="49">
        <f t="shared" ca="1" si="0"/>
        <v>0</v>
      </c>
      <c r="AH41" s="49">
        <f t="shared" ref="AH41:BM41" ca="1" si="1">AH107</f>
        <v>0</v>
      </c>
      <c r="AI41" s="49">
        <f t="shared" ca="1" si="1"/>
        <v>0</v>
      </c>
      <c r="AJ41" s="49">
        <f t="shared" ca="1" si="1"/>
        <v>0</v>
      </c>
      <c r="AK41" s="49">
        <f t="shared" ca="1" si="1"/>
        <v>0</v>
      </c>
      <c r="AL41" s="49">
        <f t="shared" ca="1" si="1"/>
        <v>0</v>
      </c>
      <c r="AM41" s="49">
        <f t="shared" ca="1" si="1"/>
        <v>0</v>
      </c>
      <c r="AN41" s="49">
        <f t="shared" ca="1" si="1"/>
        <v>0</v>
      </c>
      <c r="AO41" s="49">
        <f t="shared" ca="1" si="1"/>
        <v>0</v>
      </c>
      <c r="AP41" s="49">
        <f t="shared" ca="1" si="1"/>
        <v>0</v>
      </c>
      <c r="AQ41" s="49">
        <f t="shared" ca="1" si="1"/>
        <v>0</v>
      </c>
      <c r="AR41" s="49">
        <f t="shared" ca="1" si="1"/>
        <v>0</v>
      </c>
      <c r="AS41" s="49">
        <f t="shared" ca="1" si="1"/>
        <v>0</v>
      </c>
      <c r="AT41" s="49">
        <f t="shared" ca="1" si="1"/>
        <v>0</v>
      </c>
      <c r="AU41" s="49">
        <f t="shared" ca="1" si="1"/>
        <v>0</v>
      </c>
      <c r="AV41" s="49">
        <f t="shared" ca="1" si="1"/>
        <v>0</v>
      </c>
      <c r="AW41" s="49">
        <f t="shared" ca="1" si="1"/>
        <v>0</v>
      </c>
      <c r="AX41" s="49">
        <f t="shared" ca="1" si="1"/>
        <v>0</v>
      </c>
      <c r="AY41" s="49">
        <f t="shared" ca="1" si="1"/>
        <v>0</v>
      </c>
      <c r="AZ41" s="49">
        <f t="shared" ca="1" si="1"/>
        <v>0</v>
      </c>
      <c r="BA41" s="49">
        <f t="shared" ca="1" si="1"/>
        <v>0</v>
      </c>
      <c r="BB41" s="49">
        <f t="shared" ca="1" si="1"/>
        <v>0</v>
      </c>
      <c r="BC41" s="49">
        <f t="shared" ca="1" si="1"/>
        <v>0</v>
      </c>
      <c r="BD41" s="49">
        <f t="shared" ca="1" si="1"/>
        <v>0</v>
      </c>
      <c r="BE41" s="49">
        <f t="shared" ca="1" si="1"/>
        <v>0</v>
      </c>
      <c r="BF41" s="49">
        <f t="shared" ca="1" si="1"/>
        <v>0</v>
      </c>
      <c r="BG41" s="49">
        <f t="shared" ca="1" si="1"/>
        <v>0</v>
      </c>
      <c r="BH41" s="49">
        <f t="shared" ca="1" si="1"/>
        <v>0</v>
      </c>
      <c r="BI41" s="49">
        <f t="shared" ca="1" si="1"/>
        <v>0</v>
      </c>
      <c r="BJ41" s="49">
        <f t="shared" ca="1" si="1"/>
        <v>0</v>
      </c>
      <c r="BK41" s="49">
        <f t="shared" ca="1" si="1"/>
        <v>0</v>
      </c>
      <c r="BL41" s="49">
        <f t="shared" ca="1" si="1"/>
        <v>0</v>
      </c>
      <c r="BM41" s="49">
        <f t="shared" ca="1" si="1"/>
        <v>0</v>
      </c>
      <c r="BN41" s="49">
        <f t="shared" ref="BN41:CK41" ca="1" si="2">BN107</f>
        <v>0</v>
      </c>
      <c r="BO41" s="49">
        <f t="shared" ca="1" si="2"/>
        <v>0</v>
      </c>
      <c r="BP41" s="49">
        <f t="shared" ca="1" si="2"/>
        <v>0</v>
      </c>
      <c r="BQ41" s="49">
        <f t="shared" ca="1" si="2"/>
        <v>0</v>
      </c>
      <c r="BR41" s="49">
        <f t="shared" ca="1" si="2"/>
        <v>0</v>
      </c>
      <c r="BS41" s="49">
        <f t="shared" ca="1" si="2"/>
        <v>0</v>
      </c>
      <c r="BT41" s="49">
        <f t="shared" ca="1" si="2"/>
        <v>0</v>
      </c>
      <c r="BU41" s="49">
        <f t="shared" ca="1" si="2"/>
        <v>0</v>
      </c>
      <c r="BV41" s="49">
        <f t="shared" ca="1" si="2"/>
        <v>0</v>
      </c>
      <c r="BW41" s="49">
        <f t="shared" ca="1" si="2"/>
        <v>0</v>
      </c>
      <c r="BX41" s="49">
        <f t="shared" ca="1" si="2"/>
        <v>0</v>
      </c>
      <c r="BY41" s="49">
        <f t="shared" ca="1" si="2"/>
        <v>0</v>
      </c>
      <c r="BZ41" s="49">
        <f t="shared" ca="1" si="2"/>
        <v>0</v>
      </c>
      <c r="CA41" s="49">
        <f t="shared" ca="1" si="2"/>
        <v>0</v>
      </c>
      <c r="CB41" s="49">
        <f t="shared" ca="1" si="2"/>
        <v>0</v>
      </c>
      <c r="CC41" s="49">
        <f t="shared" ca="1" si="2"/>
        <v>0</v>
      </c>
      <c r="CD41" s="49">
        <f t="shared" ca="1" si="2"/>
        <v>0</v>
      </c>
      <c r="CE41" s="49">
        <f t="shared" ca="1" si="2"/>
        <v>0</v>
      </c>
      <c r="CF41" s="49">
        <f t="shared" ca="1" si="2"/>
        <v>0</v>
      </c>
      <c r="CG41" s="49">
        <f t="shared" ca="1" si="2"/>
        <v>0</v>
      </c>
      <c r="CH41" s="49">
        <f t="shared" ca="1" si="2"/>
        <v>0</v>
      </c>
      <c r="CI41" s="49">
        <f t="shared" ca="1" si="2"/>
        <v>0</v>
      </c>
      <c r="CJ41" s="49">
        <f t="shared" ca="1" si="2"/>
        <v>0</v>
      </c>
      <c r="CK41" s="49">
        <f t="shared" ca="1" si="2"/>
        <v>7900196798.7041531</v>
      </c>
    </row>
    <row r="42" spans="2:89" ht="15.75" thickTop="1">
      <c r="B42" s="50" t="s">
        <v>50</v>
      </c>
      <c r="C42" s="51"/>
      <c r="D42" s="52">
        <f ca="1">SUM(D39:D41)</f>
        <v>11812900146.040365</v>
      </c>
      <c r="E42" s="53"/>
      <c r="F42" s="54">
        <f ca="1">SUM(F39:F41)</f>
        <v>-65740000.000000007</v>
      </c>
      <c r="G42" s="54">
        <f t="shared" ref="G42:AG42" ca="1" si="3">SUM(G39:G41)</f>
        <v>-65740000.000000007</v>
      </c>
      <c r="H42" s="54">
        <f t="shared" ca="1" si="3"/>
        <v>-61270000.000000007</v>
      </c>
      <c r="I42" s="54">
        <f t="shared" ca="1" si="3"/>
        <v>-148230000</v>
      </c>
      <c r="J42" s="54">
        <f t="shared" ca="1" si="3"/>
        <v>-148230000</v>
      </c>
      <c r="K42" s="54">
        <f t="shared" ca="1" si="3"/>
        <v>-143900000</v>
      </c>
      <c r="L42" s="54">
        <f t="shared" ca="1" si="3"/>
        <v>-94200000</v>
      </c>
      <c r="M42" s="54">
        <f t="shared" ca="1" si="3"/>
        <v>-99900000</v>
      </c>
      <c r="N42" s="54">
        <f t="shared" ca="1" si="3"/>
        <v>-104400000</v>
      </c>
      <c r="O42" s="54">
        <f t="shared" ca="1" si="3"/>
        <v>-67560000</v>
      </c>
      <c r="P42" s="54">
        <f t="shared" ca="1" si="3"/>
        <v>-74630000</v>
      </c>
      <c r="Q42" s="54">
        <f t="shared" ca="1" si="3"/>
        <v>-87230062.675241157</v>
      </c>
      <c r="R42" s="54">
        <f t="shared" ca="1" si="3"/>
        <v>51372700.024010994</v>
      </c>
      <c r="S42" s="54">
        <f t="shared" ca="1" si="3"/>
        <v>25556252.968714036</v>
      </c>
      <c r="T42" s="54">
        <f t="shared" ca="1" si="3"/>
        <v>20342001.908056237</v>
      </c>
      <c r="U42" s="54">
        <f t="shared" ca="1" si="3"/>
        <v>20694696.763543017</v>
      </c>
      <c r="V42" s="54">
        <f t="shared" ca="1" si="3"/>
        <v>18122461.849501472</v>
      </c>
      <c r="W42" s="54">
        <f t="shared" ca="1" si="3"/>
        <v>15524859.04286433</v>
      </c>
      <c r="X42" s="54">
        <f t="shared" ca="1" si="3"/>
        <v>21050675.337103322</v>
      </c>
      <c r="Y42" s="54">
        <f t="shared" ca="1" si="3"/>
        <v>15728976.729470951</v>
      </c>
      <c r="Z42" s="54">
        <f t="shared" ca="1" si="3"/>
        <v>21267755.662836097</v>
      </c>
      <c r="AA42" s="54">
        <f t="shared" ca="1" si="3"/>
        <v>18673492.093337081</v>
      </c>
      <c r="AB42" s="54">
        <f t="shared" ca="1" si="3"/>
        <v>9931227.3595089186</v>
      </c>
      <c r="AC42" s="54">
        <f t="shared" ca="1" si="3"/>
        <v>27729621.951419506</v>
      </c>
      <c r="AD42" s="54">
        <f t="shared" ca="1" si="3"/>
        <v>15118661.995004714</v>
      </c>
      <c r="AE42" s="54">
        <f t="shared" ca="1" si="3"/>
        <v>28202944.478607804</v>
      </c>
      <c r="AF42" s="54">
        <f t="shared" ca="1" si="3"/>
        <v>23130121.000382647</v>
      </c>
      <c r="AG42" s="54">
        <f t="shared" ca="1" si="3"/>
        <v>30164785.601121936</v>
      </c>
      <c r="AH42" s="54">
        <f t="shared" ref="AH42:BM42" ca="1" si="4">SUM(AH39:AH41)</f>
        <v>28591227.518060483</v>
      </c>
      <c r="AI42" s="54">
        <f t="shared" ca="1" si="4"/>
        <v>27013461.656634618</v>
      </c>
      <c r="AJ42" s="54">
        <f t="shared" ca="1" si="4"/>
        <v>36042924.731466047</v>
      </c>
      <c r="AK42" s="54">
        <f t="shared" ca="1" si="4"/>
        <v>31301764.329477888</v>
      </c>
      <c r="AL42" s="54">
        <f t="shared" ca="1" si="4"/>
        <v>42424514.95293282</v>
      </c>
      <c r="AM42" s="54">
        <f t="shared" ca="1" si="4"/>
        <v>40590790.798295259</v>
      </c>
      <c r="AN42" s="54">
        <f t="shared" ca="1" si="4"/>
        <v>30553883.572735876</v>
      </c>
      <c r="AO42" s="54">
        <f t="shared" ca="1" si="4"/>
        <v>65276165.925659351</v>
      </c>
      <c r="AP42" s="54">
        <f t="shared" ca="1" si="4"/>
        <v>52637306.673793353</v>
      </c>
      <c r="AQ42" s="54">
        <f t="shared" ca="1" si="4"/>
        <v>65167675.698310554</v>
      </c>
      <c r="AR42" s="54">
        <f t="shared" ca="1" si="4"/>
        <v>57533459.600628182</v>
      </c>
      <c r="AS42" s="54">
        <f t="shared" ca="1" si="4"/>
        <v>68289650.701986283</v>
      </c>
      <c r="AT42" s="54">
        <f t="shared" ca="1" si="4"/>
        <v>66034301.561717801</v>
      </c>
      <c r="AU42" s="54">
        <f t="shared" ca="1" si="4"/>
        <v>63621627.204312533</v>
      </c>
      <c r="AV42" s="54">
        <f t="shared" ca="1" si="4"/>
        <v>77304742.391920924</v>
      </c>
      <c r="AW42" s="54">
        <f t="shared" ca="1" si="4"/>
        <v>69404889.546474054</v>
      </c>
      <c r="AX42" s="54">
        <f t="shared" ca="1" si="4"/>
        <v>84880878.720417023</v>
      </c>
      <c r="AY42" s="54">
        <f t="shared" ca="1" si="4"/>
        <v>80937142.223391235</v>
      </c>
      <c r="AZ42" s="54">
        <f t="shared" ca="1" si="4"/>
        <v>64865939.18623969</v>
      </c>
      <c r="BA42" s="54">
        <f t="shared" ca="1" si="4"/>
        <v>109825505.49820565</v>
      </c>
      <c r="BB42" s="54">
        <f t="shared" ca="1" si="4"/>
        <v>86655838.559317887</v>
      </c>
      <c r="BC42" s="54">
        <f t="shared" ca="1" si="4"/>
        <v>100199841.65257075</v>
      </c>
      <c r="BD42" s="54">
        <f t="shared" ca="1" si="4"/>
        <v>87481558.053787678</v>
      </c>
      <c r="BE42" s="54">
        <f t="shared" ca="1" si="4"/>
        <v>99446242.039511412</v>
      </c>
      <c r="BF42" s="54">
        <f t="shared" ca="1" si="4"/>
        <v>93282058.730710268</v>
      </c>
      <c r="BG42" s="54">
        <f t="shared" ca="1" si="4"/>
        <v>87049437.780063286</v>
      </c>
      <c r="BH42" s="54">
        <f t="shared" ca="1" si="4"/>
        <v>100737319.35358956</v>
      </c>
      <c r="BI42" s="54">
        <f t="shared" ca="1" si="4"/>
        <v>87756213.325247511</v>
      </c>
      <c r="BJ42" s="54">
        <f t="shared" ca="1" si="4"/>
        <v>101693087.8495743</v>
      </c>
      <c r="BK42" s="54">
        <f t="shared" ca="1" si="4"/>
        <v>94967273.993581697</v>
      </c>
      <c r="BL42" s="54">
        <f t="shared" ca="1" si="4"/>
        <v>81311249.169512779</v>
      </c>
      <c r="BM42" s="54">
        <f t="shared" ca="1" si="4"/>
        <v>110002649.13935342</v>
      </c>
      <c r="BN42" s="54">
        <f t="shared" ref="BN42:CK42" ca="1" si="5">SUM(BN39:BN41)</f>
        <v>89310222.924188897</v>
      </c>
      <c r="BO42" s="54">
        <f t="shared" ca="1" si="5"/>
        <v>103531220.42752378</v>
      </c>
      <c r="BP42" s="54">
        <f t="shared" ca="1" si="5"/>
        <v>90174584.380946681</v>
      </c>
      <c r="BQ42" s="54">
        <f t="shared" ca="1" si="5"/>
        <v>104181401.42789978</v>
      </c>
      <c r="BR42" s="54">
        <f t="shared" ca="1" si="5"/>
        <v>97707139.537516743</v>
      </c>
      <c r="BS42" s="54">
        <f t="shared" ca="1" si="5"/>
        <v>91161216.045361325</v>
      </c>
      <c r="BT42" s="54">
        <f t="shared" ca="1" si="5"/>
        <v>105533035.42439212</v>
      </c>
      <c r="BU42" s="54">
        <f t="shared" ca="1" si="5"/>
        <v>91901145.452689767</v>
      </c>
      <c r="BV42" s="54">
        <f t="shared" ca="1" si="5"/>
        <v>106533504.60771182</v>
      </c>
      <c r="BW42" s="54">
        <f t="shared" ca="1" si="5"/>
        <v>99590786.157027274</v>
      </c>
      <c r="BX42" s="54">
        <f t="shared" ca="1" si="5"/>
        <v>77048942.935822695</v>
      </c>
      <c r="BY42" s="54">
        <f t="shared" ca="1" si="5"/>
        <v>123581005.25629458</v>
      </c>
      <c r="BZ42" s="54">
        <f t="shared" ca="1" si="5"/>
        <v>93640272.880785197</v>
      </c>
      <c r="CA42" s="54">
        <f t="shared" ca="1" si="5"/>
        <v>108571942.45745608</v>
      </c>
      <c r="CB42" s="54">
        <f t="shared" ca="1" si="5"/>
        <v>94549856.965218306</v>
      </c>
      <c r="CC42" s="54">
        <f t="shared" ca="1" si="5"/>
        <v>109280898.48095848</v>
      </c>
      <c r="CD42" s="54">
        <f t="shared" ca="1" si="5"/>
        <v>102484583.74536109</v>
      </c>
      <c r="CE42" s="54">
        <f t="shared" ca="1" si="5"/>
        <v>95612839.138984859</v>
      </c>
      <c r="CF42" s="54">
        <f t="shared" ca="1" si="5"/>
        <v>110703508.17204452</v>
      </c>
      <c r="CG42" s="54">
        <f t="shared" ca="1" si="5"/>
        <v>96391652.975654408</v>
      </c>
      <c r="CH42" s="54">
        <f t="shared" ca="1" si="5"/>
        <v>111756436.70748574</v>
      </c>
      <c r="CI42" s="54">
        <f t="shared" ca="1" si="5"/>
        <v>104491713.53280099</v>
      </c>
      <c r="CJ42" s="54">
        <f t="shared" ca="1" si="5"/>
        <v>80822767.102738827</v>
      </c>
      <c r="CK42" s="54">
        <f t="shared" ca="1" si="5"/>
        <v>8029877675.0737801</v>
      </c>
    </row>
    <row r="43" spans="2:89" ht="15.75" thickBot="1">
      <c r="B43" s="112" t="s">
        <v>539</v>
      </c>
      <c r="C43" s="113"/>
      <c r="D43" s="114">
        <f ca="1">SUM(D42)</f>
        <v>11812900146.040365</v>
      </c>
      <c r="E43" s="115"/>
      <c r="F43" s="116">
        <f ca="1">E43+F42</f>
        <v>-65740000.000000007</v>
      </c>
      <c r="G43" s="116">
        <f t="shared" ref="G43:AG43" ca="1" si="6">F43+G42</f>
        <v>-131480000.00000001</v>
      </c>
      <c r="H43" s="116">
        <f t="shared" ca="1" si="6"/>
        <v>-192750000.00000003</v>
      </c>
      <c r="I43" s="116">
        <f t="shared" ca="1" si="6"/>
        <v>-340980000</v>
      </c>
      <c r="J43" s="116">
        <f t="shared" ca="1" si="6"/>
        <v>-489210000</v>
      </c>
      <c r="K43" s="116">
        <f t="shared" ca="1" si="6"/>
        <v>-633110000</v>
      </c>
      <c r="L43" s="116">
        <f t="shared" ca="1" si="6"/>
        <v>-727310000</v>
      </c>
      <c r="M43" s="116">
        <f t="shared" ca="1" si="6"/>
        <v>-827210000</v>
      </c>
      <c r="N43" s="116">
        <f t="shared" ca="1" si="6"/>
        <v>-931610000</v>
      </c>
      <c r="O43" s="116">
        <f t="shared" ca="1" si="6"/>
        <v>-999170000</v>
      </c>
      <c r="P43" s="116">
        <f t="shared" ca="1" si="6"/>
        <v>-1073800000</v>
      </c>
      <c r="Q43" s="116">
        <f t="shared" ca="1" si="6"/>
        <v>-1161030062.6752412</v>
      </c>
      <c r="R43" s="116">
        <f t="shared" ca="1" si="6"/>
        <v>-1109657362.6512303</v>
      </c>
      <c r="S43" s="116">
        <f t="shared" ca="1" si="6"/>
        <v>-1084101109.6825163</v>
      </c>
      <c r="T43" s="116">
        <f t="shared" ca="1" si="6"/>
        <v>-1063759107.7744601</v>
      </c>
      <c r="U43" s="116">
        <f t="shared" ca="1" si="6"/>
        <v>-1043064411.0109171</v>
      </c>
      <c r="V43" s="116">
        <f t="shared" ca="1" si="6"/>
        <v>-1024941949.1614156</v>
      </c>
      <c r="W43" s="116">
        <f t="shared" ca="1" si="6"/>
        <v>-1009417090.1185513</v>
      </c>
      <c r="X43" s="116">
        <f t="shared" ca="1" si="6"/>
        <v>-988366414.78144789</v>
      </c>
      <c r="Y43" s="116">
        <f t="shared" ca="1" si="6"/>
        <v>-972637438.05197692</v>
      </c>
      <c r="Z43" s="116">
        <f t="shared" ca="1" si="6"/>
        <v>-951369682.38914084</v>
      </c>
      <c r="AA43" s="116">
        <f t="shared" ca="1" si="6"/>
        <v>-932696190.29580379</v>
      </c>
      <c r="AB43" s="116">
        <f t="shared" ca="1" si="6"/>
        <v>-922764962.93629491</v>
      </c>
      <c r="AC43" s="116">
        <f t="shared" ca="1" si="6"/>
        <v>-895035340.98487544</v>
      </c>
      <c r="AD43" s="116">
        <f t="shared" ca="1" si="6"/>
        <v>-879916678.98987079</v>
      </c>
      <c r="AE43" s="116">
        <f t="shared" ca="1" si="6"/>
        <v>-851713734.51126301</v>
      </c>
      <c r="AF43" s="116">
        <f t="shared" ca="1" si="6"/>
        <v>-828583613.51088035</v>
      </c>
      <c r="AG43" s="116">
        <f t="shared" ca="1" si="6"/>
        <v>-798418827.90975845</v>
      </c>
      <c r="AH43" s="116">
        <f t="shared" ref="AH43:BM43" ca="1" si="7">AG43+AH42</f>
        <v>-769827600.391698</v>
      </c>
      <c r="AI43" s="116">
        <f t="shared" ca="1" si="7"/>
        <v>-742814138.73506343</v>
      </c>
      <c r="AJ43" s="116">
        <f t="shared" ca="1" si="7"/>
        <v>-706771214.00359738</v>
      </c>
      <c r="AK43" s="116">
        <f t="shared" ca="1" si="7"/>
        <v>-675469449.67411947</v>
      </c>
      <c r="AL43" s="116">
        <f t="shared" ca="1" si="7"/>
        <v>-633044934.72118664</v>
      </c>
      <c r="AM43" s="116">
        <f t="shared" ca="1" si="7"/>
        <v>-592454143.92289138</v>
      </c>
      <c r="AN43" s="116">
        <f t="shared" ca="1" si="7"/>
        <v>-561900260.35015547</v>
      </c>
      <c r="AO43" s="116">
        <f t="shared" ca="1" si="7"/>
        <v>-496624094.42449611</v>
      </c>
      <c r="AP43" s="116">
        <f t="shared" ca="1" si="7"/>
        <v>-443986787.75070274</v>
      </c>
      <c r="AQ43" s="116">
        <f t="shared" ca="1" si="7"/>
        <v>-378819112.05239218</v>
      </c>
      <c r="AR43" s="116">
        <f t="shared" ca="1" si="7"/>
        <v>-321285652.45176399</v>
      </c>
      <c r="AS43" s="116">
        <f t="shared" ca="1" si="7"/>
        <v>-252996001.7497777</v>
      </c>
      <c r="AT43" s="116">
        <f t="shared" ca="1" si="7"/>
        <v>-186961700.1880599</v>
      </c>
      <c r="AU43" s="116">
        <f t="shared" ca="1" si="7"/>
        <v>-123340072.98374736</v>
      </c>
      <c r="AV43" s="116">
        <f t="shared" ca="1" si="7"/>
        <v>-46035330.591826439</v>
      </c>
      <c r="AW43" s="116">
        <f t="shared" ca="1" si="7"/>
        <v>23369558.954647616</v>
      </c>
      <c r="AX43" s="116">
        <f t="shared" ca="1" si="7"/>
        <v>108250437.67506464</v>
      </c>
      <c r="AY43" s="116">
        <f t="shared" ca="1" si="7"/>
        <v>189187579.89845586</v>
      </c>
      <c r="AZ43" s="116">
        <f t="shared" ca="1" si="7"/>
        <v>254053519.08469555</v>
      </c>
      <c r="BA43" s="116">
        <f t="shared" ca="1" si="7"/>
        <v>363879024.58290118</v>
      </c>
      <c r="BB43" s="116">
        <f t="shared" ca="1" si="7"/>
        <v>450534863.14221907</v>
      </c>
      <c r="BC43" s="116">
        <f t="shared" ca="1" si="7"/>
        <v>550734704.79478979</v>
      </c>
      <c r="BD43" s="116">
        <f t="shared" ca="1" si="7"/>
        <v>638216262.8485775</v>
      </c>
      <c r="BE43" s="116">
        <f t="shared" ca="1" si="7"/>
        <v>737662504.88808894</v>
      </c>
      <c r="BF43" s="116">
        <f t="shared" ca="1" si="7"/>
        <v>830944563.61879921</v>
      </c>
      <c r="BG43" s="116">
        <f t="shared" ca="1" si="7"/>
        <v>917994001.39886248</v>
      </c>
      <c r="BH43" s="116">
        <f t="shared" ca="1" si="7"/>
        <v>1018731320.752452</v>
      </c>
      <c r="BI43" s="116">
        <f t="shared" ca="1" si="7"/>
        <v>1106487534.0776994</v>
      </c>
      <c r="BJ43" s="116">
        <f t="shared" ca="1" si="7"/>
        <v>1208180621.9272738</v>
      </c>
      <c r="BK43" s="116">
        <f t="shared" ca="1" si="7"/>
        <v>1303147895.9208555</v>
      </c>
      <c r="BL43" s="116">
        <f t="shared" ca="1" si="7"/>
        <v>1384459145.0903683</v>
      </c>
      <c r="BM43" s="116">
        <f t="shared" ca="1" si="7"/>
        <v>1494461794.2297218</v>
      </c>
      <c r="BN43" s="116">
        <f t="shared" ref="BN43" ca="1" si="8">BM43+BN42</f>
        <v>1583772017.1539106</v>
      </c>
      <c r="BO43" s="116">
        <f t="shared" ref="BO43" ca="1" si="9">BN43+BO42</f>
        <v>1687303237.5814345</v>
      </c>
      <c r="BP43" s="116">
        <f t="shared" ref="BP43" ca="1" si="10">BO43+BP42</f>
        <v>1777477821.9623811</v>
      </c>
      <c r="BQ43" s="116">
        <f t="shared" ref="BQ43" ca="1" si="11">BP43+BQ42</f>
        <v>1881659223.390281</v>
      </c>
      <c r="BR43" s="116">
        <f t="shared" ref="BR43" ca="1" si="12">BQ43+BR42</f>
        <v>1979366362.9277978</v>
      </c>
      <c r="BS43" s="116">
        <f t="shared" ref="BS43" ca="1" si="13">BR43+BS42</f>
        <v>2070527578.9731591</v>
      </c>
      <c r="BT43" s="116">
        <f t="shared" ref="BT43" ca="1" si="14">BS43+BT42</f>
        <v>2176060614.3975511</v>
      </c>
      <c r="BU43" s="116">
        <f t="shared" ref="BU43" ca="1" si="15">BT43+BU42</f>
        <v>2267961759.8502407</v>
      </c>
      <c r="BV43" s="116">
        <f t="shared" ref="BV43" ca="1" si="16">BU43+BV42</f>
        <v>2374495264.4579525</v>
      </c>
      <c r="BW43" s="116">
        <f t="shared" ref="BW43" ca="1" si="17">BV43+BW42</f>
        <v>2474086050.6149797</v>
      </c>
      <c r="BX43" s="116">
        <f t="shared" ref="BX43" ca="1" si="18">BW43+BX42</f>
        <v>2551134993.5508022</v>
      </c>
      <c r="BY43" s="116">
        <f t="shared" ref="BY43" ca="1" si="19">BX43+BY42</f>
        <v>2674715998.807097</v>
      </c>
      <c r="BZ43" s="116">
        <f t="shared" ref="BZ43" ca="1" si="20">BY43+BZ42</f>
        <v>2768356271.6878819</v>
      </c>
      <c r="CA43" s="116">
        <f t="shared" ref="CA43" ca="1" si="21">BZ43+CA42</f>
        <v>2876928214.1453381</v>
      </c>
      <c r="CB43" s="116">
        <f t="shared" ref="CB43" ca="1" si="22">CA43+CB42</f>
        <v>2971478071.1105566</v>
      </c>
      <c r="CC43" s="116">
        <f t="shared" ref="CC43" ca="1" si="23">CB43+CC42</f>
        <v>3080758969.5915151</v>
      </c>
      <c r="CD43" s="116">
        <f t="shared" ref="CD43" ca="1" si="24">CC43+CD42</f>
        <v>3183243553.3368759</v>
      </c>
      <c r="CE43" s="116">
        <f t="shared" ref="CE43" ca="1" si="25">CD43+CE42</f>
        <v>3278856392.4758606</v>
      </c>
      <c r="CF43" s="116">
        <f t="shared" ref="CF43" ca="1" si="26">CE43+CF42</f>
        <v>3389559900.6479053</v>
      </c>
      <c r="CG43" s="116">
        <f t="shared" ref="CG43" ca="1" si="27">CF43+CG42</f>
        <v>3485951553.62356</v>
      </c>
      <c r="CH43" s="116">
        <f t="shared" ref="CH43" ca="1" si="28">CG43+CH42</f>
        <v>3597707990.3310456</v>
      </c>
      <c r="CI43" s="116">
        <f t="shared" ref="CI43" ca="1" si="29">CH43+CI42</f>
        <v>3702199703.8638468</v>
      </c>
      <c r="CJ43" s="116">
        <f t="shared" ref="CJ43" ca="1" si="30">CI43+CJ42</f>
        <v>3783022470.9665856</v>
      </c>
      <c r="CK43" s="116">
        <f t="shared" ref="CK43" ca="1" si="31">CJ43+CK42</f>
        <v>11812900146.040365</v>
      </c>
    </row>
    <row r="44" spans="2:89" ht="15.75" thickTop="1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</row>
    <row r="45" spans="2:89" ht="15.75" thickBot="1">
      <c r="B45" s="96" t="str">
        <f>"Дисконтированный денежный поток проекта, в "&amp;Ед_измерения_денег</f>
        <v>Дисконтированный денежный поток проекта, в  руб.</v>
      </c>
      <c r="C45" s="96"/>
      <c r="D45" s="127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</row>
    <row r="46" spans="2:89">
      <c r="B46" s="14"/>
      <c r="C46" s="14"/>
      <c r="D46" s="14"/>
      <c r="E46" s="1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  <c r="BI46" s="154"/>
      <c r="BJ46" s="154"/>
      <c r="BK46" s="154"/>
      <c r="BL46" s="154"/>
      <c r="BM46" s="15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</row>
    <row r="47" spans="2:89">
      <c r="B47" s="155" t="s">
        <v>148</v>
      </c>
      <c r="C47" s="156"/>
      <c r="D47" s="157">
        <f>Ставка_дисконтирования_прогноз</f>
        <v>3.5256475000000002E-2</v>
      </c>
      <c r="E47" s="158"/>
      <c r="F47" s="159">
        <f>$D$47</f>
        <v>3.5256475000000002E-2</v>
      </c>
      <c r="G47" s="159">
        <f t="shared" ref="G47:BR47" si="32">$D$47</f>
        <v>3.5256475000000002E-2</v>
      </c>
      <c r="H47" s="159">
        <f t="shared" si="32"/>
        <v>3.5256475000000002E-2</v>
      </c>
      <c r="I47" s="159">
        <f t="shared" si="32"/>
        <v>3.5256475000000002E-2</v>
      </c>
      <c r="J47" s="159">
        <f t="shared" si="32"/>
        <v>3.5256475000000002E-2</v>
      </c>
      <c r="K47" s="159">
        <f t="shared" si="32"/>
        <v>3.5256475000000002E-2</v>
      </c>
      <c r="L47" s="159">
        <f t="shared" si="32"/>
        <v>3.5256475000000002E-2</v>
      </c>
      <c r="M47" s="159">
        <f t="shared" si="32"/>
        <v>3.5256475000000002E-2</v>
      </c>
      <c r="N47" s="159">
        <f t="shared" si="32"/>
        <v>3.5256475000000002E-2</v>
      </c>
      <c r="O47" s="159">
        <f t="shared" si="32"/>
        <v>3.5256475000000002E-2</v>
      </c>
      <c r="P47" s="159">
        <f t="shared" si="32"/>
        <v>3.5256475000000002E-2</v>
      </c>
      <c r="Q47" s="159">
        <f t="shared" si="32"/>
        <v>3.5256475000000002E-2</v>
      </c>
      <c r="R47" s="159">
        <f t="shared" si="32"/>
        <v>3.5256475000000002E-2</v>
      </c>
      <c r="S47" s="159">
        <f t="shared" si="32"/>
        <v>3.5256475000000002E-2</v>
      </c>
      <c r="T47" s="159">
        <f t="shared" si="32"/>
        <v>3.5256475000000002E-2</v>
      </c>
      <c r="U47" s="159">
        <f t="shared" si="32"/>
        <v>3.5256475000000002E-2</v>
      </c>
      <c r="V47" s="159">
        <f t="shared" si="32"/>
        <v>3.5256475000000002E-2</v>
      </c>
      <c r="W47" s="159">
        <f t="shared" si="32"/>
        <v>3.5256475000000002E-2</v>
      </c>
      <c r="X47" s="159">
        <f t="shared" si="32"/>
        <v>3.5256475000000002E-2</v>
      </c>
      <c r="Y47" s="159">
        <f t="shared" si="32"/>
        <v>3.5256475000000002E-2</v>
      </c>
      <c r="Z47" s="159">
        <f t="shared" si="32"/>
        <v>3.5256475000000002E-2</v>
      </c>
      <c r="AA47" s="159">
        <f t="shared" si="32"/>
        <v>3.5256475000000002E-2</v>
      </c>
      <c r="AB47" s="159">
        <f t="shared" si="32"/>
        <v>3.5256475000000002E-2</v>
      </c>
      <c r="AC47" s="159">
        <f t="shared" si="32"/>
        <v>3.5256475000000002E-2</v>
      </c>
      <c r="AD47" s="159">
        <f t="shared" si="32"/>
        <v>3.5256475000000002E-2</v>
      </c>
      <c r="AE47" s="159">
        <f t="shared" si="32"/>
        <v>3.5256475000000002E-2</v>
      </c>
      <c r="AF47" s="159">
        <f t="shared" si="32"/>
        <v>3.5256475000000002E-2</v>
      </c>
      <c r="AG47" s="159">
        <f t="shared" si="32"/>
        <v>3.5256475000000002E-2</v>
      </c>
      <c r="AH47" s="159">
        <f t="shared" si="32"/>
        <v>3.5256475000000002E-2</v>
      </c>
      <c r="AI47" s="159">
        <f t="shared" si="32"/>
        <v>3.5256475000000002E-2</v>
      </c>
      <c r="AJ47" s="159">
        <f t="shared" si="32"/>
        <v>3.5256475000000002E-2</v>
      </c>
      <c r="AK47" s="159">
        <f t="shared" si="32"/>
        <v>3.5256475000000002E-2</v>
      </c>
      <c r="AL47" s="159">
        <f t="shared" si="32"/>
        <v>3.5256475000000002E-2</v>
      </c>
      <c r="AM47" s="159">
        <f t="shared" si="32"/>
        <v>3.5256475000000002E-2</v>
      </c>
      <c r="AN47" s="159">
        <f t="shared" si="32"/>
        <v>3.5256475000000002E-2</v>
      </c>
      <c r="AO47" s="159">
        <f t="shared" si="32"/>
        <v>3.5256475000000002E-2</v>
      </c>
      <c r="AP47" s="159">
        <f t="shared" si="32"/>
        <v>3.5256475000000002E-2</v>
      </c>
      <c r="AQ47" s="159">
        <f t="shared" si="32"/>
        <v>3.5256475000000002E-2</v>
      </c>
      <c r="AR47" s="159">
        <f t="shared" si="32"/>
        <v>3.5256475000000002E-2</v>
      </c>
      <c r="AS47" s="159">
        <f t="shared" si="32"/>
        <v>3.5256475000000002E-2</v>
      </c>
      <c r="AT47" s="159">
        <f t="shared" si="32"/>
        <v>3.5256475000000002E-2</v>
      </c>
      <c r="AU47" s="159">
        <f t="shared" si="32"/>
        <v>3.5256475000000002E-2</v>
      </c>
      <c r="AV47" s="159">
        <f t="shared" si="32"/>
        <v>3.5256475000000002E-2</v>
      </c>
      <c r="AW47" s="159">
        <f t="shared" si="32"/>
        <v>3.5256475000000002E-2</v>
      </c>
      <c r="AX47" s="159">
        <f t="shared" si="32"/>
        <v>3.5256475000000002E-2</v>
      </c>
      <c r="AY47" s="159">
        <f t="shared" si="32"/>
        <v>3.5256475000000002E-2</v>
      </c>
      <c r="AZ47" s="159">
        <f t="shared" si="32"/>
        <v>3.5256475000000002E-2</v>
      </c>
      <c r="BA47" s="159">
        <f t="shared" si="32"/>
        <v>3.5256475000000002E-2</v>
      </c>
      <c r="BB47" s="159">
        <f t="shared" si="32"/>
        <v>3.5256475000000002E-2</v>
      </c>
      <c r="BC47" s="159">
        <f t="shared" si="32"/>
        <v>3.5256475000000002E-2</v>
      </c>
      <c r="BD47" s="159">
        <f t="shared" si="32"/>
        <v>3.5256475000000002E-2</v>
      </c>
      <c r="BE47" s="159">
        <f t="shared" si="32"/>
        <v>3.5256475000000002E-2</v>
      </c>
      <c r="BF47" s="159">
        <f t="shared" si="32"/>
        <v>3.5256475000000002E-2</v>
      </c>
      <c r="BG47" s="159">
        <f t="shared" si="32"/>
        <v>3.5256475000000002E-2</v>
      </c>
      <c r="BH47" s="159">
        <f t="shared" si="32"/>
        <v>3.5256475000000002E-2</v>
      </c>
      <c r="BI47" s="159">
        <f t="shared" si="32"/>
        <v>3.5256475000000002E-2</v>
      </c>
      <c r="BJ47" s="159">
        <f t="shared" si="32"/>
        <v>3.5256475000000002E-2</v>
      </c>
      <c r="BK47" s="159">
        <f t="shared" si="32"/>
        <v>3.5256475000000002E-2</v>
      </c>
      <c r="BL47" s="159">
        <f t="shared" si="32"/>
        <v>3.5256475000000002E-2</v>
      </c>
      <c r="BM47" s="159">
        <f t="shared" si="32"/>
        <v>3.5256475000000002E-2</v>
      </c>
      <c r="BN47" s="159">
        <f t="shared" si="32"/>
        <v>3.5256475000000002E-2</v>
      </c>
      <c r="BO47" s="159">
        <f t="shared" si="32"/>
        <v>3.5256475000000002E-2</v>
      </c>
      <c r="BP47" s="159">
        <f t="shared" si="32"/>
        <v>3.5256475000000002E-2</v>
      </c>
      <c r="BQ47" s="159">
        <f t="shared" si="32"/>
        <v>3.5256475000000002E-2</v>
      </c>
      <c r="BR47" s="159">
        <f t="shared" si="32"/>
        <v>3.5256475000000002E-2</v>
      </c>
      <c r="BS47" s="159">
        <f t="shared" ref="BS47:CK47" si="33">$D$47</f>
        <v>3.5256475000000002E-2</v>
      </c>
      <c r="BT47" s="159">
        <f t="shared" si="33"/>
        <v>3.5256475000000002E-2</v>
      </c>
      <c r="BU47" s="159">
        <f t="shared" si="33"/>
        <v>3.5256475000000002E-2</v>
      </c>
      <c r="BV47" s="159">
        <f t="shared" si="33"/>
        <v>3.5256475000000002E-2</v>
      </c>
      <c r="BW47" s="159">
        <f t="shared" si="33"/>
        <v>3.5256475000000002E-2</v>
      </c>
      <c r="BX47" s="159">
        <f t="shared" si="33"/>
        <v>3.5256475000000002E-2</v>
      </c>
      <c r="BY47" s="159">
        <f t="shared" si="33"/>
        <v>3.5256475000000002E-2</v>
      </c>
      <c r="BZ47" s="159">
        <f t="shared" si="33"/>
        <v>3.5256475000000002E-2</v>
      </c>
      <c r="CA47" s="159">
        <f t="shared" si="33"/>
        <v>3.5256475000000002E-2</v>
      </c>
      <c r="CB47" s="159">
        <f t="shared" si="33"/>
        <v>3.5256475000000002E-2</v>
      </c>
      <c r="CC47" s="159">
        <f t="shared" si="33"/>
        <v>3.5256475000000002E-2</v>
      </c>
      <c r="CD47" s="159">
        <f t="shared" si="33"/>
        <v>3.5256475000000002E-2</v>
      </c>
      <c r="CE47" s="159">
        <f t="shared" si="33"/>
        <v>3.5256475000000002E-2</v>
      </c>
      <c r="CF47" s="159">
        <f t="shared" si="33"/>
        <v>3.5256475000000002E-2</v>
      </c>
      <c r="CG47" s="159">
        <f t="shared" si="33"/>
        <v>3.5256475000000002E-2</v>
      </c>
      <c r="CH47" s="159">
        <f t="shared" si="33"/>
        <v>3.5256475000000002E-2</v>
      </c>
      <c r="CI47" s="159">
        <f t="shared" si="33"/>
        <v>3.5256475000000002E-2</v>
      </c>
      <c r="CJ47" s="159">
        <f t="shared" si="33"/>
        <v>3.5256475000000002E-2</v>
      </c>
      <c r="CK47" s="159">
        <f t="shared" si="33"/>
        <v>3.5256475000000002E-2</v>
      </c>
    </row>
    <row r="48" spans="2:89" ht="15.75" thickBot="1">
      <c r="B48" s="155" t="s">
        <v>149</v>
      </c>
      <c r="C48" s="156"/>
      <c r="D48" s="160"/>
      <c r="E48" s="158"/>
      <c r="F48" s="159">
        <f>(1+F47)^(F$26/F$20)-1</f>
        <v>2.8519383442462409E-3</v>
      </c>
      <c r="G48" s="159">
        <f t="shared" ref="G48:AG48" si="34">(1+G47)^(G$26/G$20)-1</f>
        <v>2.9471429050211828E-3</v>
      </c>
      <c r="H48" s="159">
        <f t="shared" si="34"/>
        <v>2.8519383442462409E-3</v>
      </c>
      <c r="I48" s="159">
        <f t="shared" si="34"/>
        <v>2.9471429050211828E-3</v>
      </c>
      <c r="J48" s="159">
        <f t="shared" si="34"/>
        <v>2.9471429050211828E-3</v>
      </c>
      <c r="K48" s="159">
        <f t="shared" si="34"/>
        <v>2.8519383442462409E-3</v>
      </c>
      <c r="L48" s="159">
        <f t="shared" si="34"/>
        <v>2.9471429050211828E-3</v>
      </c>
      <c r="M48" s="159">
        <f t="shared" si="34"/>
        <v>2.8519383442462409E-3</v>
      </c>
      <c r="N48" s="159">
        <f t="shared" si="34"/>
        <v>2.9471429050211828E-3</v>
      </c>
      <c r="O48" s="159">
        <f t="shared" si="34"/>
        <v>2.9390787804173257E-3</v>
      </c>
      <c r="P48" s="159">
        <f t="shared" si="34"/>
        <v>2.7492003924194375E-3</v>
      </c>
      <c r="Q48" s="159">
        <f t="shared" si="34"/>
        <v>2.9390787804173257E-3</v>
      </c>
      <c r="R48" s="159">
        <f t="shared" si="34"/>
        <v>2.8441350924746089E-3</v>
      </c>
      <c r="S48" s="159">
        <f t="shared" si="34"/>
        <v>2.9390787804173257E-3</v>
      </c>
      <c r="T48" s="159">
        <f t="shared" si="34"/>
        <v>2.8441350924746089E-3</v>
      </c>
      <c r="U48" s="159">
        <f t="shared" si="34"/>
        <v>2.9390787804173257E-3</v>
      </c>
      <c r="V48" s="159">
        <f t="shared" si="34"/>
        <v>2.9390787804173257E-3</v>
      </c>
      <c r="W48" s="159">
        <f t="shared" si="34"/>
        <v>2.8441350924746089E-3</v>
      </c>
      <c r="X48" s="159">
        <f t="shared" si="34"/>
        <v>2.9390787804173257E-3</v>
      </c>
      <c r="Y48" s="159">
        <f t="shared" si="34"/>
        <v>2.8441350924746089E-3</v>
      </c>
      <c r="Z48" s="159">
        <f t="shared" si="34"/>
        <v>2.9390787804173257E-3</v>
      </c>
      <c r="AA48" s="159">
        <f t="shared" si="34"/>
        <v>2.9471429050211828E-3</v>
      </c>
      <c r="AB48" s="159">
        <f t="shared" si="34"/>
        <v>2.6615563336613857E-3</v>
      </c>
      <c r="AC48" s="159">
        <f t="shared" si="34"/>
        <v>2.9471429050211828E-3</v>
      </c>
      <c r="AD48" s="159">
        <f t="shared" si="34"/>
        <v>2.8519383442462409E-3</v>
      </c>
      <c r="AE48" s="159">
        <f t="shared" si="34"/>
        <v>2.9471429050211828E-3</v>
      </c>
      <c r="AF48" s="159">
        <f t="shared" si="34"/>
        <v>2.8519383442462409E-3</v>
      </c>
      <c r="AG48" s="159">
        <f t="shared" si="34"/>
        <v>2.9471429050211828E-3</v>
      </c>
      <c r="AH48" s="159">
        <f t="shared" ref="AH48:BM48" si="35">(1+AH47)^(AH$26/AH$20)-1</f>
        <v>2.9471429050211828E-3</v>
      </c>
      <c r="AI48" s="159">
        <f t="shared" si="35"/>
        <v>2.8519383442462409E-3</v>
      </c>
      <c r="AJ48" s="159">
        <f t="shared" si="35"/>
        <v>2.9471429050211828E-3</v>
      </c>
      <c r="AK48" s="159">
        <f t="shared" si="35"/>
        <v>2.8519383442462409E-3</v>
      </c>
      <c r="AL48" s="159">
        <f t="shared" si="35"/>
        <v>2.9471429050211828E-3</v>
      </c>
      <c r="AM48" s="159">
        <f t="shared" si="35"/>
        <v>2.9471429050211828E-3</v>
      </c>
      <c r="AN48" s="159">
        <f t="shared" si="35"/>
        <v>2.6615563336613857E-3</v>
      </c>
      <c r="AO48" s="159">
        <f t="shared" si="35"/>
        <v>2.9471429050211828E-3</v>
      </c>
      <c r="AP48" s="159">
        <f t="shared" si="35"/>
        <v>2.8519383442462409E-3</v>
      </c>
      <c r="AQ48" s="159">
        <f t="shared" si="35"/>
        <v>2.9471429050211828E-3</v>
      </c>
      <c r="AR48" s="159">
        <f t="shared" si="35"/>
        <v>2.8519383442462409E-3</v>
      </c>
      <c r="AS48" s="159">
        <f t="shared" si="35"/>
        <v>2.9471429050211828E-3</v>
      </c>
      <c r="AT48" s="159">
        <f t="shared" si="35"/>
        <v>2.9471429050211828E-3</v>
      </c>
      <c r="AU48" s="159">
        <f t="shared" si="35"/>
        <v>2.8519383442462409E-3</v>
      </c>
      <c r="AV48" s="159">
        <f t="shared" si="35"/>
        <v>2.9471429050211828E-3</v>
      </c>
      <c r="AW48" s="159">
        <f t="shared" si="35"/>
        <v>2.8519383442462409E-3</v>
      </c>
      <c r="AX48" s="159">
        <f t="shared" si="35"/>
        <v>2.9471429050211828E-3</v>
      </c>
      <c r="AY48" s="159">
        <f t="shared" si="35"/>
        <v>2.9471429050211828E-3</v>
      </c>
      <c r="AZ48" s="159">
        <f t="shared" si="35"/>
        <v>2.6615563336613857E-3</v>
      </c>
      <c r="BA48" s="159">
        <f t="shared" si="35"/>
        <v>2.9471429050211828E-3</v>
      </c>
      <c r="BB48" s="159">
        <f t="shared" si="35"/>
        <v>2.8519383442462409E-3</v>
      </c>
      <c r="BC48" s="159">
        <f t="shared" si="35"/>
        <v>2.9471429050211828E-3</v>
      </c>
      <c r="BD48" s="159">
        <f t="shared" si="35"/>
        <v>2.8519383442462409E-3</v>
      </c>
      <c r="BE48" s="159">
        <f t="shared" si="35"/>
        <v>2.9471429050211828E-3</v>
      </c>
      <c r="BF48" s="159">
        <f t="shared" si="35"/>
        <v>2.9471429050211828E-3</v>
      </c>
      <c r="BG48" s="159">
        <f t="shared" si="35"/>
        <v>2.8519383442462409E-3</v>
      </c>
      <c r="BH48" s="159">
        <f t="shared" si="35"/>
        <v>2.9471429050211828E-3</v>
      </c>
      <c r="BI48" s="159">
        <f t="shared" si="35"/>
        <v>2.8519383442462409E-3</v>
      </c>
      <c r="BJ48" s="159">
        <f t="shared" si="35"/>
        <v>2.9471429050211828E-3</v>
      </c>
      <c r="BK48" s="159">
        <f t="shared" si="35"/>
        <v>2.9390787804173257E-3</v>
      </c>
      <c r="BL48" s="159">
        <f t="shared" si="35"/>
        <v>2.7492003924194375E-3</v>
      </c>
      <c r="BM48" s="159">
        <f t="shared" si="35"/>
        <v>2.9390787804173257E-3</v>
      </c>
      <c r="BN48" s="159">
        <f t="shared" ref="BN48:CK48" si="36">(1+BN47)^(BN$26/BN$20)-1</f>
        <v>2.8441350924746089E-3</v>
      </c>
      <c r="BO48" s="159">
        <f t="shared" si="36"/>
        <v>2.9390787804173257E-3</v>
      </c>
      <c r="BP48" s="159">
        <f t="shared" si="36"/>
        <v>2.8441350924746089E-3</v>
      </c>
      <c r="BQ48" s="159">
        <f t="shared" si="36"/>
        <v>2.9390787804173257E-3</v>
      </c>
      <c r="BR48" s="159">
        <f t="shared" si="36"/>
        <v>2.9390787804173257E-3</v>
      </c>
      <c r="BS48" s="159">
        <f t="shared" si="36"/>
        <v>2.8441350924746089E-3</v>
      </c>
      <c r="BT48" s="159">
        <f t="shared" si="36"/>
        <v>2.9390787804173257E-3</v>
      </c>
      <c r="BU48" s="159">
        <f t="shared" si="36"/>
        <v>2.8441350924746089E-3</v>
      </c>
      <c r="BV48" s="159">
        <f t="shared" si="36"/>
        <v>2.9390787804173257E-3</v>
      </c>
      <c r="BW48" s="159">
        <f t="shared" si="36"/>
        <v>2.9471429050211828E-3</v>
      </c>
      <c r="BX48" s="159">
        <f t="shared" si="36"/>
        <v>2.6615563336613857E-3</v>
      </c>
      <c r="BY48" s="159">
        <f t="shared" si="36"/>
        <v>2.9471429050211828E-3</v>
      </c>
      <c r="BZ48" s="159">
        <f t="shared" si="36"/>
        <v>2.8519383442462409E-3</v>
      </c>
      <c r="CA48" s="159">
        <f t="shared" si="36"/>
        <v>2.9471429050211828E-3</v>
      </c>
      <c r="CB48" s="159">
        <f t="shared" si="36"/>
        <v>2.8519383442462409E-3</v>
      </c>
      <c r="CC48" s="159">
        <f t="shared" si="36"/>
        <v>2.9471429050211828E-3</v>
      </c>
      <c r="CD48" s="159">
        <f t="shared" si="36"/>
        <v>2.9471429050211828E-3</v>
      </c>
      <c r="CE48" s="159">
        <f t="shared" si="36"/>
        <v>2.8519383442462409E-3</v>
      </c>
      <c r="CF48" s="159">
        <f t="shared" si="36"/>
        <v>2.9471429050211828E-3</v>
      </c>
      <c r="CG48" s="159">
        <f t="shared" si="36"/>
        <v>2.8519383442462409E-3</v>
      </c>
      <c r="CH48" s="159">
        <f t="shared" si="36"/>
        <v>2.9471429050211828E-3</v>
      </c>
      <c r="CI48" s="159">
        <f t="shared" si="36"/>
        <v>2.9471429050211828E-3</v>
      </c>
      <c r="CJ48" s="159">
        <f t="shared" si="36"/>
        <v>2.6615563336613857E-3</v>
      </c>
      <c r="CK48" s="159">
        <f t="shared" si="36"/>
        <v>2.9471429050211828E-3</v>
      </c>
    </row>
    <row r="49" spans="2:89" ht="15.75" thickTop="1">
      <c r="B49" s="161" t="s">
        <v>550</v>
      </c>
      <c r="C49" s="162"/>
      <c r="D49" s="163"/>
      <c r="E49" s="164">
        <v>1</v>
      </c>
      <c r="F49" s="165">
        <f t="shared" ref="F49:AK49" si="37">E49/(1+F48)</f>
        <v>0.99715617207764995</v>
      </c>
      <c r="G49" s="165">
        <f t="shared" si="37"/>
        <v>0.99422604584066332</v>
      </c>
      <c r="H49" s="165">
        <f t="shared" si="37"/>
        <v>0.99139863805037398</v>
      </c>
      <c r="I49" s="165">
        <f t="shared" si="37"/>
        <v>0.98848543022796087</v>
      </c>
      <c r="J49" s="165">
        <f t="shared" si="37"/>
        <v>0.98558078281655781</v>
      </c>
      <c r="K49" s="165">
        <f t="shared" si="37"/>
        <v>0.98277796066665246</v>
      </c>
      <c r="L49" s="165">
        <f t="shared" si="37"/>
        <v>0.97989008455625193</v>
      </c>
      <c r="M49" s="165">
        <f t="shared" si="37"/>
        <v>0.97710344577295694</v>
      </c>
      <c r="N49" s="165">
        <f t="shared" si="37"/>
        <v>0.97423224412683562</v>
      </c>
      <c r="O49" s="165">
        <f t="shared" si="37"/>
        <v>0.97137728974676163</v>
      </c>
      <c r="P49" s="165">
        <f t="shared" si="37"/>
        <v>0.9687141005613561</v>
      </c>
      <c r="Q49" s="165">
        <f t="shared" si="37"/>
        <v>0.96587531691288853</v>
      </c>
      <c r="R49" s="165">
        <f t="shared" si="37"/>
        <v>0.96313602793700626</v>
      </c>
      <c r="S49" s="165">
        <f t="shared" si="37"/>
        <v>0.96031359064020927</v>
      </c>
      <c r="T49" s="165">
        <f t="shared" si="37"/>
        <v>0.95759007510340233</v>
      </c>
      <c r="U49" s="165">
        <f t="shared" si="37"/>
        <v>0.954783890032324</v>
      </c>
      <c r="V49" s="165">
        <f t="shared" si="37"/>
        <v>0.95198592839093432</v>
      </c>
      <c r="W49" s="165">
        <f t="shared" si="37"/>
        <v>0.94928603067828632</v>
      </c>
      <c r="X49" s="165">
        <f t="shared" si="37"/>
        <v>0.946504180326313</v>
      </c>
      <c r="Y49" s="165">
        <f t="shared" si="37"/>
        <v>0.94381982922902929</v>
      </c>
      <c r="Z49" s="165">
        <f t="shared" si="37"/>
        <v>0.94105399739406148</v>
      </c>
      <c r="AA49" s="165">
        <f t="shared" si="37"/>
        <v>0.93828872643109873</v>
      </c>
      <c r="AB49" s="165">
        <f t="shared" si="37"/>
        <v>0.93579804721151494</v>
      </c>
      <c r="AC49" s="165">
        <f t="shared" si="37"/>
        <v>0.93304822076763694</v>
      </c>
      <c r="AD49" s="165">
        <f t="shared" si="37"/>
        <v>0.93039479218451893</v>
      </c>
      <c r="AE49" s="165">
        <f t="shared" si="37"/>
        <v>0.92766084311247399</v>
      </c>
      <c r="AF49" s="165">
        <f t="shared" si="37"/>
        <v>0.92502273530435997</v>
      </c>
      <c r="AG49" s="165">
        <f t="shared" si="37"/>
        <v>0.92230457192893101</v>
      </c>
      <c r="AH49" s="165">
        <f t="shared" si="37"/>
        <v>0.9195943958297641</v>
      </c>
      <c r="AI49" s="165">
        <f t="shared" si="37"/>
        <v>0.91697922760966677</v>
      </c>
      <c r="AJ49" s="165">
        <f t="shared" si="37"/>
        <v>0.91428469994306016</v>
      </c>
      <c r="AK49" s="165">
        <f t="shared" si="37"/>
        <v>0.91168463158438462</v>
      </c>
      <c r="AL49" s="165">
        <f t="shared" ref="AL49:BM49" si="38">AK49/(1+AL48)</f>
        <v>0.90900566199700605</v>
      </c>
      <c r="AM49" s="165">
        <f t="shared" si="38"/>
        <v>0.90633456451561834</v>
      </c>
      <c r="AN49" s="165">
        <f t="shared" si="38"/>
        <v>0.90392870733942077</v>
      </c>
      <c r="AO49" s="165">
        <f t="shared" si="38"/>
        <v>0.90127252840185079</v>
      </c>
      <c r="AP49" s="165">
        <f t="shared" si="38"/>
        <v>0.8987094644199346</v>
      </c>
      <c r="AQ49" s="165">
        <f t="shared" si="38"/>
        <v>0.89606862213778915</v>
      </c>
      <c r="AR49" s="165">
        <f t="shared" si="38"/>
        <v>0.89352035716981193</v>
      </c>
      <c r="AS49" s="165">
        <f t="shared" si="38"/>
        <v>0.89089476298994563</v>
      </c>
      <c r="AT49" s="165">
        <f t="shared" si="38"/>
        <v>0.88827688407335448</v>
      </c>
      <c r="AU49" s="165">
        <f t="shared" si="38"/>
        <v>0.88575077746764852</v>
      </c>
      <c r="AV49" s="165">
        <f t="shared" si="38"/>
        <v>0.88314801406391652</v>
      </c>
      <c r="AW49" s="165">
        <f t="shared" si="38"/>
        <v>0.88063649308195358</v>
      </c>
      <c r="AX49" s="165">
        <f t="shared" si="38"/>
        <v>0.8780487579148023</v>
      </c>
      <c r="AY49" s="165">
        <f t="shared" si="38"/>
        <v>0.87546862676286952</v>
      </c>
      <c r="AZ49" s="165">
        <f t="shared" si="38"/>
        <v>0.87314470294853397</v>
      </c>
      <c r="BA49" s="165">
        <f t="shared" si="38"/>
        <v>0.87057898227765385</v>
      </c>
      <c r="BB49" s="165">
        <f t="shared" si="38"/>
        <v>0.86810320545924158</v>
      </c>
      <c r="BC49" s="165">
        <f t="shared" si="38"/>
        <v>0.86555229914190079</v>
      </c>
      <c r="BD49" s="165">
        <f t="shared" si="38"/>
        <v>0.86309081734534676</v>
      </c>
      <c r="BE49" s="165">
        <f t="shared" si="38"/>
        <v>0.86055463984414704</v>
      </c>
      <c r="BF49" s="165">
        <f t="shared" si="38"/>
        <v>0.85802591485685231</v>
      </c>
      <c r="BG49" s="165">
        <f t="shared" si="38"/>
        <v>0.85558583680208244</v>
      </c>
      <c r="BH49" s="165">
        <f t="shared" si="38"/>
        <v>0.85307171255694592</v>
      </c>
      <c r="BI49" s="165">
        <f t="shared" si="38"/>
        <v>0.85064572340100952</v>
      </c>
      <c r="BJ49" s="165">
        <f t="shared" si="38"/>
        <v>0.84814611559401532</v>
      </c>
      <c r="BK49" s="165">
        <f t="shared" si="38"/>
        <v>0.84566065231536136</v>
      </c>
      <c r="BL49" s="165">
        <f t="shared" si="38"/>
        <v>0.84334213578471817</v>
      </c>
      <c r="BM49" s="165">
        <f t="shared" si="38"/>
        <v>0.84087075040512882</v>
      </c>
      <c r="BN49" s="165">
        <f t="shared" ref="BN49" si="39">BM49/(1+BN48)</f>
        <v>0.83848598299634081</v>
      </c>
      <c r="BO49" s="165">
        <f t="shared" ref="BO49" si="40">BN49/(1+BO48)</f>
        <v>0.83602882840695281</v>
      </c>
      <c r="BP49" s="165">
        <f t="shared" ref="BP49" si="41">BO49/(1+BP48)</f>
        <v>0.83365779302270204</v>
      </c>
      <c r="BQ49" s="165">
        <f t="shared" ref="BQ49" si="42">BP49/(1+BQ48)</f>
        <v>0.83121478727943998</v>
      </c>
      <c r="BR49" s="165">
        <f t="shared" ref="BR49" si="43">BQ49/(1+BR48)</f>
        <v>0.82877894068122704</v>
      </c>
      <c r="BS49" s="165">
        <f t="shared" ref="BS49" si="44">BR49/(1+BS48)</f>
        <v>0.82642846647829615</v>
      </c>
      <c r="BT49" s="165">
        <f t="shared" ref="BT49" si="45">BS49/(1+BT48)</f>
        <v>0.82400664603002649</v>
      </c>
      <c r="BU49" s="165">
        <f t="shared" ref="BU49" si="46">BT49/(1+BU48)</f>
        <v>0.82166970638367731</v>
      </c>
      <c r="BV49" s="165">
        <f t="shared" ref="BV49" si="47">BU49/(1+BV48)</f>
        <v>0.81926183131963992</v>
      </c>
      <c r="BW49" s="165">
        <f t="shared" ref="BW49" si="48">BV49/(1+BW48)</f>
        <v>0.81685444453898182</v>
      </c>
      <c r="BX49" s="165">
        <f t="shared" ref="BX49" si="49">BW49/(1+BX48)</f>
        <v>0.81468611155881643</v>
      </c>
      <c r="BY49" s="165">
        <f t="shared" ref="BY49" si="50">BX49/(1+BY48)</f>
        <v>0.81229217045186497</v>
      </c>
      <c r="BZ49" s="165">
        <f t="shared" ref="BZ49" si="51">BY49/(1+BZ48)</f>
        <v>0.80998215129642759</v>
      </c>
      <c r="CA49" s="165">
        <f t="shared" ref="CA49" si="52">BZ49/(1+CA48)</f>
        <v>0.80760203269568775</v>
      </c>
      <c r="CB49" s="165">
        <f t="shared" ref="CB49" si="53">CA49/(1+CB48)</f>
        <v>0.80530535148496107</v>
      </c>
      <c r="CC49" s="165">
        <f t="shared" ref="CC49" si="54">CB49/(1+CC48)</f>
        <v>0.80293897557991578</v>
      </c>
      <c r="CD49" s="165">
        <f t="shared" ref="CD49" si="55">CC49/(1+CD48)</f>
        <v>0.80057955322970986</v>
      </c>
      <c r="CE49" s="165">
        <f t="shared" ref="CE49" si="56">CD49/(1+CE48)</f>
        <v>0.79830284274217267</v>
      </c>
      <c r="CF49" s="165">
        <f t="shared" ref="CF49" si="57">CE49/(1+CF48)</f>
        <v>0.79595704358845931</v>
      </c>
      <c r="CG49" s="165">
        <f t="shared" ref="CG49" si="58">CF49/(1+CG48)</f>
        <v>0.79369347872291129</v>
      </c>
      <c r="CH49" s="165">
        <f t="shared" ref="CH49" si="59">CG49/(1+CH48)</f>
        <v>0.79136122410597853</v>
      </c>
      <c r="CI49" s="165">
        <f t="shared" ref="CI49" si="60">CH49/(1+CI48)</f>
        <v>0.7890358227790677</v>
      </c>
      <c r="CJ49" s="165">
        <f t="shared" ref="CJ49" si="61">CI49/(1+CJ48)</f>
        <v>0.7869413340871082</v>
      </c>
      <c r="CK49" s="165">
        <f t="shared" ref="CK49" si="62">CJ49/(1+CK48)</f>
        <v>0.78462892053089117</v>
      </c>
    </row>
    <row r="50" spans="2:89" ht="15.75" thickBot="1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</row>
    <row r="51" spans="2:89" ht="15.75" thickTop="1">
      <c r="B51" s="50" t="s">
        <v>151</v>
      </c>
      <c r="C51" s="51"/>
      <c r="D51" s="52">
        <f ca="1">SUM(F51:CK51)</f>
        <v>9361946480.9014187</v>
      </c>
      <c r="E51" s="53"/>
      <c r="F51" s="54">
        <f t="shared" ref="F51:AK51" ca="1" si="63">F42*F49</f>
        <v>-65553046.752384715</v>
      </c>
      <c r="G51" s="54">
        <f t="shared" ca="1" si="63"/>
        <v>-65360420.253565215</v>
      </c>
      <c r="H51" s="54">
        <f t="shared" ca="1" si="63"/>
        <v>-60742994.553346418</v>
      </c>
      <c r="I51" s="54">
        <f t="shared" ca="1" si="63"/>
        <v>-146523195.32269064</v>
      </c>
      <c r="J51" s="54">
        <f t="shared" ca="1" si="63"/>
        <v>-146092639.43689835</v>
      </c>
      <c r="K51" s="54">
        <f t="shared" ca="1" si="63"/>
        <v>-141421748.5399313</v>
      </c>
      <c r="L51" s="54">
        <f t="shared" ca="1" si="63"/>
        <v>-92305645.965198934</v>
      </c>
      <c r="M51" s="54">
        <f t="shared" ca="1" si="63"/>
        <v>-97612634.232718393</v>
      </c>
      <c r="N51" s="54">
        <f t="shared" ca="1" si="63"/>
        <v>-101709846.28684165</v>
      </c>
      <c r="O51" s="54">
        <f t="shared" ca="1" si="63"/>
        <v>-65626249.695291214</v>
      </c>
      <c r="P51" s="54">
        <f t="shared" ca="1" si="63"/>
        <v>-72295133.324894011</v>
      </c>
      <c r="Q51" s="54">
        <f t="shared" ca="1" si="63"/>
        <v>-84253364.430779681</v>
      </c>
      <c r="R51" s="54">
        <f t="shared" ca="1" si="63"/>
        <v>49478898.245525293</v>
      </c>
      <c r="S51" s="54">
        <f t="shared" ca="1" si="63"/>
        <v>24542017.051695284</v>
      </c>
      <c r="T51" s="54">
        <f t="shared" ca="1" si="63"/>
        <v>19479299.134889126</v>
      </c>
      <c r="U51" s="54">
        <f t="shared" ca="1" si="63"/>
        <v>19758963.078934949</v>
      </c>
      <c r="V51" s="54">
        <f t="shared" ca="1" si="63"/>
        <v>17252328.668526947</v>
      </c>
      <c r="W51" s="54">
        <f t="shared" ca="1" si="63"/>
        <v>14737531.817640578</v>
      </c>
      <c r="X51" s="54">
        <f t="shared" ca="1" si="63"/>
        <v>19924552.205260314</v>
      </c>
      <c r="Y51" s="54">
        <f t="shared" ca="1" si="63"/>
        <v>14845320.130756648</v>
      </c>
      <c r="Z51" s="54">
        <f t="shared" ca="1" si="63"/>
        <v>20014106.482112098</v>
      </c>
      <c r="AA51" s="54">
        <f t="shared" ca="1" si="63"/>
        <v>17521127.114278443</v>
      </c>
      <c r="AB51" s="54">
        <f t="shared" ca="1" si="63"/>
        <v>9293623.1694420166</v>
      </c>
      <c r="AC51" s="54">
        <f t="shared" ca="1" si="63"/>
        <v>25873074.424331177</v>
      </c>
      <c r="AD51" s="54">
        <f t="shared" ca="1" si="63"/>
        <v>14066324.384950396</v>
      </c>
      <c r="AE51" s="54">
        <f t="shared" ca="1" si="63"/>
        <v>26162767.253279608</v>
      </c>
      <c r="AF51" s="54">
        <f t="shared" ca="1" si="63"/>
        <v>21395887.795694776</v>
      </c>
      <c r="AG51" s="54">
        <f t="shared" ca="1" si="63"/>
        <v>27821119.671170749</v>
      </c>
      <c r="AH51" s="54">
        <f t="shared" ca="1" si="63"/>
        <v>26292332.595502157</v>
      </c>
      <c r="AI51" s="54">
        <f t="shared" ca="1" si="63"/>
        <v>24770783.204964161</v>
      </c>
      <c r="AJ51" s="54">
        <f t="shared" ca="1" si="63"/>
        <v>32953494.623178739</v>
      </c>
      <c r="AK51" s="54">
        <f t="shared" ca="1" si="63"/>
        <v>28537337.48066128</v>
      </c>
      <c r="AL51" s="54">
        <f t="shared" ref="AL51:BM51" ca="1" si="64">AL42*AL49</f>
        <v>38564124.299692579</v>
      </c>
      <c r="AM51" s="54">
        <f t="shared" ca="1" si="64"/>
        <v>36788836.7015175</v>
      </c>
      <c r="AN51" s="54">
        <f t="shared" ca="1" si="64"/>
        <v>27618532.482102305</v>
      </c>
      <c r="AO51" s="54">
        <f t="shared" ca="1" si="64"/>
        <v>58831615.108197741</v>
      </c>
      <c r="AP51" s="54">
        <f t="shared" ca="1" si="64"/>
        <v>47305645.689312674</v>
      </c>
      <c r="AQ51" s="54">
        <f t="shared" ca="1" si="64"/>
        <v>58394709.370907426</v>
      </c>
      <c r="AR51" s="54">
        <f t="shared" ca="1" si="64"/>
        <v>51407317.37156824</v>
      </c>
      <c r="AS51" s="54">
        <f t="shared" ca="1" si="64"/>
        <v>60838892.176812246</v>
      </c>
      <c r="AT51" s="54">
        <f t="shared" ca="1" si="64"/>
        <v>58656743.633202933</v>
      </c>
      <c r="AU51" s="54">
        <f t="shared" ca="1" si="64"/>
        <v>56352905.759976722</v>
      </c>
      <c r="AV51" s="54">
        <f t="shared" ca="1" si="64"/>
        <v>68271529.721147627</v>
      </c>
      <c r="AW51" s="54">
        <f t="shared" ca="1" si="64"/>
        <v>61120478.53294725</v>
      </c>
      <c r="AX51" s="54">
        <f t="shared" ca="1" si="64"/>
        <v>74529550.131179139</v>
      </c>
      <c r="AY51" s="54">
        <f t="shared" ca="1" si="64"/>
        <v>70857928.756423384</v>
      </c>
      <c r="AZ51" s="54">
        <f t="shared" ca="1" si="64"/>
        <v>56637351.202246919</v>
      </c>
      <c r="BA51" s="54">
        <f t="shared" ca="1" si="64"/>
        <v>95611776.804756746</v>
      </c>
      <c r="BB51" s="54">
        <f t="shared" ca="1" si="64"/>
        <v>75226211.22510241</v>
      </c>
      <c r="BC51" s="54">
        <f t="shared" ca="1" si="64"/>
        <v>86728203.316037014</v>
      </c>
      <c r="BD51" s="54">
        <f t="shared" ca="1" si="64"/>
        <v>75504529.443288013</v>
      </c>
      <c r="BE51" s="54">
        <f t="shared" ca="1" si="64"/>
        <v>85578925.002165616</v>
      </c>
      <c r="BF51" s="54">
        <f t="shared" ca="1" si="64"/>
        <v>80038423.782148302</v>
      </c>
      <c r="BG51" s="54">
        <f t="shared" ca="1" si="64"/>
        <v>74478266.066206262</v>
      </c>
      <c r="BH51" s="54">
        <f t="shared" ca="1" si="64"/>
        <v>85936157.539362624</v>
      </c>
      <c r="BI51" s="54">
        <f t="shared" ca="1" si="64"/>
        <v>74649447.566988483</v>
      </c>
      <c r="BJ51" s="54">
        <f t="shared" ca="1" si="64"/>
        <v>86250597.442377403</v>
      </c>
      <c r="BK51" s="54">
        <f t="shared" ca="1" si="64"/>
        <v>80310086.874023944</v>
      </c>
      <c r="BL51" s="54">
        <f t="shared" ca="1" si="64"/>
        <v>68573202.537940294</v>
      </c>
      <c r="BM51" s="54">
        <f t="shared" ca="1" si="64"/>
        <v>92498010.128360212</v>
      </c>
      <c r="BN51" s="54">
        <f t="shared" ref="BN51:CK51" ca="1" si="65">BN42*BN49</f>
        <v>74885370.060210854</v>
      </c>
      <c r="BO51" s="54">
        <f t="shared" ca="1" si="65"/>
        <v>86555084.91756469</v>
      </c>
      <c r="BP51" s="54">
        <f t="shared" ca="1" si="65"/>
        <v>75174745.001759425</v>
      </c>
      <c r="BQ51" s="54">
        <f t="shared" ca="1" si="65"/>
        <v>86597121.426365659</v>
      </c>
      <c r="BR51" s="54">
        <f t="shared" ca="1" si="65"/>
        <v>80977619.60289596</v>
      </c>
      <c r="BS51" s="54">
        <f t="shared" ca="1" si="65"/>
        <v>75338223.978664607</v>
      </c>
      <c r="BT51" s="54">
        <f t="shared" ca="1" si="65"/>
        <v>86959922.565421328</v>
      </c>
      <c r="BU51" s="54">
        <f t="shared" ca="1" si="65"/>
        <v>75512387.200435221</v>
      </c>
      <c r="BV51" s="54">
        <f t="shared" ca="1" si="65"/>
        <v>87278834.081813291</v>
      </c>
      <c r="BW51" s="54">
        <f t="shared" ca="1" si="65"/>
        <v>81351176.307499036</v>
      </c>
      <c r="BX51" s="54">
        <f t="shared" ca="1" si="65"/>
        <v>62770703.720102526</v>
      </c>
      <c r="BY51" s="54">
        <f t="shared" ca="1" si="65"/>
        <v>100383882.98625885</v>
      </c>
      <c r="BZ51" s="54">
        <f t="shared" ca="1" si="65"/>
        <v>75846949.675962925</v>
      </c>
      <c r="CA51" s="54">
        <f t="shared" ca="1" si="65"/>
        <v>87682921.422360778</v>
      </c>
      <c r="CB51" s="54">
        <f t="shared" ca="1" si="65"/>
        <v>76141505.796227917</v>
      </c>
      <c r="CC51" s="54">
        <f t="shared" ca="1" si="65"/>
        <v>87745892.676753581</v>
      </c>
      <c r="CD51" s="54">
        <f t="shared" ca="1" si="65"/>
        <v>82047062.267793968</v>
      </c>
      <c r="CE51" s="54">
        <f t="shared" ca="1" si="65"/>
        <v>76328001.287301689</v>
      </c>
      <c r="CF51" s="54">
        <f t="shared" ca="1" si="65"/>
        <v>88115237.079491392</v>
      </c>
      <c r="CG51" s="54">
        <f t="shared" ca="1" si="65"/>
        <v>76505426.370098814</v>
      </c>
      <c r="CH51" s="54">
        <f t="shared" ca="1" si="65"/>
        <v>88439710.554558218</v>
      </c>
      <c r="CI51" s="54">
        <f t="shared" ca="1" si="65"/>
        <v>82447705.160948277</v>
      </c>
      <c r="CJ51" s="54">
        <f t="shared" ca="1" si="65"/>
        <v>63602776.168440931</v>
      </c>
      <c r="CK51" s="54">
        <f t="shared" ca="1" si="65"/>
        <v>6300474252.188242</v>
      </c>
    </row>
    <row r="52" spans="2:89" ht="15.75" thickBot="1">
      <c r="B52" s="112" t="s">
        <v>539</v>
      </c>
      <c r="C52" s="113"/>
      <c r="D52" s="114">
        <f ca="1">SUM(D51)</f>
        <v>9361946480.9014187</v>
      </c>
      <c r="E52" s="115"/>
      <c r="F52" s="116">
        <f ca="1">E52+F51</f>
        <v>-65553046.752384715</v>
      </c>
      <c r="G52" s="116">
        <f t="shared" ref="G52:AG52" ca="1" si="66">F52+G51</f>
        <v>-130913467.00594993</v>
      </c>
      <c r="H52" s="116">
        <f t="shared" ca="1" si="66"/>
        <v>-191656461.55929634</v>
      </c>
      <c r="I52" s="116">
        <f t="shared" ca="1" si="66"/>
        <v>-338179656.88198698</v>
      </c>
      <c r="J52" s="116">
        <f t="shared" ca="1" si="66"/>
        <v>-484272296.31888533</v>
      </c>
      <c r="K52" s="116">
        <f t="shared" ca="1" si="66"/>
        <v>-625694044.85881662</v>
      </c>
      <c r="L52" s="116">
        <f t="shared" ca="1" si="66"/>
        <v>-717999690.82401562</v>
      </c>
      <c r="M52" s="116">
        <f t="shared" ca="1" si="66"/>
        <v>-815612325.05673397</v>
      </c>
      <c r="N52" s="116">
        <f t="shared" ca="1" si="66"/>
        <v>-917322171.3435756</v>
      </c>
      <c r="O52" s="116">
        <f t="shared" ca="1" si="66"/>
        <v>-982948421.03886676</v>
      </c>
      <c r="P52" s="116">
        <f t="shared" ca="1" si="66"/>
        <v>-1055243554.3637607</v>
      </c>
      <c r="Q52" s="116">
        <f t="shared" ca="1" si="66"/>
        <v>-1139496918.7945404</v>
      </c>
      <c r="R52" s="116">
        <f t="shared" ca="1" si="66"/>
        <v>-1090018020.549015</v>
      </c>
      <c r="S52" s="116">
        <f t="shared" ca="1" si="66"/>
        <v>-1065476003.4973198</v>
      </c>
      <c r="T52" s="116">
        <f t="shared" ca="1" si="66"/>
        <v>-1045996704.3624307</v>
      </c>
      <c r="U52" s="116">
        <f t="shared" ca="1" si="66"/>
        <v>-1026237741.2834958</v>
      </c>
      <c r="V52" s="116">
        <f t="shared" ca="1" si="66"/>
        <v>-1008985412.6149688</v>
      </c>
      <c r="W52" s="116">
        <f t="shared" ca="1" si="66"/>
        <v>-994247880.79732823</v>
      </c>
      <c r="X52" s="116">
        <f t="shared" ca="1" si="66"/>
        <v>-974323328.59206796</v>
      </c>
      <c r="Y52" s="116">
        <f t="shared" ca="1" si="66"/>
        <v>-959478008.46131134</v>
      </c>
      <c r="Z52" s="116">
        <f t="shared" ca="1" si="66"/>
        <v>-939463901.97919929</v>
      </c>
      <c r="AA52" s="116">
        <f t="shared" ca="1" si="66"/>
        <v>-921942774.86492085</v>
      </c>
      <c r="AB52" s="116">
        <f t="shared" ca="1" si="66"/>
        <v>-912649151.6954788</v>
      </c>
      <c r="AC52" s="116">
        <f t="shared" ca="1" si="66"/>
        <v>-886776077.27114761</v>
      </c>
      <c r="AD52" s="116">
        <f t="shared" ca="1" si="66"/>
        <v>-872709752.88619721</v>
      </c>
      <c r="AE52" s="116">
        <f t="shared" ca="1" si="66"/>
        <v>-846546985.63291764</v>
      </c>
      <c r="AF52" s="116">
        <f t="shared" ca="1" si="66"/>
        <v>-825151097.83722281</v>
      </c>
      <c r="AG52" s="116">
        <f t="shared" ca="1" si="66"/>
        <v>-797329978.1660521</v>
      </c>
      <c r="AH52" s="116">
        <f t="shared" ref="AH52:BM52" ca="1" si="67">AG52+AH51</f>
        <v>-771037645.57054996</v>
      </c>
      <c r="AI52" s="116">
        <f t="shared" ca="1" si="67"/>
        <v>-746266862.3655858</v>
      </c>
      <c r="AJ52" s="116">
        <f t="shared" ca="1" si="67"/>
        <v>-713313367.74240708</v>
      </c>
      <c r="AK52" s="116">
        <f t="shared" ca="1" si="67"/>
        <v>-684776030.26174581</v>
      </c>
      <c r="AL52" s="116">
        <f t="shared" ca="1" si="67"/>
        <v>-646211905.96205318</v>
      </c>
      <c r="AM52" s="116">
        <f t="shared" ca="1" si="67"/>
        <v>-609423069.26053572</v>
      </c>
      <c r="AN52" s="116">
        <f t="shared" ca="1" si="67"/>
        <v>-581804536.77843344</v>
      </c>
      <c r="AO52" s="116">
        <f t="shared" ca="1" si="67"/>
        <v>-522972921.67023569</v>
      </c>
      <c r="AP52" s="116">
        <f t="shared" ca="1" si="67"/>
        <v>-475667275.980923</v>
      </c>
      <c r="AQ52" s="116">
        <f t="shared" ca="1" si="67"/>
        <v>-417272566.61001557</v>
      </c>
      <c r="AR52" s="116">
        <f t="shared" ca="1" si="67"/>
        <v>-365865249.23844731</v>
      </c>
      <c r="AS52" s="116">
        <f t="shared" ca="1" si="67"/>
        <v>-305026357.06163508</v>
      </c>
      <c r="AT52" s="116">
        <f t="shared" ca="1" si="67"/>
        <v>-246369613.42843214</v>
      </c>
      <c r="AU52" s="116">
        <f t="shared" ca="1" si="67"/>
        <v>-190016707.66845542</v>
      </c>
      <c r="AV52" s="116">
        <f t="shared" ca="1" si="67"/>
        <v>-121745177.9473078</v>
      </c>
      <c r="AW52" s="116">
        <f t="shared" ca="1" si="67"/>
        <v>-60624699.414360546</v>
      </c>
      <c r="AX52" s="116">
        <f t="shared" ca="1" si="67"/>
        <v>13904850.716818593</v>
      </c>
      <c r="AY52" s="116">
        <f t="shared" ca="1" si="67"/>
        <v>84762779.473241985</v>
      </c>
      <c r="AZ52" s="116">
        <f t="shared" ca="1" si="67"/>
        <v>141400130.67548889</v>
      </c>
      <c r="BA52" s="116">
        <f t="shared" ca="1" si="67"/>
        <v>237011907.48024565</v>
      </c>
      <c r="BB52" s="116">
        <f t="shared" ca="1" si="67"/>
        <v>312238118.70534807</v>
      </c>
      <c r="BC52" s="116">
        <f t="shared" ca="1" si="67"/>
        <v>398966322.02138507</v>
      </c>
      <c r="BD52" s="116">
        <f t="shared" ca="1" si="67"/>
        <v>474470851.4646731</v>
      </c>
      <c r="BE52" s="116">
        <f t="shared" ca="1" si="67"/>
        <v>560049776.46683872</v>
      </c>
      <c r="BF52" s="116">
        <f t="shared" ca="1" si="67"/>
        <v>640088200.24898696</v>
      </c>
      <c r="BG52" s="116">
        <f t="shared" ca="1" si="67"/>
        <v>714566466.31519318</v>
      </c>
      <c r="BH52" s="116">
        <f t="shared" ca="1" si="67"/>
        <v>800502623.85455585</v>
      </c>
      <c r="BI52" s="116">
        <f t="shared" ca="1" si="67"/>
        <v>875152071.42154431</v>
      </c>
      <c r="BJ52" s="116">
        <f t="shared" ca="1" si="67"/>
        <v>961402668.86392176</v>
      </c>
      <c r="BK52" s="116">
        <f t="shared" ca="1" si="67"/>
        <v>1041712755.7379457</v>
      </c>
      <c r="BL52" s="116">
        <f t="shared" ca="1" si="67"/>
        <v>1110285958.2758861</v>
      </c>
      <c r="BM52" s="116">
        <f t="shared" ca="1" si="67"/>
        <v>1202783968.4042463</v>
      </c>
      <c r="BN52" s="116">
        <f t="shared" ref="BN52" ca="1" si="68">BM52+BN51</f>
        <v>1277669338.4644573</v>
      </c>
      <c r="BO52" s="116">
        <f t="shared" ref="BO52" ca="1" si="69">BN52+BO51</f>
        <v>1364224423.3820219</v>
      </c>
      <c r="BP52" s="116">
        <f t="shared" ref="BP52" ca="1" si="70">BO52+BP51</f>
        <v>1439399168.3837814</v>
      </c>
      <c r="BQ52" s="116">
        <f t="shared" ref="BQ52" ca="1" si="71">BP52+BQ51</f>
        <v>1525996289.810147</v>
      </c>
      <c r="BR52" s="116">
        <f t="shared" ref="BR52" ca="1" si="72">BQ52+BR51</f>
        <v>1606973909.413043</v>
      </c>
      <c r="BS52" s="116">
        <f t="shared" ref="BS52" ca="1" si="73">BR52+BS51</f>
        <v>1682312133.3917077</v>
      </c>
      <c r="BT52" s="116">
        <f t="shared" ref="BT52" ca="1" si="74">BS52+BT51</f>
        <v>1769272055.957129</v>
      </c>
      <c r="BU52" s="116">
        <f t="shared" ref="BU52" ca="1" si="75">BT52+BU51</f>
        <v>1844784443.1575642</v>
      </c>
      <c r="BV52" s="116">
        <f t="shared" ref="BV52" ca="1" si="76">BU52+BV51</f>
        <v>1932063277.2393775</v>
      </c>
      <c r="BW52" s="116">
        <f t="shared" ref="BW52" ca="1" si="77">BV52+BW51</f>
        <v>2013414453.5468764</v>
      </c>
      <c r="BX52" s="116">
        <f t="shared" ref="BX52" ca="1" si="78">BW52+BX51</f>
        <v>2076185157.266979</v>
      </c>
      <c r="BY52" s="116">
        <f t="shared" ref="BY52" ca="1" si="79">BX52+BY51</f>
        <v>2176569040.2532377</v>
      </c>
      <c r="BZ52" s="116">
        <f t="shared" ref="BZ52" ca="1" si="80">BY52+BZ51</f>
        <v>2252415989.9292006</v>
      </c>
      <c r="CA52" s="116">
        <f t="shared" ref="CA52" ca="1" si="81">BZ52+CA51</f>
        <v>2340098911.3515615</v>
      </c>
      <c r="CB52" s="116">
        <f t="shared" ref="CB52" ca="1" si="82">CA52+CB51</f>
        <v>2416240417.1477895</v>
      </c>
      <c r="CC52" s="116">
        <f t="shared" ref="CC52" ca="1" si="83">CB52+CC51</f>
        <v>2503986309.824543</v>
      </c>
      <c r="CD52" s="116">
        <f t="shared" ref="CD52" ca="1" si="84">CC52+CD51</f>
        <v>2586033372.0923371</v>
      </c>
      <c r="CE52" s="116">
        <f t="shared" ref="CE52" ca="1" si="85">CD52+CE51</f>
        <v>2662361373.3796387</v>
      </c>
      <c r="CF52" s="116">
        <f t="shared" ref="CF52" ca="1" si="86">CE52+CF51</f>
        <v>2750476610.4591303</v>
      </c>
      <c r="CG52" s="116">
        <f t="shared" ref="CG52" ca="1" si="87">CF52+CG51</f>
        <v>2826982036.8292289</v>
      </c>
      <c r="CH52" s="116">
        <f t="shared" ref="CH52" ca="1" si="88">CG52+CH51</f>
        <v>2915421747.3837872</v>
      </c>
      <c r="CI52" s="116">
        <f t="shared" ref="CI52" ca="1" si="89">CH52+CI51</f>
        <v>2997869452.5447354</v>
      </c>
      <c r="CJ52" s="116">
        <f t="shared" ref="CJ52" ca="1" si="90">CI52+CJ51</f>
        <v>3061472228.7131763</v>
      </c>
      <c r="CK52" s="116">
        <f t="shared" ref="CK52" ca="1" si="91">CJ52+CK51</f>
        <v>9361946480.9014187</v>
      </c>
    </row>
    <row r="53" spans="2:89" ht="15.75" thickTop="1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</row>
    <row r="54" spans="2:89" ht="15.75" thickBot="1">
      <c r="B54" s="96" t="s">
        <v>152</v>
      </c>
      <c r="C54" s="96"/>
      <c r="D54" s="127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</row>
    <row r="55" spans="2:89" ht="15.75" thickBot="1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</row>
    <row r="56" spans="2:89" ht="15.75" thickTop="1">
      <c r="B56" s="50" t="str">
        <f>"Аккумулированный денежный поток (до дисконтирования), в "&amp;Ед_измерения_денег</f>
        <v>Аккумулированный денежный поток (до дисконтирования), в  руб.</v>
      </c>
      <c r="C56" s="58"/>
      <c r="D56" s="59"/>
      <c r="E56" s="60"/>
      <c r="F56" s="54">
        <f ca="1">D42</f>
        <v>11812900146.040365</v>
      </c>
      <c r="G56" s="50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</row>
    <row r="57" spans="2:89">
      <c r="B57" s="130" t="str">
        <f>"Чистая приведенная стоимость (NPV), в "&amp;Ед_измерения_денег</f>
        <v>Чистая приведенная стоимость (NPV), в  руб.</v>
      </c>
      <c r="C57" s="131"/>
      <c r="D57" s="132"/>
      <c r="E57" s="133"/>
      <c r="F57" s="134">
        <f ca="1">D51</f>
        <v>9361946480.9014187</v>
      </c>
      <c r="G57" s="135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</row>
    <row r="58" spans="2:89">
      <c r="B58" s="136" t="s">
        <v>153</v>
      </c>
      <c r="C58" s="137"/>
      <c r="D58" s="138"/>
      <c r="E58" s="139"/>
      <c r="F58" s="140">
        <f ca="1">XIRR(F42:BM42,$F$9:$BM$9)</f>
        <v>0.32349848151206972</v>
      </c>
      <c r="G58" s="136"/>
      <c r="H58" s="166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</row>
    <row r="59" spans="2:89">
      <c r="B59" s="130" t="str">
        <f>"Простой период окупаемости (PP), в "&amp;Ед_измерения_периода</f>
        <v>Простой период окупаемости (PP), в мес.</v>
      </c>
      <c r="C59" s="131"/>
      <c r="D59" s="132"/>
      <c r="E59" s="133"/>
      <c r="F59" s="134">
        <f ca="1">COUNTIF(F43:BM43,"&lt;0")+1</f>
        <v>44</v>
      </c>
      <c r="G59" s="135" t="str">
        <f ca="1">IF(F59&lt;=SUM(Предпосылки!$C$50:$D$50),"окупается","не окупается")</f>
        <v>окупается</v>
      </c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</row>
    <row r="60" spans="2:89" ht="15.75" thickBot="1">
      <c r="B60" s="112" t="str">
        <f>"Дисконтированный период окупаемости (DPP), в "&amp;Ед_измерения_периода</f>
        <v>Дисконтированный период окупаемости (DPP), в мес.</v>
      </c>
      <c r="C60" s="141"/>
      <c r="D60" s="142"/>
      <c r="E60" s="143"/>
      <c r="F60" s="116">
        <f ca="1">COUNTIF(F52:BM52,"&lt;0")+1</f>
        <v>45</v>
      </c>
      <c r="G60" s="144" t="str">
        <f ca="1">IF(F60&lt;=SUM(Предпосылки!$C$50:$D$50),"окупается","не окупается")</f>
        <v>окупается</v>
      </c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</row>
    <row r="61" spans="2:89" ht="15.75" thickTop="1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</row>
    <row r="62" spans="2:89" ht="18" thickBot="1">
      <c r="B62" s="100" t="s">
        <v>552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</row>
    <row r="63" spans="2:89" ht="15.75" thickTop="1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</row>
    <row r="64" spans="2:89" ht="15.75" thickBot="1">
      <c r="B64" s="96" t="str">
        <f>"Чистый денежный поток на капитал учредителей, в "&amp;Ед_измерения_денег</f>
        <v>Чистый денежный поток на капитал учредителей, в  руб.</v>
      </c>
      <c r="C64" s="96"/>
      <c r="D64" s="127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</row>
    <row r="65" spans="2:89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</row>
    <row r="66" spans="2:89">
      <c r="B66" s="77" t="s">
        <v>79</v>
      </c>
      <c r="C66" s="78"/>
      <c r="D66" s="98">
        <f t="shared" ref="D66:D71" ca="1" si="92">SUM(F66:CK66)</f>
        <v>5072703347.3362122</v>
      </c>
      <c r="E66" s="79"/>
      <c r="F66" s="80">
        <f t="shared" ref="F66:AK66" ca="1" si="93">F39</f>
        <v>0</v>
      </c>
      <c r="G66" s="80">
        <f t="shared" ca="1" si="93"/>
        <v>0</v>
      </c>
      <c r="H66" s="80">
        <f t="shared" ca="1" si="93"/>
        <v>0</v>
      </c>
      <c r="I66" s="80">
        <f t="shared" ca="1" si="93"/>
        <v>0</v>
      </c>
      <c r="J66" s="80">
        <f t="shared" ca="1" si="93"/>
        <v>0</v>
      </c>
      <c r="K66" s="80">
        <f t="shared" ca="1" si="93"/>
        <v>0</v>
      </c>
      <c r="L66" s="80">
        <f t="shared" ca="1" si="93"/>
        <v>0</v>
      </c>
      <c r="M66" s="80">
        <f t="shared" ca="1" si="93"/>
        <v>0</v>
      </c>
      <c r="N66" s="80">
        <f t="shared" ca="1" si="93"/>
        <v>0</v>
      </c>
      <c r="O66" s="80">
        <f t="shared" ca="1" si="93"/>
        <v>0</v>
      </c>
      <c r="P66" s="80">
        <f t="shared" ca="1" si="93"/>
        <v>0</v>
      </c>
      <c r="Q66" s="80">
        <f t="shared" ca="1" si="93"/>
        <v>-1030062.6752411524</v>
      </c>
      <c r="R66" s="80">
        <f t="shared" ca="1" si="93"/>
        <v>51372700.024010994</v>
      </c>
      <c r="S66" s="80">
        <f t="shared" ca="1" si="93"/>
        <v>25556252.968714036</v>
      </c>
      <c r="T66" s="80">
        <f t="shared" ca="1" si="93"/>
        <v>20342001.908056237</v>
      </c>
      <c r="U66" s="80">
        <f t="shared" ca="1" si="93"/>
        <v>20694696.763543017</v>
      </c>
      <c r="V66" s="80">
        <f t="shared" ca="1" si="93"/>
        <v>18122461.849501472</v>
      </c>
      <c r="W66" s="80">
        <f t="shared" ca="1" si="93"/>
        <v>15524859.04286433</v>
      </c>
      <c r="X66" s="80">
        <f t="shared" ca="1" si="93"/>
        <v>21050675.337103322</v>
      </c>
      <c r="Y66" s="80">
        <f t="shared" ca="1" si="93"/>
        <v>15728976.729470951</v>
      </c>
      <c r="Z66" s="80">
        <f t="shared" ca="1" si="93"/>
        <v>21267755.662836097</v>
      </c>
      <c r="AA66" s="80">
        <f t="shared" ca="1" si="93"/>
        <v>18673492.093337081</v>
      </c>
      <c r="AB66" s="80">
        <f t="shared" ca="1" si="93"/>
        <v>9931227.3595089186</v>
      </c>
      <c r="AC66" s="80">
        <f t="shared" ca="1" si="93"/>
        <v>27729621.951419506</v>
      </c>
      <c r="AD66" s="80">
        <f t="shared" ca="1" si="93"/>
        <v>15118661.995004714</v>
      </c>
      <c r="AE66" s="80">
        <f t="shared" ca="1" si="93"/>
        <v>28202944.478607804</v>
      </c>
      <c r="AF66" s="80">
        <f t="shared" ca="1" si="93"/>
        <v>23130121.000382647</v>
      </c>
      <c r="AG66" s="80">
        <f t="shared" ca="1" si="93"/>
        <v>30164785.601121936</v>
      </c>
      <c r="AH66" s="80">
        <f t="shared" ca="1" si="93"/>
        <v>28591227.518060483</v>
      </c>
      <c r="AI66" s="80">
        <f t="shared" ca="1" si="93"/>
        <v>27013461.656634618</v>
      </c>
      <c r="AJ66" s="80">
        <f t="shared" ca="1" si="93"/>
        <v>36042924.731466047</v>
      </c>
      <c r="AK66" s="80">
        <f t="shared" ca="1" si="93"/>
        <v>31301764.329477888</v>
      </c>
      <c r="AL66" s="80">
        <f t="shared" ref="AL66:BM66" ca="1" si="94">AL39</f>
        <v>42424514.95293282</v>
      </c>
      <c r="AM66" s="80">
        <f t="shared" ca="1" si="94"/>
        <v>40590790.798295259</v>
      </c>
      <c r="AN66" s="80">
        <f t="shared" ca="1" si="94"/>
        <v>30553883.572735876</v>
      </c>
      <c r="AO66" s="80">
        <f t="shared" ca="1" si="94"/>
        <v>65276165.925659351</v>
      </c>
      <c r="AP66" s="80">
        <f t="shared" ca="1" si="94"/>
        <v>52637306.673793353</v>
      </c>
      <c r="AQ66" s="80">
        <f t="shared" ca="1" si="94"/>
        <v>65167675.698310554</v>
      </c>
      <c r="AR66" s="80">
        <f t="shared" ca="1" si="94"/>
        <v>57533459.600628182</v>
      </c>
      <c r="AS66" s="80">
        <f t="shared" ca="1" si="94"/>
        <v>68289650.701986283</v>
      </c>
      <c r="AT66" s="80">
        <f t="shared" ca="1" si="94"/>
        <v>66034301.561717801</v>
      </c>
      <c r="AU66" s="80">
        <f t="shared" ca="1" si="94"/>
        <v>63621627.204312533</v>
      </c>
      <c r="AV66" s="80">
        <f t="shared" ca="1" si="94"/>
        <v>77304742.391920924</v>
      </c>
      <c r="AW66" s="80">
        <f t="shared" ca="1" si="94"/>
        <v>69404889.546474054</v>
      </c>
      <c r="AX66" s="80">
        <f t="shared" ca="1" si="94"/>
        <v>84880878.720417023</v>
      </c>
      <c r="AY66" s="80">
        <f t="shared" ca="1" si="94"/>
        <v>80937142.223391235</v>
      </c>
      <c r="AZ66" s="80">
        <f t="shared" ca="1" si="94"/>
        <v>64865939.18623969</v>
      </c>
      <c r="BA66" s="80">
        <f t="shared" ca="1" si="94"/>
        <v>109825505.49820565</v>
      </c>
      <c r="BB66" s="80">
        <f t="shared" ca="1" si="94"/>
        <v>86655838.559317887</v>
      </c>
      <c r="BC66" s="80">
        <f t="shared" ca="1" si="94"/>
        <v>100199841.65257075</v>
      </c>
      <c r="BD66" s="80">
        <f t="shared" ca="1" si="94"/>
        <v>87481558.053787678</v>
      </c>
      <c r="BE66" s="80">
        <f t="shared" ca="1" si="94"/>
        <v>99446242.039511412</v>
      </c>
      <c r="BF66" s="80">
        <f t="shared" ca="1" si="94"/>
        <v>93282058.730710268</v>
      </c>
      <c r="BG66" s="80">
        <f t="shared" ca="1" si="94"/>
        <v>87049437.780063286</v>
      </c>
      <c r="BH66" s="80">
        <f t="shared" ca="1" si="94"/>
        <v>100737319.35358956</v>
      </c>
      <c r="BI66" s="80">
        <f t="shared" ca="1" si="94"/>
        <v>87756213.325247511</v>
      </c>
      <c r="BJ66" s="80">
        <f t="shared" ca="1" si="94"/>
        <v>101693087.8495743</v>
      </c>
      <c r="BK66" s="80">
        <f t="shared" ca="1" si="94"/>
        <v>94967273.993581697</v>
      </c>
      <c r="BL66" s="80">
        <f t="shared" ca="1" si="94"/>
        <v>81311249.169512779</v>
      </c>
      <c r="BM66" s="80">
        <f t="shared" ca="1" si="94"/>
        <v>110002649.13935342</v>
      </c>
      <c r="BN66" s="80">
        <f t="shared" ref="BN66:CK66" ca="1" si="95">BN39</f>
        <v>89310222.924188897</v>
      </c>
      <c r="BO66" s="80">
        <f t="shared" ca="1" si="95"/>
        <v>103531220.42752378</v>
      </c>
      <c r="BP66" s="80">
        <f t="shared" ca="1" si="95"/>
        <v>90174584.380946681</v>
      </c>
      <c r="BQ66" s="80">
        <f t="shared" ca="1" si="95"/>
        <v>104181401.42789978</v>
      </c>
      <c r="BR66" s="80">
        <f t="shared" ca="1" si="95"/>
        <v>97707139.537516743</v>
      </c>
      <c r="BS66" s="80">
        <f t="shared" ca="1" si="95"/>
        <v>91161216.045361325</v>
      </c>
      <c r="BT66" s="80">
        <f t="shared" ca="1" si="95"/>
        <v>105533035.42439212</v>
      </c>
      <c r="BU66" s="80">
        <f t="shared" ca="1" si="95"/>
        <v>91901145.452689767</v>
      </c>
      <c r="BV66" s="80">
        <f t="shared" ca="1" si="95"/>
        <v>106533504.60771182</v>
      </c>
      <c r="BW66" s="80">
        <f t="shared" ca="1" si="95"/>
        <v>99590786.157027274</v>
      </c>
      <c r="BX66" s="80">
        <f t="shared" ca="1" si="95"/>
        <v>77048942.935822695</v>
      </c>
      <c r="BY66" s="80">
        <f t="shared" ca="1" si="95"/>
        <v>123581005.25629458</v>
      </c>
      <c r="BZ66" s="80">
        <f t="shared" ca="1" si="95"/>
        <v>93640272.880785197</v>
      </c>
      <c r="CA66" s="80">
        <f t="shared" ca="1" si="95"/>
        <v>108571942.45745608</v>
      </c>
      <c r="CB66" s="80">
        <f t="shared" ca="1" si="95"/>
        <v>94549856.965218306</v>
      </c>
      <c r="CC66" s="80">
        <f t="shared" ca="1" si="95"/>
        <v>109280898.48095848</v>
      </c>
      <c r="CD66" s="80">
        <f t="shared" ca="1" si="95"/>
        <v>102484583.74536109</v>
      </c>
      <c r="CE66" s="80">
        <f t="shared" ca="1" si="95"/>
        <v>95612839.138984859</v>
      </c>
      <c r="CF66" s="80">
        <f t="shared" ca="1" si="95"/>
        <v>110703508.17204452</v>
      </c>
      <c r="CG66" s="80">
        <f t="shared" ca="1" si="95"/>
        <v>96391652.975654408</v>
      </c>
      <c r="CH66" s="80">
        <f t="shared" ca="1" si="95"/>
        <v>111756436.70748574</v>
      </c>
      <c r="CI66" s="80">
        <f t="shared" ca="1" si="95"/>
        <v>104491713.53280099</v>
      </c>
      <c r="CJ66" s="80">
        <f t="shared" ca="1" si="95"/>
        <v>80822767.102738827</v>
      </c>
      <c r="CK66" s="80">
        <f t="shared" ca="1" si="95"/>
        <v>129680876.3696266</v>
      </c>
    </row>
    <row r="67" spans="2:89">
      <c r="B67" s="77" t="s">
        <v>146</v>
      </c>
      <c r="C67" s="78"/>
      <c r="D67" s="98">
        <f t="shared" si="92"/>
        <v>-1160000000</v>
      </c>
      <c r="E67" s="79"/>
      <c r="F67" s="80">
        <f t="shared" ref="F67:AK67" si="96">F40</f>
        <v>-65740000.000000007</v>
      </c>
      <c r="G67" s="80">
        <f t="shared" si="96"/>
        <v>-65740000.000000007</v>
      </c>
      <c r="H67" s="80">
        <f t="shared" si="96"/>
        <v>-61270000.000000007</v>
      </c>
      <c r="I67" s="80">
        <f t="shared" si="96"/>
        <v>-148230000</v>
      </c>
      <c r="J67" s="80">
        <f t="shared" si="96"/>
        <v>-148230000</v>
      </c>
      <c r="K67" s="80">
        <f t="shared" si="96"/>
        <v>-143900000</v>
      </c>
      <c r="L67" s="80">
        <f t="shared" si="96"/>
        <v>-94200000</v>
      </c>
      <c r="M67" s="80">
        <f t="shared" si="96"/>
        <v>-99900000</v>
      </c>
      <c r="N67" s="80">
        <f t="shared" si="96"/>
        <v>-104400000</v>
      </c>
      <c r="O67" s="80">
        <f t="shared" si="96"/>
        <v>-67560000</v>
      </c>
      <c r="P67" s="80">
        <f t="shared" si="96"/>
        <v>-74630000</v>
      </c>
      <c r="Q67" s="80">
        <f t="shared" si="96"/>
        <v>-86200000</v>
      </c>
      <c r="R67" s="80">
        <f t="shared" si="96"/>
        <v>0</v>
      </c>
      <c r="S67" s="80">
        <f t="shared" si="96"/>
        <v>0</v>
      </c>
      <c r="T67" s="80">
        <f t="shared" si="96"/>
        <v>0</v>
      </c>
      <c r="U67" s="80">
        <f t="shared" si="96"/>
        <v>0</v>
      </c>
      <c r="V67" s="80">
        <f t="shared" si="96"/>
        <v>0</v>
      </c>
      <c r="W67" s="80">
        <f t="shared" si="96"/>
        <v>0</v>
      </c>
      <c r="X67" s="80">
        <f t="shared" si="96"/>
        <v>0</v>
      </c>
      <c r="Y67" s="80">
        <f t="shared" si="96"/>
        <v>0</v>
      </c>
      <c r="Z67" s="80">
        <f t="shared" si="96"/>
        <v>0</v>
      </c>
      <c r="AA67" s="80">
        <f t="shared" si="96"/>
        <v>0</v>
      </c>
      <c r="AB67" s="80">
        <f t="shared" si="96"/>
        <v>0</v>
      </c>
      <c r="AC67" s="80">
        <f t="shared" si="96"/>
        <v>0</v>
      </c>
      <c r="AD67" s="80">
        <f t="shared" si="96"/>
        <v>0</v>
      </c>
      <c r="AE67" s="80">
        <f t="shared" si="96"/>
        <v>0</v>
      </c>
      <c r="AF67" s="80">
        <f t="shared" si="96"/>
        <v>0</v>
      </c>
      <c r="AG67" s="80">
        <f t="shared" si="96"/>
        <v>0</v>
      </c>
      <c r="AH67" s="80">
        <f t="shared" si="96"/>
        <v>0</v>
      </c>
      <c r="AI67" s="80">
        <f t="shared" si="96"/>
        <v>0</v>
      </c>
      <c r="AJ67" s="80">
        <f t="shared" si="96"/>
        <v>0</v>
      </c>
      <c r="AK67" s="80">
        <f t="shared" si="96"/>
        <v>0</v>
      </c>
      <c r="AL67" s="80">
        <f t="shared" ref="AL67:BM67" si="97">AL40</f>
        <v>0</v>
      </c>
      <c r="AM67" s="80">
        <f t="shared" si="97"/>
        <v>0</v>
      </c>
      <c r="AN67" s="80">
        <f t="shared" si="97"/>
        <v>0</v>
      </c>
      <c r="AO67" s="80">
        <f t="shared" si="97"/>
        <v>0</v>
      </c>
      <c r="AP67" s="80">
        <f t="shared" si="97"/>
        <v>0</v>
      </c>
      <c r="AQ67" s="80">
        <f t="shared" si="97"/>
        <v>0</v>
      </c>
      <c r="AR67" s="80">
        <f t="shared" si="97"/>
        <v>0</v>
      </c>
      <c r="AS67" s="80">
        <f t="shared" si="97"/>
        <v>0</v>
      </c>
      <c r="AT67" s="80">
        <f t="shared" si="97"/>
        <v>0</v>
      </c>
      <c r="AU67" s="80">
        <f t="shared" si="97"/>
        <v>0</v>
      </c>
      <c r="AV67" s="80">
        <f t="shared" si="97"/>
        <v>0</v>
      </c>
      <c r="AW67" s="80">
        <f t="shared" si="97"/>
        <v>0</v>
      </c>
      <c r="AX67" s="80">
        <f t="shared" si="97"/>
        <v>0</v>
      </c>
      <c r="AY67" s="80">
        <f t="shared" si="97"/>
        <v>0</v>
      </c>
      <c r="AZ67" s="80">
        <f t="shared" si="97"/>
        <v>0</v>
      </c>
      <c r="BA67" s="80">
        <f t="shared" si="97"/>
        <v>0</v>
      </c>
      <c r="BB67" s="80">
        <f t="shared" si="97"/>
        <v>0</v>
      </c>
      <c r="BC67" s="80">
        <f t="shared" si="97"/>
        <v>0</v>
      </c>
      <c r="BD67" s="80">
        <f t="shared" si="97"/>
        <v>0</v>
      </c>
      <c r="BE67" s="80">
        <f t="shared" si="97"/>
        <v>0</v>
      </c>
      <c r="BF67" s="80">
        <f t="shared" si="97"/>
        <v>0</v>
      </c>
      <c r="BG67" s="80">
        <f t="shared" si="97"/>
        <v>0</v>
      </c>
      <c r="BH67" s="80">
        <f t="shared" si="97"/>
        <v>0</v>
      </c>
      <c r="BI67" s="80">
        <f t="shared" si="97"/>
        <v>0</v>
      </c>
      <c r="BJ67" s="80">
        <f t="shared" si="97"/>
        <v>0</v>
      </c>
      <c r="BK67" s="80">
        <f t="shared" si="97"/>
        <v>0</v>
      </c>
      <c r="BL67" s="80">
        <f t="shared" si="97"/>
        <v>0</v>
      </c>
      <c r="BM67" s="80">
        <f t="shared" si="97"/>
        <v>0</v>
      </c>
      <c r="BN67" s="80">
        <f t="shared" ref="BN67:CK67" si="98">BN40</f>
        <v>0</v>
      </c>
      <c r="BO67" s="80">
        <f t="shared" si="98"/>
        <v>0</v>
      </c>
      <c r="BP67" s="80">
        <f t="shared" si="98"/>
        <v>0</v>
      </c>
      <c r="BQ67" s="80">
        <f t="shared" si="98"/>
        <v>0</v>
      </c>
      <c r="BR67" s="80">
        <f t="shared" si="98"/>
        <v>0</v>
      </c>
      <c r="BS67" s="80">
        <f t="shared" si="98"/>
        <v>0</v>
      </c>
      <c r="BT67" s="80">
        <f t="shared" si="98"/>
        <v>0</v>
      </c>
      <c r="BU67" s="80">
        <f t="shared" si="98"/>
        <v>0</v>
      </c>
      <c r="BV67" s="80">
        <f t="shared" si="98"/>
        <v>0</v>
      </c>
      <c r="BW67" s="80">
        <f t="shared" si="98"/>
        <v>0</v>
      </c>
      <c r="BX67" s="80">
        <f t="shared" si="98"/>
        <v>0</v>
      </c>
      <c r="BY67" s="80">
        <f t="shared" si="98"/>
        <v>0</v>
      </c>
      <c r="BZ67" s="80">
        <f t="shared" si="98"/>
        <v>0</v>
      </c>
      <c r="CA67" s="80">
        <f t="shared" si="98"/>
        <v>0</v>
      </c>
      <c r="CB67" s="80">
        <f t="shared" si="98"/>
        <v>0</v>
      </c>
      <c r="CC67" s="80">
        <f t="shared" si="98"/>
        <v>0</v>
      </c>
      <c r="CD67" s="80">
        <f t="shared" si="98"/>
        <v>0</v>
      </c>
      <c r="CE67" s="80">
        <f t="shared" si="98"/>
        <v>0</v>
      </c>
      <c r="CF67" s="80">
        <f t="shared" si="98"/>
        <v>0</v>
      </c>
      <c r="CG67" s="80">
        <f t="shared" si="98"/>
        <v>0</v>
      </c>
      <c r="CH67" s="80">
        <f t="shared" si="98"/>
        <v>0</v>
      </c>
      <c r="CI67" s="80">
        <f t="shared" si="98"/>
        <v>0</v>
      </c>
      <c r="CJ67" s="80">
        <f t="shared" si="98"/>
        <v>0</v>
      </c>
      <c r="CK67" s="80">
        <f t="shared" si="98"/>
        <v>0</v>
      </c>
    </row>
    <row r="68" spans="2:89">
      <c r="B68" s="77" t="s">
        <v>77</v>
      </c>
      <c r="C68" s="78"/>
      <c r="D68" s="98">
        <f t="shared" si="92"/>
        <v>-267718562.89499858</v>
      </c>
      <c r="E68" s="79"/>
      <c r="F68" s="80">
        <f>Отчетность_по_периодам!F119</f>
        <v>0</v>
      </c>
      <c r="G68" s="80">
        <f>Отчетность_по_периодам!G119</f>
        <v>-879041.09589041094</v>
      </c>
      <c r="H68" s="80">
        <f>Отчетность_по_периодам!H119</f>
        <v>-850684.93150684924</v>
      </c>
      <c r="I68" s="80">
        <f>Отчетность_по_периодам!I119</f>
        <v>-879041.09589041094</v>
      </c>
      <c r="J68" s="80">
        <f>Отчетность_по_периодам!J119</f>
        <v>-2790000</v>
      </c>
      <c r="K68" s="80">
        <f>Отчетность_по_периодам!K119</f>
        <v>-2699999.9999999995</v>
      </c>
      <c r="L68" s="80">
        <f>Отчетность_по_периодам!L119</f>
        <v>-2790000</v>
      </c>
      <c r="M68" s="80">
        <f>Отчетность_по_периодам!M119</f>
        <v>-4924109.5890410952</v>
      </c>
      <c r="N68" s="80">
        <f>Отчетность_по_периодам!N119</f>
        <v>-5088246.5753424652</v>
      </c>
      <c r="O68" s="80">
        <f>Отчетность_по_периодам!O119</f>
        <v>-5074344.2622950822</v>
      </c>
      <c r="P68" s="80">
        <f>Отчетность_по_периодам!P119</f>
        <v>-6180327.8688524598</v>
      </c>
      <c r="Q68" s="80">
        <f>Отчетность_по_периодам!Q119</f>
        <v>-6606557.3770491797</v>
      </c>
      <c r="R68" s="80">
        <f>Отчетность_по_периодам!R119</f>
        <v>-6393442.6229508193</v>
      </c>
      <c r="S68" s="80">
        <f>Отчетность_по_периодам!S119</f>
        <v>-6553620.2185792346</v>
      </c>
      <c r="T68" s="80">
        <f>Отчетность_по_периодам!T119</f>
        <v>-6290983.6065573767</v>
      </c>
      <c r="U68" s="80">
        <f>Отчетность_по_периодам!U119</f>
        <v>-6447745.9016393442</v>
      </c>
      <c r="V68" s="80">
        <f>Отчетность_по_периодам!V119</f>
        <v>-6394808.743169399</v>
      </c>
      <c r="W68" s="80">
        <f>Отчетность_по_периодам!W119</f>
        <v>-6137295.0819672123</v>
      </c>
      <c r="X68" s="80">
        <f>Отчетность_по_периодам!X119</f>
        <v>-6288934.4262295077</v>
      </c>
      <c r="Y68" s="80">
        <f>Отчетность_по_периодам!Y119</f>
        <v>-6034836.0655737706</v>
      </c>
      <c r="Z68" s="80">
        <f>Отчетность_по_периодам!Z119</f>
        <v>-6183060.1092896173</v>
      </c>
      <c r="AA68" s="80">
        <f>Отчетность_по_периодам!AA119</f>
        <v>-6146917.8082191776</v>
      </c>
      <c r="AB68" s="80">
        <f>Отчетность_по_периодам!AB119</f>
        <v>-5504109.5890410962</v>
      </c>
      <c r="AC68" s="80">
        <f>Отчетность_по_периодам!AC119</f>
        <v>-6040753.4246575339</v>
      </c>
      <c r="AD68" s="80">
        <f>Отчетность_по_периодам!AD119</f>
        <v>-5794520.5479452051</v>
      </c>
      <c r="AE68" s="80">
        <f>Отчетность_по_периодам!AE119</f>
        <v>-5867857.1428571427</v>
      </c>
      <c r="AF68" s="80">
        <f>Отчетность_по_периодам!AF119</f>
        <v>-5562622.3091976512</v>
      </c>
      <c r="AG68" s="80">
        <f>Отчетность_по_периодам!AG119</f>
        <v>-5628228.9628180042</v>
      </c>
      <c r="AH68" s="80">
        <f>Отчетность_по_периодам!AH119</f>
        <v>-5508414.8727984354</v>
      </c>
      <c r="AI68" s="80">
        <f>Отчетность_по_периодам!AI119</f>
        <v>-5214774.9510763213</v>
      </c>
      <c r="AJ68" s="80">
        <f>Отчетность_по_периодам!AJ119</f>
        <v>-5268786.6927592959</v>
      </c>
      <c r="AK68" s="80">
        <f>Отчетность_по_периодам!AK119</f>
        <v>-4982876.7123287674</v>
      </c>
      <c r="AL68" s="80">
        <f>Отчетность_по_периодам!AL119</f>
        <v>-5029158.5127201574</v>
      </c>
      <c r="AM68" s="80">
        <f>Отчетность_по_периодам!AM119</f>
        <v>-4909344.4227005877</v>
      </c>
      <c r="AN68" s="80">
        <f>Отчетность_по_периодам!AN119</f>
        <v>-4326027.3972602747</v>
      </c>
      <c r="AO68" s="80">
        <f>Отчетность_по_периодам!AO119</f>
        <v>-4669716.2426614482</v>
      </c>
      <c r="AP68" s="80">
        <f>Отчетность_по_периодам!AP119</f>
        <v>-4403131.1154598836</v>
      </c>
      <c r="AQ68" s="80">
        <f>Отчетность_по_периодам!AQ119</f>
        <v>-4430088.0626223106</v>
      </c>
      <c r="AR68" s="80">
        <f>Отчетность_по_периодам!AR119</f>
        <v>-4171232.8767123297</v>
      </c>
      <c r="AS68" s="80">
        <f>Отчетность_по_периодам!AS119</f>
        <v>-4190459.8825831711</v>
      </c>
      <c r="AT68" s="80">
        <f>Отчетность_по_периодам!AT119</f>
        <v>-4070645.7925636023</v>
      </c>
      <c r="AU68" s="80">
        <f>Отчетность_по_периодам!AU119</f>
        <v>-3823385.5185909988</v>
      </c>
      <c r="AV68" s="80">
        <f>Отчетность_по_периодам!AV119</f>
        <v>-3831017.6125244633</v>
      </c>
      <c r="AW68" s="80">
        <f>Отчетность_по_периодам!AW119</f>
        <v>-3591487.2798434459</v>
      </c>
      <c r="AX68" s="80">
        <f>Отчетность_по_периодам!AX119</f>
        <v>-3591389.4324853243</v>
      </c>
      <c r="AY68" s="80">
        <f>Отчетность_по_периодам!AY119</f>
        <v>-3471575.3424657555</v>
      </c>
      <c r="AZ68" s="80">
        <f>Отчетность_по_периодам!AZ119</f>
        <v>-3027397.2602739744</v>
      </c>
      <c r="BA68" s="80">
        <f>Отчетность_по_периодам!BA119</f>
        <v>-3231947.1624266161</v>
      </c>
      <c r="BB68" s="80">
        <f>Отчетность_по_периодам!BB119</f>
        <v>-3011741.6829745611</v>
      </c>
      <c r="BC68" s="80">
        <f>Отчетность_по_периодам!BC119</f>
        <v>-2992318.9823874775</v>
      </c>
      <c r="BD68" s="80">
        <f>Отчетность_по_периодам!BD119</f>
        <v>-2779843.4442270072</v>
      </c>
      <c r="BE68" s="80">
        <f>Отчетность_по_периодам!BE119</f>
        <v>-2752690.8023483381</v>
      </c>
      <c r="BF68" s="80">
        <f>Отчетность_по_периодам!BF119</f>
        <v>-2632876.7123287688</v>
      </c>
      <c r="BG68" s="80">
        <f>Отчетность_по_периодам!BG119</f>
        <v>-2431996.0861056764</v>
      </c>
      <c r="BH68" s="80">
        <f>Отчетность_по_периодам!BH119</f>
        <v>-2393248.5322896298</v>
      </c>
      <c r="BI68" s="80">
        <f>Отчетность_по_периодам!BI119</f>
        <v>-2200097.8473581225</v>
      </c>
      <c r="BJ68" s="80">
        <f>Отчетность_по_периодам!BJ119</f>
        <v>-2153620.3522504903</v>
      </c>
      <c r="BK68" s="80">
        <f>Отчетность_по_периодам!BK119</f>
        <v>-2028249.4145199074</v>
      </c>
      <c r="BL68" s="80">
        <f>Отчетность_по_периодам!BL119</f>
        <v>-1785616.7056986743</v>
      </c>
      <c r="BM68" s="80">
        <f>Отчетность_по_периодам!BM119</f>
        <v>-1789275.9562841542</v>
      </c>
      <c r="BN68" s="80">
        <f>Отчетность_по_периодам!BN119</f>
        <v>-1615925.0585480104</v>
      </c>
      <c r="BO68" s="80">
        <f>Отчетность_по_периодам!BO119</f>
        <v>-1550302.498048401</v>
      </c>
      <c r="BP68" s="80">
        <f>Отчетность_по_периодам!BP119</f>
        <v>-1384660.421545669</v>
      </c>
      <c r="BQ68" s="80">
        <f>Отчетность_по_периодам!BQ119</f>
        <v>-1311329.0398126475</v>
      </c>
      <c r="BR68" s="80">
        <f>Отчетность_по_периодам!BR119</f>
        <v>-1191842.3106947711</v>
      </c>
      <c r="BS68" s="80">
        <f>Отчетность_по_периодам!BS119</f>
        <v>-1037763.4660421559</v>
      </c>
      <c r="BT68" s="80">
        <f>Отчетность_по_периодам!BT119</f>
        <v>-952868.85245901777</v>
      </c>
      <c r="BU68" s="80">
        <f>Отчетность_по_периодам!BU119</f>
        <v>-870901.63934426359</v>
      </c>
      <c r="BV68" s="80">
        <f>Отчетность_по_периодам!BV119</f>
        <v>-846994.53551912704</v>
      </c>
      <c r="BW68" s="80">
        <f>Отчетность_по_периодам!BW119</f>
        <v>-796232.87671233015</v>
      </c>
      <c r="BX68" s="80">
        <f>Отчетность_по_периодам!BX119</f>
        <v>-671232.87671233015</v>
      </c>
      <c r="BY68" s="80">
        <f>Отчетность_по_периодам!BY119</f>
        <v>-690068.49315068638</v>
      </c>
      <c r="BZ68" s="80">
        <f>Отчетность_по_периодам!BZ119</f>
        <v>-616438.35616438475</v>
      </c>
      <c r="CA68" s="80">
        <f>Отчетность_по_периодам!CA119</f>
        <v>-583904.10958904249</v>
      </c>
      <c r="CB68" s="80">
        <f>Отчетность_по_периодам!CB119</f>
        <v>-513698.6301369876</v>
      </c>
      <c r="CC68" s="80">
        <f>Отчетность_по_периодам!CC119</f>
        <v>-477739.72602739866</v>
      </c>
      <c r="CD68" s="80">
        <f>Отчетность_по_периодам!CD119</f>
        <v>-424657.53424657678</v>
      </c>
      <c r="CE68" s="80">
        <f>Отчетность_по_периодам!CE119</f>
        <v>-359589.04109589173</v>
      </c>
      <c r="CF68" s="80">
        <f>Отчетность_по_периодам!CF119</f>
        <v>-318493.15068493289</v>
      </c>
      <c r="CG68" s="80">
        <f>Отчетность_по_периодам!CG119</f>
        <v>-256849.31506849447</v>
      </c>
      <c r="CH68" s="80">
        <f>Отчетность_по_периодам!CH119</f>
        <v>-212328.76712328906</v>
      </c>
      <c r="CI68" s="80">
        <f>Отчетность_по_периодам!CI119</f>
        <v>-159246.57534246711</v>
      </c>
      <c r="CJ68" s="80">
        <f>Отчетность_по_периодам!CJ119</f>
        <v>-95890.410958905355</v>
      </c>
      <c r="CK68" s="80">
        <f>Отчетность_по_периодам!CK119</f>
        <v>-53082.191780823297</v>
      </c>
    </row>
    <row r="69" spans="2:89">
      <c r="B69" s="77" t="s">
        <v>101</v>
      </c>
      <c r="C69" s="78"/>
      <c r="D69" s="98">
        <f t="shared" si="92"/>
        <v>1200000000</v>
      </c>
      <c r="E69" s="79"/>
      <c r="F69" s="80">
        <f>Отчетность_по_периодам!F114</f>
        <v>207000000</v>
      </c>
      <c r="G69" s="80">
        <f>Отчетность_по_периодам!G114</f>
        <v>0</v>
      </c>
      <c r="H69" s="80">
        <f>Отчетность_по_периодам!H114</f>
        <v>0</v>
      </c>
      <c r="I69" s="80">
        <f>Отчетность_по_периодам!I114</f>
        <v>450000000</v>
      </c>
      <c r="J69" s="80">
        <f>Отчетность_по_периодам!J114</f>
        <v>0</v>
      </c>
      <c r="K69" s="80">
        <f>Отчетность_по_периодам!K114</f>
        <v>0</v>
      </c>
      <c r="L69" s="80">
        <f>Отчетность_по_периодам!L114</f>
        <v>300000000</v>
      </c>
      <c r="M69" s="80">
        <f>Отчетность_по_периодам!M114</f>
        <v>0</v>
      </c>
      <c r="N69" s="80">
        <f>Отчетность_по_периодам!N114</f>
        <v>0</v>
      </c>
      <c r="O69" s="80">
        <f>Отчетность_по_периодам!O114</f>
        <v>243000000</v>
      </c>
      <c r="P69" s="80">
        <f>Отчетность_по_периодам!P114</f>
        <v>0</v>
      </c>
      <c r="Q69" s="80">
        <f>Отчетность_по_периодам!Q114</f>
        <v>0</v>
      </c>
      <c r="R69" s="80">
        <f>Отчетность_по_периодам!R114</f>
        <v>0</v>
      </c>
      <c r="S69" s="80">
        <f>Отчетность_по_периодам!S114</f>
        <v>0</v>
      </c>
      <c r="T69" s="80">
        <f>Отчетность_по_периодам!T114</f>
        <v>0</v>
      </c>
      <c r="U69" s="80">
        <f>Отчетность_по_периодам!U114</f>
        <v>0</v>
      </c>
      <c r="V69" s="80">
        <f>Отчетность_по_периодам!V114</f>
        <v>0</v>
      </c>
      <c r="W69" s="80">
        <f>Отчетность_по_периодам!W114</f>
        <v>0</v>
      </c>
      <c r="X69" s="80">
        <f>Отчетность_по_периодам!X114</f>
        <v>0</v>
      </c>
      <c r="Y69" s="80">
        <f>Отчетность_по_периодам!Y114</f>
        <v>0</v>
      </c>
      <c r="Z69" s="80">
        <f>Отчетность_по_периодам!Z114</f>
        <v>0</v>
      </c>
      <c r="AA69" s="80">
        <f>Отчетность_по_периодам!AA114</f>
        <v>0</v>
      </c>
      <c r="AB69" s="80">
        <f>Отчетность_по_периодам!AB114</f>
        <v>0</v>
      </c>
      <c r="AC69" s="80">
        <f>Отчетность_по_периодам!AC114</f>
        <v>0</v>
      </c>
      <c r="AD69" s="80">
        <f>Отчетность_по_периодам!AD114</f>
        <v>0</v>
      </c>
      <c r="AE69" s="80">
        <f>Отчетность_по_периодам!AE114</f>
        <v>0</v>
      </c>
      <c r="AF69" s="80">
        <f>Отчетность_по_периодам!AF114</f>
        <v>0</v>
      </c>
      <c r="AG69" s="80">
        <f>Отчетность_по_периодам!AG114</f>
        <v>0</v>
      </c>
      <c r="AH69" s="80">
        <f>Отчетность_по_периодам!AH114</f>
        <v>0</v>
      </c>
      <c r="AI69" s="80">
        <f>Отчетность_по_периодам!AI114</f>
        <v>0</v>
      </c>
      <c r="AJ69" s="80">
        <f>Отчетность_по_периодам!AJ114</f>
        <v>0</v>
      </c>
      <c r="AK69" s="80">
        <f>Отчетность_по_периодам!AK114</f>
        <v>0</v>
      </c>
      <c r="AL69" s="80">
        <f>Отчетность_по_периодам!AL114</f>
        <v>0</v>
      </c>
      <c r="AM69" s="80">
        <f>Отчетность_по_периодам!AM114</f>
        <v>0</v>
      </c>
      <c r="AN69" s="80">
        <f>Отчетность_по_периодам!AN114</f>
        <v>0</v>
      </c>
      <c r="AO69" s="80">
        <f>Отчетность_по_периодам!AO114</f>
        <v>0</v>
      </c>
      <c r="AP69" s="80">
        <f>Отчетность_по_периодам!AP114</f>
        <v>0</v>
      </c>
      <c r="AQ69" s="80">
        <f>Отчетность_по_периодам!AQ114</f>
        <v>0</v>
      </c>
      <c r="AR69" s="80">
        <f>Отчетность_по_периодам!AR114</f>
        <v>0</v>
      </c>
      <c r="AS69" s="80">
        <f>Отчетность_по_периодам!AS114</f>
        <v>0</v>
      </c>
      <c r="AT69" s="80">
        <f>Отчетность_по_периодам!AT114</f>
        <v>0</v>
      </c>
      <c r="AU69" s="80">
        <f>Отчетность_по_периодам!AU114</f>
        <v>0</v>
      </c>
      <c r="AV69" s="80">
        <f>Отчетность_по_периодам!AV114</f>
        <v>0</v>
      </c>
      <c r="AW69" s="80">
        <f>Отчетность_по_периодам!AW114</f>
        <v>0</v>
      </c>
      <c r="AX69" s="80">
        <f>Отчетность_по_периодам!AX114</f>
        <v>0</v>
      </c>
      <c r="AY69" s="80">
        <f>Отчетность_по_периодам!AY114</f>
        <v>0</v>
      </c>
      <c r="AZ69" s="80">
        <f>Отчетность_по_периодам!AZ114</f>
        <v>0</v>
      </c>
      <c r="BA69" s="80">
        <f>Отчетность_по_периодам!BA114</f>
        <v>0</v>
      </c>
      <c r="BB69" s="80">
        <f>Отчетность_по_периодам!BB114</f>
        <v>0</v>
      </c>
      <c r="BC69" s="80">
        <f>Отчетность_по_периодам!BC114</f>
        <v>0</v>
      </c>
      <c r="BD69" s="80">
        <f>Отчетность_по_периодам!BD114</f>
        <v>0</v>
      </c>
      <c r="BE69" s="80">
        <f>Отчетность_по_периодам!BE114</f>
        <v>0</v>
      </c>
      <c r="BF69" s="80">
        <f>Отчетность_по_периодам!BF114</f>
        <v>0</v>
      </c>
      <c r="BG69" s="80">
        <f>Отчетность_по_периодам!BG114</f>
        <v>0</v>
      </c>
      <c r="BH69" s="80">
        <f>Отчетность_по_периодам!BH114</f>
        <v>0</v>
      </c>
      <c r="BI69" s="80">
        <f>Отчетность_по_периодам!BI114</f>
        <v>0</v>
      </c>
      <c r="BJ69" s="80">
        <f>Отчетность_по_периодам!BJ114</f>
        <v>0</v>
      </c>
      <c r="BK69" s="80">
        <f>Отчетность_по_периодам!BK114</f>
        <v>0</v>
      </c>
      <c r="BL69" s="80">
        <f>Отчетность_по_периодам!BL114</f>
        <v>0</v>
      </c>
      <c r="BM69" s="80">
        <f>Отчетность_по_периодам!BM114</f>
        <v>0</v>
      </c>
      <c r="BN69" s="80">
        <f>Отчетность_по_периодам!BN114</f>
        <v>0</v>
      </c>
      <c r="BO69" s="80">
        <f>Отчетность_по_периодам!BO114</f>
        <v>0</v>
      </c>
      <c r="BP69" s="80">
        <f>Отчетность_по_периодам!BP114</f>
        <v>0</v>
      </c>
      <c r="BQ69" s="80">
        <f>Отчетность_по_периодам!BQ114</f>
        <v>0</v>
      </c>
      <c r="BR69" s="80">
        <f>Отчетность_по_периодам!BR114</f>
        <v>0</v>
      </c>
      <c r="BS69" s="80">
        <f>Отчетность_по_периодам!BS114</f>
        <v>0</v>
      </c>
      <c r="BT69" s="80">
        <f>Отчетность_по_периодам!BT114</f>
        <v>0</v>
      </c>
      <c r="BU69" s="80">
        <f>Отчетность_по_периодам!BU114</f>
        <v>0</v>
      </c>
      <c r="BV69" s="80">
        <f>Отчетность_по_периодам!BV114</f>
        <v>0</v>
      </c>
      <c r="BW69" s="80">
        <f>Отчетность_по_периодам!BW114</f>
        <v>0</v>
      </c>
      <c r="BX69" s="80">
        <f>Отчетность_по_периодам!BX114</f>
        <v>0</v>
      </c>
      <c r="BY69" s="80">
        <f>Отчетность_по_периодам!BY114</f>
        <v>0</v>
      </c>
      <c r="BZ69" s="80">
        <f>Отчетность_по_периодам!BZ114</f>
        <v>0</v>
      </c>
      <c r="CA69" s="80">
        <f>Отчетность_по_периодам!CA114</f>
        <v>0</v>
      </c>
      <c r="CB69" s="80">
        <f>Отчетность_по_периодам!CB114</f>
        <v>0</v>
      </c>
      <c r="CC69" s="80">
        <f>Отчетность_по_периодам!CC114</f>
        <v>0</v>
      </c>
      <c r="CD69" s="80">
        <f>Отчетность_по_периодам!CD114</f>
        <v>0</v>
      </c>
      <c r="CE69" s="80">
        <f>Отчетность_по_периодам!CE114</f>
        <v>0</v>
      </c>
      <c r="CF69" s="80">
        <f>Отчетность_по_периодам!CF114</f>
        <v>0</v>
      </c>
      <c r="CG69" s="80">
        <f>Отчетность_по_периодам!CG114</f>
        <v>0</v>
      </c>
      <c r="CH69" s="80">
        <f>Отчетность_по_периодам!CH114</f>
        <v>0</v>
      </c>
      <c r="CI69" s="80">
        <f>Отчетность_по_периодам!CI114</f>
        <v>0</v>
      </c>
      <c r="CJ69" s="80">
        <f>Отчетность_по_периодам!CJ114</f>
        <v>0</v>
      </c>
      <c r="CK69" s="80">
        <f>Отчетность_по_периодам!CK114</f>
        <v>0</v>
      </c>
    </row>
    <row r="70" spans="2:89">
      <c r="B70" s="45" t="s">
        <v>107</v>
      </c>
      <c r="C70" s="46"/>
      <c r="D70" s="47">
        <f t="shared" si="92"/>
        <v>-1200000000.000001</v>
      </c>
      <c r="E70" s="48"/>
      <c r="F70" s="49">
        <f>Отчетность_по_периодам!F120</f>
        <v>0</v>
      </c>
      <c r="G70" s="49">
        <f>Отчетность_по_периодам!G120</f>
        <v>0</v>
      </c>
      <c r="H70" s="49">
        <f>Отчетность_по_периодам!H120</f>
        <v>0</v>
      </c>
      <c r="I70" s="49">
        <f>Отчетность_по_периодам!I120</f>
        <v>0</v>
      </c>
      <c r="J70" s="49">
        <f>Отчетность_по_периодам!J120</f>
        <v>0</v>
      </c>
      <c r="K70" s="49">
        <f>Отчетность_по_периодам!K120</f>
        <v>0</v>
      </c>
      <c r="L70" s="49">
        <f>Отчетность_по_периодам!L120</f>
        <v>0</v>
      </c>
      <c r="M70" s="49">
        <f>Отчетность_по_периодам!M120</f>
        <v>0</v>
      </c>
      <c r="N70" s="49">
        <f>Отчетность_по_периодам!N120</f>
        <v>0</v>
      </c>
      <c r="O70" s="49">
        <f>Отчетность_по_периодам!O120</f>
        <v>0</v>
      </c>
      <c r="P70" s="49">
        <f>Отчетность_по_периодам!P120</f>
        <v>0</v>
      </c>
      <c r="Q70" s="49">
        <f>Отчетность_по_периодам!Q120</f>
        <v>0</v>
      </c>
      <c r="R70" s="49">
        <f>Отчетность_по_периодам!R120</f>
        <v>-12500000</v>
      </c>
      <c r="S70" s="49">
        <f>Отчетность_по_периодам!S120</f>
        <v>-12500000</v>
      </c>
      <c r="T70" s="49">
        <f>Отчетность_по_периодам!T120</f>
        <v>-12500000</v>
      </c>
      <c r="U70" s="49">
        <f>Отчетность_по_периодам!U120</f>
        <v>-12500000</v>
      </c>
      <c r="V70" s="49">
        <f>Отчетность_по_периодам!V120</f>
        <v>-12500000</v>
      </c>
      <c r="W70" s="49">
        <f>Отчетность_по_периодам!W120</f>
        <v>-12500000</v>
      </c>
      <c r="X70" s="49">
        <f>Отчетность_по_периодам!X120</f>
        <v>-12500000</v>
      </c>
      <c r="Y70" s="49">
        <f>Отчетность_по_периодам!Y120</f>
        <v>-12500000</v>
      </c>
      <c r="Z70" s="49">
        <f>Отчетность_по_периодам!Z120</f>
        <v>-12500000</v>
      </c>
      <c r="AA70" s="49">
        <f>Отчетность_по_периодам!AA120</f>
        <v>-12500000</v>
      </c>
      <c r="AB70" s="49">
        <f>Отчетность_по_периодам!AB120</f>
        <v>-12500000</v>
      </c>
      <c r="AC70" s="49">
        <f>Отчетность_по_периодам!AC120</f>
        <v>-12500000</v>
      </c>
      <c r="AD70" s="49">
        <f>Отчетность_по_периодам!AD120</f>
        <v>-19642857.142857142</v>
      </c>
      <c r="AE70" s="49">
        <f>Отчетность_по_периодам!AE120</f>
        <v>-19642857.142857142</v>
      </c>
      <c r="AF70" s="49">
        <f>Отчетность_по_периодам!AF120</f>
        <v>-19642857.142857142</v>
      </c>
      <c r="AG70" s="49">
        <f>Отчетность_по_периодам!AG120</f>
        <v>-19642857.142857142</v>
      </c>
      <c r="AH70" s="49">
        <f>Отчетность_по_периодам!AH120</f>
        <v>-19642857.142857142</v>
      </c>
      <c r="AI70" s="49">
        <f>Отчетность_по_периодам!AI120</f>
        <v>-19642857.142857142</v>
      </c>
      <c r="AJ70" s="49">
        <f>Отчетность_по_периодам!AJ120</f>
        <v>-19642857.142857142</v>
      </c>
      <c r="AK70" s="49">
        <f>Отчетность_по_периодам!AK120</f>
        <v>-19642857.142857142</v>
      </c>
      <c r="AL70" s="49">
        <f>Отчетность_по_периодам!AL120</f>
        <v>-19642857.142857142</v>
      </c>
      <c r="AM70" s="49">
        <f>Отчетность_по_периодам!AM120</f>
        <v>-19642857.142857142</v>
      </c>
      <c r="AN70" s="49">
        <f>Отчетность_по_периодам!AN120</f>
        <v>-19642857.142857142</v>
      </c>
      <c r="AO70" s="49">
        <f>Отчетность_по_периодам!AO120</f>
        <v>-19642857.142857142</v>
      </c>
      <c r="AP70" s="49">
        <f>Отчетность_по_периодам!AP120</f>
        <v>-19642857.142857142</v>
      </c>
      <c r="AQ70" s="49">
        <f>Отчетность_по_периодам!AQ120</f>
        <v>-19642857.142857142</v>
      </c>
      <c r="AR70" s="49">
        <f>Отчетность_по_периодам!AR120</f>
        <v>-19642857.142857142</v>
      </c>
      <c r="AS70" s="49">
        <f>Отчетность_по_периодам!AS120</f>
        <v>-19642857.142857142</v>
      </c>
      <c r="AT70" s="49">
        <f>Отчетность_по_периодам!AT120</f>
        <v>-19642857.142857142</v>
      </c>
      <c r="AU70" s="49">
        <f>Отчетность_по_периодам!AU120</f>
        <v>-19642857.142857142</v>
      </c>
      <c r="AV70" s="49">
        <f>Отчетность_по_периодам!AV120</f>
        <v>-19642857.142857142</v>
      </c>
      <c r="AW70" s="49">
        <f>Отчетность_по_периодам!AW120</f>
        <v>-19642857.142857142</v>
      </c>
      <c r="AX70" s="49">
        <f>Отчетность_по_периодам!AX120</f>
        <v>-19642857.142857142</v>
      </c>
      <c r="AY70" s="49">
        <f>Отчетность_по_периодам!AY120</f>
        <v>-19642857.142857142</v>
      </c>
      <c r="AZ70" s="49">
        <f>Отчетность_по_периодам!AZ120</f>
        <v>-19642857.142857142</v>
      </c>
      <c r="BA70" s="49">
        <f>Отчетность_по_периодам!BA120</f>
        <v>-19642857.142857142</v>
      </c>
      <c r="BB70" s="49">
        <f>Отчетность_по_периодам!BB120</f>
        <v>-19642857.142857142</v>
      </c>
      <c r="BC70" s="49">
        <f>Отчетность_по_периодам!BC120</f>
        <v>-19642857.142857142</v>
      </c>
      <c r="BD70" s="49">
        <f>Отчетность_по_периодам!BD120</f>
        <v>-19642857.142857142</v>
      </c>
      <c r="BE70" s="49">
        <f>Отчетность_по_периодам!BE120</f>
        <v>-19642857.142857142</v>
      </c>
      <c r="BF70" s="49">
        <f>Отчетность_по_периодам!BF120</f>
        <v>-19642857.142857142</v>
      </c>
      <c r="BG70" s="49">
        <f>Отчетность_по_периодам!BG120</f>
        <v>-19642857.142857142</v>
      </c>
      <c r="BH70" s="49">
        <f>Отчетность_по_периодам!BH120</f>
        <v>-19642857.142857142</v>
      </c>
      <c r="BI70" s="49">
        <f>Отчетность_по_периодам!BI120</f>
        <v>-19642857.142857142</v>
      </c>
      <c r="BJ70" s="49">
        <f>Отчетность_по_периодам!BJ120</f>
        <v>-19642857.142857142</v>
      </c>
      <c r="BK70" s="49">
        <f>Отчетность_по_периодам!BK120</f>
        <v>-19642857.142857142</v>
      </c>
      <c r="BL70" s="49">
        <f>Отчетность_по_периодам!BL120</f>
        <v>-19642857.142857142</v>
      </c>
      <c r="BM70" s="49">
        <f>Отчетность_по_периодам!BM120</f>
        <v>-19642857.142857142</v>
      </c>
      <c r="BN70" s="49">
        <f>Отчетность_по_периодам!BN120</f>
        <v>-19642857.142857142</v>
      </c>
      <c r="BO70" s="49">
        <f>Отчетность_по_периодам!BO120</f>
        <v>-19642857.142857142</v>
      </c>
      <c r="BP70" s="49">
        <f>Отчетность_по_периодам!BP120</f>
        <v>-19642857.142857142</v>
      </c>
      <c r="BQ70" s="49">
        <f>Отчетность_по_периодам!BQ120</f>
        <v>-19642857.142857142</v>
      </c>
      <c r="BR70" s="49">
        <f>Отчетность_по_периодам!BR120</f>
        <v>-19642857.142857142</v>
      </c>
      <c r="BS70" s="49">
        <f>Отчетность_по_периодам!BS120</f>
        <v>-19642857.142857142</v>
      </c>
      <c r="BT70" s="49">
        <f>Отчетность_по_периодам!BT120</f>
        <v>-12500000</v>
      </c>
      <c r="BU70" s="49">
        <f>Отчетность_по_периодам!BU120</f>
        <v>-12500000</v>
      </c>
      <c r="BV70" s="49">
        <f>Отчетность_по_периодам!BV120</f>
        <v>-12500000</v>
      </c>
      <c r="BW70" s="49">
        <f>Отчетность_по_периодам!BW120</f>
        <v>-12500000</v>
      </c>
      <c r="BX70" s="49">
        <f>Отчетность_по_периодам!BX120</f>
        <v>-12500000</v>
      </c>
      <c r="BY70" s="49">
        <f>Отчетность_по_периодам!BY120</f>
        <v>-12500000</v>
      </c>
      <c r="BZ70" s="49">
        <f>Отчетность_по_периодам!BZ120</f>
        <v>-12500000</v>
      </c>
      <c r="CA70" s="49">
        <f>Отчетность_по_периодам!CA120</f>
        <v>-12500000</v>
      </c>
      <c r="CB70" s="49">
        <f>Отчетность_по_периодам!CB120</f>
        <v>-12500000</v>
      </c>
      <c r="CC70" s="49">
        <f>Отчетность_по_периодам!CC120</f>
        <v>-12500000</v>
      </c>
      <c r="CD70" s="49">
        <f>Отчетность_по_периодам!CD120</f>
        <v>-12500000</v>
      </c>
      <c r="CE70" s="49">
        <f>Отчетность_по_периодам!CE120</f>
        <v>-12500000</v>
      </c>
      <c r="CF70" s="49">
        <f>Отчетность_по_периодам!CF120</f>
        <v>-12500000</v>
      </c>
      <c r="CG70" s="49">
        <f>Отчетность_по_периодам!CG120</f>
        <v>-12500000</v>
      </c>
      <c r="CH70" s="49">
        <f>Отчетность_по_периодам!CH120</f>
        <v>-12500000</v>
      </c>
      <c r="CI70" s="49">
        <f>Отчетность_по_периодам!CI120</f>
        <v>-12500000</v>
      </c>
      <c r="CJ70" s="49">
        <f>Отчетность_по_периодам!CJ120</f>
        <v>-12500000</v>
      </c>
      <c r="CK70" s="49">
        <f>Отчетность_по_периодам!CK120</f>
        <v>-12500000</v>
      </c>
    </row>
    <row r="71" spans="2:89" ht="15.75" thickBot="1">
      <c r="B71" s="45" t="s">
        <v>147</v>
      </c>
      <c r="C71" s="46"/>
      <c r="D71" s="47">
        <f t="shared" ca="1" si="92"/>
        <v>7505186958.7689447</v>
      </c>
      <c r="E71" s="48"/>
      <c r="F71" s="49">
        <f t="shared" ref="F71:AK71" ca="1" si="99">F107*(1-$D$98)</f>
        <v>0</v>
      </c>
      <c r="G71" s="49">
        <f t="shared" ca="1" si="99"/>
        <v>0</v>
      </c>
      <c r="H71" s="49">
        <f t="shared" ca="1" si="99"/>
        <v>0</v>
      </c>
      <c r="I71" s="49">
        <f t="shared" ca="1" si="99"/>
        <v>0</v>
      </c>
      <c r="J71" s="49">
        <f t="shared" ca="1" si="99"/>
        <v>0</v>
      </c>
      <c r="K71" s="49">
        <f t="shared" ca="1" si="99"/>
        <v>0</v>
      </c>
      <c r="L71" s="49">
        <f t="shared" ca="1" si="99"/>
        <v>0</v>
      </c>
      <c r="M71" s="49">
        <f t="shared" ca="1" si="99"/>
        <v>0</v>
      </c>
      <c r="N71" s="49">
        <f t="shared" ca="1" si="99"/>
        <v>0</v>
      </c>
      <c r="O71" s="49">
        <f t="shared" ca="1" si="99"/>
        <v>0</v>
      </c>
      <c r="P71" s="49">
        <f t="shared" ca="1" si="99"/>
        <v>0</v>
      </c>
      <c r="Q71" s="49">
        <f t="shared" ca="1" si="99"/>
        <v>0</v>
      </c>
      <c r="R71" s="49">
        <f t="shared" ca="1" si="99"/>
        <v>0</v>
      </c>
      <c r="S71" s="49">
        <f t="shared" ca="1" si="99"/>
        <v>0</v>
      </c>
      <c r="T71" s="49">
        <f t="shared" ca="1" si="99"/>
        <v>0</v>
      </c>
      <c r="U71" s="49">
        <f t="shared" ca="1" si="99"/>
        <v>0</v>
      </c>
      <c r="V71" s="49">
        <f t="shared" ca="1" si="99"/>
        <v>0</v>
      </c>
      <c r="W71" s="49">
        <f t="shared" ca="1" si="99"/>
        <v>0</v>
      </c>
      <c r="X71" s="49">
        <f t="shared" ca="1" si="99"/>
        <v>0</v>
      </c>
      <c r="Y71" s="49">
        <f t="shared" ca="1" si="99"/>
        <v>0</v>
      </c>
      <c r="Z71" s="49">
        <f t="shared" ca="1" si="99"/>
        <v>0</v>
      </c>
      <c r="AA71" s="49">
        <f t="shared" ca="1" si="99"/>
        <v>0</v>
      </c>
      <c r="AB71" s="49">
        <f t="shared" ca="1" si="99"/>
        <v>0</v>
      </c>
      <c r="AC71" s="49">
        <f t="shared" ca="1" si="99"/>
        <v>0</v>
      </c>
      <c r="AD71" s="49">
        <f t="shared" ca="1" si="99"/>
        <v>0</v>
      </c>
      <c r="AE71" s="49">
        <f t="shared" ca="1" si="99"/>
        <v>0</v>
      </c>
      <c r="AF71" s="49">
        <f t="shared" ca="1" si="99"/>
        <v>0</v>
      </c>
      <c r="AG71" s="49">
        <f t="shared" ca="1" si="99"/>
        <v>0</v>
      </c>
      <c r="AH71" s="49">
        <f t="shared" ca="1" si="99"/>
        <v>0</v>
      </c>
      <c r="AI71" s="49">
        <f t="shared" ca="1" si="99"/>
        <v>0</v>
      </c>
      <c r="AJ71" s="49">
        <f t="shared" ca="1" si="99"/>
        <v>0</v>
      </c>
      <c r="AK71" s="49">
        <f t="shared" ca="1" si="99"/>
        <v>0</v>
      </c>
      <c r="AL71" s="49">
        <f t="shared" ref="AL71:BM71" ca="1" si="100">AL107*(1-$D$98)</f>
        <v>0</v>
      </c>
      <c r="AM71" s="49">
        <f t="shared" ca="1" si="100"/>
        <v>0</v>
      </c>
      <c r="AN71" s="49">
        <f t="shared" ca="1" si="100"/>
        <v>0</v>
      </c>
      <c r="AO71" s="49">
        <f t="shared" ca="1" si="100"/>
        <v>0</v>
      </c>
      <c r="AP71" s="49">
        <f t="shared" ca="1" si="100"/>
        <v>0</v>
      </c>
      <c r="AQ71" s="49">
        <f t="shared" ca="1" si="100"/>
        <v>0</v>
      </c>
      <c r="AR71" s="49">
        <f t="shared" ca="1" si="100"/>
        <v>0</v>
      </c>
      <c r="AS71" s="49">
        <f t="shared" ca="1" si="100"/>
        <v>0</v>
      </c>
      <c r="AT71" s="49">
        <f t="shared" ca="1" si="100"/>
        <v>0</v>
      </c>
      <c r="AU71" s="49">
        <f t="shared" ca="1" si="100"/>
        <v>0</v>
      </c>
      <c r="AV71" s="49">
        <f t="shared" ca="1" si="100"/>
        <v>0</v>
      </c>
      <c r="AW71" s="49">
        <f t="shared" ca="1" si="100"/>
        <v>0</v>
      </c>
      <c r="AX71" s="49">
        <f t="shared" ca="1" si="100"/>
        <v>0</v>
      </c>
      <c r="AY71" s="49">
        <f t="shared" ca="1" si="100"/>
        <v>0</v>
      </c>
      <c r="AZ71" s="49">
        <f t="shared" ca="1" si="100"/>
        <v>0</v>
      </c>
      <c r="BA71" s="49">
        <f t="shared" ca="1" si="100"/>
        <v>0</v>
      </c>
      <c r="BB71" s="49">
        <f t="shared" ca="1" si="100"/>
        <v>0</v>
      </c>
      <c r="BC71" s="49">
        <f t="shared" ca="1" si="100"/>
        <v>0</v>
      </c>
      <c r="BD71" s="49">
        <f t="shared" ca="1" si="100"/>
        <v>0</v>
      </c>
      <c r="BE71" s="49">
        <f t="shared" ca="1" si="100"/>
        <v>0</v>
      </c>
      <c r="BF71" s="49">
        <f t="shared" ca="1" si="100"/>
        <v>0</v>
      </c>
      <c r="BG71" s="49">
        <f t="shared" ca="1" si="100"/>
        <v>0</v>
      </c>
      <c r="BH71" s="49">
        <f t="shared" ca="1" si="100"/>
        <v>0</v>
      </c>
      <c r="BI71" s="49">
        <f t="shared" ca="1" si="100"/>
        <v>0</v>
      </c>
      <c r="BJ71" s="49">
        <f t="shared" ca="1" si="100"/>
        <v>0</v>
      </c>
      <c r="BK71" s="49">
        <f t="shared" ca="1" si="100"/>
        <v>0</v>
      </c>
      <c r="BL71" s="49">
        <f t="shared" ca="1" si="100"/>
        <v>0</v>
      </c>
      <c r="BM71" s="49">
        <f t="shared" ca="1" si="100"/>
        <v>0</v>
      </c>
      <c r="BN71" s="49">
        <f t="shared" ref="BN71:CK71" ca="1" si="101">BN107*(1-$D$98)</f>
        <v>0</v>
      </c>
      <c r="BO71" s="49">
        <f t="shared" ca="1" si="101"/>
        <v>0</v>
      </c>
      <c r="BP71" s="49">
        <f t="shared" ca="1" si="101"/>
        <v>0</v>
      </c>
      <c r="BQ71" s="49">
        <f t="shared" ca="1" si="101"/>
        <v>0</v>
      </c>
      <c r="BR71" s="49">
        <f t="shared" ca="1" si="101"/>
        <v>0</v>
      </c>
      <c r="BS71" s="49">
        <f t="shared" ca="1" si="101"/>
        <v>0</v>
      </c>
      <c r="BT71" s="49">
        <f t="shared" ca="1" si="101"/>
        <v>0</v>
      </c>
      <c r="BU71" s="49">
        <f t="shared" ca="1" si="101"/>
        <v>0</v>
      </c>
      <c r="BV71" s="49">
        <f t="shared" ca="1" si="101"/>
        <v>0</v>
      </c>
      <c r="BW71" s="49">
        <f t="shared" ca="1" si="101"/>
        <v>0</v>
      </c>
      <c r="BX71" s="49">
        <f t="shared" ca="1" si="101"/>
        <v>0</v>
      </c>
      <c r="BY71" s="49">
        <f t="shared" ca="1" si="101"/>
        <v>0</v>
      </c>
      <c r="BZ71" s="49">
        <f t="shared" ca="1" si="101"/>
        <v>0</v>
      </c>
      <c r="CA71" s="49">
        <f t="shared" ca="1" si="101"/>
        <v>0</v>
      </c>
      <c r="CB71" s="49">
        <f t="shared" ca="1" si="101"/>
        <v>0</v>
      </c>
      <c r="CC71" s="49">
        <f t="shared" ca="1" si="101"/>
        <v>0</v>
      </c>
      <c r="CD71" s="49">
        <f t="shared" ca="1" si="101"/>
        <v>0</v>
      </c>
      <c r="CE71" s="49">
        <f t="shared" ca="1" si="101"/>
        <v>0</v>
      </c>
      <c r="CF71" s="49">
        <f t="shared" ca="1" si="101"/>
        <v>0</v>
      </c>
      <c r="CG71" s="49">
        <f t="shared" ca="1" si="101"/>
        <v>0</v>
      </c>
      <c r="CH71" s="49">
        <f t="shared" ca="1" si="101"/>
        <v>0</v>
      </c>
      <c r="CI71" s="49">
        <f t="shared" ca="1" si="101"/>
        <v>0</v>
      </c>
      <c r="CJ71" s="49">
        <f t="shared" ca="1" si="101"/>
        <v>0</v>
      </c>
      <c r="CK71" s="49">
        <f t="shared" ca="1" si="101"/>
        <v>7505186958.7689447</v>
      </c>
    </row>
    <row r="72" spans="2:89" ht="15.75" thickTop="1">
      <c r="B72" s="50" t="s">
        <v>50</v>
      </c>
      <c r="C72" s="51"/>
      <c r="D72" s="52">
        <f ca="1">SUM(D66:D71)</f>
        <v>11150171743.210157</v>
      </c>
      <c r="E72" s="53"/>
      <c r="F72" s="54">
        <f ca="1">SUM(F66:F71)</f>
        <v>141260000</v>
      </c>
      <c r="G72" s="54">
        <f t="shared" ref="G72:AG72" ca="1" si="102">SUM(G66:G71)</f>
        <v>-66619041.095890418</v>
      </c>
      <c r="H72" s="54">
        <f t="shared" ca="1" si="102"/>
        <v>-62120684.931506857</v>
      </c>
      <c r="I72" s="54">
        <f t="shared" ca="1" si="102"/>
        <v>300890958.9041096</v>
      </c>
      <c r="J72" s="54">
        <f t="shared" ca="1" si="102"/>
        <v>-151020000</v>
      </c>
      <c r="K72" s="54">
        <f t="shared" ca="1" si="102"/>
        <v>-146600000</v>
      </c>
      <c r="L72" s="54">
        <f t="shared" ca="1" si="102"/>
        <v>203010000</v>
      </c>
      <c r="M72" s="54">
        <f t="shared" ca="1" si="102"/>
        <v>-104824109.5890411</v>
      </c>
      <c r="N72" s="54">
        <f t="shared" ca="1" si="102"/>
        <v>-109488246.57534246</v>
      </c>
      <c r="O72" s="54">
        <f t="shared" ca="1" si="102"/>
        <v>170365655.73770493</v>
      </c>
      <c r="P72" s="54">
        <f t="shared" ca="1" si="102"/>
        <v>-80810327.868852466</v>
      </c>
      <c r="Q72" s="54">
        <f t="shared" ca="1" si="102"/>
        <v>-93836620.052290335</v>
      </c>
      <c r="R72" s="54">
        <f t="shared" ca="1" si="102"/>
        <v>32479257.401060171</v>
      </c>
      <c r="S72" s="54">
        <f t="shared" ca="1" si="102"/>
        <v>6502632.7501348034</v>
      </c>
      <c r="T72" s="54">
        <f t="shared" ca="1" si="102"/>
        <v>1551018.3014988601</v>
      </c>
      <c r="U72" s="54">
        <f t="shared" ca="1" si="102"/>
        <v>1746950.861903673</v>
      </c>
      <c r="V72" s="54">
        <f t="shared" ca="1" si="102"/>
        <v>-772346.89366792701</v>
      </c>
      <c r="W72" s="54">
        <f t="shared" ca="1" si="102"/>
        <v>-3112436.0391028821</v>
      </c>
      <c r="X72" s="54">
        <f t="shared" ca="1" si="102"/>
        <v>2261740.9108738154</v>
      </c>
      <c r="Y72" s="54">
        <f t="shared" ca="1" si="102"/>
        <v>-2805859.3361028191</v>
      </c>
      <c r="Z72" s="54">
        <f t="shared" ca="1" si="102"/>
        <v>2584695.5535464808</v>
      </c>
      <c r="AA72" s="54">
        <f t="shared" ca="1" si="102"/>
        <v>26574.285117903724</v>
      </c>
      <c r="AB72" s="54">
        <f t="shared" ca="1" si="102"/>
        <v>-8072882.2295321776</v>
      </c>
      <c r="AC72" s="54">
        <f t="shared" ca="1" si="102"/>
        <v>9188868.5267619714</v>
      </c>
      <c r="AD72" s="54">
        <f t="shared" ca="1" si="102"/>
        <v>-10318715.695797633</v>
      </c>
      <c r="AE72" s="54">
        <f t="shared" ca="1" si="102"/>
        <v>2692230.19289352</v>
      </c>
      <c r="AF72" s="54">
        <f t="shared" ca="1" si="102"/>
        <v>-2075358.4516721442</v>
      </c>
      <c r="AG72" s="54">
        <f t="shared" ca="1" si="102"/>
        <v>4893699.49544679</v>
      </c>
      <c r="AH72" s="54">
        <f t="shared" ref="AH72:BM72" ca="1" si="103">SUM(AH66:AH71)</f>
        <v>3439955.5024049059</v>
      </c>
      <c r="AI72" s="54">
        <f t="shared" ca="1" si="103"/>
        <v>2155829.5627011545</v>
      </c>
      <c r="AJ72" s="54">
        <f t="shared" ca="1" si="103"/>
        <v>11131280.895849608</v>
      </c>
      <c r="AK72" s="54">
        <f t="shared" ca="1" si="103"/>
        <v>6676030.4742919803</v>
      </c>
      <c r="AL72" s="54">
        <f t="shared" ca="1" si="103"/>
        <v>17752499.297355518</v>
      </c>
      <c r="AM72" s="54">
        <f t="shared" ca="1" si="103"/>
        <v>16038589.232737534</v>
      </c>
      <c r="AN72" s="54">
        <f t="shared" ca="1" si="103"/>
        <v>6584999.0326184593</v>
      </c>
      <c r="AO72" s="54">
        <f t="shared" ca="1" si="103"/>
        <v>40963592.540140763</v>
      </c>
      <c r="AP72" s="54">
        <f t="shared" ca="1" si="103"/>
        <v>28591318.41547633</v>
      </c>
      <c r="AQ72" s="54">
        <f t="shared" ca="1" si="103"/>
        <v>41094730.492831104</v>
      </c>
      <c r="AR72" s="54">
        <f t="shared" ca="1" si="103"/>
        <v>33719369.581058711</v>
      </c>
      <c r="AS72" s="54">
        <f t="shared" ca="1" si="103"/>
        <v>44456333.67654597</v>
      </c>
      <c r="AT72" s="54">
        <f t="shared" ca="1" si="103"/>
        <v>42320798.626297057</v>
      </c>
      <c r="AU72" s="54">
        <f t="shared" ca="1" si="103"/>
        <v>40155384.54286439</v>
      </c>
      <c r="AV72" s="54">
        <f t="shared" ca="1" si="103"/>
        <v>53830867.636539318</v>
      </c>
      <c r="AW72" s="54">
        <f t="shared" ca="1" si="103"/>
        <v>46170545.123773463</v>
      </c>
      <c r="AX72" s="54">
        <f t="shared" ca="1" si="103"/>
        <v>61646632.145074554</v>
      </c>
      <c r="AY72" s="54">
        <f t="shared" ca="1" si="103"/>
        <v>57822709.738068335</v>
      </c>
      <c r="AZ72" s="54">
        <f t="shared" ca="1" si="103"/>
        <v>42195684.78310857</v>
      </c>
      <c r="BA72" s="54">
        <f t="shared" ca="1" si="103"/>
        <v>86950701.192921877</v>
      </c>
      <c r="BB72" s="54">
        <f t="shared" ca="1" si="103"/>
        <v>64001239.733486183</v>
      </c>
      <c r="BC72" s="54">
        <f t="shared" ca="1" si="103"/>
        <v>77564665.527326137</v>
      </c>
      <c r="BD72" s="54">
        <f t="shared" ca="1" si="103"/>
        <v>65058857.466703527</v>
      </c>
      <c r="BE72" s="54">
        <f t="shared" ca="1" si="103"/>
        <v>77050694.094305933</v>
      </c>
      <c r="BF72" s="54">
        <f t="shared" ca="1" si="103"/>
        <v>71006324.875524372</v>
      </c>
      <c r="BG72" s="54">
        <f t="shared" ca="1" si="103"/>
        <v>64974584.55110047</v>
      </c>
      <c r="BH72" s="54">
        <f t="shared" ca="1" si="103"/>
        <v>78701213.678442806</v>
      </c>
      <c r="BI72" s="54">
        <f t="shared" ca="1" si="103"/>
        <v>65913258.335032247</v>
      </c>
      <c r="BJ72" s="54">
        <f t="shared" ca="1" si="103"/>
        <v>79896610.354466677</v>
      </c>
      <c r="BK72" s="54">
        <f t="shared" ca="1" si="103"/>
        <v>73296167.436204642</v>
      </c>
      <c r="BL72" s="54">
        <f t="shared" ca="1" si="103"/>
        <v>59882775.320956968</v>
      </c>
      <c r="BM72" s="54">
        <f t="shared" ca="1" si="103"/>
        <v>88570516.040212125</v>
      </c>
      <c r="BN72" s="54">
        <f t="shared" ref="BN72:CK72" ca="1" si="104">SUM(BN66:BN71)</f>
        <v>68051440.722783744</v>
      </c>
      <c r="BO72" s="54">
        <f t="shared" ca="1" si="104"/>
        <v>82338060.786618233</v>
      </c>
      <c r="BP72" s="54">
        <f t="shared" ca="1" si="104"/>
        <v>69147066.816543877</v>
      </c>
      <c r="BQ72" s="54">
        <f t="shared" ca="1" si="104"/>
        <v>83227215.245229989</v>
      </c>
      <c r="BR72" s="54">
        <f t="shared" ca="1" si="104"/>
        <v>76872440.083964825</v>
      </c>
      <c r="BS72" s="54">
        <f t="shared" ca="1" si="104"/>
        <v>70480595.436462015</v>
      </c>
      <c r="BT72" s="54">
        <f t="shared" ca="1" si="104"/>
        <v>92080166.571933106</v>
      </c>
      <c r="BU72" s="54">
        <f t="shared" ca="1" si="104"/>
        <v>78530243.813345507</v>
      </c>
      <c r="BV72" s="54">
        <f t="shared" ca="1" si="104"/>
        <v>93186510.072192699</v>
      </c>
      <c r="BW72" s="54">
        <f t="shared" ca="1" si="104"/>
        <v>86294553.280314937</v>
      </c>
      <c r="BX72" s="54">
        <f t="shared" ca="1" si="104"/>
        <v>63877710.059110358</v>
      </c>
      <c r="BY72" s="54">
        <f t="shared" ca="1" si="104"/>
        <v>110390936.7631439</v>
      </c>
      <c r="BZ72" s="54">
        <f t="shared" ca="1" si="104"/>
        <v>80523834.524620816</v>
      </c>
      <c r="CA72" s="54">
        <f t="shared" ca="1" si="104"/>
        <v>95488038.347867042</v>
      </c>
      <c r="CB72" s="54">
        <f t="shared" ca="1" si="104"/>
        <v>81536158.335081324</v>
      </c>
      <c r="CC72" s="54">
        <f t="shared" ca="1" si="104"/>
        <v>96303158.754931077</v>
      </c>
      <c r="CD72" s="54">
        <f t="shared" ca="1" si="104"/>
        <v>89559926.211114511</v>
      </c>
      <c r="CE72" s="54">
        <f t="shared" ca="1" si="104"/>
        <v>82753250.097888961</v>
      </c>
      <c r="CF72" s="54">
        <f t="shared" ca="1" si="104"/>
        <v>97885015.021359578</v>
      </c>
      <c r="CG72" s="54">
        <f t="shared" ca="1" si="104"/>
        <v>83634803.66058591</v>
      </c>
      <c r="CH72" s="54">
        <f t="shared" ca="1" si="104"/>
        <v>99044107.940362453</v>
      </c>
      <c r="CI72" s="54">
        <f t="shared" ca="1" si="104"/>
        <v>91832466.957458526</v>
      </c>
      <c r="CJ72" s="54">
        <f t="shared" ca="1" si="104"/>
        <v>68226876.691779926</v>
      </c>
      <c r="CK72" s="54">
        <f t="shared" ca="1" si="104"/>
        <v>7622314752.9467907</v>
      </c>
    </row>
    <row r="73" spans="2:89" ht="15.75" thickBot="1">
      <c r="B73" s="112" t="s">
        <v>539</v>
      </c>
      <c r="C73" s="113"/>
      <c r="D73" s="114">
        <f ca="1">SUM(D72)</f>
        <v>11150171743.210157</v>
      </c>
      <c r="E73" s="115"/>
      <c r="F73" s="116">
        <f ca="1">E73+F72</f>
        <v>141260000</v>
      </c>
      <c r="G73" s="116">
        <f t="shared" ref="G73:AG73" ca="1" si="105">F73+G72</f>
        <v>74640958.904109582</v>
      </c>
      <c r="H73" s="116">
        <f t="shared" ca="1" si="105"/>
        <v>12520273.972602725</v>
      </c>
      <c r="I73" s="116">
        <f t="shared" ca="1" si="105"/>
        <v>313411232.87671232</v>
      </c>
      <c r="J73" s="116">
        <f t="shared" ca="1" si="105"/>
        <v>162391232.87671232</v>
      </c>
      <c r="K73" s="116">
        <f t="shared" ca="1" si="105"/>
        <v>15791232.876712322</v>
      </c>
      <c r="L73" s="116">
        <f t="shared" ca="1" si="105"/>
        <v>218801232.87671232</v>
      </c>
      <c r="M73" s="116">
        <f t="shared" ca="1" si="105"/>
        <v>113977123.28767122</v>
      </c>
      <c r="N73" s="116">
        <f t="shared" ca="1" si="105"/>
        <v>4488876.7123287618</v>
      </c>
      <c r="O73" s="116">
        <f t="shared" ca="1" si="105"/>
        <v>174854532.45003369</v>
      </c>
      <c r="P73" s="116">
        <f t="shared" ca="1" si="105"/>
        <v>94044204.581181228</v>
      </c>
      <c r="Q73" s="116">
        <f t="shared" ca="1" si="105"/>
        <v>207584.52889089286</v>
      </c>
      <c r="R73" s="116">
        <f t="shared" ca="1" si="105"/>
        <v>32686841.929951064</v>
      </c>
      <c r="S73" s="116">
        <f t="shared" ca="1" si="105"/>
        <v>39189474.680085868</v>
      </c>
      <c r="T73" s="116">
        <f t="shared" ca="1" si="105"/>
        <v>40740492.981584728</v>
      </c>
      <c r="U73" s="116">
        <f t="shared" ca="1" si="105"/>
        <v>42487443.843488403</v>
      </c>
      <c r="V73" s="116">
        <f t="shared" ca="1" si="105"/>
        <v>41715096.949820474</v>
      </c>
      <c r="W73" s="116">
        <f t="shared" ca="1" si="105"/>
        <v>38602660.910717592</v>
      </c>
      <c r="X73" s="116">
        <f t="shared" ca="1" si="105"/>
        <v>40864401.821591407</v>
      </c>
      <c r="Y73" s="116">
        <f t="shared" ca="1" si="105"/>
        <v>38058542.485488586</v>
      </c>
      <c r="Z73" s="116">
        <f t="shared" ca="1" si="105"/>
        <v>40643238.039035067</v>
      </c>
      <c r="AA73" s="116">
        <f t="shared" ca="1" si="105"/>
        <v>40669812.324152969</v>
      </c>
      <c r="AB73" s="116">
        <f t="shared" ca="1" si="105"/>
        <v>32596930.09462079</v>
      </c>
      <c r="AC73" s="116">
        <f t="shared" ca="1" si="105"/>
        <v>41785798.621382758</v>
      </c>
      <c r="AD73" s="116">
        <f t="shared" ca="1" si="105"/>
        <v>31467082.925585125</v>
      </c>
      <c r="AE73" s="116">
        <f t="shared" ca="1" si="105"/>
        <v>34159313.118478641</v>
      </c>
      <c r="AF73" s="116">
        <f t="shared" ca="1" si="105"/>
        <v>32083954.666806497</v>
      </c>
      <c r="AG73" s="116">
        <f t="shared" ca="1" si="105"/>
        <v>36977654.16225329</v>
      </c>
      <c r="AH73" s="116">
        <f t="shared" ref="AH73:BM73" ca="1" si="106">AG73+AH72</f>
        <v>40417609.664658196</v>
      </c>
      <c r="AI73" s="116">
        <f t="shared" ca="1" si="106"/>
        <v>42573439.227359354</v>
      </c>
      <c r="AJ73" s="116">
        <f t="shared" ca="1" si="106"/>
        <v>53704720.123208962</v>
      </c>
      <c r="AK73" s="116">
        <f t="shared" ca="1" si="106"/>
        <v>60380750.597500943</v>
      </c>
      <c r="AL73" s="116">
        <f t="shared" ca="1" si="106"/>
        <v>78133249.894856453</v>
      </c>
      <c r="AM73" s="116">
        <f t="shared" ca="1" si="106"/>
        <v>94171839.127593994</v>
      </c>
      <c r="AN73" s="116">
        <f t="shared" ca="1" si="106"/>
        <v>100756838.16021246</v>
      </c>
      <c r="AO73" s="116">
        <f t="shared" ca="1" si="106"/>
        <v>141720430.70035321</v>
      </c>
      <c r="AP73" s="116">
        <f t="shared" ca="1" si="106"/>
        <v>170311749.11582953</v>
      </c>
      <c r="AQ73" s="116">
        <f t="shared" ca="1" si="106"/>
        <v>211406479.60866064</v>
      </c>
      <c r="AR73" s="116">
        <f t="shared" ca="1" si="106"/>
        <v>245125849.18971935</v>
      </c>
      <c r="AS73" s="116">
        <f t="shared" ca="1" si="106"/>
        <v>289582182.8662653</v>
      </c>
      <c r="AT73" s="116">
        <f t="shared" ca="1" si="106"/>
        <v>331902981.49256235</v>
      </c>
      <c r="AU73" s="116">
        <f t="shared" ca="1" si="106"/>
        <v>372058366.03542674</v>
      </c>
      <c r="AV73" s="116">
        <f t="shared" ca="1" si="106"/>
        <v>425889233.67196608</v>
      </c>
      <c r="AW73" s="116">
        <f t="shared" ca="1" si="106"/>
        <v>472059778.79573953</v>
      </c>
      <c r="AX73" s="116">
        <f t="shared" ca="1" si="106"/>
        <v>533706410.94081408</v>
      </c>
      <c r="AY73" s="116">
        <f t="shared" ca="1" si="106"/>
        <v>591529120.67888236</v>
      </c>
      <c r="AZ73" s="116">
        <f t="shared" ca="1" si="106"/>
        <v>633724805.46199095</v>
      </c>
      <c r="BA73" s="116">
        <f t="shared" ca="1" si="106"/>
        <v>720675506.65491283</v>
      </c>
      <c r="BB73" s="116">
        <f t="shared" ca="1" si="106"/>
        <v>784676746.388399</v>
      </c>
      <c r="BC73" s="116">
        <f t="shared" ca="1" si="106"/>
        <v>862241411.91572511</v>
      </c>
      <c r="BD73" s="116">
        <f t="shared" ca="1" si="106"/>
        <v>927300269.38242865</v>
      </c>
      <c r="BE73" s="116">
        <f t="shared" ca="1" si="106"/>
        <v>1004350963.4767346</v>
      </c>
      <c r="BF73" s="116">
        <f t="shared" ca="1" si="106"/>
        <v>1075357288.3522589</v>
      </c>
      <c r="BG73" s="116">
        <f t="shared" ca="1" si="106"/>
        <v>1140331872.9033594</v>
      </c>
      <c r="BH73" s="116">
        <f t="shared" ca="1" si="106"/>
        <v>1219033086.5818021</v>
      </c>
      <c r="BI73" s="116">
        <f t="shared" ca="1" si="106"/>
        <v>1284946344.9168344</v>
      </c>
      <c r="BJ73" s="116">
        <f t="shared" ca="1" si="106"/>
        <v>1364842955.271301</v>
      </c>
      <c r="BK73" s="116">
        <f t="shared" ca="1" si="106"/>
        <v>1438139122.7075057</v>
      </c>
      <c r="BL73" s="116">
        <f t="shared" ca="1" si="106"/>
        <v>1498021898.0284626</v>
      </c>
      <c r="BM73" s="116">
        <f t="shared" ca="1" si="106"/>
        <v>1586592414.0686748</v>
      </c>
      <c r="BN73" s="116">
        <f t="shared" ref="BN73" ca="1" si="107">BM73+BN72</f>
        <v>1654643854.7914586</v>
      </c>
      <c r="BO73" s="116">
        <f t="shared" ref="BO73" ca="1" si="108">BN73+BO72</f>
        <v>1736981915.5780768</v>
      </c>
      <c r="BP73" s="116">
        <f t="shared" ref="BP73" ca="1" si="109">BO73+BP72</f>
        <v>1806128982.3946207</v>
      </c>
      <c r="BQ73" s="116">
        <f t="shared" ref="BQ73" ca="1" si="110">BP73+BQ72</f>
        <v>1889356197.6398506</v>
      </c>
      <c r="BR73" s="116">
        <f t="shared" ref="BR73" ca="1" si="111">BQ73+BR72</f>
        <v>1966228637.7238154</v>
      </c>
      <c r="BS73" s="116">
        <f t="shared" ref="BS73" ca="1" si="112">BR73+BS72</f>
        <v>2036709233.1602774</v>
      </c>
      <c r="BT73" s="116">
        <f t="shared" ref="BT73" ca="1" si="113">BS73+BT72</f>
        <v>2128789399.7322104</v>
      </c>
      <c r="BU73" s="116">
        <f t="shared" ref="BU73" ca="1" si="114">BT73+BU72</f>
        <v>2207319643.5455561</v>
      </c>
      <c r="BV73" s="116">
        <f t="shared" ref="BV73" ca="1" si="115">BU73+BV72</f>
        <v>2300506153.6177487</v>
      </c>
      <c r="BW73" s="116">
        <f t="shared" ref="BW73" ca="1" si="116">BV73+BW72</f>
        <v>2386800706.8980637</v>
      </c>
      <c r="BX73" s="116">
        <f t="shared" ref="BX73" ca="1" si="117">BW73+BX72</f>
        <v>2450678416.9571738</v>
      </c>
      <c r="BY73" s="116">
        <f t="shared" ref="BY73" ca="1" si="118">BX73+BY72</f>
        <v>2561069353.7203178</v>
      </c>
      <c r="BZ73" s="116">
        <f t="shared" ref="BZ73" ca="1" si="119">BY73+BZ72</f>
        <v>2641593188.2449389</v>
      </c>
      <c r="CA73" s="116">
        <f t="shared" ref="CA73" ca="1" si="120">BZ73+CA72</f>
        <v>2737081226.5928059</v>
      </c>
      <c r="CB73" s="116">
        <f t="shared" ref="CB73" ca="1" si="121">CA73+CB72</f>
        <v>2818617384.927887</v>
      </c>
      <c r="CC73" s="116">
        <f t="shared" ref="CC73" ca="1" si="122">CB73+CC72</f>
        <v>2914920543.6828179</v>
      </c>
      <c r="CD73" s="116">
        <f t="shared" ref="CD73" ca="1" si="123">CC73+CD72</f>
        <v>3004480469.8939323</v>
      </c>
      <c r="CE73" s="116">
        <f t="shared" ref="CE73" ca="1" si="124">CD73+CE72</f>
        <v>3087233719.9918213</v>
      </c>
      <c r="CF73" s="116">
        <f t="shared" ref="CF73" ca="1" si="125">CE73+CF72</f>
        <v>3185118735.0131807</v>
      </c>
      <c r="CG73" s="116">
        <f t="shared" ref="CG73" ca="1" si="126">CF73+CG72</f>
        <v>3268753538.6737666</v>
      </c>
      <c r="CH73" s="116">
        <f t="shared" ref="CH73" ca="1" si="127">CG73+CH72</f>
        <v>3367797646.6141291</v>
      </c>
      <c r="CI73" s="116">
        <f t="shared" ref="CI73" ca="1" si="128">CH73+CI72</f>
        <v>3459630113.5715876</v>
      </c>
      <c r="CJ73" s="116">
        <f t="shared" ref="CJ73" ca="1" si="129">CI73+CJ72</f>
        <v>3527856990.2633677</v>
      </c>
      <c r="CK73" s="116">
        <f t="shared" ref="CK73" ca="1" si="130">CJ73+CK72</f>
        <v>11150171743.210159</v>
      </c>
    </row>
    <row r="74" spans="2:89" ht="15.75" thickTop="1"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</row>
    <row r="75" spans="2:89" ht="15.75" thickBot="1">
      <c r="B75" s="96" t="str">
        <f>"Дисконтированный денежный поток на учредителей, в "&amp;Ед_измерения_денег</f>
        <v>Дисконтированный денежный поток на учредителей, в  руб.</v>
      </c>
      <c r="C75" s="96"/>
      <c r="D75" s="127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</row>
    <row r="76" spans="2:89">
      <c r="B76" s="14"/>
      <c r="C76" s="14"/>
      <c r="D76" s="14"/>
      <c r="E76" s="1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</row>
    <row r="77" spans="2:89">
      <c r="B77" s="155" t="s">
        <v>148</v>
      </c>
      <c r="C77" s="156"/>
      <c r="D77" s="157">
        <f>АК_стоимость</f>
        <v>0.1</v>
      </c>
      <c r="E77" s="158"/>
      <c r="F77" s="159">
        <f>$D$77</f>
        <v>0.1</v>
      </c>
      <c r="G77" s="159">
        <f t="shared" ref="G77:BR77" si="131">$D$77</f>
        <v>0.1</v>
      </c>
      <c r="H77" s="159">
        <f t="shared" si="131"/>
        <v>0.1</v>
      </c>
      <c r="I77" s="159">
        <f t="shared" si="131"/>
        <v>0.1</v>
      </c>
      <c r="J77" s="159">
        <f t="shared" si="131"/>
        <v>0.1</v>
      </c>
      <c r="K77" s="159">
        <f t="shared" si="131"/>
        <v>0.1</v>
      </c>
      <c r="L77" s="159">
        <f t="shared" si="131"/>
        <v>0.1</v>
      </c>
      <c r="M77" s="159">
        <f t="shared" si="131"/>
        <v>0.1</v>
      </c>
      <c r="N77" s="159">
        <f t="shared" si="131"/>
        <v>0.1</v>
      </c>
      <c r="O77" s="159">
        <f t="shared" si="131"/>
        <v>0.1</v>
      </c>
      <c r="P77" s="159">
        <f t="shared" si="131"/>
        <v>0.1</v>
      </c>
      <c r="Q77" s="159">
        <f t="shared" si="131"/>
        <v>0.1</v>
      </c>
      <c r="R77" s="159">
        <f t="shared" si="131"/>
        <v>0.1</v>
      </c>
      <c r="S77" s="159">
        <f t="shared" si="131"/>
        <v>0.1</v>
      </c>
      <c r="T77" s="159">
        <f t="shared" si="131"/>
        <v>0.1</v>
      </c>
      <c r="U77" s="159">
        <f t="shared" si="131"/>
        <v>0.1</v>
      </c>
      <c r="V77" s="159">
        <f t="shared" si="131"/>
        <v>0.1</v>
      </c>
      <c r="W77" s="159">
        <f t="shared" si="131"/>
        <v>0.1</v>
      </c>
      <c r="X77" s="159">
        <f t="shared" si="131"/>
        <v>0.1</v>
      </c>
      <c r="Y77" s="159">
        <f t="shared" si="131"/>
        <v>0.1</v>
      </c>
      <c r="Z77" s="159">
        <f t="shared" si="131"/>
        <v>0.1</v>
      </c>
      <c r="AA77" s="159">
        <f t="shared" si="131"/>
        <v>0.1</v>
      </c>
      <c r="AB77" s="159">
        <f t="shared" si="131"/>
        <v>0.1</v>
      </c>
      <c r="AC77" s="159">
        <f t="shared" si="131"/>
        <v>0.1</v>
      </c>
      <c r="AD77" s="159">
        <f t="shared" si="131"/>
        <v>0.1</v>
      </c>
      <c r="AE77" s="159">
        <f t="shared" si="131"/>
        <v>0.1</v>
      </c>
      <c r="AF77" s="159">
        <f t="shared" si="131"/>
        <v>0.1</v>
      </c>
      <c r="AG77" s="159">
        <f t="shared" si="131"/>
        <v>0.1</v>
      </c>
      <c r="AH77" s="159">
        <f t="shared" si="131"/>
        <v>0.1</v>
      </c>
      <c r="AI77" s="159">
        <f t="shared" si="131"/>
        <v>0.1</v>
      </c>
      <c r="AJ77" s="159">
        <f t="shared" si="131"/>
        <v>0.1</v>
      </c>
      <c r="AK77" s="159">
        <f t="shared" si="131"/>
        <v>0.1</v>
      </c>
      <c r="AL77" s="159">
        <f t="shared" si="131"/>
        <v>0.1</v>
      </c>
      <c r="AM77" s="159">
        <f t="shared" si="131"/>
        <v>0.1</v>
      </c>
      <c r="AN77" s="159">
        <f t="shared" si="131"/>
        <v>0.1</v>
      </c>
      <c r="AO77" s="159">
        <f t="shared" si="131"/>
        <v>0.1</v>
      </c>
      <c r="AP77" s="159">
        <f t="shared" si="131"/>
        <v>0.1</v>
      </c>
      <c r="AQ77" s="159">
        <f t="shared" si="131"/>
        <v>0.1</v>
      </c>
      <c r="AR77" s="159">
        <f t="shared" si="131"/>
        <v>0.1</v>
      </c>
      <c r="AS77" s="159">
        <f t="shared" si="131"/>
        <v>0.1</v>
      </c>
      <c r="AT77" s="159">
        <f t="shared" si="131"/>
        <v>0.1</v>
      </c>
      <c r="AU77" s="159">
        <f t="shared" si="131"/>
        <v>0.1</v>
      </c>
      <c r="AV77" s="159">
        <f t="shared" si="131"/>
        <v>0.1</v>
      </c>
      <c r="AW77" s="159">
        <f t="shared" si="131"/>
        <v>0.1</v>
      </c>
      <c r="AX77" s="159">
        <f t="shared" si="131"/>
        <v>0.1</v>
      </c>
      <c r="AY77" s="159">
        <f t="shared" si="131"/>
        <v>0.1</v>
      </c>
      <c r="AZ77" s="159">
        <f t="shared" si="131"/>
        <v>0.1</v>
      </c>
      <c r="BA77" s="159">
        <f t="shared" si="131"/>
        <v>0.1</v>
      </c>
      <c r="BB77" s="159">
        <f t="shared" si="131"/>
        <v>0.1</v>
      </c>
      <c r="BC77" s="159">
        <f t="shared" si="131"/>
        <v>0.1</v>
      </c>
      <c r="BD77" s="159">
        <f t="shared" si="131"/>
        <v>0.1</v>
      </c>
      <c r="BE77" s="159">
        <f t="shared" si="131"/>
        <v>0.1</v>
      </c>
      <c r="BF77" s="159">
        <f t="shared" si="131"/>
        <v>0.1</v>
      </c>
      <c r="BG77" s="159">
        <f t="shared" si="131"/>
        <v>0.1</v>
      </c>
      <c r="BH77" s="159">
        <f t="shared" si="131"/>
        <v>0.1</v>
      </c>
      <c r="BI77" s="159">
        <f t="shared" si="131"/>
        <v>0.1</v>
      </c>
      <c r="BJ77" s="159">
        <f t="shared" si="131"/>
        <v>0.1</v>
      </c>
      <c r="BK77" s="159">
        <f t="shared" si="131"/>
        <v>0.1</v>
      </c>
      <c r="BL77" s="159">
        <f t="shared" si="131"/>
        <v>0.1</v>
      </c>
      <c r="BM77" s="159">
        <f t="shared" si="131"/>
        <v>0.1</v>
      </c>
      <c r="BN77" s="159">
        <f t="shared" si="131"/>
        <v>0.1</v>
      </c>
      <c r="BO77" s="159">
        <f t="shared" si="131"/>
        <v>0.1</v>
      </c>
      <c r="BP77" s="159">
        <f t="shared" si="131"/>
        <v>0.1</v>
      </c>
      <c r="BQ77" s="159">
        <f t="shared" si="131"/>
        <v>0.1</v>
      </c>
      <c r="BR77" s="159">
        <f t="shared" si="131"/>
        <v>0.1</v>
      </c>
      <c r="BS77" s="159">
        <f t="shared" ref="BS77:CK77" si="132">$D$77</f>
        <v>0.1</v>
      </c>
      <c r="BT77" s="159">
        <f t="shared" si="132"/>
        <v>0.1</v>
      </c>
      <c r="BU77" s="159">
        <f t="shared" si="132"/>
        <v>0.1</v>
      </c>
      <c r="BV77" s="159">
        <f t="shared" si="132"/>
        <v>0.1</v>
      </c>
      <c r="BW77" s="159">
        <f t="shared" si="132"/>
        <v>0.1</v>
      </c>
      <c r="BX77" s="159">
        <f t="shared" si="132"/>
        <v>0.1</v>
      </c>
      <c r="BY77" s="159">
        <f t="shared" si="132"/>
        <v>0.1</v>
      </c>
      <c r="BZ77" s="159">
        <f t="shared" si="132"/>
        <v>0.1</v>
      </c>
      <c r="CA77" s="159">
        <f t="shared" si="132"/>
        <v>0.1</v>
      </c>
      <c r="CB77" s="159">
        <f t="shared" si="132"/>
        <v>0.1</v>
      </c>
      <c r="CC77" s="159">
        <f t="shared" si="132"/>
        <v>0.1</v>
      </c>
      <c r="CD77" s="159">
        <f t="shared" si="132"/>
        <v>0.1</v>
      </c>
      <c r="CE77" s="159">
        <f t="shared" si="132"/>
        <v>0.1</v>
      </c>
      <c r="CF77" s="159">
        <f t="shared" si="132"/>
        <v>0.1</v>
      </c>
      <c r="CG77" s="159">
        <f t="shared" si="132"/>
        <v>0.1</v>
      </c>
      <c r="CH77" s="159">
        <f t="shared" si="132"/>
        <v>0.1</v>
      </c>
      <c r="CI77" s="159">
        <f t="shared" si="132"/>
        <v>0.1</v>
      </c>
      <c r="CJ77" s="159">
        <f t="shared" si="132"/>
        <v>0.1</v>
      </c>
      <c r="CK77" s="159">
        <f t="shared" si="132"/>
        <v>0.1</v>
      </c>
    </row>
    <row r="78" spans="2:89" ht="15.75" thickBot="1">
      <c r="B78" s="155" t="s">
        <v>149</v>
      </c>
      <c r="C78" s="156"/>
      <c r="D78" s="160"/>
      <c r="E78" s="158"/>
      <c r="F78" s="159">
        <f>(1+F77)^(F$26/F$20)-1</f>
        <v>7.8644772206188929E-3</v>
      </c>
      <c r="G78" s="159">
        <f t="shared" ref="G78:AG78" si="133">(1+G77)^(G$26/G$20)-1</f>
        <v>8.1276889668540075E-3</v>
      </c>
      <c r="H78" s="159">
        <f t="shared" si="133"/>
        <v>7.8644772206188929E-3</v>
      </c>
      <c r="I78" s="159">
        <f t="shared" si="133"/>
        <v>8.1276889668540075E-3</v>
      </c>
      <c r="J78" s="159">
        <f t="shared" si="133"/>
        <v>8.1276889668540075E-3</v>
      </c>
      <c r="K78" s="159">
        <f t="shared" si="133"/>
        <v>7.8644772206188929E-3</v>
      </c>
      <c r="L78" s="159">
        <f t="shared" si="133"/>
        <v>8.1276889668540075E-3</v>
      </c>
      <c r="M78" s="159">
        <f t="shared" si="133"/>
        <v>7.8644772206188929E-3</v>
      </c>
      <c r="N78" s="159">
        <f t="shared" si="133"/>
        <v>8.1276889668540075E-3</v>
      </c>
      <c r="O78" s="159">
        <f t="shared" si="133"/>
        <v>8.1053924114879994E-3</v>
      </c>
      <c r="P78" s="159">
        <f t="shared" si="133"/>
        <v>7.5804870036917382E-3</v>
      </c>
      <c r="Q78" s="159">
        <f t="shared" si="133"/>
        <v>8.1053924114879994E-3</v>
      </c>
      <c r="R78" s="159">
        <f t="shared" si="133"/>
        <v>7.8429055348927523E-3</v>
      </c>
      <c r="S78" s="159">
        <f t="shared" si="133"/>
        <v>8.1053924114879994E-3</v>
      </c>
      <c r="T78" s="159">
        <f t="shared" si="133"/>
        <v>7.8429055348927523E-3</v>
      </c>
      <c r="U78" s="159">
        <f t="shared" si="133"/>
        <v>8.1053924114879994E-3</v>
      </c>
      <c r="V78" s="159">
        <f t="shared" si="133"/>
        <v>8.1053924114879994E-3</v>
      </c>
      <c r="W78" s="159">
        <f t="shared" si="133"/>
        <v>7.8429055348927523E-3</v>
      </c>
      <c r="X78" s="159">
        <f t="shared" si="133"/>
        <v>8.1053924114879994E-3</v>
      </c>
      <c r="Y78" s="159">
        <f t="shared" si="133"/>
        <v>7.8429055348927523E-3</v>
      </c>
      <c r="Z78" s="159">
        <f t="shared" si="133"/>
        <v>8.1053924114879994E-3</v>
      </c>
      <c r="AA78" s="159">
        <f t="shared" si="133"/>
        <v>8.1276889668540075E-3</v>
      </c>
      <c r="AB78" s="159">
        <f t="shared" si="133"/>
        <v>7.3382598758260364E-3</v>
      </c>
      <c r="AC78" s="159">
        <f t="shared" si="133"/>
        <v>8.1276889668540075E-3</v>
      </c>
      <c r="AD78" s="159">
        <f t="shared" si="133"/>
        <v>7.8644772206188929E-3</v>
      </c>
      <c r="AE78" s="159">
        <f t="shared" si="133"/>
        <v>8.1276889668540075E-3</v>
      </c>
      <c r="AF78" s="159">
        <f t="shared" si="133"/>
        <v>7.8644772206188929E-3</v>
      </c>
      <c r="AG78" s="159">
        <f t="shared" si="133"/>
        <v>8.1276889668540075E-3</v>
      </c>
      <c r="AH78" s="159">
        <f t="shared" ref="AH78:BM78" si="134">(1+AH77)^(AH$26/AH$20)-1</f>
        <v>8.1276889668540075E-3</v>
      </c>
      <c r="AI78" s="159">
        <f t="shared" si="134"/>
        <v>7.8644772206188929E-3</v>
      </c>
      <c r="AJ78" s="159">
        <f t="shared" si="134"/>
        <v>8.1276889668540075E-3</v>
      </c>
      <c r="AK78" s="159">
        <f t="shared" si="134"/>
        <v>7.8644772206188929E-3</v>
      </c>
      <c r="AL78" s="159">
        <f t="shared" si="134"/>
        <v>8.1276889668540075E-3</v>
      </c>
      <c r="AM78" s="159">
        <f t="shared" si="134"/>
        <v>8.1276889668540075E-3</v>
      </c>
      <c r="AN78" s="159">
        <f t="shared" si="134"/>
        <v>7.3382598758260364E-3</v>
      </c>
      <c r="AO78" s="159">
        <f t="shared" si="134"/>
        <v>8.1276889668540075E-3</v>
      </c>
      <c r="AP78" s="159">
        <f t="shared" si="134"/>
        <v>7.8644772206188929E-3</v>
      </c>
      <c r="AQ78" s="159">
        <f t="shared" si="134"/>
        <v>8.1276889668540075E-3</v>
      </c>
      <c r="AR78" s="159">
        <f t="shared" si="134"/>
        <v>7.8644772206188929E-3</v>
      </c>
      <c r="AS78" s="159">
        <f t="shared" si="134"/>
        <v>8.1276889668540075E-3</v>
      </c>
      <c r="AT78" s="159">
        <f t="shared" si="134"/>
        <v>8.1276889668540075E-3</v>
      </c>
      <c r="AU78" s="159">
        <f t="shared" si="134"/>
        <v>7.8644772206188929E-3</v>
      </c>
      <c r="AV78" s="159">
        <f t="shared" si="134"/>
        <v>8.1276889668540075E-3</v>
      </c>
      <c r="AW78" s="159">
        <f t="shared" si="134"/>
        <v>7.8644772206188929E-3</v>
      </c>
      <c r="AX78" s="159">
        <f t="shared" si="134"/>
        <v>8.1276889668540075E-3</v>
      </c>
      <c r="AY78" s="159">
        <f t="shared" si="134"/>
        <v>8.1276889668540075E-3</v>
      </c>
      <c r="AZ78" s="159">
        <f t="shared" si="134"/>
        <v>7.3382598758260364E-3</v>
      </c>
      <c r="BA78" s="159">
        <f t="shared" si="134"/>
        <v>8.1276889668540075E-3</v>
      </c>
      <c r="BB78" s="159">
        <f t="shared" si="134"/>
        <v>7.8644772206188929E-3</v>
      </c>
      <c r="BC78" s="159">
        <f t="shared" si="134"/>
        <v>8.1276889668540075E-3</v>
      </c>
      <c r="BD78" s="159">
        <f t="shared" si="134"/>
        <v>7.8644772206188929E-3</v>
      </c>
      <c r="BE78" s="159">
        <f t="shared" si="134"/>
        <v>8.1276889668540075E-3</v>
      </c>
      <c r="BF78" s="159">
        <f t="shared" si="134"/>
        <v>8.1276889668540075E-3</v>
      </c>
      <c r="BG78" s="159">
        <f t="shared" si="134"/>
        <v>7.8644772206188929E-3</v>
      </c>
      <c r="BH78" s="159">
        <f t="shared" si="134"/>
        <v>8.1276889668540075E-3</v>
      </c>
      <c r="BI78" s="159">
        <f t="shared" si="134"/>
        <v>7.8644772206188929E-3</v>
      </c>
      <c r="BJ78" s="159">
        <f t="shared" si="134"/>
        <v>8.1276889668540075E-3</v>
      </c>
      <c r="BK78" s="159">
        <f t="shared" si="134"/>
        <v>8.1053924114879994E-3</v>
      </c>
      <c r="BL78" s="159">
        <f t="shared" si="134"/>
        <v>7.5804870036917382E-3</v>
      </c>
      <c r="BM78" s="159">
        <f t="shared" si="134"/>
        <v>8.1053924114879994E-3</v>
      </c>
      <c r="BN78" s="159">
        <f t="shared" ref="BN78:CK78" si="135">(1+BN77)^(BN$26/BN$20)-1</f>
        <v>7.8429055348927523E-3</v>
      </c>
      <c r="BO78" s="159">
        <f t="shared" si="135"/>
        <v>8.1053924114879994E-3</v>
      </c>
      <c r="BP78" s="159">
        <f t="shared" si="135"/>
        <v>7.8429055348927523E-3</v>
      </c>
      <c r="BQ78" s="159">
        <f t="shared" si="135"/>
        <v>8.1053924114879994E-3</v>
      </c>
      <c r="BR78" s="159">
        <f t="shared" si="135"/>
        <v>8.1053924114879994E-3</v>
      </c>
      <c r="BS78" s="159">
        <f t="shared" si="135"/>
        <v>7.8429055348927523E-3</v>
      </c>
      <c r="BT78" s="159">
        <f t="shared" si="135"/>
        <v>8.1053924114879994E-3</v>
      </c>
      <c r="BU78" s="159">
        <f t="shared" si="135"/>
        <v>7.8429055348927523E-3</v>
      </c>
      <c r="BV78" s="159">
        <f t="shared" si="135"/>
        <v>8.1053924114879994E-3</v>
      </c>
      <c r="BW78" s="159">
        <f t="shared" si="135"/>
        <v>8.1276889668540075E-3</v>
      </c>
      <c r="BX78" s="159">
        <f t="shared" si="135"/>
        <v>7.3382598758260364E-3</v>
      </c>
      <c r="BY78" s="159">
        <f t="shared" si="135"/>
        <v>8.1276889668540075E-3</v>
      </c>
      <c r="BZ78" s="159">
        <f t="shared" si="135"/>
        <v>7.8644772206188929E-3</v>
      </c>
      <c r="CA78" s="159">
        <f t="shared" si="135"/>
        <v>8.1276889668540075E-3</v>
      </c>
      <c r="CB78" s="159">
        <f t="shared" si="135"/>
        <v>7.8644772206188929E-3</v>
      </c>
      <c r="CC78" s="159">
        <f t="shared" si="135"/>
        <v>8.1276889668540075E-3</v>
      </c>
      <c r="CD78" s="159">
        <f t="shared" si="135"/>
        <v>8.1276889668540075E-3</v>
      </c>
      <c r="CE78" s="159">
        <f t="shared" si="135"/>
        <v>7.8644772206188929E-3</v>
      </c>
      <c r="CF78" s="159">
        <f t="shared" si="135"/>
        <v>8.1276889668540075E-3</v>
      </c>
      <c r="CG78" s="159">
        <f t="shared" si="135"/>
        <v>7.8644772206188929E-3</v>
      </c>
      <c r="CH78" s="159">
        <f t="shared" si="135"/>
        <v>8.1276889668540075E-3</v>
      </c>
      <c r="CI78" s="159">
        <f t="shared" si="135"/>
        <v>8.1276889668540075E-3</v>
      </c>
      <c r="CJ78" s="159">
        <f t="shared" si="135"/>
        <v>7.3382598758260364E-3</v>
      </c>
      <c r="CK78" s="159">
        <f t="shared" si="135"/>
        <v>8.1276889668540075E-3</v>
      </c>
    </row>
    <row r="79" spans="2:89" ht="15.75" thickTop="1">
      <c r="B79" s="161" t="s">
        <v>150</v>
      </c>
      <c r="C79" s="162"/>
      <c r="D79" s="163"/>
      <c r="E79" s="164">
        <v>1</v>
      </c>
      <c r="F79" s="165">
        <f t="shared" ref="F79:AK79" si="136">E79/(1+F78)</f>
        <v>0.99219689015897583</v>
      </c>
      <c r="G79" s="165">
        <f t="shared" si="136"/>
        <v>0.98419763787640402</v>
      </c>
      <c r="H79" s="165">
        <f t="shared" si="136"/>
        <v>0.97651783560277794</v>
      </c>
      <c r="I79" s="165">
        <f t="shared" si="136"/>
        <v>0.96864499040149332</v>
      </c>
      <c r="J79" s="165">
        <f t="shared" si="136"/>
        <v>0.96083561735535383</v>
      </c>
      <c r="K79" s="165">
        <f t="shared" si="136"/>
        <v>0.95333811149396175</v>
      </c>
      <c r="L79" s="165">
        <f t="shared" si="136"/>
        <v>0.94565214498865557</v>
      </c>
      <c r="M79" s="165">
        <f t="shared" si="136"/>
        <v>0.93827311742990893</v>
      </c>
      <c r="N79" s="165">
        <f t="shared" si="136"/>
        <v>0.93070860735058947</v>
      </c>
      <c r="O79" s="165">
        <f t="shared" si="136"/>
        <v>0.92322550236959078</v>
      </c>
      <c r="P79" s="165">
        <f t="shared" si="136"/>
        <v>0.91627965634293607</v>
      </c>
      <c r="Q79" s="165">
        <f t="shared" si="136"/>
        <v>0.90891256334925885</v>
      </c>
      <c r="R79" s="165">
        <f t="shared" si="136"/>
        <v>0.90183952117703448</v>
      </c>
      <c r="S79" s="165">
        <f t="shared" si="136"/>
        <v>0.8945885300938079</v>
      </c>
      <c r="T79" s="165">
        <f t="shared" si="136"/>
        <v>0.88762695572979466</v>
      </c>
      <c r="U79" s="165">
        <f t="shared" si="136"/>
        <v>0.8804902368456764</v>
      </c>
      <c r="V79" s="165">
        <f t="shared" si="136"/>
        <v>0.87341089877463751</v>
      </c>
      <c r="W79" s="165">
        <f t="shared" si="136"/>
        <v>0.86661412604883292</v>
      </c>
      <c r="X79" s="165">
        <f t="shared" si="136"/>
        <v>0.85964635500640074</v>
      </c>
      <c r="Y79" s="165">
        <f t="shared" si="136"/>
        <v>0.85295669621265069</v>
      </c>
      <c r="Z79" s="165">
        <f t="shared" si="136"/>
        <v>0.84609873395508162</v>
      </c>
      <c r="AA79" s="165">
        <f t="shared" si="136"/>
        <v>0.83927734870785831</v>
      </c>
      <c r="AB79" s="165">
        <f t="shared" si="136"/>
        <v>0.83316337931144946</v>
      </c>
      <c r="AC79" s="165">
        <f t="shared" si="136"/>
        <v>0.82644628099173545</v>
      </c>
      <c r="AD79" s="165">
        <f t="shared" si="136"/>
        <v>0.81999742988345103</v>
      </c>
      <c r="AE79" s="165">
        <f t="shared" si="136"/>
        <v>0.81338647758380489</v>
      </c>
      <c r="AF79" s="165">
        <f t="shared" si="136"/>
        <v>0.80703953355601477</v>
      </c>
      <c r="AG79" s="165">
        <f t="shared" si="136"/>
        <v>0.80053304991858942</v>
      </c>
      <c r="AH79" s="165">
        <f t="shared" si="136"/>
        <v>0.79407902260773033</v>
      </c>
      <c r="AI79" s="165">
        <f t="shared" si="136"/>
        <v>0.78788273677186915</v>
      </c>
      <c r="AJ79" s="165">
        <f t="shared" si="136"/>
        <v>0.78153069833773181</v>
      </c>
      <c r="AK79" s="165">
        <f t="shared" si="136"/>
        <v>0.77543232845447019</v>
      </c>
      <c r="AL79" s="165">
        <f t="shared" ref="AL79:BM79" si="137">AK79/(1+AL78)</f>
        <v>0.76918066723189216</v>
      </c>
      <c r="AM79" s="165">
        <f t="shared" si="137"/>
        <v>0.76297940791623453</v>
      </c>
      <c r="AN79" s="165">
        <f t="shared" si="137"/>
        <v>0.75742125391949922</v>
      </c>
      <c r="AO79" s="165">
        <f t="shared" si="137"/>
        <v>0.75131480090157732</v>
      </c>
      <c r="AP79" s="165">
        <f t="shared" si="137"/>
        <v>0.74545220898495512</v>
      </c>
      <c r="AQ79" s="165">
        <f t="shared" si="137"/>
        <v>0.73944225234891314</v>
      </c>
      <c r="AR79" s="165">
        <f t="shared" si="137"/>
        <v>0.73367230323274024</v>
      </c>
      <c r="AS79" s="165">
        <f t="shared" si="137"/>
        <v>0.72775731810780819</v>
      </c>
      <c r="AT79" s="165">
        <f t="shared" si="137"/>
        <v>0.72189002055248175</v>
      </c>
      <c r="AU79" s="165">
        <f t="shared" si="137"/>
        <v>0.71625703342897151</v>
      </c>
      <c r="AV79" s="165">
        <f t="shared" si="137"/>
        <v>0.71048245303430124</v>
      </c>
      <c r="AW79" s="165">
        <f t="shared" si="137"/>
        <v>0.70493848041315432</v>
      </c>
      <c r="AX79" s="165">
        <f t="shared" si="137"/>
        <v>0.69925515202899247</v>
      </c>
      <c r="AY79" s="165">
        <f t="shared" si="137"/>
        <v>0.69361764356021283</v>
      </c>
      <c r="AZ79" s="165">
        <f t="shared" si="137"/>
        <v>0.68856477629045343</v>
      </c>
      <c r="BA79" s="165">
        <f t="shared" si="137"/>
        <v>0.68301345536506997</v>
      </c>
      <c r="BB79" s="165">
        <f t="shared" si="137"/>
        <v>0.67768382634995883</v>
      </c>
      <c r="BC79" s="165">
        <f t="shared" si="137"/>
        <v>0.67222022940810255</v>
      </c>
      <c r="BD79" s="165">
        <f t="shared" si="137"/>
        <v>0.66697482112067263</v>
      </c>
      <c r="BE79" s="165">
        <f t="shared" si="137"/>
        <v>0.6615975619161889</v>
      </c>
      <c r="BF79" s="165">
        <f t="shared" si="137"/>
        <v>0.65626365504771034</v>
      </c>
      <c r="BG79" s="165">
        <f t="shared" si="137"/>
        <v>0.65114275766270102</v>
      </c>
      <c r="BH79" s="165">
        <f t="shared" si="137"/>
        <v>0.64589313912209168</v>
      </c>
      <c r="BI79" s="165">
        <f t="shared" si="137"/>
        <v>0.64085316401195813</v>
      </c>
      <c r="BJ79" s="165">
        <f t="shared" si="137"/>
        <v>0.63568650184453823</v>
      </c>
      <c r="BK79" s="165">
        <f t="shared" si="137"/>
        <v>0.63057544045460678</v>
      </c>
      <c r="BL79" s="165">
        <f t="shared" si="137"/>
        <v>0.62583133415950754</v>
      </c>
      <c r="BM79" s="165">
        <f t="shared" si="137"/>
        <v>0.62079951051790028</v>
      </c>
      <c r="BN79" s="165">
        <f t="shared" ref="BN79" si="138">BM79/(1+BN78)</f>
        <v>0.61596852754390641</v>
      </c>
      <c r="BO79" s="165">
        <f t="shared" ref="BO79" si="139">BN79/(1+BO78)</f>
        <v>0.61101600306933057</v>
      </c>
      <c r="BP79" s="165">
        <f t="shared" ref="BP79" si="140">BO79/(1+BP78)</f>
        <v>0.60626115410818504</v>
      </c>
      <c r="BQ79" s="165">
        <f t="shared" ref="BQ79" si="141">BP79/(1+BQ78)</f>
        <v>0.60138667908317434</v>
      </c>
      <c r="BR79" s="165">
        <f t="shared" ref="BR79" si="142">BQ79/(1+BR78)</f>
        <v>0.5965513959255766</v>
      </c>
      <c r="BS79" s="165">
        <f t="shared" ref="BS79" si="143">BR79/(1+BS78)</f>
        <v>0.59190910870079372</v>
      </c>
      <c r="BT79" s="165">
        <f t="shared" ref="BT79" si="144">BS79/(1+BT78)</f>
        <v>0.5871500273249094</v>
      </c>
      <c r="BU79" s="165">
        <f t="shared" ref="BU79" si="145">BT79/(1+BU78)</f>
        <v>0.58258090035697685</v>
      </c>
      <c r="BV79" s="165">
        <f t="shared" ref="BV79" si="146">BU79/(1+BV78)</f>
        <v>0.57789681985867136</v>
      </c>
      <c r="BW79" s="165">
        <f t="shared" ref="BW79" si="147">BV79/(1+BW78)</f>
        <v>0.57323772195058909</v>
      </c>
      <c r="BX79" s="165">
        <f t="shared" ref="BX79" si="148">BW79/(1+BX78)</f>
        <v>0.56906179858715156</v>
      </c>
      <c r="BY79" s="165">
        <f t="shared" ref="BY79" si="149">BX79/(1+BY78)</f>
        <v>0.56447393005377677</v>
      </c>
      <c r="BZ79" s="165">
        <f t="shared" ref="BZ79" si="150">BY79/(1+BZ78)</f>
        <v>0.56006927797517259</v>
      </c>
      <c r="CA79" s="165">
        <f t="shared" ref="CA79" si="151">BZ79/(1+CA78)</f>
        <v>0.55555390860173759</v>
      </c>
      <c r="CB79" s="165">
        <f t="shared" ref="CB79" si="152">CA79/(1+CB78)</f>
        <v>0.55121886043030788</v>
      </c>
      <c r="CC79" s="165">
        <f t="shared" ref="CC79" si="153">CB79/(1+CC78)</f>
        <v>0.54677484455883374</v>
      </c>
      <c r="CD79" s="165">
        <f t="shared" ref="CD79" si="154">CC79/(1+CD78)</f>
        <v>0.54236665706422338</v>
      </c>
      <c r="CE79" s="165">
        <f t="shared" ref="CE79" si="155">CD79/(1+CE78)</f>
        <v>0.53813451046504213</v>
      </c>
      <c r="CF79" s="165">
        <f t="shared" ref="CF79" si="156">CE79/(1+CF78)</f>
        <v>0.53379598274553031</v>
      </c>
      <c r="CG79" s="165">
        <f t="shared" ref="CG79" si="157">CF79/(1+CG78)</f>
        <v>0.52963071405946949</v>
      </c>
      <c r="CH79" s="165">
        <f t="shared" ref="CH79" si="158">CG79/(1+CH78)</f>
        <v>0.52536074532606458</v>
      </c>
      <c r="CI79" s="165">
        <f t="shared" ref="CI79" si="159">CH79/(1+CI78)</f>
        <v>0.52112520177326249</v>
      </c>
      <c r="CJ79" s="165">
        <f t="shared" ref="CJ79" si="160">CI79/(1+CJ78)</f>
        <v>0.51732890780650109</v>
      </c>
      <c r="CK79" s="165">
        <f t="shared" ref="CK79" si="161">CJ79/(1+CK78)</f>
        <v>0.51315811823070578</v>
      </c>
    </row>
    <row r="80" spans="2:89" ht="15.75" thickBot="1"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</row>
    <row r="81" spans="2:89" ht="15.75" thickTop="1">
      <c r="B81" s="50" t="s">
        <v>151</v>
      </c>
      <c r="C81" s="51"/>
      <c r="D81" s="52">
        <f ca="1">SUM(F81:CK81)</f>
        <v>6100908547.7679863</v>
      </c>
      <c r="E81" s="53"/>
      <c r="F81" s="54">
        <f t="shared" ref="F81:AK81" ca="1" si="162">F72*F79</f>
        <v>140157732.70385692</v>
      </c>
      <c r="G81" s="54">
        <f t="shared" ca="1" si="162"/>
        <v>-65566302.884166434</v>
      </c>
      <c r="H81" s="54">
        <f t="shared" ca="1" si="162"/>
        <v>-60661956.795477182</v>
      </c>
      <c r="I81" s="54">
        <f t="shared" ca="1" si="162"/>
        <v>291456519.99956739</v>
      </c>
      <c r="J81" s="54">
        <f t="shared" ca="1" si="162"/>
        <v>-145105394.93300554</v>
      </c>
      <c r="K81" s="54">
        <f t="shared" ca="1" si="162"/>
        <v>-139759367.14501479</v>
      </c>
      <c r="L81" s="54">
        <f t="shared" ca="1" si="162"/>
        <v>191976841.95414698</v>
      </c>
      <c r="M81" s="54">
        <f t="shared" ca="1" si="162"/>
        <v>-98353644.085924</v>
      </c>
      <c r="N81" s="54">
        <f t="shared" ca="1" si="162"/>
        <v>-101901653.49139492</v>
      </c>
      <c r="O81" s="54">
        <f t="shared" ca="1" si="162"/>
        <v>157285918.10496739</v>
      </c>
      <c r="P81" s="54">
        <f t="shared" ca="1" si="162"/>
        <v>-74044859.448632121</v>
      </c>
      <c r="Q81" s="54">
        <f t="shared" ca="1" si="162"/>
        <v>-85289282.867757678</v>
      </c>
      <c r="R81" s="54">
        <f t="shared" ca="1" si="162"/>
        <v>29291077.942757759</v>
      </c>
      <c r="S81" s="54">
        <f t="shared" ca="1" si="162"/>
        <v>5817180.6736829495</v>
      </c>
      <c r="T81" s="54">
        <f t="shared" ca="1" si="162"/>
        <v>1376725.6532406299</v>
      </c>
      <c r="U81" s="54">
        <f t="shared" ca="1" si="162"/>
        <v>1538173.1781553235</v>
      </c>
      <c r="V81" s="54">
        <f t="shared" ca="1" si="162"/>
        <v>-674576.1945643035</v>
      </c>
      <c r="W81" s="54">
        <f t="shared" ca="1" si="162"/>
        <v>-2697281.0379100353</v>
      </c>
      <c r="X81" s="54">
        <f t="shared" ca="1" si="162"/>
        <v>1944297.3300015321</v>
      </c>
      <c r="Y81" s="54">
        <f t="shared" ca="1" si="162"/>
        <v>-2393276.509359682</v>
      </c>
      <c r="Z81" s="54">
        <f t="shared" ca="1" si="162"/>
        <v>2186907.6355150063</v>
      </c>
      <c r="AA81" s="54">
        <f t="shared" ca="1" si="162"/>
        <v>22303.195557560932</v>
      </c>
      <c r="AB81" s="54">
        <f t="shared" ca="1" si="162"/>
        <v>-6726029.839140377</v>
      </c>
      <c r="AC81" s="54">
        <f t="shared" ca="1" si="162"/>
        <v>7594106.2204644382</v>
      </c>
      <c r="AD81" s="54">
        <f t="shared" ca="1" si="162"/>
        <v>-8461320.3502520863</v>
      </c>
      <c r="AE81" s="54">
        <f t="shared" ca="1" si="162"/>
        <v>2189823.633442428</v>
      </c>
      <c r="AF81" s="54">
        <f t="shared" ca="1" si="162"/>
        <v>-1674896.3167990204</v>
      </c>
      <c r="AG81" s="54">
        <f t="shared" ca="1" si="162"/>
        <v>3917568.1824750812</v>
      </c>
      <c r="AH81" s="54">
        <f t="shared" ca="1" si="162"/>
        <v>2731596.5031637717</v>
      </c>
      <c r="AI81" s="54">
        <f t="shared" ca="1" si="162"/>
        <v>1698540.8958746875</v>
      </c>
      <c r="AJ81" s="54">
        <f t="shared" ca="1" si="162"/>
        <v>8699437.731926797</v>
      </c>
      <c r="AK81" s="54">
        <f t="shared" ca="1" si="162"/>
        <v>5176809.8555132309</v>
      </c>
      <c r="AL81" s="54">
        <f t="shared" ref="AL81:BM81" ca="1" si="163">AL72*AL79</f>
        <v>13654879.254573613</v>
      </c>
      <c r="AM81" s="54">
        <f t="shared" ca="1" si="163"/>
        <v>12237113.316605778</v>
      </c>
      <c r="AN81" s="54">
        <f t="shared" ca="1" si="163"/>
        <v>4987618.2243445627</v>
      </c>
      <c r="AO81" s="54">
        <f t="shared" ca="1" si="163"/>
        <v>30776553.373509195</v>
      </c>
      <c r="AP81" s="54">
        <f t="shared" ca="1" si="163"/>
        <v>21313461.470609058</v>
      </c>
      <c r="AQ81" s="54">
        <f t="shared" ca="1" si="163"/>
        <v>30387180.075290594</v>
      </c>
      <c r="AR81" s="54">
        <f t="shared" ca="1" si="163"/>
        <v>24738967.544091344</v>
      </c>
      <c r="AS81" s="54">
        <f t="shared" ca="1" si="163"/>
        <v>32353422.169348933</v>
      </c>
      <c r="AT81" s="54">
        <f t="shared" ca="1" si="163"/>
        <v>30550962.190135024</v>
      </c>
      <c r="AU81" s="54">
        <f t="shared" ca="1" si="163"/>
        <v>28761576.608871624</v>
      </c>
      <c r="AV81" s="54">
        <f t="shared" ca="1" si="163"/>
        <v>38245886.887373231</v>
      </c>
      <c r="AW81" s="54">
        <f t="shared" ca="1" si="163"/>
        <v>32547393.919399839</v>
      </c>
      <c r="AX81" s="54">
        <f t="shared" ca="1" si="163"/>
        <v>43106725.132679477</v>
      </c>
      <c r="AY81" s="54">
        <f t="shared" ca="1" si="163"/>
        <v>40106851.672785126</v>
      </c>
      <c r="AZ81" s="54">
        <f t="shared" ca="1" si="163"/>
        <v>29054462.253103644</v>
      </c>
      <c r="BA81" s="54">
        <f t="shared" ca="1" si="163"/>
        <v>59388498.868193284</v>
      </c>
      <c r="BB81" s="54">
        <f t="shared" ca="1" si="163"/>
        <v>43372605.033729933</v>
      </c>
      <c r="BC81" s="54">
        <f t="shared" ca="1" si="163"/>
        <v>52140537.254741922</v>
      </c>
      <c r="BD81" s="54">
        <f t="shared" ca="1" si="163"/>
        <v>43392619.82116992</v>
      </c>
      <c r="BE81" s="54">
        <f t="shared" ca="1" si="163"/>
        <v>50976551.356742896</v>
      </c>
      <c r="BF81" s="54">
        <f t="shared" ca="1" si="163"/>
        <v>46598870.294316784</v>
      </c>
      <c r="BG81" s="54">
        <f t="shared" ca="1" si="163"/>
        <v>42307730.16259189</v>
      </c>
      <c r="BH81" s="54">
        <f t="shared" ca="1" si="163"/>
        <v>50832573.955487922</v>
      </c>
      <c r="BI81" s="54">
        <f t="shared" ca="1" si="163"/>
        <v>42240720.154342987</v>
      </c>
      <c r="BJ81" s="54">
        <f t="shared" ca="1" si="163"/>
        <v>50789196.745467037</v>
      </c>
      <c r="BK81" s="54">
        <f t="shared" ca="1" si="163"/>
        <v>46218763.064719349</v>
      </c>
      <c r="BL81" s="54">
        <f t="shared" ca="1" si="163"/>
        <v>37476517.17228853</v>
      </c>
      <c r="BM81" s="54">
        <f t="shared" ca="1" si="163"/>
        <v>54984533.004081525</v>
      </c>
      <c r="BN81" s="54">
        <f t="shared" ref="BN81:CK81" ca="1" si="164">BN72*BN79</f>
        <v>41917545.739254534</v>
      </c>
      <c r="BO81" s="54">
        <f t="shared" ca="1" si="164"/>
        <v>50309872.80231905</v>
      </c>
      <c r="BP81" s="54">
        <f t="shared" ca="1" si="164"/>
        <v>41921180.531393677</v>
      </c>
      <c r="BQ81" s="54">
        <f t="shared" ca="1" si="164"/>
        <v>50051738.585669406</v>
      </c>
      <c r="BR81" s="54">
        <f t="shared" ca="1" si="164"/>
        <v>45858361.440294467</v>
      </c>
      <c r="BS81" s="54">
        <f t="shared" ca="1" si="164"/>
        <v>41718106.425497457</v>
      </c>
      <c r="BT81" s="54">
        <f t="shared" ca="1" si="164"/>
        <v>54064872.318792731</v>
      </c>
      <c r="BU81" s="54">
        <f t="shared" ca="1" si="164"/>
        <v>45750220.146031737</v>
      </c>
      <c r="BV81" s="54">
        <f t="shared" ca="1" si="164"/>
        <v>53852187.824448206</v>
      </c>
      <c r="BW81" s="54">
        <f t="shared" ca="1" si="164"/>
        <v>49467293.139151469</v>
      </c>
      <c r="BX81" s="54">
        <f t="shared" ca="1" si="164"/>
        <v>36350364.575865924</v>
      </c>
      <c r="BY81" s="54">
        <f t="shared" ca="1" si="164"/>
        <v>62312805.917009786</v>
      </c>
      <c r="BZ81" s="54">
        <f t="shared" ca="1" si="164"/>
        <v>45098925.861996658</v>
      </c>
      <c r="CA81" s="54">
        <f t="shared" ca="1" si="164"/>
        <v>53048752.928870142</v>
      </c>
      <c r="CB81" s="54">
        <f t="shared" ca="1" si="164"/>
        <v>44944268.281328678</v>
      </c>
      <c r="CC81" s="54">
        <f t="shared" ca="1" si="164"/>
        <v>52656144.658752128</v>
      </c>
      <c r="CD81" s="54">
        <f t="shared" ca="1" si="164"/>
        <v>48574317.786040694</v>
      </c>
      <c r="CE81" s="54">
        <f t="shared" ca="1" si="164"/>
        <v>44532379.730818674</v>
      </c>
      <c r="CF81" s="54">
        <f t="shared" ca="1" si="164"/>
        <v>52250627.789387628</v>
      </c>
      <c r="CG81" s="54">
        <f t="shared" ca="1" si="164"/>
        <v>44295560.782979645</v>
      </c>
      <c r="CH81" s="54">
        <f t="shared" ca="1" si="164"/>
        <v>52033886.367704011</v>
      </c>
      <c r="CI81" s="54">
        <f t="shared" ca="1" si="164"/>
        <v>47856212.872542039</v>
      </c>
      <c r="CJ81" s="54">
        <f t="shared" ca="1" si="164"/>
        <v>35295735.602007337</v>
      </c>
      <c r="CK81" s="54">
        <f t="shared" ca="1" si="164"/>
        <v>3911452695.1843224</v>
      </c>
    </row>
    <row r="82" spans="2:89" ht="15.75" thickBot="1">
      <c r="B82" s="112" t="s">
        <v>539</v>
      </c>
      <c r="C82" s="113"/>
      <c r="D82" s="114">
        <f ca="1">SUM(D81)</f>
        <v>6100908547.7679863</v>
      </c>
      <c r="E82" s="115"/>
      <c r="F82" s="116">
        <f ca="1">E82+F81</f>
        <v>140157732.70385692</v>
      </c>
      <c r="G82" s="116">
        <f t="shared" ref="G82:AG82" ca="1" si="165">F82+G81</f>
        <v>74591429.819690481</v>
      </c>
      <c r="H82" s="116">
        <f t="shared" ca="1" si="165"/>
        <v>13929473.024213299</v>
      </c>
      <c r="I82" s="116">
        <f t="shared" ca="1" si="165"/>
        <v>305385993.0237807</v>
      </c>
      <c r="J82" s="116">
        <f t="shared" ca="1" si="165"/>
        <v>160280598.09077516</v>
      </c>
      <c r="K82" s="116">
        <f t="shared" ca="1" si="165"/>
        <v>20521230.945760369</v>
      </c>
      <c r="L82" s="116">
        <f t="shared" ca="1" si="165"/>
        <v>212498072.89990735</v>
      </c>
      <c r="M82" s="116">
        <f t="shared" ca="1" si="165"/>
        <v>114144428.81398335</v>
      </c>
      <c r="N82" s="116">
        <f t="shared" ca="1" si="165"/>
        <v>12242775.322588429</v>
      </c>
      <c r="O82" s="116">
        <f t="shared" ca="1" si="165"/>
        <v>169528693.4275558</v>
      </c>
      <c r="P82" s="116">
        <f t="shared" ca="1" si="165"/>
        <v>95483833.978923678</v>
      </c>
      <c r="Q82" s="116">
        <f t="shared" ca="1" si="165"/>
        <v>10194551.111166</v>
      </c>
      <c r="R82" s="116">
        <f t="shared" ca="1" si="165"/>
        <v>39485629.053923756</v>
      </c>
      <c r="S82" s="116">
        <f t="shared" ca="1" si="165"/>
        <v>45302809.727606706</v>
      </c>
      <c r="T82" s="116">
        <f t="shared" ca="1" si="165"/>
        <v>46679535.380847335</v>
      </c>
      <c r="U82" s="116">
        <f t="shared" ca="1" si="165"/>
        <v>48217708.55900266</v>
      </c>
      <c r="V82" s="116">
        <f t="shared" ca="1" si="165"/>
        <v>47543132.364438355</v>
      </c>
      <c r="W82" s="116">
        <f t="shared" ca="1" si="165"/>
        <v>44845851.326528318</v>
      </c>
      <c r="X82" s="116">
        <f t="shared" ca="1" si="165"/>
        <v>46790148.656529851</v>
      </c>
      <c r="Y82" s="116">
        <f t="shared" ca="1" si="165"/>
        <v>44396872.147170171</v>
      </c>
      <c r="Z82" s="116">
        <f t="shared" ca="1" si="165"/>
        <v>46583779.782685176</v>
      </c>
      <c r="AA82" s="116">
        <f t="shared" ca="1" si="165"/>
        <v>46606082.97824274</v>
      </c>
      <c r="AB82" s="116">
        <f t="shared" ca="1" si="165"/>
        <v>39880053.139102362</v>
      </c>
      <c r="AC82" s="116">
        <f t="shared" ca="1" si="165"/>
        <v>47474159.3595668</v>
      </c>
      <c r="AD82" s="116">
        <f t="shared" ca="1" si="165"/>
        <v>39012839.009314716</v>
      </c>
      <c r="AE82" s="116">
        <f t="shared" ca="1" si="165"/>
        <v>41202662.642757148</v>
      </c>
      <c r="AF82" s="116">
        <f t="shared" ca="1" si="165"/>
        <v>39527766.325958125</v>
      </c>
      <c r="AG82" s="116">
        <f t="shared" ca="1" si="165"/>
        <v>43445334.508433208</v>
      </c>
      <c r="AH82" s="116">
        <f t="shared" ref="AH82:BM82" ca="1" si="166">AG82+AH81</f>
        <v>46176931.011596978</v>
      </c>
      <c r="AI82" s="116">
        <f t="shared" ca="1" si="166"/>
        <v>47875471.907471664</v>
      </c>
      <c r="AJ82" s="116">
        <f t="shared" ca="1" si="166"/>
        <v>56574909.639398463</v>
      </c>
      <c r="AK82" s="116">
        <f t="shared" ca="1" si="166"/>
        <v>61751719.494911693</v>
      </c>
      <c r="AL82" s="116">
        <f t="shared" ca="1" si="166"/>
        <v>75406598.749485314</v>
      </c>
      <c r="AM82" s="116">
        <f t="shared" ca="1" si="166"/>
        <v>87643712.06609109</v>
      </c>
      <c r="AN82" s="116">
        <f t="shared" ca="1" si="166"/>
        <v>92631330.290435657</v>
      </c>
      <c r="AO82" s="116">
        <f t="shared" ca="1" si="166"/>
        <v>123407883.66394486</v>
      </c>
      <c r="AP82" s="116">
        <f t="shared" ca="1" si="166"/>
        <v>144721345.13455391</v>
      </c>
      <c r="AQ82" s="116">
        <f t="shared" ca="1" si="166"/>
        <v>175108525.2098445</v>
      </c>
      <c r="AR82" s="116">
        <f t="shared" ca="1" si="166"/>
        <v>199847492.75393584</v>
      </c>
      <c r="AS82" s="116">
        <f t="shared" ca="1" si="166"/>
        <v>232200914.92328477</v>
      </c>
      <c r="AT82" s="116">
        <f t="shared" ca="1" si="166"/>
        <v>262751877.1134198</v>
      </c>
      <c r="AU82" s="116">
        <f t="shared" ca="1" si="166"/>
        <v>291513453.72229141</v>
      </c>
      <c r="AV82" s="116">
        <f t="shared" ca="1" si="166"/>
        <v>329759340.60966462</v>
      </c>
      <c r="AW82" s="116">
        <f t="shared" ca="1" si="166"/>
        <v>362306734.52906448</v>
      </c>
      <c r="AX82" s="116">
        <f t="shared" ca="1" si="166"/>
        <v>405413459.66174394</v>
      </c>
      <c r="AY82" s="116">
        <f t="shared" ca="1" si="166"/>
        <v>445520311.33452904</v>
      </c>
      <c r="AZ82" s="116">
        <f t="shared" ca="1" si="166"/>
        <v>474574773.58763266</v>
      </c>
      <c r="BA82" s="116">
        <f t="shared" ca="1" si="166"/>
        <v>533963272.45582592</v>
      </c>
      <c r="BB82" s="116">
        <f t="shared" ca="1" si="166"/>
        <v>577335877.48955584</v>
      </c>
      <c r="BC82" s="116">
        <f t="shared" ca="1" si="166"/>
        <v>629476414.74429774</v>
      </c>
      <c r="BD82" s="116">
        <f t="shared" ca="1" si="166"/>
        <v>672869034.56546772</v>
      </c>
      <c r="BE82" s="116">
        <f t="shared" ca="1" si="166"/>
        <v>723845585.92221057</v>
      </c>
      <c r="BF82" s="116">
        <f t="shared" ca="1" si="166"/>
        <v>770444456.21652734</v>
      </c>
      <c r="BG82" s="116">
        <f t="shared" ca="1" si="166"/>
        <v>812752186.37911928</v>
      </c>
      <c r="BH82" s="116">
        <f t="shared" ca="1" si="166"/>
        <v>863584760.33460724</v>
      </c>
      <c r="BI82" s="116">
        <f t="shared" ca="1" si="166"/>
        <v>905825480.48895025</v>
      </c>
      <c r="BJ82" s="116">
        <f t="shared" ca="1" si="166"/>
        <v>956614677.23441732</v>
      </c>
      <c r="BK82" s="116">
        <f t="shared" ca="1" si="166"/>
        <v>1002833440.2991366</v>
      </c>
      <c r="BL82" s="116">
        <f t="shared" ca="1" si="166"/>
        <v>1040309957.4714252</v>
      </c>
      <c r="BM82" s="116">
        <f t="shared" ca="1" si="166"/>
        <v>1095294490.4755068</v>
      </c>
      <c r="BN82" s="116">
        <f t="shared" ref="BN82" ca="1" si="167">BM82+BN81</f>
        <v>1137212036.2147613</v>
      </c>
      <c r="BO82" s="116">
        <f t="shared" ref="BO82" ca="1" si="168">BN82+BO81</f>
        <v>1187521909.0170803</v>
      </c>
      <c r="BP82" s="116">
        <f t="shared" ref="BP82" ca="1" si="169">BO82+BP81</f>
        <v>1229443089.5484741</v>
      </c>
      <c r="BQ82" s="116">
        <f t="shared" ref="BQ82" ca="1" si="170">BP82+BQ81</f>
        <v>1279494828.1341436</v>
      </c>
      <c r="BR82" s="116">
        <f t="shared" ref="BR82" ca="1" si="171">BQ82+BR81</f>
        <v>1325353189.5744381</v>
      </c>
      <c r="BS82" s="116">
        <f t="shared" ref="BS82" ca="1" si="172">BR82+BS81</f>
        <v>1367071295.9999356</v>
      </c>
      <c r="BT82" s="116">
        <f t="shared" ref="BT82" ca="1" si="173">BS82+BT81</f>
        <v>1421136168.3187284</v>
      </c>
      <c r="BU82" s="116">
        <f t="shared" ref="BU82" ca="1" si="174">BT82+BU81</f>
        <v>1466886388.4647603</v>
      </c>
      <c r="BV82" s="116">
        <f t="shared" ref="BV82" ca="1" si="175">BU82+BV81</f>
        <v>1520738576.2892084</v>
      </c>
      <c r="BW82" s="116">
        <f t="shared" ref="BW82" ca="1" si="176">BV82+BW81</f>
        <v>1570205869.42836</v>
      </c>
      <c r="BX82" s="116">
        <f t="shared" ref="BX82" ca="1" si="177">BW82+BX81</f>
        <v>1606556234.004226</v>
      </c>
      <c r="BY82" s="116">
        <f t="shared" ref="BY82" ca="1" si="178">BX82+BY81</f>
        <v>1668869039.9212358</v>
      </c>
      <c r="BZ82" s="116">
        <f t="shared" ref="BZ82" ca="1" si="179">BY82+BZ81</f>
        <v>1713967965.7832325</v>
      </c>
      <c r="CA82" s="116">
        <f t="shared" ref="CA82" ca="1" si="180">BZ82+CA81</f>
        <v>1767016718.7121027</v>
      </c>
      <c r="CB82" s="116">
        <f t="shared" ref="CB82" ca="1" si="181">CA82+CB81</f>
        <v>1811960986.9934313</v>
      </c>
      <c r="CC82" s="116">
        <f t="shared" ref="CC82" ca="1" si="182">CB82+CC81</f>
        <v>1864617131.6521835</v>
      </c>
      <c r="CD82" s="116">
        <f t="shared" ref="CD82" ca="1" si="183">CC82+CD81</f>
        <v>1913191449.4382243</v>
      </c>
      <c r="CE82" s="116">
        <f t="shared" ref="CE82" ca="1" si="184">CD82+CE81</f>
        <v>1957723829.1690431</v>
      </c>
      <c r="CF82" s="116">
        <f t="shared" ref="CF82" ca="1" si="185">CE82+CF81</f>
        <v>2009974456.9584308</v>
      </c>
      <c r="CG82" s="116">
        <f t="shared" ref="CG82" ca="1" si="186">CF82+CG81</f>
        <v>2054270017.7414105</v>
      </c>
      <c r="CH82" s="116">
        <f t="shared" ref="CH82" ca="1" si="187">CG82+CH81</f>
        <v>2106303904.1091144</v>
      </c>
      <c r="CI82" s="116">
        <f t="shared" ref="CI82" ca="1" si="188">CH82+CI81</f>
        <v>2154160116.9816566</v>
      </c>
      <c r="CJ82" s="116">
        <f t="shared" ref="CJ82" ca="1" si="189">CI82+CJ81</f>
        <v>2189455852.5836639</v>
      </c>
      <c r="CK82" s="116">
        <f t="shared" ref="CK82" ca="1" si="190">CJ82+CK81</f>
        <v>6100908547.7679863</v>
      </c>
    </row>
    <row r="83" spans="2:89" ht="15.75" thickTop="1"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</row>
    <row r="84" spans="2:89" ht="15.75" thickBot="1">
      <c r="B84" s="96" t="s">
        <v>162</v>
      </c>
      <c r="C84" s="96"/>
      <c r="D84" s="127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</row>
    <row r="85" spans="2:89" ht="15.75" thickBot="1"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</row>
    <row r="86" spans="2:89" ht="15.75" thickTop="1">
      <c r="B86" s="50" t="str">
        <f>"Аккумулированный денежный поток (до дисконтирования), в "&amp;Ед_измерения_денег</f>
        <v>Аккумулированный денежный поток (до дисконтирования), в  руб.</v>
      </c>
      <c r="C86" s="58"/>
      <c r="D86" s="59"/>
      <c r="E86" s="60"/>
      <c r="F86" s="54">
        <f ca="1">D72</f>
        <v>11150171743.210157</v>
      </c>
      <c r="G86" s="50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</row>
    <row r="87" spans="2:89">
      <c r="B87" s="130" t="str">
        <f>"Чистая приведенная стоимость (NPV), в "&amp;Ед_измерения_денег</f>
        <v>Чистая приведенная стоимость (NPV), в  руб.</v>
      </c>
      <c r="C87" s="131"/>
      <c r="D87" s="132"/>
      <c r="E87" s="133"/>
      <c r="F87" s="134">
        <f ca="1">D81</f>
        <v>6100908547.7679863</v>
      </c>
      <c r="G87" s="135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</row>
    <row r="88" spans="2:89">
      <c r="B88" s="136" t="s">
        <v>153</v>
      </c>
      <c r="C88" s="137"/>
      <c r="D88" s="138"/>
      <c r="E88" s="139"/>
      <c r="F88" s="140">
        <f ca="1">XIRR(F72:BM72,$F$9:$BM$9)</f>
        <v>2.9802322387695314E-9</v>
      </c>
      <c r="G88" s="136"/>
      <c r="H88" s="166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</row>
    <row r="89" spans="2:89">
      <c r="B89" s="130" t="str">
        <f>"Простой период окупаемости (PP), в "&amp;Ед_измерения_периода</f>
        <v>Простой период окупаемости (PP), в мес.</v>
      </c>
      <c r="C89" s="131"/>
      <c r="D89" s="132"/>
      <c r="E89" s="133"/>
      <c r="F89" s="134">
        <f ca="1">COUNTIF(F73:BM73,"&lt;0")+1</f>
        <v>1</v>
      </c>
      <c r="G89" s="135" t="str">
        <f ca="1">IF(D72&gt;=0,"окупается","не окупается")</f>
        <v>окупается</v>
      </c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</row>
    <row r="90" spans="2:89" ht="15.75" thickBot="1">
      <c r="B90" s="112" t="str">
        <f>"Дисконтированный период окупаемости (DPP), в "&amp;Ед_измерения_периода</f>
        <v>Дисконтированный период окупаемости (DPP), в мес.</v>
      </c>
      <c r="C90" s="141"/>
      <c r="D90" s="142"/>
      <c r="E90" s="143"/>
      <c r="F90" s="116">
        <f ca="1">COUNTIF(F82:BM82,"&lt;0")+1</f>
        <v>1</v>
      </c>
      <c r="G90" s="144" t="str">
        <f ca="1">IF(D81&gt;=0,"окупается","не окупается")</f>
        <v>окупается</v>
      </c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</row>
    <row r="91" spans="2:89" ht="15.75" thickTop="1"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</row>
    <row r="92" spans="2:89" ht="18" thickBot="1">
      <c r="B92" s="100" t="s">
        <v>147</v>
      </c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</row>
    <row r="93" spans="2:89" ht="15.75" thickTop="1"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</row>
    <row r="94" spans="2:89">
      <c r="B94" s="145" t="s">
        <v>555</v>
      </c>
      <c r="C94" s="146"/>
      <c r="D94" s="146"/>
      <c r="E94" s="146"/>
      <c r="F94" s="29">
        <f t="shared" ref="F94:BQ94" si="191">IF(F$9=Конец_тек,1,0)</f>
        <v>0</v>
      </c>
      <c r="G94" s="29">
        <f t="shared" si="191"/>
        <v>0</v>
      </c>
      <c r="H94" s="29">
        <f t="shared" si="191"/>
        <v>0</v>
      </c>
      <c r="I94" s="29">
        <f t="shared" si="191"/>
        <v>0</v>
      </c>
      <c r="J94" s="29">
        <f t="shared" si="191"/>
        <v>0</v>
      </c>
      <c r="K94" s="29">
        <f t="shared" si="191"/>
        <v>0</v>
      </c>
      <c r="L94" s="29">
        <f t="shared" si="191"/>
        <v>0</v>
      </c>
      <c r="M94" s="29">
        <f t="shared" si="191"/>
        <v>0</v>
      </c>
      <c r="N94" s="29">
        <f t="shared" si="191"/>
        <v>0</v>
      </c>
      <c r="O94" s="29">
        <f t="shared" si="191"/>
        <v>0</v>
      </c>
      <c r="P94" s="29">
        <f t="shared" si="191"/>
        <v>0</v>
      </c>
      <c r="Q94" s="29">
        <f t="shared" si="191"/>
        <v>0</v>
      </c>
      <c r="R94" s="29">
        <f t="shared" si="191"/>
        <v>0</v>
      </c>
      <c r="S94" s="29">
        <f t="shared" si="191"/>
        <v>0</v>
      </c>
      <c r="T94" s="29">
        <f t="shared" si="191"/>
        <v>0</v>
      </c>
      <c r="U94" s="29">
        <f t="shared" si="191"/>
        <v>0</v>
      </c>
      <c r="V94" s="29">
        <f t="shared" si="191"/>
        <v>0</v>
      </c>
      <c r="W94" s="29">
        <f t="shared" si="191"/>
        <v>0</v>
      </c>
      <c r="X94" s="29">
        <f t="shared" si="191"/>
        <v>0</v>
      </c>
      <c r="Y94" s="29">
        <f t="shared" si="191"/>
        <v>0</v>
      </c>
      <c r="Z94" s="29">
        <f t="shared" si="191"/>
        <v>0</v>
      </c>
      <c r="AA94" s="29">
        <f t="shared" si="191"/>
        <v>0</v>
      </c>
      <c r="AB94" s="29">
        <f t="shared" si="191"/>
        <v>0</v>
      </c>
      <c r="AC94" s="29">
        <f t="shared" si="191"/>
        <v>0</v>
      </c>
      <c r="AD94" s="29">
        <f t="shared" si="191"/>
        <v>0</v>
      </c>
      <c r="AE94" s="29">
        <f t="shared" si="191"/>
        <v>0</v>
      </c>
      <c r="AF94" s="29">
        <f t="shared" si="191"/>
        <v>0</v>
      </c>
      <c r="AG94" s="29">
        <f t="shared" si="191"/>
        <v>0</v>
      </c>
      <c r="AH94" s="29">
        <f t="shared" si="191"/>
        <v>0</v>
      </c>
      <c r="AI94" s="29">
        <f t="shared" si="191"/>
        <v>0</v>
      </c>
      <c r="AJ94" s="29">
        <f t="shared" si="191"/>
        <v>0</v>
      </c>
      <c r="AK94" s="29">
        <f t="shared" si="191"/>
        <v>0</v>
      </c>
      <c r="AL94" s="29">
        <f t="shared" si="191"/>
        <v>0</v>
      </c>
      <c r="AM94" s="29">
        <f t="shared" si="191"/>
        <v>0</v>
      </c>
      <c r="AN94" s="29">
        <f t="shared" si="191"/>
        <v>0</v>
      </c>
      <c r="AO94" s="29">
        <f t="shared" si="191"/>
        <v>0</v>
      </c>
      <c r="AP94" s="29">
        <f t="shared" si="191"/>
        <v>0</v>
      </c>
      <c r="AQ94" s="29">
        <f t="shared" si="191"/>
        <v>0</v>
      </c>
      <c r="AR94" s="29">
        <f t="shared" si="191"/>
        <v>0</v>
      </c>
      <c r="AS94" s="29">
        <f t="shared" si="191"/>
        <v>0</v>
      </c>
      <c r="AT94" s="29">
        <f t="shared" si="191"/>
        <v>0</v>
      </c>
      <c r="AU94" s="29">
        <f t="shared" si="191"/>
        <v>0</v>
      </c>
      <c r="AV94" s="29">
        <f t="shared" si="191"/>
        <v>0</v>
      </c>
      <c r="AW94" s="29">
        <f t="shared" si="191"/>
        <v>0</v>
      </c>
      <c r="AX94" s="29">
        <f t="shared" si="191"/>
        <v>0</v>
      </c>
      <c r="AY94" s="29">
        <f t="shared" si="191"/>
        <v>0</v>
      </c>
      <c r="AZ94" s="29">
        <f t="shared" si="191"/>
        <v>0</v>
      </c>
      <c r="BA94" s="29">
        <f t="shared" si="191"/>
        <v>0</v>
      </c>
      <c r="BB94" s="29">
        <f t="shared" si="191"/>
        <v>0</v>
      </c>
      <c r="BC94" s="29">
        <f t="shared" si="191"/>
        <v>0</v>
      </c>
      <c r="BD94" s="29">
        <f t="shared" si="191"/>
        <v>0</v>
      </c>
      <c r="BE94" s="29">
        <f t="shared" si="191"/>
        <v>0</v>
      </c>
      <c r="BF94" s="29">
        <f t="shared" si="191"/>
        <v>0</v>
      </c>
      <c r="BG94" s="29">
        <f t="shared" si="191"/>
        <v>0</v>
      </c>
      <c r="BH94" s="29">
        <f t="shared" si="191"/>
        <v>0</v>
      </c>
      <c r="BI94" s="29">
        <f t="shared" si="191"/>
        <v>0</v>
      </c>
      <c r="BJ94" s="29">
        <f t="shared" si="191"/>
        <v>0</v>
      </c>
      <c r="BK94" s="29">
        <f t="shared" si="191"/>
        <v>0</v>
      </c>
      <c r="BL94" s="29">
        <f t="shared" si="191"/>
        <v>0</v>
      </c>
      <c r="BM94" s="167">
        <f t="shared" si="191"/>
        <v>0</v>
      </c>
      <c r="BN94" s="167">
        <f t="shared" si="191"/>
        <v>0</v>
      </c>
      <c r="BO94" s="167">
        <f t="shared" si="191"/>
        <v>0</v>
      </c>
      <c r="BP94" s="167">
        <f t="shared" si="191"/>
        <v>0</v>
      </c>
      <c r="BQ94" s="167">
        <f t="shared" si="191"/>
        <v>0</v>
      </c>
      <c r="BR94" s="167">
        <f t="shared" ref="BR94:CK94" si="192">IF(BR$9=Конец_тек,1,0)</f>
        <v>0</v>
      </c>
      <c r="BS94" s="167">
        <f t="shared" si="192"/>
        <v>0</v>
      </c>
      <c r="BT94" s="167">
        <f t="shared" si="192"/>
        <v>0</v>
      </c>
      <c r="BU94" s="167">
        <f t="shared" si="192"/>
        <v>0</v>
      </c>
      <c r="BV94" s="167">
        <f t="shared" si="192"/>
        <v>0</v>
      </c>
      <c r="BW94" s="167">
        <f t="shared" si="192"/>
        <v>0</v>
      </c>
      <c r="BX94" s="167">
        <f t="shared" si="192"/>
        <v>0</v>
      </c>
      <c r="BY94" s="167">
        <f t="shared" si="192"/>
        <v>0</v>
      </c>
      <c r="BZ94" s="167">
        <f t="shared" si="192"/>
        <v>0</v>
      </c>
      <c r="CA94" s="167">
        <f t="shared" si="192"/>
        <v>0</v>
      </c>
      <c r="CB94" s="167">
        <f t="shared" si="192"/>
        <v>0</v>
      </c>
      <c r="CC94" s="167">
        <f t="shared" si="192"/>
        <v>0</v>
      </c>
      <c r="CD94" s="167">
        <f t="shared" si="192"/>
        <v>0</v>
      </c>
      <c r="CE94" s="167">
        <f t="shared" si="192"/>
        <v>0</v>
      </c>
      <c r="CF94" s="167">
        <f t="shared" si="192"/>
        <v>0</v>
      </c>
      <c r="CG94" s="167">
        <f t="shared" si="192"/>
        <v>0</v>
      </c>
      <c r="CH94" s="167">
        <f t="shared" si="192"/>
        <v>0</v>
      </c>
      <c r="CI94" s="167">
        <f t="shared" si="192"/>
        <v>0</v>
      </c>
      <c r="CJ94" s="167">
        <f t="shared" si="192"/>
        <v>0</v>
      </c>
      <c r="CK94" s="167">
        <f t="shared" si="192"/>
        <v>1</v>
      </c>
    </row>
    <row r="95" spans="2:89"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</row>
    <row r="96" spans="2:89">
      <c r="B96" s="155" t="s">
        <v>556</v>
      </c>
      <c r="C96" s="156"/>
      <c r="D96" s="157">
        <f>Постпрогноз_NOPAT</f>
        <v>0.01</v>
      </c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</row>
    <row r="97" spans="2:89">
      <c r="B97" s="155" t="s">
        <v>159</v>
      </c>
      <c r="C97" s="156"/>
      <c r="D97" s="157">
        <f>Ставка_дисконтирования_постпрогноз</f>
        <v>0.15</v>
      </c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</row>
    <row r="98" spans="2:89">
      <c r="B98" s="155" t="s">
        <v>161</v>
      </c>
      <c r="C98" s="156"/>
      <c r="D98" s="157">
        <f>Постпрогноз_доля_ЗК</f>
        <v>0.05</v>
      </c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</row>
    <row r="99" spans="2:89"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</row>
    <row r="100" spans="2:89" ht="15.75" thickBot="1">
      <c r="B100" s="96" t="str">
        <f>"Расчет терминальной стоимости проекта, в "&amp;Ед_измерения_денег</f>
        <v>Расчет терминальной стоимости проекта, в  руб.</v>
      </c>
      <c r="C100" s="96"/>
      <c r="D100" s="127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</row>
    <row r="101" spans="2:89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</row>
    <row r="102" spans="2:89">
      <c r="B102" s="45" t="s">
        <v>76</v>
      </c>
      <c r="C102" s="46"/>
      <c r="D102" s="47">
        <f ca="1">SUM(F102:CK102)</f>
        <v>4462724969.7383995</v>
      </c>
      <c r="E102" s="48"/>
      <c r="F102" s="49">
        <f ca="1">Отчетность_по_периодам!F49</f>
        <v>0</v>
      </c>
      <c r="G102" s="49">
        <f ca="1">Отчетность_по_периодам!G49</f>
        <v>0</v>
      </c>
      <c r="H102" s="49">
        <f ca="1">Отчетность_по_периодам!H49</f>
        <v>0</v>
      </c>
      <c r="I102" s="49">
        <f ca="1">Отчетность_по_периодам!I49</f>
        <v>0</v>
      </c>
      <c r="J102" s="49">
        <f ca="1">Отчетность_по_периодам!J49</f>
        <v>0</v>
      </c>
      <c r="K102" s="49">
        <f ca="1">Отчетность_по_периодам!K49</f>
        <v>0</v>
      </c>
      <c r="L102" s="49">
        <f ca="1">Отчетность_по_периодам!L49</f>
        <v>0</v>
      </c>
      <c r="M102" s="49">
        <f ca="1">Отчетность_по_периодам!M49</f>
        <v>0</v>
      </c>
      <c r="N102" s="49">
        <f ca="1">Отчетность_по_периодам!N49</f>
        <v>0</v>
      </c>
      <c r="O102" s="49">
        <f ca="1">Отчетность_по_периодам!O49</f>
        <v>0</v>
      </c>
      <c r="P102" s="49">
        <f ca="1">Отчетность_по_периодам!P49</f>
        <v>0</v>
      </c>
      <c r="Q102" s="49">
        <f ca="1">Отчетность_по_периодам!Q49</f>
        <v>0</v>
      </c>
      <c r="R102" s="49">
        <f ca="1">Отчетность_по_периодам!R49</f>
        <v>7409028.9956118762</v>
      </c>
      <c r="S102" s="49">
        <f ca="1">Отчетность_по_периодам!S49</f>
        <v>7494433.5687266514</v>
      </c>
      <c r="T102" s="49">
        <f ca="1">Отчетность_по_периодам!T49</f>
        <v>1880993.5667377636</v>
      </c>
      <c r="U102" s="49">
        <f ca="1">Отчетность_по_периодам!U49</f>
        <v>7663528.6895695403</v>
      </c>
      <c r="V102" s="49">
        <f ca="1">Отчетность_по_периодам!V49</f>
        <v>7749994.1460430175</v>
      </c>
      <c r="W102" s="49">
        <f ca="1">Отчетность_по_периодам!W49</f>
        <v>2344727.7849627398</v>
      </c>
      <c r="X102" s="49">
        <f ca="1">Отчетность_по_периодам!X49</f>
        <v>7921189.4706242159</v>
      </c>
      <c r="Y102" s="49">
        <f ca="1">Отчетность_по_периодам!Y49</f>
        <v>8005899.1793526039</v>
      </c>
      <c r="Z102" s="49">
        <f ca="1">Отчетность_по_периодам!Z49</f>
        <v>2811648.5247332137</v>
      </c>
      <c r="AA102" s="49">
        <f ca="1">Отчетность_по_периодам!AA49</f>
        <v>8182292.0840018615</v>
      </c>
      <c r="AB102" s="49">
        <f ca="1">Отчетность_по_периодам!AB49</f>
        <v>8262545.9311508723</v>
      </c>
      <c r="AC102" s="49">
        <f ca="1">Отчетность_по_периодам!AC49</f>
        <v>8351751.5686958246</v>
      </c>
      <c r="AD102" s="49">
        <f ca="1">Отчетность_по_периодам!AD49</f>
        <v>13385541.49622817</v>
      </c>
      <c r="AE102" s="49">
        <f ca="1">Отчетность_по_периодам!AE49</f>
        <v>14542322.983465154</v>
      </c>
      <c r="AF102" s="49">
        <f ca="1">Отчетность_по_периодам!AF49</f>
        <v>15858064.067687787</v>
      </c>
      <c r="AG102" s="49">
        <f ca="1">Отчетность_по_периодам!AG49</f>
        <v>17459015.280090455</v>
      </c>
      <c r="AH102" s="49">
        <f ca="1">Отчетность_по_периодам!AH49</f>
        <v>19351729.835485417</v>
      </c>
      <c r="AI102" s="49">
        <f ca="1">Отчетность_по_периодам!AI49</f>
        <v>21513554.457903966</v>
      </c>
      <c r="AJ102" s="49">
        <f ca="1">Отчетность_по_периодам!AJ49</f>
        <v>24152743.798332661</v>
      </c>
      <c r="AK102" s="49">
        <f ca="1">Отчетность_по_периодам!AK49</f>
        <v>27171658.567304686</v>
      </c>
      <c r="AL102" s="49">
        <f ca="1">Отчетность_по_периодам!AL49</f>
        <v>30861312.74760735</v>
      </c>
      <c r="AM102" s="49">
        <f ca="1">Отчетность_по_периодам!AM49</f>
        <v>35238446.253335491</v>
      </c>
      <c r="AN102" s="49">
        <f ca="1">Отчетность_по_периодам!AN49</f>
        <v>39889961.989739552</v>
      </c>
      <c r="AO102" s="49">
        <f ca="1">Отчетность_по_периодам!AO49</f>
        <v>45952527.272361778</v>
      </c>
      <c r="AP102" s="49">
        <f ca="1">Отчетность_по_периодам!AP49</f>
        <v>48166193.502636254</v>
      </c>
      <c r="AQ102" s="49">
        <f ca="1">Отчетность_по_периодам!AQ49</f>
        <v>50593672.256372496</v>
      </c>
      <c r="AR102" s="49">
        <f ca="1">Отчетность_по_периодам!AR49</f>
        <v>53086944.276289418</v>
      </c>
      <c r="AS102" s="49">
        <f ca="1">Отчетность_по_периодам!AS49</f>
        <v>55821777.93140769</v>
      </c>
      <c r="AT102" s="49">
        <f ca="1">Отчетность_по_периодам!AT49</f>
        <v>58727994.451668605</v>
      </c>
      <c r="AU102" s="49">
        <f ca="1">Отчетность_по_периодам!AU49</f>
        <v>61714108.525518939</v>
      </c>
      <c r="AV102" s="49">
        <f ca="1">Отчетность_по_периодам!AV49</f>
        <v>64990707.875169829</v>
      </c>
      <c r="AW102" s="49">
        <f ca="1">Отчетность_по_периодам!AW49</f>
        <v>68358124.540430009</v>
      </c>
      <c r="AX102" s="49">
        <f ca="1">Отчетность_по_периодам!AX49</f>
        <v>72053885.836377174</v>
      </c>
      <c r="AY102" s="49">
        <f ca="1">Отчетность_по_периодам!AY49</f>
        <v>75983387.850513682</v>
      </c>
      <c r="AZ102" s="49">
        <f ca="1">Отчетность_по_периодам!AZ49</f>
        <v>79746122.080102652</v>
      </c>
      <c r="BA102" s="49">
        <f ca="1">Отчетность_по_периодам!BA49</f>
        <v>84163224.764198601</v>
      </c>
      <c r="BB102" s="49">
        <f ca="1">Отчетность_по_периодам!BB49</f>
        <v>84552455.617669836</v>
      </c>
      <c r="BC102" s="49">
        <f ca="1">Отчетность_по_периодам!BC49</f>
        <v>84956294.664424762</v>
      </c>
      <c r="BD102" s="49">
        <f ca="1">Отчетность_по_периодам!BD49</f>
        <v>85348694.120507583</v>
      </c>
      <c r="BE102" s="49">
        <f ca="1">Отчетность_по_периодам!BE49</f>
        <v>85755820.608063757</v>
      </c>
      <c r="BF102" s="49">
        <f ca="1">Отчетность_по_периодам!BF49</f>
        <v>86164627.940991998</v>
      </c>
      <c r="BG102" s="49">
        <f ca="1">Отчетность_по_периодам!BG49</f>
        <v>86561854.824949712</v>
      </c>
      <c r="BH102" s="49">
        <f ca="1">Отчетность_по_периодам!BH49</f>
        <v>86973989.791568011</v>
      </c>
      <c r="BI102" s="49">
        <f ca="1">Отчетность_по_периодам!BI49</f>
        <v>87374449.965137199</v>
      </c>
      <c r="BJ102" s="49">
        <f ca="1">Отчетность_по_периодам!BJ49</f>
        <v>87789939.484148651</v>
      </c>
      <c r="BK102" s="49">
        <f ca="1">Отчетность_по_периодам!BK49</f>
        <v>88206001.914495707</v>
      </c>
      <c r="BL102" s="49">
        <f ca="1">Отчетность_по_периодам!BL49</f>
        <v>88596772.060370997</v>
      </c>
      <c r="BM102" s="49">
        <f ca="1">Отчетность_по_периодам!BM49</f>
        <v>89016155.886951864</v>
      </c>
      <c r="BN102" s="49">
        <f ca="1">Отчетность_по_периодам!BN49</f>
        <v>89423654.861110911</v>
      </c>
      <c r="BO102" s="49">
        <f ca="1">Отчетность_по_периодам!BO49</f>
        <v>89846442.45479773</v>
      </c>
      <c r="BP102" s="49">
        <f ca="1">Отчетность_по_периодам!BP49</f>
        <v>90257248.655040145</v>
      </c>
      <c r="BQ102" s="49">
        <f ca="1">Отчетность_по_периодам!BQ49</f>
        <v>90683467.470667198</v>
      </c>
      <c r="BR102" s="49">
        <f ca="1">Отчетность_по_периодам!BR49</f>
        <v>91111440.614055693</v>
      </c>
      <c r="BS102" s="49">
        <f ca="1">Отчетность_по_периодам!BS49</f>
        <v>91527285.285181463</v>
      </c>
      <c r="BT102" s="49">
        <f ca="1">Отчетность_по_периодам!BT49</f>
        <v>91958731.474928916</v>
      </c>
      <c r="BU102" s="49">
        <f ca="1">Отчетность_по_периодам!BU49</f>
        <v>92377950.684941024</v>
      </c>
      <c r="BV102" s="49">
        <f ca="1">Отчетность_по_периодам!BV49</f>
        <v>92812897.931612357</v>
      </c>
      <c r="BW102" s="49">
        <f ca="1">Отчетность_по_периодам!BW49</f>
        <v>93250834.216361269</v>
      </c>
      <c r="BX102" s="49">
        <f ca="1">Отчетность_по_периодам!BX49</f>
        <v>93647942.722997978</v>
      </c>
      <c r="BY102" s="49">
        <f ca="1">Отчетность_по_периодам!BY49</f>
        <v>94089324.956254378</v>
      </c>
      <c r="BZ102" s="49">
        <f ca="1">Отчетность_по_периодам!BZ49</f>
        <v>94518203.162725672</v>
      </c>
      <c r="CA102" s="49">
        <f ca="1">Отчетность_по_периодам!CA49</f>
        <v>94963176.49278605</v>
      </c>
      <c r="CB102" s="49">
        <f ca="1">Отчетность_по_периодам!CB49</f>
        <v>95395543.976540118</v>
      </c>
      <c r="CC102" s="49">
        <f ca="1">Отчетность_по_периодам!CC49</f>
        <v>95844137.441313446</v>
      </c>
      <c r="CD102" s="49">
        <f ca="1">Отчетность_по_периодам!CD49</f>
        <v>96294581.8496342</v>
      </c>
      <c r="CE102" s="49">
        <f ca="1">Отчетность_по_периодам!CE49</f>
        <v>96732265.287238941</v>
      </c>
      <c r="CF102" s="49">
        <f ca="1">Отчетность_по_периодам!CF49</f>
        <v>97186374.067440912</v>
      </c>
      <c r="CG102" s="49">
        <f ca="1">Отчетность_по_периодам!CG49</f>
        <v>97627617.97824806</v>
      </c>
      <c r="CH102" s="49">
        <f ca="1">Отчетность_по_периодам!CH49</f>
        <v>98085420.757500008</v>
      </c>
      <c r="CI102" s="49">
        <f ca="1">Отчетность_по_периодам!CI49</f>
        <v>98545112.245244637</v>
      </c>
      <c r="CJ102" s="49">
        <f ca="1">Отчетность_по_периодам!CJ49</f>
        <v>98961947.2864898</v>
      </c>
      <c r="CK102" s="49">
        <f ca="1">Отчетность_по_периодам!CK49</f>
        <v>99425254.835571349</v>
      </c>
    </row>
    <row r="103" spans="2:89">
      <c r="B103" s="45" t="s">
        <v>29</v>
      </c>
      <c r="C103" s="46"/>
      <c r="D103" s="47">
        <f ca="1">SUM(F103:CK103)</f>
        <v>0</v>
      </c>
      <c r="E103" s="48"/>
      <c r="F103" s="49">
        <f ca="1">Отчетность_по_периодам!F56</f>
        <v>0</v>
      </c>
      <c r="G103" s="49">
        <f ca="1">Отчетность_по_периодам!G56</f>
        <v>0</v>
      </c>
      <c r="H103" s="49">
        <f ca="1">Отчетность_по_периодам!H56</f>
        <v>0</v>
      </c>
      <c r="I103" s="49">
        <f ca="1">Отчетность_по_периодам!I56</f>
        <v>0</v>
      </c>
      <c r="J103" s="49">
        <f ca="1">Отчетность_по_периодам!J56</f>
        <v>0</v>
      </c>
      <c r="K103" s="49">
        <f ca="1">Отчетность_по_периодам!K56</f>
        <v>0</v>
      </c>
      <c r="L103" s="49">
        <f ca="1">Отчетность_по_периодам!L56</f>
        <v>0</v>
      </c>
      <c r="M103" s="49">
        <f ca="1">Отчетность_по_периодам!M56</f>
        <v>0</v>
      </c>
      <c r="N103" s="49">
        <f ca="1">Отчетность_по_периодам!N56</f>
        <v>0</v>
      </c>
      <c r="O103" s="49">
        <f ca="1">Отчетность_по_периодам!O56</f>
        <v>0</v>
      </c>
      <c r="P103" s="49">
        <f ca="1">Отчетность_по_периодам!P56</f>
        <v>0</v>
      </c>
      <c r="Q103" s="49">
        <f ca="1">Отчетность_по_периодам!Q56</f>
        <v>0</v>
      </c>
      <c r="R103" s="49">
        <f ca="1">Отчетность_по_периодам!R56</f>
        <v>0</v>
      </c>
      <c r="S103" s="49">
        <f ca="1">Отчетность_по_периодам!S56</f>
        <v>0</v>
      </c>
      <c r="T103" s="49">
        <f ca="1">Отчетность_по_периодам!T56</f>
        <v>0</v>
      </c>
      <c r="U103" s="49">
        <f ca="1">Отчетность_по_периодам!U56</f>
        <v>0</v>
      </c>
      <c r="V103" s="49">
        <f ca="1">Отчетность_по_периодам!V56</f>
        <v>0</v>
      </c>
      <c r="W103" s="49">
        <f ca="1">Отчетность_по_периодам!W56</f>
        <v>0</v>
      </c>
      <c r="X103" s="49">
        <f ca="1">Отчетность_по_периодам!X56</f>
        <v>0</v>
      </c>
      <c r="Y103" s="49">
        <f ca="1">Отчетность_по_периодам!Y56</f>
        <v>0</v>
      </c>
      <c r="Z103" s="49">
        <f ca="1">Отчетность_по_периодам!Z56</f>
        <v>0</v>
      </c>
      <c r="AA103" s="49">
        <f ca="1">Отчетность_по_периодам!AA56</f>
        <v>0</v>
      </c>
      <c r="AB103" s="49">
        <f ca="1">Отчетность_по_периодам!AB56</f>
        <v>0</v>
      </c>
      <c r="AC103" s="49">
        <f ca="1">Отчетность_по_периодам!AC56</f>
        <v>0</v>
      </c>
      <c r="AD103" s="49">
        <f ca="1">Отчетность_по_периодам!AD56</f>
        <v>0</v>
      </c>
      <c r="AE103" s="49">
        <f ca="1">Отчетность_по_периодам!AE56</f>
        <v>0</v>
      </c>
      <c r="AF103" s="49">
        <f ca="1">Отчетность_по_периодам!AF56</f>
        <v>0</v>
      </c>
      <c r="AG103" s="49">
        <f ca="1">Отчетность_по_периодам!AG56</f>
        <v>0</v>
      </c>
      <c r="AH103" s="49">
        <f ca="1">Отчетность_по_периодам!AH56</f>
        <v>0</v>
      </c>
      <c r="AI103" s="49">
        <f ca="1">Отчетность_по_периодам!AI56</f>
        <v>0</v>
      </c>
      <c r="AJ103" s="49">
        <f ca="1">Отчетность_по_периодам!AJ56</f>
        <v>0</v>
      </c>
      <c r="AK103" s="49">
        <f ca="1">Отчетность_по_периодам!AK56</f>
        <v>0</v>
      </c>
      <c r="AL103" s="49">
        <f ca="1">Отчетность_по_периодам!AL56</f>
        <v>0</v>
      </c>
      <c r="AM103" s="49">
        <f ca="1">Отчетность_по_периодам!AM56</f>
        <v>0</v>
      </c>
      <c r="AN103" s="49">
        <f ca="1">Отчетность_по_периодам!AN56</f>
        <v>0</v>
      </c>
      <c r="AO103" s="49">
        <f ca="1">Отчетность_по_периодам!AO56</f>
        <v>0</v>
      </c>
      <c r="AP103" s="49">
        <f ca="1">Отчетность_по_периодам!AP56</f>
        <v>0</v>
      </c>
      <c r="AQ103" s="49">
        <f ca="1">Отчетность_по_периодам!AQ56</f>
        <v>0</v>
      </c>
      <c r="AR103" s="49">
        <f ca="1">Отчетность_по_периодам!AR56</f>
        <v>0</v>
      </c>
      <c r="AS103" s="49">
        <f ca="1">Отчетность_по_периодам!AS56</f>
        <v>0</v>
      </c>
      <c r="AT103" s="49">
        <f ca="1">Отчетность_по_периодам!AT56</f>
        <v>0</v>
      </c>
      <c r="AU103" s="49">
        <f ca="1">Отчетность_по_периодам!AU56</f>
        <v>0</v>
      </c>
      <c r="AV103" s="49">
        <f ca="1">Отчетность_по_периодам!AV56</f>
        <v>0</v>
      </c>
      <c r="AW103" s="49">
        <f ca="1">Отчетность_по_периодам!AW56</f>
        <v>0</v>
      </c>
      <c r="AX103" s="49">
        <f ca="1">Отчетность_по_периодам!AX56</f>
        <v>0</v>
      </c>
      <c r="AY103" s="49">
        <f ca="1">Отчетность_по_периодам!AY56</f>
        <v>0</v>
      </c>
      <c r="AZ103" s="49">
        <f ca="1">Отчетность_по_периодам!AZ56</f>
        <v>0</v>
      </c>
      <c r="BA103" s="49">
        <f ca="1">Отчетность_по_периодам!BA56</f>
        <v>0</v>
      </c>
      <c r="BB103" s="49">
        <f ca="1">Отчетность_по_периодам!BB56</f>
        <v>0</v>
      </c>
      <c r="BC103" s="49">
        <f ca="1">Отчетность_по_периодам!BC56</f>
        <v>0</v>
      </c>
      <c r="BD103" s="49">
        <f ca="1">Отчетность_по_периодам!BD56</f>
        <v>0</v>
      </c>
      <c r="BE103" s="49">
        <f ca="1">Отчетность_по_периодам!BE56</f>
        <v>0</v>
      </c>
      <c r="BF103" s="49">
        <f ca="1">Отчетность_по_периодам!BF56</f>
        <v>0</v>
      </c>
      <c r="BG103" s="49">
        <f ca="1">Отчетность_по_периодам!BG56</f>
        <v>0</v>
      </c>
      <c r="BH103" s="49">
        <f ca="1">Отчетность_по_периодам!BH56</f>
        <v>0</v>
      </c>
      <c r="BI103" s="49">
        <f ca="1">Отчетность_по_периодам!BI56</f>
        <v>0</v>
      </c>
      <c r="BJ103" s="49">
        <f ca="1">Отчетность_по_периодам!BJ56</f>
        <v>0</v>
      </c>
      <c r="BK103" s="49">
        <f ca="1">Отчетность_по_периодам!BK56</f>
        <v>0</v>
      </c>
      <c r="BL103" s="49">
        <f ca="1">Отчетность_по_периодам!BL56</f>
        <v>0</v>
      </c>
      <c r="BM103" s="49">
        <f ca="1">Отчетность_по_периодам!BM56</f>
        <v>0</v>
      </c>
      <c r="BN103" s="49">
        <f ca="1">Отчетность_по_периодам!BN56</f>
        <v>0</v>
      </c>
      <c r="BO103" s="49">
        <f ca="1">Отчетность_по_периодам!BO56</f>
        <v>0</v>
      </c>
      <c r="BP103" s="49">
        <f ca="1">Отчетность_по_периодам!BP56</f>
        <v>0</v>
      </c>
      <c r="BQ103" s="49">
        <f ca="1">Отчетность_по_периодам!BQ56</f>
        <v>0</v>
      </c>
      <c r="BR103" s="49">
        <f ca="1">Отчетность_по_периодам!BR56</f>
        <v>0</v>
      </c>
      <c r="BS103" s="49">
        <f ca="1">Отчетность_по_периодам!BS56</f>
        <v>0</v>
      </c>
      <c r="BT103" s="49">
        <f ca="1">Отчетность_по_периодам!BT56</f>
        <v>0</v>
      </c>
      <c r="BU103" s="49">
        <f ca="1">Отчетность_по_периодам!BU56</f>
        <v>0</v>
      </c>
      <c r="BV103" s="49">
        <f ca="1">Отчетность_по_периодам!BV56</f>
        <v>0</v>
      </c>
      <c r="BW103" s="49">
        <f ca="1">Отчетность_по_периодам!BW56</f>
        <v>0</v>
      </c>
      <c r="BX103" s="49">
        <f ca="1">Отчетность_по_периодам!BX56</f>
        <v>0</v>
      </c>
      <c r="BY103" s="49">
        <f ca="1">Отчетность_по_периодам!BY56</f>
        <v>0</v>
      </c>
      <c r="BZ103" s="49">
        <f ca="1">Отчетность_по_периодам!BZ56</f>
        <v>0</v>
      </c>
      <c r="CA103" s="49">
        <f ca="1">Отчетность_по_периодам!CA56</f>
        <v>0</v>
      </c>
      <c r="CB103" s="49">
        <f ca="1">Отчетность_по_периодам!CB56</f>
        <v>0</v>
      </c>
      <c r="CC103" s="49">
        <f ca="1">Отчетность_по_периодам!CC56</f>
        <v>0</v>
      </c>
      <c r="CD103" s="49">
        <f ca="1">Отчетность_по_периодам!CD56</f>
        <v>0</v>
      </c>
      <c r="CE103" s="49">
        <f ca="1">Отчетность_по_периодам!CE56</f>
        <v>0</v>
      </c>
      <c r="CF103" s="49">
        <f ca="1">Отчетность_по_периодам!CF56</f>
        <v>0</v>
      </c>
      <c r="CG103" s="49">
        <f ca="1">Отчетность_по_периодам!CG56</f>
        <v>0</v>
      </c>
      <c r="CH103" s="49">
        <f ca="1">Отчетность_по_периодам!CH56</f>
        <v>0</v>
      </c>
      <c r="CI103" s="49">
        <f ca="1">Отчетность_по_периодам!CI56</f>
        <v>0</v>
      </c>
      <c r="CJ103" s="49">
        <f ca="1">Отчетность_по_периодам!CJ56</f>
        <v>0</v>
      </c>
      <c r="CK103" s="49">
        <f ca="1">Отчетность_по_периодам!CK56</f>
        <v>0</v>
      </c>
    </row>
    <row r="104" spans="2:89" ht="15.75" thickBot="1">
      <c r="B104" s="45" t="s">
        <v>717</v>
      </c>
      <c r="C104" s="46"/>
      <c r="D104" s="47">
        <f ca="1">SUM(F104:CK104)</f>
        <v>-233902938.6992507</v>
      </c>
      <c r="E104" s="48"/>
      <c r="F104" s="49">
        <f ca="1">Отчетность_по_периодам!F57</f>
        <v>0</v>
      </c>
      <c r="G104" s="49">
        <f ca="1">Отчетность_по_периодам!G57</f>
        <v>0</v>
      </c>
      <c r="H104" s="49">
        <f ca="1">Отчетность_по_периодам!H57</f>
        <v>0</v>
      </c>
      <c r="I104" s="49">
        <f ca="1">Отчетность_по_периодам!I57</f>
        <v>0</v>
      </c>
      <c r="J104" s="49">
        <f ca="1">Отчетность_по_периодам!J57</f>
        <v>0</v>
      </c>
      <c r="K104" s="49">
        <f ca="1">Отчетность_по_периодам!K57</f>
        <v>0</v>
      </c>
      <c r="L104" s="49">
        <f ca="1">Отчетность_по_периодам!L57</f>
        <v>0</v>
      </c>
      <c r="M104" s="49">
        <f ca="1">Отчетность_по_периодам!M57</f>
        <v>0</v>
      </c>
      <c r="N104" s="49">
        <f ca="1">Отчетность_по_периодам!N57</f>
        <v>0</v>
      </c>
      <c r="O104" s="49">
        <f ca="1">Отчетность_по_периодам!O57</f>
        <v>0</v>
      </c>
      <c r="P104" s="49">
        <f ca="1">Отчетность_по_периодам!P57</f>
        <v>0</v>
      </c>
      <c r="Q104" s="49">
        <f ca="1">Отчетность_по_периодам!Q57</f>
        <v>0</v>
      </c>
      <c r="R104" s="49">
        <f ca="1">Отчетность_по_периодам!R57</f>
        <v>0</v>
      </c>
      <c r="S104" s="49">
        <f ca="1">Отчетность_по_периодам!S57</f>
        <v>0</v>
      </c>
      <c r="T104" s="49">
        <f ca="1">Отчетность_по_периодам!T57</f>
        <v>0</v>
      </c>
      <c r="U104" s="49">
        <f ca="1">Отчетность_по_периодам!U57</f>
        <v>0</v>
      </c>
      <c r="V104" s="49">
        <f ca="1">Отчетность_по_периодам!V57</f>
        <v>0</v>
      </c>
      <c r="W104" s="49">
        <f ca="1">Отчетность_по_периодам!W57</f>
        <v>0</v>
      </c>
      <c r="X104" s="49">
        <f ca="1">Отчетность_по_периодам!X57</f>
        <v>0</v>
      </c>
      <c r="Y104" s="49">
        <f ca="1">Отчетность_по_периодам!Y57</f>
        <v>0</v>
      </c>
      <c r="Z104" s="49">
        <f ca="1">Отчетность_по_периодам!Z57</f>
        <v>0</v>
      </c>
      <c r="AA104" s="49">
        <f ca="1">Отчетность_по_периодам!AA57</f>
        <v>0</v>
      </c>
      <c r="AB104" s="49">
        <f ca="1">Отчетность_по_периодам!AB57</f>
        <v>0</v>
      </c>
      <c r="AC104" s="49">
        <f ca="1">Отчетность_по_периодам!AC57</f>
        <v>0</v>
      </c>
      <c r="AD104" s="49">
        <f ca="1">Отчетность_по_периодам!AD57</f>
        <v>0</v>
      </c>
      <c r="AE104" s="49">
        <f ca="1">Отчетность_по_периодам!AE57</f>
        <v>0</v>
      </c>
      <c r="AF104" s="49">
        <f ca="1">Отчетность_по_периодам!AF57</f>
        <v>0</v>
      </c>
      <c r="AG104" s="49">
        <f ca="1">Отчетность_по_периодам!AG57</f>
        <v>0</v>
      </c>
      <c r="AH104" s="49">
        <f ca="1">Отчетность_по_периодам!AH57</f>
        <v>0</v>
      </c>
      <c r="AI104" s="49">
        <f ca="1">Отчетность_по_периодам!AI57</f>
        <v>0</v>
      </c>
      <c r="AJ104" s="49">
        <f ca="1">Отчетность_по_периодам!AJ57</f>
        <v>0</v>
      </c>
      <c r="AK104" s="49">
        <f ca="1">Отчетность_по_периодам!AK57</f>
        <v>0</v>
      </c>
      <c r="AL104" s="49">
        <f ca="1">Отчетность_по_периодам!AL57</f>
        <v>-6020272.5387643678</v>
      </c>
      <c r="AM104" s="49">
        <f ca="1">Отчетность_по_периодам!AM57</f>
        <v>0</v>
      </c>
      <c r="AN104" s="49">
        <f ca="1">Отчетность_по_периодам!AN57</f>
        <v>0</v>
      </c>
      <c r="AO104" s="49">
        <f ca="1">Отчетность_по_периодам!AO57</f>
        <v>0</v>
      </c>
      <c r="AP104" s="49">
        <f ca="1">Отчетность_по_периодам!AP57</f>
        <v>0</v>
      </c>
      <c r="AQ104" s="49">
        <f ca="1">Отчетность_по_периодам!AQ57</f>
        <v>0</v>
      </c>
      <c r="AR104" s="49">
        <f ca="1">Отчетность_по_периодам!AR57</f>
        <v>-14761092.325999089</v>
      </c>
      <c r="AS104" s="49">
        <f ca="1">Отчетность_по_периодам!AS57</f>
        <v>0</v>
      </c>
      <c r="AT104" s="49">
        <f ca="1">Отчетность_по_периодам!AT57</f>
        <v>0</v>
      </c>
      <c r="AU104" s="49">
        <f ca="1">Отчетность_по_периодам!AU57</f>
        <v>0</v>
      </c>
      <c r="AV104" s="49">
        <f ca="1">Отчетность_по_периодам!AV57</f>
        <v>0</v>
      </c>
      <c r="AW104" s="49">
        <f ca="1">Отчетность_по_периодам!AW57</f>
        <v>0</v>
      </c>
      <c r="AX104" s="49">
        <f ca="1">Отчетность_по_периодам!AX57</f>
        <v>-21514092.818518873</v>
      </c>
      <c r="AY104" s="49">
        <f ca="1">Отчетность_по_периодам!AY57</f>
        <v>0</v>
      </c>
      <c r="AZ104" s="49">
        <f ca="1">Отчетность_по_периодам!AZ57</f>
        <v>0</v>
      </c>
      <c r="BA104" s="49">
        <f ca="1">Отчетность_по_периодам!BA57</f>
        <v>0</v>
      </c>
      <c r="BB104" s="49">
        <f ca="1">Отчетность_по_периодам!BB57</f>
        <v>0</v>
      </c>
      <c r="BC104" s="49">
        <f ca="1">Отчетность_по_периодам!BC57</f>
        <v>0</v>
      </c>
      <c r="BD104" s="49">
        <f ca="1">Отчетность_по_периодам!BD57</f>
        <v>-28574121.313359704</v>
      </c>
      <c r="BE104" s="49">
        <f ca="1">Отчетность_по_периодам!BE57</f>
        <v>0</v>
      </c>
      <c r="BF104" s="49">
        <f ca="1">Отчетность_по_периодам!BF57</f>
        <v>0</v>
      </c>
      <c r="BG104" s="49">
        <f ca="1">Отчетность_по_периодам!BG57</f>
        <v>0</v>
      </c>
      <c r="BH104" s="49">
        <f ca="1">Отчетность_по_периодам!BH57</f>
        <v>0</v>
      </c>
      <c r="BI104" s="49">
        <f ca="1">Отчетность_по_периодам!BI57</f>
        <v>0</v>
      </c>
      <c r="BJ104" s="49">
        <f ca="1">Отчетность_по_периодам!BJ57</f>
        <v>-30363369.1369307</v>
      </c>
      <c r="BK104" s="49">
        <f ca="1">Отчетность_по_периодам!BK57</f>
        <v>0</v>
      </c>
      <c r="BL104" s="49">
        <f ca="1">Отчетность_по_периодам!BL57</f>
        <v>0</v>
      </c>
      <c r="BM104" s="49">
        <f ca="1">Отчетность_по_периодам!BM57</f>
        <v>0</v>
      </c>
      <c r="BN104" s="49">
        <f ca="1">Отчетность_по_периодам!BN57</f>
        <v>0</v>
      </c>
      <c r="BO104" s="49">
        <f ca="1">Отчетность_по_периодам!BO57</f>
        <v>0</v>
      </c>
      <c r="BP104" s="49">
        <f ca="1">Отчетность_по_периодам!BP57</f>
        <v>-31511534.746687349</v>
      </c>
      <c r="BQ104" s="49">
        <f ca="1">Отчетность_по_периодам!BQ57</f>
        <v>0</v>
      </c>
      <c r="BR104" s="49">
        <f ca="1">Отчетность_по_периодам!BR57</f>
        <v>0</v>
      </c>
      <c r="BS104" s="49">
        <f ca="1">Отчетность_по_периодам!BS57</f>
        <v>0</v>
      </c>
      <c r="BT104" s="49">
        <f ca="1">Отчетность_по_периодам!BT57</f>
        <v>0</v>
      </c>
      <c r="BU104" s="49">
        <f ca="1">Отчетность_по_периодам!BU57</f>
        <v>0</v>
      </c>
      <c r="BV104" s="49">
        <f ca="1">Отчетность_по_периодам!BV57</f>
        <v>-32655604.417050876</v>
      </c>
      <c r="BW104" s="49">
        <f ca="1">Отчетность_по_периодам!BW57</f>
        <v>0</v>
      </c>
      <c r="BX104" s="49">
        <f ca="1">Отчетность_по_периодам!BX57</f>
        <v>0</v>
      </c>
      <c r="BY104" s="49">
        <f ca="1">Отчетность_по_периодам!BY57</f>
        <v>0</v>
      </c>
      <c r="BZ104" s="49">
        <f ca="1">Отчетность_по_периодам!BZ57</f>
        <v>0</v>
      </c>
      <c r="CA104" s="49">
        <f ca="1">Отчетность_по_периодам!CA57</f>
        <v>0</v>
      </c>
      <c r="CB104" s="49">
        <f ca="1">Отчетность_по_периодам!CB57</f>
        <v>-33719607.011111982</v>
      </c>
      <c r="CC104" s="49">
        <f ca="1">Отчетность_по_периодам!CC57</f>
        <v>0</v>
      </c>
      <c r="CD104" s="49">
        <f ca="1">Отчетность_по_периодам!CD57</f>
        <v>0</v>
      </c>
      <c r="CE104" s="49">
        <f ca="1">Отчетность_по_периодам!CE57</f>
        <v>0</v>
      </c>
      <c r="CF104" s="49">
        <f ca="1">Отчетность_по_периодам!CF57</f>
        <v>0</v>
      </c>
      <c r="CG104" s="49">
        <f ca="1">Отчетность_по_периодам!CG57</f>
        <v>0</v>
      </c>
      <c r="CH104" s="49">
        <f ca="1">Отчетность_по_периодам!CH57</f>
        <v>-34783244.390827738</v>
      </c>
      <c r="CI104" s="49">
        <f ca="1">Отчетность_по_периодам!CI57</f>
        <v>0</v>
      </c>
      <c r="CJ104" s="49">
        <f ca="1">Отчетность_по_периодам!CJ57</f>
        <v>0</v>
      </c>
      <c r="CK104" s="49">
        <f ca="1">Отчетность_по_периодам!CK57</f>
        <v>0</v>
      </c>
    </row>
    <row r="105" spans="2:89" ht="15.75" thickTop="1">
      <c r="B105" s="50" t="s">
        <v>557</v>
      </c>
      <c r="C105" s="51"/>
      <c r="D105" s="52">
        <f ca="1">SUM(D102:D104)</f>
        <v>4228822031.0391488</v>
      </c>
      <c r="E105" s="53"/>
      <c r="F105" s="54">
        <f ca="1">SUM(F102:F104)</f>
        <v>0</v>
      </c>
      <c r="G105" s="54">
        <f t="shared" ref="G105:BR105" ca="1" si="193">SUM(G102:G104)</f>
        <v>0</v>
      </c>
      <c r="H105" s="54">
        <f t="shared" ca="1" si="193"/>
        <v>0</v>
      </c>
      <c r="I105" s="54">
        <f t="shared" ca="1" si="193"/>
        <v>0</v>
      </c>
      <c r="J105" s="54">
        <f t="shared" ca="1" si="193"/>
        <v>0</v>
      </c>
      <c r="K105" s="54">
        <f t="shared" ca="1" si="193"/>
        <v>0</v>
      </c>
      <c r="L105" s="54">
        <f t="shared" ca="1" si="193"/>
        <v>0</v>
      </c>
      <c r="M105" s="54">
        <f t="shared" ca="1" si="193"/>
        <v>0</v>
      </c>
      <c r="N105" s="54">
        <f t="shared" ca="1" si="193"/>
        <v>0</v>
      </c>
      <c r="O105" s="54">
        <f t="shared" ca="1" si="193"/>
        <v>0</v>
      </c>
      <c r="P105" s="54">
        <f t="shared" ca="1" si="193"/>
        <v>0</v>
      </c>
      <c r="Q105" s="54">
        <f t="shared" ca="1" si="193"/>
        <v>0</v>
      </c>
      <c r="R105" s="54">
        <f t="shared" ca="1" si="193"/>
        <v>7409028.9956118762</v>
      </c>
      <c r="S105" s="54">
        <f t="shared" ca="1" si="193"/>
        <v>7494433.5687266514</v>
      </c>
      <c r="T105" s="54">
        <f t="shared" ca="1" si="193"/>
        <v>1880993.5667377636</v>
      </c>
      <c r="U105" s="54">
        <f t="shared" ca="1" si="193"/>
        <v>7663528.6895695403</v>
      </c>
      <c r="V105" s="54">
        <f t="shared" ca="1" si="193"/>
        <v>7749994.1460430175</v>
      </c>
      <c r="W105" s="54">
        <f t="shared" ca="1" si="193"/>
        <v>2344727.7849627398</v>
      </c>
      <c r="X105" s="54">
        <f t="shared" ca="1" si="193"/>
        <v>7921189.4706242159</v>
      </c>
      <c r="Y105" s="54">
        <f t="shared" ca="1" si="193"/>
        <v>8005899.1793526039</v>
      </c>
      <c r="Z105" s="54">
        <f t="shared" ca="1" si="193"/>
        <v>2811648.5247332137</v>
      </c>
      <c r="AA105" s="54">
        <f t="shared" ca="1" si="193"/>
        <v>8182292.0840018615</v>
      </c>
      <c r="AB105" s="54">
        <f t="shared" ca="1" si="193"/>
        <v>8262545.9311508723</v>
      </c>
      <c r="AC105" s="54">
        <f t="shared" ca="1" si="193"/>
        <v>8351751.5686958246</v>
      </c>
      <c r="AD105" s="54">
        <f t="shared" ca="1" si="193"/>
        <v>13385541.49622817</v>
      </c>
      <c r="AE105" s="54">
        <f t="shared" ca="1" si="193"/>
        <v>14542322.983465154</v>
      </c>
      <c r="AF105" s="54">
        <f t="shared" ca="1" si="193"/>
        <v>15858064.067687787</v>
      </c>
      <c r="AG105" s="54">
        <f t="shared" ca="1" si="193"/>
        <v>17459015.280090455</v>
      </c>
      <c r="AH105" s="54">
        <f t="shared" ca="1" si="193"/>
        <v>19351729.835485417</v>
      </c>
      <c r="AI105" s="54">
        <f t="shared" ca="1" si="193"/>
        <v>21513554.457903966</v>
      </c>
      <c r="AJ105" s="54">
        <f t="shared" ca="1" si="193"/>
        <v>24152743.798332661</v>
      </c>
      <c r="AK105" s="54">
        <f t="shared" ca="1" si="193"/>
        <v>27171658.567304686</v>
      </c>
      <c r="AL105" s="54">
        <f t="shared" ca="1" si="193"/>
        <v>24841040.208842982</v>
      </c>
      <c r="AM105" s="54">
        <f t="shared" ca="1" si="193"/>
        <v>35238446.253335491</v>
      </c>
      <c r="AN105" s="54">
        <f t="shared" ca="1" si="193"/>
        <v>39889961.989739552</v>
      </c>
      <c r="AO105" s="54">
        <f t="shared" ca="1" si="193"/>
        <v>45952527.272361778</v>
      </c>
      <c r="AP105" s="54">
        <f t="shared" ca="1" si="193"/>
        <v>48166193.502636254</v>
      </c>
      <c r="AQ105" s="54">
        <f t="shared" ca="1" si="193"/>
        <v>50593672.256372496</v>
      </c>
      <c r="AR105" s="54">
        <f t="shared" ca="1" si="193"/>
        <v>38325851.95029033</v>
      </c>
      <c r="AS105" s="54">
        <f t="shared" ca="1" si="193"/>
        <v>55821777.93140769</v>
      </c>
      <c r="AT105" s="54">
        <f t="shared" ca="1" si="193"/>
        <v>58727994.451668605</v>
      </c>
      <c r="AU105" s="54">
        <f t="shared" ca="1" si="193"/>
        <v>61714108.525518939</v>
      </c>
      <c r="AV105" s="54">
        <f t="shared" ca="1" si="193"/>
        <v>64990707.875169829</v>
      </c>
      <c r="AW105" s="54">
        <f t="shared" ca="1" si="193"/>
        <v>68358124.540430009</v>
      </c>
      <c r="AX105" s="54">
        <f t="shared" ca="1" si="193"/>
        <v>50539793.017858297</v>
      </c>
      <c r="AY105" s="54">
        <f t="shared" ca="1" si="193"/>
        <v>75983387.850513682</v>
      </c>
      <c r="AZ105" s="54">
        <f t="shared" ca="1" si="193"/>
        <v>79746122.080102652</v>
      </c>
      <c r="BA105" s="54">
        <f t="shared" ca="1" si="193"/>
        <v>84163224.764198601</v>
      </c>
      <c r="BB105" s="54">
        <f t="shared" ca="1" si="193"/>
        <v>84552455.617669836</v>
      </c>
      <c r="BC105" s="54">
        <f t="shared" ca="1" si="193"/>
        <v>84956294.664424762</v>
      </c>
      <c r="BD105" s="54">
        <f t="shared" ca="1" si="193"/>
        <v>56774572.807147875</v>
      </c>
      <c r="BE105" s="54">
        <f t="shared" ca="1" si="193"/>
        <v>85755820.608063757</v>
      </c>
      <c r="BF105" s="54">
        <f t="shared" ca="1" si="193"/>
        <v>86164627.940991998</v>
      </c>
      <c r="BG105" s="54">
        <f t="shared" ca="1" si="193"/>
        <v>86561854.824949712</v>
      </c>
      <c r="BH105" s="54">
        <f t="shared" ca="1" si="193"/>
        <v>86973989.791568011</v>
      </c>
      <c r="BI105" s="54">
        <f t="shared" ca="1" si="193"/>
        <v>87374449.965137199</v>
      </c>
      <c r="BJ105" s="54">
        <f t="shared" ca="1" si="193"/>
        <v>57426570.347217947</v>
      </c>
      <c r="BK105" s="54">
        <f t="shared" ca="1" si="193"/>
        <v>88206001.914495707</v>
      </c>
      <c r="BL105" s="54">
        <f t="shared" ca="1" si="193"/>
        <v>88596772.060370997</v>
      </c>
      <c r="BM105" s="54">
        <f t="shared" ca="1" si="193"/>
        <v>89016155.886951864</v>
      </c>
      <c r="BN105" s="54">
        <f t="shared" ca="1" si="193"/>
        <v>89423654.861110911</v>
      </c>
      <c r="BO105" s="54">
        <f t="shared" ca="1" si="193"/>
        <v>89846442.45479773</v>
      </c>
      <c r="BP105" s="54">
        <f t="shared" ca="1" si="193"/>
        <v>58745713.908352792</v>
      </c>
      <c r="BQ105" s="54">
        <f t="shared" ca="1" si="193"/>
        <v>90683467.470667198</v>
      </c>
      <c r="BR105" s="54">
        <f t="shared" ca="1" si="193"/>
        <v>91111440.614055693</v>
      </c>
      <c r="BS105" s="54">
        <f t="shared" ref="BS105:CK105" ca="1" si="194">SUM(BS102:BS104)</f>
        <v>91527285.285181463</v>
      </c>
      <c r="BT105" s="54">
        <f t="shared" ca="1" si="194"/>
        <v>91958731.474928916</v>
      </c>
      <c r="BU105" s="54">
        <f t="shared" ca="1" si="194"/>
        <v>92377950.684941024</v>
      </c>
      <c r="BV105" s="54">
        <f t="shared" ca="1" si="194"/>
        <v>60157293.514561482</v>
      </c>
      <c r="BW105" s="54">
        <f t="shared" ca="1" si="194"/>
        <v>93250834.216361269</v>
      </c>
      <c r="BX105" s="54">
        <f t="shared" ca="1" si="194"/>
        <v>93647942.722997978</v>
      </c>
      <c r="BY105" s="54">
        <f t="shared" ca="1" si="194"/>
        <v>94089324.956254378</v>
      </c>
      <c r="BZ105" s="54">
        <f t="shared" ca="1" si="194"/>
        <v>94518203.162725672</v>
      </c>
      <c r="CA105" s="54">
        <f t="shared" ca="1" si="194"/>
        <v>94963176.49278605</v>
      </c>
      <c r="CB105" s="54">
        <f t="shared" ca="1" si="194"/>
        <v>61675936.965428136</v>
      </c>
      <c r="CC105" s="54">
        <f t="shared" ca="1" si="194"/>
        <v>95844137.441313446</v>
      </c>
      <c r="CD105" s="54">
        <f t="shared" ca="1" si="194"/>
        <v>96294581.8496342</v>
      </c>
      <c r="CE105" s="54">
        <f t="shared" ca="1" si="194"/>
        <v>96732265.287238941</v>
      </c>
      <c r="CF105" s="54">
        <f t="shared" ca="1" si="194"/>
        <v>97186374.067440912</v>
      </c>
      <c r="CG105" s="54">
        <f t="shared" ca="1" si="194"/>
        <v>97627617.97824806</v>
      </c>
      <c r="CH105" s="54">
        <f t="shared" ca="1" si="194"/>
        <v>63302176.36667227</v>
      </c>
      <c r="CI105" s="54">
        <f t="shared" ca="1" si="194"/>
        <v>98545112.245244637</v>
      </c>
      <c r="CJ105" s="54">
        <f t="shared" ca="1" si="194"/>
        <v>98961947.2864898</v>
      </c>
      <c r="CK105" s="54">
        <f t="shared" ca="1" si="194"/>
        <v>99425254.835571349</v>
      </c>
    </row>
    <row r="106" spans="2:89" ht="15.75" thickBot="1"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</row>
    <row r="107" spans="2:89" ht="16.5" thickTop="1" thickBot="1">
      <c r="B107" s="105" t="s">
        <v>160</v>
      </c>
      <c r="C107" s="106"/>
      <c r="D107" s="107">
        <f ca="1">SUM(F107:CK107)</f>
        <v>7900196798.7041531</v>
      </c>
      <c r="E107" s="108"/>
      <c r="F107" s="109">
        <f t="shared" ref="F107:AK107" ca="1" si="195">SUM(OFFSET(F105,0,-MIN(Мес_в_кв,F27)+1,,MIN(Мес_в_кв,F27)))*Кв_в_году*(1+$D$96)/($D$97-$D$96)*F$94</f>
        <v>0</v>
      </c>
      <c r="G107" s="109">
        <f t="shared" ca="1" si="195"/>
        <v>0</v>
      </c>
      <c r="H107" s="109">
        <f t="shared" ca="1" si="195"/>
        <v>0</v>
      </c>
      <c r="I107" s="109">
        <f t="shared" ca="1" si="195"/>
        <v>0</v>
      </c>
      <c r="J107" s="109">
        <f t="shared" ca="1" si="195"/>
        <v>0</v>
      </c>
      <c r="K107" s="109">
        <f t="shared" ca="1" si="195"/>
        <v>0</v>
      </c>
      <c r="L107" s="109">
        <f t="shared" ca="1" si="195"/>
        <v>0</v>
      </c>
      <c r="M107" s="109">
        <f t="shared" ca="1" si="195"/>
        <v>0</v>
      </c>
      <c r="N107" s="109">
        <f t="shared" ca="1" si="195"/>
        <v>0</v>
      </c>
      <c r="O107" s="109">
        <f t="shared" ca="1" si="195"/>
        <v>0</v>
      </c>
      <c r="P107" s="109">
        <f t="shared" ca="1" si="195"/>
        <v>0</v>
      </c>
      <c r="Q107" s="109">
        <f t="shared" ca="1" si="195"/>
        <v>0</v>
      </c>
      <c r="R107" s="109">
        <f t="shared" ca="1" si="195"/>
        <v>0</v>
      </c>
      <c r="S107" s="109">
        <f t="shared" ca="1" si="195"/>
        <v>0</v>
      </c>
      <c r="T107" s="109">
        <f t="shared" ca="1" si="195"/>
        <v>0</v>
      </c>
      <c r="U107" s="109">
        <f t="shared" ca="1" si="195"/>
        <v>0</v>
      </c>
      <c r="V107" s="109">
        <f t="shared" ca="1" si="195"/>
        <v>0</v>
      </c>
      <c r="W107" s="109">
        <f t="shared" ca="1" si="195"/>
        <v>0</v>
      </c>
      <c r="X107" s="109">
        <f t="shared" ca="1" si="195"/>
        <v>0</v>
      </c>
      <c r="Y107" s="109">
        <f t="shared" ca="1" si="195"/>
        <v>0</v>
      </c>
      <c r="Z107" s="109">
        <f t="shared" ca="1" si="195"/>
        <v>0</v>
      </c>
      <c r="AA107" s="109">
        <f t="shared" ca="1" si="195"/>
        <v>0</v>
      </c>
      <c r="AB107" s="109">
        <f t="shared" ca="1" si="195"/>
        <v>0</v>
      </c>
      <c r="AC107" s="109">
        <f t="shared" ca="1" si="195"/>
        <v>0</v>
      </c>
      <c r="AD107" s="109">
        <f t="shared" ca="1" si="195"/>
        <v>0</v>
      </c>
      <c r="AE107" s="109">
        <f t="shared" ca="1" si="195"/>
        <v>0</v>
      </c>
      <c r="AF107" s="109">
        <f t="shared" ca="1" si="195"/>
        <v>0</v>
      </c>
      <c r="AG107" s="109">
        <f t="shared" ca="1" si="195"/>
        <v>0</v>
      </c>
      <c r="AH107" s="109">
        <f t="shared" ca="1" si="195"/>
        <v>0</v>
      </c>
      <c r="AI107" s="109">
        <f t="shared" ca="1" si="195"/>
        <v>0</v>
      </c>
      <c r="AJ107" s="109">
        <f t="shared" ca="1" si="195"/>
        <v>0</v>
      </c>
      <c r="AK107" s="109">
        <f t="shared" ca="1" si="195"/>
        <v>0</v>
      </c>
      <c r="AL107" s="109">
        <f t="shared" ref="AL107:BL107" ca="1" si="196">SUM(OFFSET(AL105,0,-MIN(Мес_в_кв,AL27)+1,,MIN(Мес_в_кв,AL27)))*Кв_в_году*(1+$D$96)/($D$97-$D$96)*AL$94</f>
        <v>0</v>
      </c>
      <c r="AM107" s="109">
        <f t="shared" ca="1" si="196"/>
        <v>0</v>
      </c>
      <c r="AN107" s="109">
        <f t="shared" ca="1" si="196"/>
        <v>0</v>
      </c>
      <c r="AO107" s="109">
        <f t="shared" ca="1" si="196"/>
        <v>0</v>
      </c>
      <c r="AP107" s="109">
        <f t="shared" ca="1" si="196"/>
        <v>0</v>
      </c>
      <c r="AQ107" s="109">
        <f t="shared" ca="1" si="196"/>
        <v>0</v>
      </c>
      <c r="AR107" s="109">
        <f t="shared" ca="1" si="196"/>
        <v>0</v>
      </c>
      <c r="AS107" s="109">
        <f t="shared" ca="1" si="196"/>
        <v>0</v>
      </c>
      <c r="AT107" s="109">
        <f t="shared" ca="1" si="196"/>
        <v>0</v>
      </c>
      <c r="AU107" s="109">
        <f t="shared" ca="1" si="196"/>
        <v>0</v>
      </c>
      <c r="AV107" s="109">
        <f t="shared" ca="1" si="196"/>
        <v>0</v>
      </c>
      <c r="AW107" s="109">
        <f t="shared" ca="1" si="196"/>
        <v>0</v>
      </c>
      <c r="AX107" s="109">
        <f t="shared" ca="1" si="196"/>
        <v>0</v>
      </c>
      <c r="AY107" s="109">
        <f t="shared" ca="1" si="196"/>
        <v>0</v>
      </c>
      <c r="AZ107" s="109">
        <f t="shared" ca="1" si="196"/>
        <v>0</v>
      </c>
      <c r="BA107" s="109">
        <f t="shared" ca="1" si="196"/>
        <v>0</v>
      </c>
      <c r="BB107" s="109">
        <f t="shared" ca="1" si="196"/>
        <v>0</v>
      </c>
      <c r="BC107" s="109">
        <f t="shared" ca="1" si="196"/>
        <v>0</v>
      </c>
      <c r="BD107" s="109">
        <f t="shared" ca="1" si="196"/>
        <v>0</v>
      </c>
      <c r="BE107" s="109">
        <f t="shared" ca="1" si="196"/>
        <v>0</v>
      </c>
      <c r="BF107" s="109">
        <f t="shared" ca="1" si="196"/>
        <v>0</v>
      </c>
      <c r="BG107" s="109">
        <f t="shared" ca="1" si="196"/>
        <v>0</v>
      </c>
      <c r="BH107" s="109">
        <f t="shared" ca="1" si="196"/>
        <v>0</v>
      </c>
      <c r="BI107" s="109">
        <f t="shared" ca="1" si="196"/>
        <v>0</v>
      </c>
      <c r="BJ107" s="109">
        <f t="shared" ca="1" si="196"/>
        <v>0</v>
      </c>
      <c r="BK107" s="109">
        <f t="shared" ca="1" si="196"/>
        <v>0</v>
      </c>
      <c r="BL107" s="109">
        <f t="shared" ca="1" si="196"/>
        <v>0</v>
      </c>
      <c r="BM107" s="109">
        <f t="shared" ref="BM107:CK107" ca="1" si="197">SUM(OFFSET(BM105,0,-MIN(Мес_в_кв*Кв_в_году,BM27)+1,,MIN(Мес_в_кв*Кв_в_году,BM27)))*(1+$D$96)/($D$97-$D$96)*BM$94</f>
        <v>0</v>
      </c>
      <c r="BN107" s="109">
        <f t="shared" ca="1" si="197"/>
        <v>0</v>
      </c>
      <c r="BO107" s="109">
        <f t="shared" ca="1" si="197"/>
        <v>0</v>
      </c>
      <c r="BP107" s="109">
        <f t="shared" ca="1" si="197"/>
        <v>0</v>
      </c>
      <c r="BQ107" s="109">
        <f t="shared" ca="1" si="197"/>
        <v>0</v>
      </c>
      <c r="BR107" s="109">
        <f t="shared" ca="1" si="197"/>
        <v>0</v>
      </c>
      <c r="BS107" s="109">
        <f t="shared" ca="1" si="197"/>
        <v>0</v>
      </c>
      <c r="BT107" s="109">
        <f t="shared" ca="1" si="197"/>
        <v>0</v>
      </c>
      <c r="BU107" s="109">
        <f t="shared" ca="1" si="197"/>
        <v>0</v>
      </c>
      <c r="BV107" s="109">
        <f t="shared" ca="1" si="197"/>
        <v>0</v>
      </c>
      <c r="BW107" s="109">
        <f t="shared" ca="1" si="197"/>
        <v>0</v>
      </c>
      <c r="BX107" s="109">
        <f t="shared" ca="1" si="197"/>
        <v>0</v>
      </c>
      <c r="BY107" s="109">
        <f t="shared" ca="1" si="197"/>
        <v>0</v>
      </c>
      <c r="BZ107" s="109">
        <f t="shared" ca="1" si="197"/>
        <v>0</v>
      </c>
      <c r="CA107" s="109">
        <f t="shared" ca="1" si="197"/>
        <v>0</v>
      </c>
      <c r="CB107" s="109">
        <f t="shared" ca="1" si="197"/>
        <v>0</v>
      </c>
      <c r="CC107" s="109">
        <f t="shared" ca="1" si="197"/>
        <v>0</v>
      </c>
      <c r="CD107" s="109">
        <f t="shared" ca="1" si="197"/>
        <v>0</v>
      </c>
      <c r="CE107" s="109">
        <f t="shared" ca="1" si="197"/>
        <v>0</v>
      </c>
      <c r="CF107" s="109">
        <f t="shared" ca="1" si="197"/>
        <v>0</v>
      </c>
      <c r="CG107" s="109">
        <f t="shared" ca="1" si="197"/>
        <v>0</v>
      </c>
      <c r="CH107" s="109">
        <f t="shared" ca="1" si="197"/>
        <v>0</v>
      </c>
      <c r="CI107" s="109">
        <f t="shared" ca="1" si="197"/>
        <v>0</v>
      </c>
      <c r="CJ107" s="109">
        <f t="shared" ca="1" si="197"/>
        <v>0</v>
      </c>
      <c r="CK107" s="109">
        <f t="shared" ca="1" si="197"/>
        <v>7900196798.7041531</v>
      </c>
    </row>
    <row r="108" spans="2:89" ht="15.75" thickTop="1"/>
    <row r="109" spans="2:89"/>
    <row r="110" spans="2:89"/>
  </sheetData>
  <sheetProtection algorithmName="SHA-512" hashValue="u5EH6NLvAaVa3zmZW7bCcKQQCOsqousp9H1FE1hHVK1qQc4GTZT1gFBkPwIWtoPc7MxNEtl+vxc+UZOLRWTU9Q==" saltValue="YSXQDHnMrCjZ7t0RmjmC1Q==" spinCount="100000" sheet="1" objects="1" scenarios="1"/>
  <mergeCells count="1">
    <mergeCell ref="E1:G2"/>
  </mergeCells>
  <conditionalFormatting sqref="F94:CK94">
    <cfRule type="cellIs" dxfId="13" priority="3" operator="equal">
      <formula>1</formula>
    </cfRule>
  </conditionalFormatting>
  <conditionalFormatting sqref="F13:CK14">
    <cfRule type="cellIs" dxfId="12" priority="2" operator="equal">
      <formula>1</formula>
    </cfRule>
  </conditionalFormatting>
  <conditionalFormatting sqref="K1:K2">
    <cfRule type="expression" dxfId="11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-0.249977111117893"/>
  </sheetPr>
  <dimension ref="A1:CL189"/>
  <sheetViews>
    <sheetView showGridLines="0" zoomScaleNormal="100" workbookViewId="0">
      <pane xSplit="5" ySplit="10" topLeftCell="F41" activePane="bottomRight" state="frozen"/>
      <selection activeCell="D18" sqref="D18"/>
      <selection pane="topRight" activeCell="D18" sqref="D18"/>
      <selection pane="bottomLeft" activeCell="D18" sqref="D18"/>
      <selection pane="bottomRight" activeCell="B3" sqref="B3"/>
    </sheetView>
  </sheetViews>
  <sheetFormatPr defaultColWidth="0" defaultRowHeight="15" zeroHeight="1"/>
  <cols>
    <col min="1" max="1" width="2.5703125" customWidth="1"/>
    <col min="2" max="2" width="28.5703125" customWidth="1"/>
    <col min="3" max="3" width="7.140625" customWidth="1"/>
    <col min="4" max="4" width="15.5703125" bestFit="1" customWidth="1"/>
    <col min="5" max="5" width="9.85546875" bestFit="1" customWidth="1"/>
    <col min="6" max="6" width="13.5703125" customWidth="1"/>
    <col min="7" max="8" width="12.7109375" bestFit="1" customWidth="1"/>
    <col min="9" max="9" width="16.7109375" bestFit="1" customWidth="1"/>
    <col min="10" max="10" width="12.7109375" bestFit="1" customWidth="1"/>
    <col min="11" max="11" width="12.85546875" bestFit="1" customWidth="1"/>
    <col min="12" max="12" width="14.140625" customWidth="1"/>
    <col min="13" max="13" width="14.28515625" customWidth="1"/>
    <col min="14" max="17" width="13.5703125" bestFit="1" customWidth="1"/>
    <col min="18" max="18" width="14.140625" bestFit="1" customWidth="1"/>
    <col min="19" max="38" width="13.5703125" bestFit="1" customWidth="1"/>
    <col min="39" max="89" width="14.5703125" bestFit="1" customWidth="1"/>
    <col min="90" max="90" width="3.7109375" customWidth="1"/>
    <col min="91" max="16384" width="3.7109375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558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>
      <c r="B8" s="16" t="str">
        <f t="array" ref="B8:B9">Время!B8:B9</f>
        <v>Начало периода</v>
      </c>
      <c r="C8" s="17"/>
      <c r="D8" s="18"/>
      <c r="E8" s="19"/>
      <c r="F8" s="20">
        <f t="array" ref="F8:CK9">Время!F8:CK9</f>
        <v>45017</v>
      </c>
      <c r="G8" s="20">
        <v>45047</v>
      </c>
      <c r="H8" s="20">
        <v>45078</v>
      </c>
      <c r="I8" s="20">
        <v>45108</v>
      </c>
      <c r="J8" s="20">
        <v>45139</v>
      </c>
      <c r="K8" s="20">
        <v>45170</v>
      </c>
      <c r="L8" s="20">
        <v>45200</v>
      </c>
      <c r="M8" s="20">
        <v>45231</v>
      </c>
      <c r="N8" s="20">
        <v>45261</v>
      </c>
      <c r="O8" s="20">
        <v>45292</v>
      </c>
      <c r="P8" s="20">
        <v>45323</v>
      </c>
      <c r="Q8" s="20">
        <v>45352</v>
      </c>
      <c r="R8" s="20">
        <v>45383</v>
      </c>
      <c r="S8" s="20">
        <v>45413</v>
      </c>
      <c r="T8" s="20">
        <v>45444</v>
      </c>
      <c r="U8" s="20">
        <v>45474</v>
      </c>
      <c r="V8" s="20">
        <v>45505</v>
      </c>
      <c r="W8" s="20">
        <v>45536</v>
      </c>
      <c r="X8" s="20">
        <v>45566</v>
      </c>
      <c r="Y8" s="20">
        <v>45597</v>
      </c>
      <c r="Z8" s="20">
        <v>45627</v>
      </c>
      <c r="AA8" s="20">
        <v>45658</v>
      </c>
      <c r="AB8" s="20">
        <v>45689</v>
      </c>
      <c r="AC8" s="20">
        <v>45717</v>
      </c>
      <c r="AD8" s="20">
        <v>45748</v>
      </c>
      <c r="AE8" s="20">
        <v>45778</v>
      </c>
      <c r="AF8" s="20">
        <v>45809</v>
      </c>
      <c r="AG8" s="20">
        <v>45839</v>
      </c>
      <c r="AH8" s="20">
        <v>45870</v>
      </c>
      <c r="AI8" s="20">
        <v>45901</v>
      </c>
      <c r="AJ8" s="20">
        <v>45931</v>
      </c>
      <c r="AK8" s="20">
        <v>45962</v>
      </c>
      <c r="AL8" s="20">
        <v>45992</v>
      </c>
      <c r="AM8" s="20">
        <v>46023</v>
      </c>
      <c r="AN8" s="20">
        <v>46054</v>
      </c>
      <c r="AO8" s="20">
        <v>46082</v>
      </c>
      <c r="AP8" s="20">
        <v>46113</v>
      </c>
      <c r="AQ8" s="20">
        <v>46143</v>
      </c>
      <c r="AR8" s="20">
        <v>46174</v>
      </c>
      <c r="AS8" s="20">
        <v>46204</v>
      </c>
      <c r="AT8" s="20">
        <v>46235</v>
      </c>
      <c r="AU8" s="20">
        <v>46266</v>
      </c>
      <c r="AV8" s="20">
        <v>46296</v>
      </c>
      <c r="AW8" s="20">
        <v>46327</v>
      </c>
      <c r="AX8" s="20">
        <v>46357</v>
      </c>
      <c r="AY8" s="20">
        <v>46388</v>
      </c>
      <c r="AZ8" s="20">
        <v>46419</v>
      </c>
      <c r="BA8" s="20">
        <v>46447</v>
      </c>
      <c r="BB8" s="20">
        <v>46478</v>
      </c>
      <c r="BC8" s="20">
        <v>46508</v>
      </c>
      <c r="BD8" s="20">
        <v>46539</v>
      </c>
      <c r="BE8" s="20">
        <v>46569</v>
      </c>
      <c r="BF8" s="20">
        <v>46600</v>
      </c>
      <c r="BG8" s="20">
        <v>46631</v>
      </c>
      <c r="BH8" s="20">
        <v>46661</v>
      </c>
      <c r="BI8" s="20">
        <v>46692</v>
      </c>
      <c r="BJ8" s="20">
        <v>46722</v>
      </c>
      <c r="BK8" s="20">
        <v>46753</v>
      </c>
      <c r="BL8" s="20">
        <v>46784</v>
      </c>
      <c r="BM8" s="20">
        <v>46813</v>
      </c>
      <c r="BN8" s="20">
        <v>46844</v>
      </c>
      <c r="BO8" s="20">
        <v>46874</v>
      </c>
      <c r="BP8" s="20">
        <v>46905</v>
      </c>
      <c r="BQ8" s="20">
        <v>46935</v>
      </c>
      <c r="BR8" s="20">
        <v>46966</v>
      </c>
      <c r="BS8" s="20">
        <v>46997</v>
      </c>
      <c r="BT8" s="20">
        <v>47027</v>
      </c>
      <c r="BU8" s="20">
        <v>47058</v>
      </c>
      <c r="BV8" s="20">
        <v>47088</v>
      </c>
      <c r="BW8" s="20">
        <v>47119</v>
      </c>
      <c r="BX8" s="20">
        <v>47150</v>
      </c>
      <c r="BY8" s="20">
        <v>47178</v>
      </c>
      <c r="BZ8" s="20">
        <v>47209</v>
      </c>
      <c r="CA8" s="20">
        <v>47239</v>
      </c>
      <c r="CB8" s="20">
        <v>47270</v>
      </c>
      <c r="CC8" s="20">
        <v>47300</v>
      </c>
      <c r="CD8" s="20">
        <v>47331</v>
      </c>
      <c r="CE8" s="20">
        <v>47362</v>
      </c>
      <c r="CF8" s="20">
        <v>47392</v>
      </c>
      <c r="CG8" s="20">
        <v>47423</v>
      </c>
      <c r="CH8" s="20">
        <v>47453</v>
      </c>
      <c r="CI8" s="20">
        <v>47484</v>
      </c>
      <c r="CJ8" s="20">
        <v>47515</v>
      </c>
      <c r="CK8" s="20">
        <v>47543</v>
      </c>
    </row>
    <row r="9" spans="2:89">
      <c r="B9" s="21" t="str">
        <v>Конец периода</v>
      </c>
      <c r="C9" s="22"/>
      <c r="D9" s="23"/>
      <c r="E9" s="24">
        <f>Время!E9</f>
        <v>45016</v>
      </c>
      <c r="F9" s="25">
        <v>45046</v>
      </c>
      <c r="G9" s="25">
        <v>45077</v>
      </c>
      <c r="H9" s="25">
        <v>45107</v>
      </c>
      <c r="I9" s="25">
        <v>45138</v>
      </c>
      <c r="J9" s="25">
        <v>45169</v>
      </c>
      <c r="K9" s="25">
        <v>45199</v>
      </c>
      <c r="L9" s="25">
        <v>45230</v>
      </c>
      <c r="M9" s="25">
        <v>45260</v>
      </c>
      <c r="N9" s="25">
        <v>45291</v>
      </c>
      <c r="O9" s="25">
        <v>45322</v>
      </c>
      <c r="P9" s="25">
        <v>45351</v>
      </c>
      <c r="Q9" s="25">
        <v>45382</v>
      </c>
      <c r="R9" s="25">
        <v>45412</v>
      </c>
      <c r="S9" s="25">
        <v>45443</v>
      </c>
      <c r="T9" s="25">
        <v>45473</v>
      </c>
      <c r="U9" s="25">
        <v>45504</v>
      </c>
      <c r="V9" s="25">
        <v>45535</v>
      </c>
      <c r="W9" s="25">
        <v>45565</v>
      </c>
      <c r="X9" s="25">
        <v>45596</v>
      </c>
      <c r="Y9" s="25">
        <v>45626</v>
      </c>
      <c r="Z9" s="25">
        <v>45657</v>
      </c>
      <c r="AA9" s="25">
        <v>45688</v>
      </c>
      <c r="AB9" s="25">
        <v>45716</v>
      </c>
      <c r="AC9" s="25">
        <v>45747</v>
      </c>
      <c r="AD9" s="25">
        <v>45777</v>
      </c>
      <c r="AE9" s="25">
        <v>45808</v>
      </c>
      <c r="AF9" s="25">
        <v>45838</v>
      </c>
      <c r="AG9" s="25">
        <v>45869</v>
      </c>
      <c r="AH9" s="25">
        <v>45900</v>
      </c>
      <c r="AI9" s="25">
        <v>45930</v>
      </c>
      <c r="AJ9" s="25">
        <v>45961</v>
      </c>
      <c r="AK9" s="25">
        <v>45991</v>
      </c>
      <c r="AL9" s="25">
        <v>46022</v>
      </c>
      <c r="AM9" s="25">
        <v>46053</v>
      </c>
      <c r="AN9" s="25">
        <v>46081</v>
      </c>
      <c r="AO9" s="25">
        <v>46112</v>
      </c>
      <c r="AP9" s="25">
        <v>46142</v>
      </c>
      <c r="AQ9" s="25">
        <v>46173</v>
      </c>
      <c r="AR9" s="25">
        <v>46203</v>
      </c>
      <c r="AS9" s="25">
        <v>46234</v>
      </c>
      <c r="AT9" s="25">
        <v>46265</v>
      </c>
      <c r="AU9" s="25">
        <v>46295</v>
      </c>
      <c r="AV9" s="25">
        <v>46326</v>
      </c>
      <c r="AW9" s="25">
        <v>46356</v>
      </c>
      <c r="AX9" s="25">
        <v>46387</v>
      </c>
      <c r="AY9" s="25">
        <v>46418</v>
      </c>
      <c r="AZ9" s="25">
        <v>46446</v>
      </c>
      <c r="BA9" s="25">
        <v>46477</v>
      </c>
      <c r="BB9" s="25">
        <v>46507</v>
      </c>
      <c r="BC9" s="25">
        <v>46538</v>
      </c>
      <c r="BD9" s="25">
        <v>46568</v>
      </c>
      <c r="BE9" s="25">
        <v>46599</v>
      </c>
      <c r="BF9" s="25">
        <v>46630</v>
      </c>
      <c r="BG9" s="25">
        <v>46660</v>
      </c>
      <c r="BH9" s="25">
        <v>46691</v>
      </c>
      <c r="BI9" s="25">
        <v>46721</v>
      </c>
      <c r="BJ9" s="25">
        <v>46752</v>
      </c>
      <c r="BK9" s="25">
        <v>46783</v>
      </c>
      <c r="BL9" s="25">
        <v>46812</v>
      </c>
      <c r="BM9" s="25">
        <v>46843</v>
      </c>
      <c r="BN9" s="25">
        <v>46873</v>
      </c>
      <c r="BO9" s="25">
        <v>46904</v>
      </c>
      <c r="BP9" s="25">
        <v>46934</v>
      </c>
      <c r="BQ9" s="25">
        <v>46965</v>
      </c>
      <c r="BR9" s="25">
        <v>46996</v>
      </c>
      <c r="BS9" s="25">
        <v>47026</v>
      </c>
      <c r="BT9" s="25">
        <v>47057</v>
      </c>
      <c r="BU9" s="25">
        <v>47087</v>
      </c>
      <c r="BV9" s="25">
        <v>47118</v>
      </c>
      <c r="BW9" s="25">
        <v>47149</v>
      </c>
      <c r="BX9" s="25">
        <v>47177</v>
      </c>
      <c r="BY9" s="25">
        <v>47208</v>
      </c>
      <c r="BZ9" s="25">
        <v>47238</v>
      </c>
      <c r="CA9" s="25">
        <v>47269</v>
      </c>
      <c r="CB9" s="25">
        <v>47299</v>
      </c>
      <c r="CC9" s="25">
        <v>47330</v>
      </c>
      <c r="CD9" s="25">
        <v>47361</v>
      </c>
      <c r="CE9" s="25">
        <v>47391</v>
      </c>
      <c r="CF9" s="25">
        <v>47422</v>
      </c>
      <c r="CG9" s="25">
        <v>47452</v>
      </c>
      <c r="CH9" s="25">
        <v>47483</v>
      </c>
      <c r="CI9" s="25">
        <v>47514</v>
      </c>
      <c r="CJ9" s="25">
        <v>47542</v>
      </c>
      <c r="CK9" s="25"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5"/>
      <c r="G12" s="15"/>
      <c r="H12" s="15"/>
      <c r="I12" s="15"/>
      <c r="J12" s="15"/>
      <c r="K12" s="15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>
      <c r="B13" s="145" t="str">
        <f t="array" ref="B13:B14">Время!B13:B14</f>
        <v>Инвестиции</v>
      </c>
      <c r="C13" s="146"/>
      <c r="D13" s="146"/>
      <c r="E13" s="146"/>
      <c r="F13" s="29">
        <f t="array" ref="F13:CK14">Время!F13:CK14</f>
        <v>1</v>
      </c>
      <c r="G13" s="30">
        <v>1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1">
        <v>0</v>
      </c>
    </row>
    <row r="14" spans="2:89">
      <c r="B14" s="145" t="str">
        <v>Операции</v>
      </c>
      <c r="C14" s="146"/>
      <c r="D14" s="146"/>
      <c r="E14" s="146"/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>
        <v>1</v>
      </c>
      <c r="AU14" s="30">
        <v>1</v>
      </c>
      <c r="AV14" s="30">
        <v>1</v>
      </c>
      <c r="AW14" s="30">
        <v>1</v>
      </c>
      <c r="AX14" s="30">
        <v>1</v>
      </c>
      <c r="AY14" s="30">
        <v>1</v>
      </c>
      <c r="AZ14" s="30">
        <v>1</v>
      </c>
      <c r="BA14" s="30">
        <v>1</v>
      </c>
      <c r="BB14" s="30">
        <v>1</v>
      </c>
      <c r="BC14" s="30">
        <v>1</v>
      </c>
      <c r="BD14" s="30">
        <v>1</v>
      </c>
      <c r="BE14" s="30">
        <v>1</v>
      </c>
      <c r="BF14" s="30">
        <v>1</v>
      </c>
      <c r="BG14" s="30">
        <v>1</v>
      </c>
      <c r="BH14" s="30">
        <v>1</v>
      </c>
      <c r="BI14" s="30">
        <v>1</v>
      </c>
      <c r="BJ14" s="30">
        <v>1</v>
      </c>
      <c r="BK14" s="30">
        <v>1</v>
      </c>
      <c r="BL14" s="30">
        <v>1</v>
      </c>
      <c r="BM14" s="30">
        <v>1</v>
      </c>
      <c r="BN14" s="30">
        <v>1</v>
      </c>
      <c r="BO14" s="30">
        <v>1</v>
      </c>
      <c r="BP14" s="30">
        <v>1</v>
      </c>
      <c r="BQ14" s="30">
        <v>1</v>
      </c>
      <c r="BR14" s="30">
        <v>1</v>
      </c>
      <c r="BS14" s="30">
        <v>1</v>
      </c>
      <c r="BT14" s="30">
        <v>1</v>
      </c>
      <c r="BU14" s="30">
        <v>1</v>
      </c>
      <c r="BV14" s="30">
        <v>1</v>
      </c>
      <c r="BW14" s="30">
        <v>1</v>
      </c>
      <c r="BX14" s="30">
        <v>1</v>
      </c>
      <c r="BY14" s="30">
        <v>1</v>
      </c>
      <c r="BZ14" s="30">
        <v>1</v>
      </c>
      <c r="CA14" s="30">
        <v>1</v>
      </c>
      <c r="CB14" s="30">
        <v>1</v>
      </c>
      <c r="CC14" s="30">
        <v>1</v>
      </c>
      <c r="CD14" s="30">
        <v>1</v>
      </c>
      <c r="CE14" s="30">
        <v>1</v>
      </c>
      <c r="CF14" s="30">
        <v>1</v>
      </c>
      <c r="CG14" s="30">
        <v>1</v>
      </c>
      <c r="CH14" s="30">
        <v>1</v>
      </c>
      <c r="CI14" s="30">
        <v>1</v>
      </c>
      <c r="CJ14" s="30">
        <v>1</v>
      </c>
      <c r="CK14" s="31">
        <v>1</v>
      </c>
    </row>
    <row r="15" spans="2:89" ht="3" customHeight="1">
      <c r="B15" s="14"/>
      <c r="C15" s="14"/>
      <c r="D15" s="14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5"/>
      <c r="G17" s="15"/>
      <c r="H17" s="15"/>
      <c r="I17" s="15"/>
      <c r="J17" s="15"/>
      <c r="K17" s="1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>
      <c r="B18" s="32" t="str">
        <f t="array" ref="B18:B29">Время!B18:B29</f>
        <v>Название периода</v>
      </c>
      <c r="C18" s="33"/>
      <c r="D18" s="33"/>
      <c r="E18" s="34"/>
      <c r="F18" s="35">
        <f t="array" ref="F18:CK29">Время!F18:CK29</f>
        <v>45046</v>
      </c>
      <c r="G18" s="36">
        <v>45077</v>
      </c>
      <c r="H18" s="36">
        <v>45107</v>
      </c>
      <c r="I18" s="36">
        <v>45138</v>
      </c>
      <c r="J18" s="36">
        <v>45169</v>
      </c>
      <c r="K18" s="36">
        <v>45199</v>
      </c>
      <c r="L18" s="36">
        <v>45230</v>
      </c>
      <c r="M18" s="36">
        <v>45260</v>
      </c>
      <c r="N18" s="36">
        <v>45291</v>
      </c>
      <c r="O18" s="36">
        <v>45322</v>
      </c>
      <c r="P18" s="36">
        <v>45351</v>
      </c>
      <c r="Q18" s="36">
        <v>45382</v>
      </c>
      <c r="R18" s="36">
        <v>45412</v>
      </c>
      <c r="S18" s="36">
        <v>45443</v>
      </c>
      <c r="T18" s="36">
        <v>45473</v>
      </c>
      <c r="U18" s="36">
        <v>45504</v>
      </c>
      <c r="V18" s="36">
        <v>45535</v>
      </c>
      <c r="W18" s="36">
        <v>45565</v>
      </c>
      <c r="X18" s="36">
        <v>45596</v>
      </c>
      <c r="Y18" s="36">
        <v>45626</v>
      </c>
      <c r="Z18" s="36">
        <v>45657</v>
      </c>
      <c r="AA18" s="36">
        <v>45688</v>
      </c>
      <c r="AB18" s="36">
        <v>45716</v>
      </c>
      <c r="AC18" s="36">
        <v>45747</v>
      </c>
      <c r="AD18" s="36">
        <v>45777</v>
      </c>
      <c r="AE18" s="36">
        <v>45808</v>
      </c>
      <c r="AF18" s="36">
        <v>45838</v>
      </c>
      <c r="AG18" s="36">
        <v>45869</v>
      </c>
      <c r="AH18" s="36">
        <v>45900</v>
      </c>
      <c r="AI18" s="36">
        <v>45930</v>
      </c>
      <c r="AJ18" s="36">
        <v>45961</v>
      </c>
      <c r="AK18" s="36">
        <v>45991</v>
      </c>
      <c r="AL18" s="36">
        <v>46022</v>
      </c>
      <c r="AM18" s="36">
        <v>46053</v>
      </c>
      <c r="AN18" s="36">
        <v>46081</v>
      </c>
      <c r="AO18" s="36">
        <v>46112</v>
      </c>
      <c r="AP18" s="36">
        <v>46142</v>
      </c>
      <c r="AQ18" s="36">
        <v>46173</v>
      </c>
      <c r="AR18" s="36">
        <v>46203</v>
      </c>
      <c r="AS18" s="36">
        <v>46234</v>
      </c>
      <c r="AT18" s="36">
        <v>46265</v>
      </c>
      <c r="AU18" s="36">
        <v>46295</v>
      </c>
      <c r="AV18" s="36">
        <v>46326</v>
      </c>
      <c r="AW18" s="36">
        <v>46356</v>
      </c>
      <c r="AX18" s="36">
        <v>46387</v>
      </c>
      <c r="AY18" s="36">
        <v>46418</v>
      </c>
      <c r="AZ18" s="36">
        <v>46446</v>
      </c>
      <c r="BA18" s="36">
        <v>46477</v>
      </c>
      <c r="BB18" s="36">
        <v>46507</v>
      </c>
      <c r="BC18" s="36">
        <v>46538</v>
      </c>
      <c r="BD18" s="36">
        <v>46568</v>
      </c>
      <c r="BE18" s="36">
        <v>46599</v>
      </c>
      <c r="BF18" s="36">
        <v>46630</v>
      </c>
      <c r="BG18" s="36">
        <v>46660</v>
      </c>
      <c r="BH18" s="36">
        <v>46691</v>
      </c>
      <c r="BI18" s="36">
        <v>46721</v>
      </c>
      <c r="BJ18" s="36">
        <v>46752</v>
      </c>
      <c r="BK18" s="36">
        <v>46783</v>
      </c>
      <c r="BL18" s="36">
        <v>46812</v>
      </c>
      <c r="BM18" s="36">
        <v>46843</v>
      </c>
      <c r="BN18" s="36">
        <v>46873</v>
      </c>
      <c r="BO18" s="36">
        <v>46904</v>
      </c>
      <c r="BP18" s="36">
        <v>46934</v>
      </c>
      <c r="BQ18" s="36">
        <v>46965</v>
      </c>
      <c r="BR18" s="36">
        <v>46996</v>
      </c>
      <c r="BS18" s="36">
        <v>47026</v>
      </c>
      <c r="BT18" s="36">
        <v>47057</v>
      </c>
      <c r="BU18" s="36">
        <v>47087</v>
      </c>
      <c r="BV18" s="36">
        <v>47118</v>
      </c>
      <c r="BW18" s="36">
        <v>47149</v>
      </c>
      <c r="BX18" s="36">
        <v>47177</v>
      </c>
      <c r="BY18" s="36">
        <v>47208</v>
      </c>
      <c r="BZ18" s="36">
        <v>47238</v>
      </c>
      <c r="CA18" s="36">
        <v>47269</v>
      </c>
      <c r="CB18" s="36">
        <v>47299</v>
      </c>
      <c r="CC18" s="36">
        <v>47330</v>
      </c>
      <c r="CD18" s="36">
        <v>47361</v>
      </c>
      <c r="CE18" s="36">
        <v>47391</v>
      </c>
      <c r="CF18" s="36">
        <v>47422</v>
      </c>
      <c r="CG18" s="36">
        <v>47452</v>
      </c>
      <c r="CH18" s="36">
        <v>47483</v>
      </c>
      <c r="CI18" s="36">
        <v>47514</v>
      </c>
      <c r="CJ18" s="36">
        <v>47542</v>
      </c>
      <c r="CK18" s="36">
        <v>47573</v>
      </c>
    </row>
    <row r="19" spans="2:89">
      <c r="B19" s="37" t="str">
        <v>Календарный год</v>
      </c>
      <c r="C19" s="33"/>
      <c r="D19" s="33"/>
      <c r="E19" s="34"/>
      <c r="F19" s="38">
        <v>2023</v>
      </c>
      <c r="G19" s="38">
        <v>2023</v>
      </c>
      <c r="H19" s="38">
        <v>2023</v>
      </c>
      <c r="I19" s="38">
        <v>2023</v>
      </c>
      <c r="J19" s="38">
        <v>2023</v>
      </c>
      <c r="K19" s="38">
        <v>2023</v>
      </c>
      <c r="L19" s="38">
        <v>2023</v>
      </c>
      <c r="M19" s="38">
        <v>2023</v>
      </c>
      <c r="N19" s="38">
        <v>2023</v>
      </c>
      <c r="O19" s="38">
        <v>2024</v>
      </c>
      <c r="P19" s="38">
        <v>2024</v>
      </c>
      <c r="Q19" s="38">
        <v>2024</v>
      </c>
      <c r="R19" s="38">
        <v>2024</v>
      </c>
      <c r="S19" s="38">
        <v>2024</v>
      </c>
      <c r="T19" s="38">
        <v>2024</v>
      </c>
      <c r="U19" s="38">
        <v>2024</v>
      </c>
      <c r="V19" s="38">
        <v>2024</v>
      </c>
      <c r="W19" s="38">
        <v>2024</v>
      </c>
      <c r="X19" s="38">
        <v>2024</v>
      </c>
      <c r="Y19" s="38">
        <v>2024</v>
      </c>
      <c r="Z19" s="38">
        <v>2024</v>
      </c>
      <c r="AA19" s="38">
        <v>2025</v>
      </c>
      <c r="AB19" s="38">
        <v>2025</v>
      </c>
      <c r="AC19" s="38">
        <v>2025</v>
      </c>
      <c r="AD19" s="38">
        <v>2025</v>
      </c>
      <c r="AE19" s="38">
        <v>2025</v>
      </c>
      <c r="AF19" s="38">
        <v>2025</v>
      </c>
      <c r="AG19" s="38">
        <v>2025</v>
      </c>
      <c r="AH19" s="38">
        <v>2025</v>
      </c>
      <c r="AI19" s="38">
        <v>2025</v>
      </c>
      <c r="AJ19" s="38">
        <v>2025</v>
      </c>
      <c r="AK19" s="38">
        <v>2025</v>
      </c>
      <c r="AL19" s="38">
        <v>2025</v>
      </c>
      <c r="AM19" s="38">
        <v>2026</v>
      </c>
      <c r="AN19" s="38">
        <v>2026</v>
      </c>
      <c r="AO19" s="38">
        <v>2026</v>
      </c>
      <c r="AP19" s="38">
        <v>2026</v>
      </c>
      <c r="AQ19" s="38">
        <v>2026</v>
      </c>
      <c r="AR19" s="38">
        <v>2026</v>
      </c>
      <c r="AS19" s="38">
        <v>2026</v>
      </c>
      <c r="AT19" s="38">
        <v>2026</v>
      </c>
      <c r="AU19" s="38">
        <v>2026</v>
      </c>
      <c r="AV19" s="38">
        <v>2026</v>
      </c>
      <c r="AW19" s="38">
        <v>2026</v>
      </c>
      <c r="AX19" s="38">
        <v>2026</v>
      </c>
      <c r="AY19" s="38">
        <v>2027</v>
      </c>
      <c r="AZ19" s="38">
        <v>2027</v>
      </c>
      <c r="BA19" s="38">
        <v>2027</v>
      </c>
      <c r="BB19" s="38">
        <v>2027</v>
      </c>
      <c r="BC19" s="38">
        <v>2027</v>
      </c>
      <c r="BD19" s="38">
        <v>2027</v>
      </c>
      <c r="BE19" s="38">
        <v>2027</v>
      </c>
      <c r="BF19" s="38">
        <v>2027</v>
      </c>
      <c r="BG19" s="38">
        <v>2027</v>
      </c>
      <c r="BH19" s="38">
        <v>2027</v>
      </c>
      <c r="BI19" s="38">
        <v>2027</v>
      </c>
      <c r="BJ19" s="38">
        <v>2027</v>
      </c>
      <c r="BK19" s="38">
        <v>2028</v>
      </c>
      <c r="BL19" s="38">
        <v>2028</v>
      </c>
      <c r="BM19" s="38">
        <v>2028</v>
      </c>
      <c r="BN19" s="38">
        <v>2028</v>
      </c>
      <c r="BO19" s="38">
        <v>2028</v>
      </c>
      <c r="BP19" s="38">
        <v>2028</v>
      </c>
      <c r="BQ19" s="38">
        <v>2028</v>
      </c>
      <c r="BR19" s="38">
        <v>2028</v>
      </c>
      <c r="BS19" s="38">
        <v>2028</v>
      </c>
      <c r="BT19" s="38">
        <v>2028</v>
      </c>
      <c r="BU19" s="38">
        <v>2028</v>
      </c>
      <c r="BV19" s="38">
        <v>2028</v>
      </c>
      <c r="BW19" s="38">
        <v>2029</v>
      </c>
      <c r="BX19" s="38">
        <v>2029</v>
      </c>
      <c r="BY19" s="38">
        <v>2029</v>
      </c>
      <c r="BZ19" s="38">
        <v>2029</v>
      </c>
      <c r="CA19" s="38">
        <v>2029</v>
      </c>
      <c r="CB19" s="38">
        <v>2029</v>
      </c>
      <c r="CC19" s="38">
        <v>2029</v>
      </c>
      <c r="CD19" s="38">
        <v>2029</v>
      </c>
      <c r="CE19" s="38">
        <v>2029</v>
      </c>
      <c r="CF19" s="38">
        <v>2029</v>
      </c>
      <c r="CG19" s="38">
        <v>2029</v>
      </c>
      <c r="CH19" s="38">
        <v>2029</v>
      </c>
      <c r="CI19" s="38">
        <v>2030</v>
      </c>
      <c r="CJ19" s="38">
        <v>2030</v>
      </c>
      <c r="CK19" s="38">
        <v>2030</v>
      </c>
    </row>
    <row r="20" spans="2:89">
      <c r="B20" s="37" t="str">
        <v>Дней в году</v>
      </c>
      <c r="C20" s="33"/>
      <c r="D20" s="33"/>
      <c r="E20" s="34"/>
      <c r="F20" s="38">
        <v>365</v>
      </c>
      <c r="G20" s="38">
        <v>365</v>
      </c>
      <c r="H20" s="38">
        <v>365</v>
      </c>
      <c r="I20" s="38">
        <v>365</v>
      </c>
      <c r="J20" s="38">
        <v>365</v>
      </c>
      <c r="K20" s="38">
        <v>365</v>
      </c>
      <c r="L20" s="38">
        <v>365</v>
      </c>
      <c r="M20" s="38">
        <v>365</v>
      </c>
      <c r="N20" s="38">
        <v>365</v>
      </c>
      <c r="O20" s="38">
        <v>366</v>
      </c>
      <c r="P20" s="38">
        <v>366</v>
      </c>
      <c r="Q20" s="38">
        <v>366</v>
      </c>
      <c r="R20" s="38">
        <v>366</v>
      </c>
      <c r="S20" s="38">
        <v>366</v>
      </c>
      <c r="T20" s="38">
        <v>366</v>
      </c>
      <c r="U20" s="38">
        <v>366</v>
      </c>
      <c r="V20" s="38">
        <v>366</v>
      </c>
      <c r="W20" s="38">
        <v>366</v>
      </c>
      <c r="X20" s="38">
        <v>366</v>
      </c>
      <c r="Y20" s="38">
        <v>366</v>
      </c>
      <c r="Z20" s="38">
        <v>366</v>
      </c>
      <c r="AA20" s="38">
        <v>365</v>
      </c>
      <c r="AB20" s="38">
        <v>365</v>
      </c>
      <c r="AC20" s="38">
        <v>365</v>
      </c>
      <c r="AD20" s="38">
        <v>365</v>
      </c>
      <c r="AE20" s="38">
        <v>365</v>
      </c>
      <c r="AF20" s="38">
        <v>365</v>
      </c>
      <c r="AG20" s="38">
        <v>365</v>
      </c>
      <c r="AH20" s="38">
        <v>365</v>
      </c>
      <c r="AI20" s="38">
        <v>365</v>
      </c>
      <c r="AJ20" s="38">
        <v>365</v>
      </c>
      <c r="AK20" s="38">
        <v>365</v>
      </c>
      <c r="AL20" s="38">
        <v>365</v>
      </c>
      <c r="AM20" s="38">
        <v>365</v>
      </c>
      <c r="AN20" s="38">
        <v>365</v>
      </c>
      <c r="AO20" s="38">
        <v>365</v>
      </c>
      <c r="AP20" s="38">
        <v>365</v>
      </c>
      <c r="AQ20" s="38">
        <v>365</v>
      </c>
      <c r="AR20" s="38">
        <v>365</v>
      </c>
      <c r="AS20" s="38">
        <v>365</v>
      </c>
      <c r="AT20" s="38">
        <v>365</v>
      </c>
      <c r="AU20" s="38">
        <v>365</v>
      </c>
      <c r="AV20" s="38">
        <v>365</v>
      </c>
      <c r="AW20" s="38">
        <v>365</v>
      </c>
      <c r="AX20" s="38">
        <v>365</v>
      </c>
      <c r="AY20" s="38">
        <v>365</v>
      </c>
      <c r="AZ20" s="38">
        <v>365</v>
      </c>
      <c r="BA20" s="38">
        <v>365</v>
      </c>
      <c r="BB20" s="38">
        <v>365</v>
      </c>
      <c r="BC20" s="38">
        <v>365</v>
      </c>
      <c r="BD20" s="38">
        <v>365</v>
      </c>
      <c r="BE20" s="38">
        <v>365</v>
      </c>
      <c r="BF20" s="38">
        <v>365</v>
      </c>
      <c r="BG20" s="38">
        <v>365</v>
      </c>
      <c r="BH20" s="38">
        <v>365</v>
      </c>
      <c r="BI20" s="38">
        <v>365</v>
      </c>
      <c r="BJ20" s="38">
        <v>365</v>
      </c>
      <c r="BK20" s="38">
        <v>366</v>
      </c>
      <c r="BL20" s="38">
        <v>366</v>
      </c>
      <c r="BM20" s="38">
        <v>366</v>
      </c>
      <c r="BN20" s="38">
        <v>366</v>
      </c>
      <c r="BO20" s="38">
        <v>366</v>
      </c>
      <c r="BP20" s="38">
        <v>366</v>
      </c>
      <c r="BQ20" s="38">
        <v>366</v>
      </c>
      <c r="BR20" s="38">
        <v>366</v>
      </c>
      <c r="BS20" s="38">
        <v>366</v>
      </c>
      <c r="BT20" s="38">
        <v>366</v>
      </c>
      <c r="BU20" s="38">
        <v>366</v>
      </c>
      <c r="BV20" s="38">
        <v>366</v>
      </c>
      <c r="BW20" s="38">
        <v>365</v>
      </c>
      <c r="BX20" s="38">
        <v>365</v>
      </c>
      <c r="BY20" s="38">
        <v>365</v>
      </c>
      <c r="BZ20" s="38">
        <v>365</v>
      </c>
      <c r="CA20" s="38">
        <v>365</v>
      </c>
      <c r="CB20" s="38">
        <v>365</v>
      </c>
      <c r="CC20" s="38">
        <v>365</v>
      </c>
      <c r="CD20" s="38">
        <v>365</v>
      </c>
      <c r="CE20" s="38">
        <v>365</v>
      </c>
      <c r="CF20" s="38">
        <v>365</v>
      </c>
      <c r="CG20" s="38">
        <v>365</v>
      </c>
      <c r="CH20" s="38">
        <v>365</v>
      </c>
      <c r="CI20" s="38">
        <v>365</v>
      </c>
      <c r="CJ20" s="38">
        <v>365</v>
      </c>
      <c r="CK20" s="38">
        <v>365</v>
      </c>
    </row>
    <row r="21" spans="2:89">
      <c r="B21" s="37" t="str">
        <v>№ месяца</v>
      </c>
      <c r="C21" s="33"/>
      <c r="D21" s="33"/>
      <c r="E21" s="34"/>
      <c r="F21" s="38">
        <v>4</v>
      </c>
      <c r="G21" s="38">
        <v>5</v>
      </c>
      <c r="H21" s="38">
        <v>6</v>
      </c>
      <c r="I21" s="38">
        <v>7</v>
      </c>
      <c r="J21" s="38">
        <v>8</v>
      </c>
      <c r="K21" s="38">
        <v>9</v>
      </c>
      <c r="L21" s="38">
        <v>10</v>
      </c>
      <c r="M21" s="38">
        <v>11</v>
      </c>
      <c r="N21" s="38">
        <v>12</v>
      </c>
      <c r="O21" s="38">
        <v>1</v>
      </c>
      <c r="P21" s="38">
        <v>2</v>
      </c>
      <c r="Q21" s="38">
        <v>3</v>
      </c>
      <c r="R21" s="38">
        <v>4</v>
      </c>
      <c r="S21" s="38">
        <v>5</v>
      </c>
      <c r="T21" s="38">
        <v>6</v>
      </c>
      <c r="U21" s="38">
        <v>7</v>
      </c>
      <c r="V21" s="38">
        <v>8</v>
      </c>
      <c r="W21" s="38">
        <v>9</v>
      </c>
      <c r="X21" s="38">
        <v>10</v>
      </c>
      <c r="Y21" s="38">
        <v>11</v>
      </c>
      <c r="Z21" s="38">
        <v>12</v>
      </c>
      <c r="AA21" s="38">
        <v>1</v>
      </c>
      <c r="AB21" s="38">
        <v>2</v>
      </c>
      <c r="AC21" s="38">
        <v>3</v>
      </c>
      <c r="AD21" s="38">
        <v>4</v>
      </c>
      <c r="AE21" s="38">
        <v>5</v>
      </c>
      <c r="AF21" s="38">
        <v>6</v>
      </c>
      <c r="AG21" s="38">
        <v>7</v>
      </c>
      <c r="AH21" s="38">
        <v>8</v>
      </c>
      <c r="AI21" s="38">
        <v>9</v>
      </c>
      <c r="AJ21" s="38">
        <v>10</v>
      </c>
      <c r="AK21" s="38">
        <v>11</v>
      </c>
      <c r="AL21" s="38">
        <v>12</v>
      </c>
      <c r="AM21" s="38">
        <v>1</v>
      </c>
      <c r="AN21" s="38">
        <v>2</v>
      </c>
      <c r="AO21" s="38">
        <v>3</v>
      </c>
      <c r="AP21" s="38">
        <v>4</v>
      </c>
      <c r="AQ21" s="38">
        <v>5</v>
      </c>
      <c r="AR21" s="38">
        <v>6</v>
      </c>
      <c r="AS21" s="38">
        <v>7</v>
      </c>
      <c r="AT21" s="38">
        <v>8</v>
      </c>
      <c r="AU21" s="38">
        <v>9</v>
      </c>
      <c r="AV21" s="38">
        <v>10</v>
      </c>
      <c r="AW21" s="38">
        <v>11</v>
      </c>
      <c r="AX21" s="38">
        <v>12</v>
      </c>
      <c r="AY21" s="38">
        <v>1</v>
      </c>
      <c r="AZ21" s="38">
        <v>2</v>
      </c>
      <c r="BA21" s="38">
        <v>3</v>
      </c>
      <c r="BB21" s="38">
        <v>4</v>
      </c>
      <c r="BC21" s="38">
        <v>5</v>
      </c>
      <c r="BD21" s="38">
        <v>6</v>
      </c>
      <c r="BE21" s="38">
        <v>7</v>
      </c>
      <c r="BF21" s="38">
        <v>8</v>
      </c>
      <c r="BG21" s="38">
        <v>9</v>
      </c>
      <c r="BH21" s="38">
        <v>10</v>
      </c>
      <c r="BI21" s="38">
        <v>11</v>
      </c>
      <c r="BJ21" s="38">
        <v>12</v>
      </c>
      <c r="BK21" s="38">
        <v>1</v>
      </c>
      <c r="BL21" s="38">
        <v>2</v>
      </c>
      <c r="BM21" s="38">
        <v>3</v>
      </c>
      <c r="BN21" s="38">
        <v>4</v>
      </c>
      <c r="BO21" s="38">
        <v>5</v>
      </c>
      <c r="BP21" s="38">
        <v>6</v>
      </c>
      <c r="BQ21" s="38">
        <v>7</v>
      </c>
      <c r="BR21" s="38">
        <v>8</v>
      </c>
      <c r="BS21" s="38">
        <v>9</v>
      </c>
      <c r="BT21" s="38">
        <v>10</v>
      </c>
      <c r="BU21" s="38">
        <v>11</v>
      </c>
      <c r="BV21" s="38">
        <v>12</v>
      </c>
      <c r="BW21" s="38">
        <v>1</v>
      </c>
      <c r="BX21" s="38">
        <v>2</v>
      </c>
      <c r="BY21" s="38">
        <v>3</v>
      </c>
      <c r="BZ21" s="38">
        <v>4</v>
      </c>
      <c r="CA21" s="38">
        <v>5</v>
      </c>
      <c r="CB21" s="38">
        <v>6</v>
      </c>
      <c r="CC21" s="38">
        <v>7</v>
      </c>
      <c r="CD21" s="38">
        <v>8</v>
      </c>
      <c r="CE21" s="38">
        <v>9</v>
      </c>
      <c r="CF21" s="38">
        <v>10</v>
      </c>
      <c r="CG21" s="38">
        <v>11</v>
      </c>
      <c r="CH21" s="38">
        <v>12</v>
      </c>
      <c r="CI21" s="38">
        <v>1</v>
      </c>
      <c r="CJ21" s="38">
        <v>2</v>
      </c>
      <c r="CK21" s="38">
        <v>3</v>
      </c>
    </row>
    <row r="22" spans="2:89">
      <c r="B22" s="37" t="str">
        <v>Календарное полугодие</v>
      </c>
      <c r="C22" s="33"/>
      <c r="D22" s="33"/>
      <c r="E22" s="34"/>
      <c r="F22" s="38">
        <v>1</v>
      </c>
      <c r="G22" s="38">
        <v>1</v>
      </c>
      <c r="H22" s="38">
        <v>1</v>
      </c>
      <c r="I22" s="38">
        <v>2</v>
      </c>
      <c r="J22" s="38">
        <v>2</v>
      </c>
      <c r="K22" s="38">
        <v>2</v>
      </c>
      <c r="L22" s="38">
        <v>2</v>
      </c>
      <c r="M22" s="38">
        <v>2</v>
      </c>
      <c r="N22" s="38">
        <v>2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2</v>
      </c>
      <c r="V22" s="38">
        <v>2</v>
      </c>
      <c r="W22" s="38">
        <v>2</v>
      </c>
      <c r="X22" s="38">
        <v>2</v>
      </c>
      <c r="Y22" s="38">
        <v>2</v>
      </c>
      <c r="Z22" s="38">
        <v>2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2</v>
      </c>
      <c r="AH22" s="38">
        <v>2</v>
      </c>
      <c r="AI22" s="38">
        <v>2</v>
      </c>
      <c r="AJ22" s="38">
        <v>2</v>
      </c>
      <c r="AK22" s="38">
        <v>2</v>
      </c>
      <c r="AL22" s="38">
        <v>2</v>
      </c>
      <c r="AM22" s="38">
        <v>1</v>
      </c>
      <c r="AN22" s="38">
        <v>1</v>
      </c>
      <c r="AO22" s="38">
        <v>1</v>
      </c>
      <c r="AP22" s="38">
        <v>1</v>
      </c>
      <c r="AQ22" s="38">
        <v>1</v>
      </c>
      <c r="AR22" s="38">
        <v>1</v>
      </c>
      <c r="AS22" s="38">
        <v>2</v>
      </c>
      <c r="AT22" s="38">
        <v>2</v>
      </c>
      <c r="AU22" s="38">
        <v>2</v>
      </c>
      <c r="AV22" s="38">
        <v>2</v>
      </c>
      <c r="AW22" s="38">
        <v>2</v>
      </c>
      <c r="AX22" s="38">
        <v>2</v>
      </c>
      <c r="AY22" s="38">
        <v>1</v>
      </c>
      <c r="AZ22" s="38">
        <v>1</v>
      </c>
      <c r="BA22" s="38">
        <v>1</v>
      </c>
      <c r="BB22" s="38">
        <v>1</v>
      </c>
      <c r="BC22" s="38">
        <v>1</v>
      </c>
      <c r="BD22" s="38">
        <v>1</v>
      </c>
      <c r="BE22" s="38">
        <v>2</v>
      </c>
      <c r="BF22" s="38">
        <v>2</v>
      </c>
      <c r="BG22" s="38">
        <v>2</v>
      </c>
      <c r="BH22" s="38">
        <v>2</v>
      </c>
      <c r="BI22" s="38">
        <v>2</v>
      </c>
      <c r="BJ22" s="38">
        <v>2</v>
      </c>
      <c r="BK22" s="38">
        <v>1</v>
      </c>
      <c r="BL22" s="38">
        <v>1</v>
      </c>
      <c r="BM22" s="38">
        <v>1</v>
      </c>
      <c r="BN22" s="38">
        <v>1</v>
      </c>
      <c r="BO22" s="38">
        <v>1</v>
      </c>
      <c r="BP22" s="38">
        <v>1</v>
      </c>
      <c r="BQ22" s="38">
        <v>2</v>
      </c>
      <c r="BR22" s="38">
        <v>2</v>
      </c>
      <c r="BS22" s="38">
        <v>2</v>
      </c>
      <c r="BT22" s="38">
        <v>2</v>
      </c>
      <c r="BU22" s="38">
        <v>2</v>
      </c>
      <c r="BV22" s="38">
        <v>2</v>
      </c>
      <c r="BW22" s="38">
        <v>1</v>
      </c>
      <c r="BX22" s="38">
        <v>1</v>
      </c>
      <c r="BY22" s="38">
        <v>1</v>
      </c>
      <c r="BZ22" s="38">
        <v>1</v>
      </c>
      <c r="CA22" s="38">
        <v>1</v>
      </c>
      <c r="CB22" s="38">
        <v>1</v>
      </c>
      <c r="CC22" s="38">
        <v>2</v>
      </c>
      <c r="CD22" s="38">
        <v>2</v>
      </c>
      <c r="CE22" s="38">
        <v>2</v>
      </c>
      <c r="CF22" s="38">
        <v>2</v>
      </c>
      <c r="CG22" s="38">
        <v>2</v>
      </c>
      <c r="CH22" s="38">
        <v>2</v>
      </c>
      <c r="CI22" s="38">
        <v>1</v>
      </c>
      <c r="CJ22" s="38">
        <v>1</v>
      </c>
      <c r="CK22" s="38">
        <v>1</v>
      </c>
    </row>
    <row r="23" spans="2:89">
      <c r="B23" s="37" t="str">
        <v>Месяц с начала полугодия</v>
      </c>
      <c r="C23" s="33"/>
      <c r="D23" s="33"/>
      <c r="E23" s="34"/>
      <c r="F23" s="38">
        <v>4</v>
      </c>
      <c r="G23" s="38">
        <v>5</v>
      </c>
      <c r="H23" s="38">
        <v>6</v>
      </c>
      <c r="I23" s="38">
        <v>1</v>
      </c>
      <c r="J23" s="38">
        <v>2</v>
      </c>
      <c r="K23" s="38">
        <v>3</v>
      </c>
      <c r="L23" s="38">
        <v>4</v>
      </c>
      <c r="M23" s="38">
        <v>5</v>
      </c>
      <c r="N23" s="38">
        <v>6</v>
      </c>
      <c r="O23" s="38">
        <v>1</v>
      </c>
      <c r="P23" s="38">
        <v>2</v>
      </c>
      <c r="Q23" s="38">
        <v>3</v>
      </c>
      <c r="R23" s="38">
        <v>4</v>
      </c>
      <c r="S23" s="38">
        <v>5</v>
      </c>
      <c r="T23" s="38">
        <v>6</v>
      </c>
      <c r="U23" s="38">
        <v>1</v>
      </c>
      <c r="V23" s="38">
        <v>2</v>
      </c>
      <c r="W23" s="38">
        <v>3</v>
      </c>
      <c r="X23" s="38">
        <v>4</v>
      </c>
      <c r="Y23" s="38">
        <v>5</v>
      </c>
      <c r="Z23" s="38">
        <v>6</v>
      </c>
      <c r="AA23" s="38">
        <v>1</v>
      </c>
      <c r="AB23" s="38">
        <v>2</v>
      </c>
      <c r="AC23" s="38">
        <v>3</v>
      </c>
      <c r="AD23" s="38">
        <v>4</v>
      </c>
      <c r="AE23" s="38">
        <v>5</v>
      </c>
      <c r="AF23" s="38">
        <v>6</v>
      </c>
      <c r="AG23" s="38">
        <v>1</v>
      </c>
      <c r="AH23" s="38">
        <v>2</v>
      </c>
      <c r="AI23" s="38">
        <v>3</v>
      </c>
      <c r="AJ23" s="38">
        <v>4</v>
      </c>
      <c r="AK23" s="38">
        <v>5</v>
      </c>
      <c r="AL23" s="38">
        <v>6</v>
      </c>
      <c r="AM23" s="38">
        <v>1</v>
      </c>
      <c r="AN23" s="38">
        <v>2</v>
      </c>
      <c r="AO23" s="38">
        <v>3</v>
      </c>
      <c r="AP23" s="38">
        <v>4</v>
      </c>
      <c r="AQ23" s="38">
        <v>5</v>
      </c>
      <c r="AR23" s="38">
        <v>6</v>
      </c>
      <c r="AS23" s="38">
        <v>1</v>
      </c>
      <c r="AT23" s="38">
        <v>2</v>
      </c>
      <c r="AU23" s="38">
        <v>3</v>
      </c>
      <c r="AV23" s="38">
        <v>4</v>
      </c>
      <c r="AW23" s="38">
        <v>5</v>
      </c>
      <c r="AX23" s="38">
        <v>6</v>
      </c>
      <c r="AY23" s="38">
        <v>1</v>
      </c>
      <c r="AZ23" s="38">
        <v>2</v>
      </c>
      <c r="BA23" s="38">
        <v>3</v>
      </c>
      <c r="BB23" s="38">
        <v>4</v>
      </c>
      <c r="BC23" s="38">
        <v>5</v>
      </c>
      <c r="BD23" s="38">
        <v>6</v>
      </c>
      <c r="BE23" s="38">
        <v>1</v>
      </c>
      <c r="BF23" s="38">
        <v>2</v>
      </c>
      <c r="BG23" s="38">
        <v>3</v>
      </c>
      <c r="BH23" s="38">
        <v>4</v>
      </c>
      <c r="BI23" s="38">
        <v>5</v>
      </c>
      <c r="BJ23" s="38">
        <v>6</v>
      </c>
      <c r="BK23" s="38">
        <v>1</v>
      </c>
      <c r="BL23" s="38">
        <v>2</v>
      </c>
      <c r="BM23" s="38">
        <v>3</v>
      </c>
      <c r="BN23" s="38">
        <v>4</v>
      </c>
      <c r="BO23" s="38">
        <v>5</v>
      </c>
      <c r="BP23" s="38">
        <v>6</v>
      </c>
      <c r="BQ23" s="38">
        <v>1</v>
      </c>
      <c r="BR23" s="38">
        <v>2</v>
      </c>
      <c r="BS23" s="38">
        <v>3</v>
      </c>
      <c r="BT23" s="38">
        <v>4</v>
      </c>
      <c r="BU23" s="38">
        <v>5</v>
      </c>
      <c r="BV23" s="38">
        <v>6</v>
      </c>
      <c r="BW23" s="38">
        <v>1</v>
      </c>
      <c r="BX23" s="38">
        <v>2</v>
      </c>
      <c r="BY23" s="38">
        <v>3</v>
      </c>
      <c r="BZ23" s="38">
        <v>4</v>
      </c>
      <c r="CA23" s="38">
        <v>5</v>
      </c>
      <c r="CB23" s="38">
        <v>6</v>
      </c>
      <c r="CC23" s="38">
        <v>1</v>
      </c>
      <c r="CD23" s="38">
        <v>2</v>
      </c>
      <c r="CE23" s="38">
        <v>3</v>
      </c>
      <c r="CF23" s="38">
        <v>4</v>
      </c>
      <c r="CG23" s="38">
        <v>5</v>
      </c>
      <c r="CH23" s="38">
        <v>6</v>
      </c>
      <c r="CI23" s="38">
        <v>1</v>
      </c>
      <c r="CJ23" s="38">
        <v>2</v>
      </c>
      <c r="CK23" s="38">
        <v>3</v>
      </c>
    </row>
    <row r="24" spans="2:89">
      <c r="B24" s="37" t="str">
        <v>Календарный квартал</v>
      </c>
      <c r="C24" s="33"/>
      <c r="D24" s="33"/>
      <c r="E24" s="34"/>
      <c r="F24" s="38">
        <v>2</v>
      </c>
      <c r="G24" s="38">
        <v>2</v>
      </c>
      <c r="H24" s="38">
        <v>2</v>
      </c>
      <c r="I24" s="38">
        <v>3</v>
      </c>
      <c r="J24" s="38">
        <v>3</v>
      </c>
      <c r="K24" s="38">
        <v>3</v>
      </c>
      <c r="L24" s="38">
        <v>4</v>
      </c>
      <c r="M24" s="38">
        <v>4</v>
      </c>
      <c r="N24" s="38">
        <v>4</v>
      </c>
      <c r="O24" s="38">
        <v>1</v>
      </c>
      <c r="P24" s="38">
        <v>1</v>
      </c>
      <c r="Q24" s="38">
        <v>1</v>
      </c>
      <c r="R24" s="38">
        <v>2</v>
      </c>
      <c r="S24" s="38">
        <v>2</v>
      </c>
      <c r="T24" s="38">
        <v>2</v>
      </c>
      <c r="U24" s="38">
        <v>3</v>
      </c>
      <c r="V24" s="38">
        <v>3</v>
      </c>
      <c r="W24" s="38">
        <v>3</v>
      </c>
      <c r="X24" s="38">
        <v>4</v>
      </c>
      <c r="Y24" s="38">
        <v>4</v>
      </c>
      <c r="Z24" s="38">
        <v>4</v>
      </c>
      <c r="AA24" s="38">
        <v>1</v>
      </c>
      <c r="AB24" s="38">
        <v>1</v>
      </c>
      <c r="AC24" s="38">
        <v>1</v>
      </c>
      <c r="AD24" s="38">
        <v>2</v>
      </c>
      <c r="AE24" s="38">
        <v>2</v>
      </c>
      <c r="AF24" s="38">
        <v>2</v>
      </c>
      <c r="AG24" s="38">
        <v>3</v>
      </c>
      <c r="AH24" s="38">
        <v>3</v>
      </c>
      <c r="AI24" s="38">
        <v>3</v>
      </c>
      <c r="AJ24" s="38">
        <v>4</v>
      </c>
      <c r="AK24" s="38">
        <v>4</v>
      </c>
      <c r="AL24" s="38">
        <v>4</v>
      </c>
      <c r="AM24" s="38">
        <v>1</v>
      </c>
      <c r="AN24" s="38">
        <v>1</v>
      </c>
      <c r="AO24" s="38">
        <v>1</v>
      </c>
      <c r="AP24" s="38">
        <v>2</v>
      </c>
      <c r="AQ24" s="38">
        <v>2</v>
      </c>
      <c r="AR24" s="38">
        <v>2</v>
      </c>
      <c r="AS24" s="38">
        <v>3</v>
      </c>
      <c r="AT24" s="38">
        <v>3</v>
      </c>
      <c r="AU24" s="38">
        <v>3</v>
      </c>
      <c r="AV24" s="38">
        <v>4</v>
      </c>
      <c r="AW24" s="38">
        <v>4</v>
      </c>
      <c r="AX24" s="38">
        <v>4</v>
      </c>
      <c r="AY24" s="38">
        <v>1</v>
      </c>
      <c r="AZ24" s="38">
        <v>1</v>
      </c>
      <c r="BA24" s="38">
        <v>1</v>
      </c>
      <c r="BB24" s="38">
        <v>2</v>
      </c>
      <c r="BC24" s="38">
        <v>2</v>
      </c>
      <c r="BD24" s="38">
        <v>2</v>
      </c>
      <c r="BE24" s="38">
        <v>3</v>
      </c>
      <c r="BF24" s="38">
        <v>3</v>
      </c>
      <c r="BG24" s="38">
        <v>3</v>
      </c>
      <c r="BH24" s="38">
        <v>4</v>
      </c>
      <c r="BI24" s="38">
        <v>4</v>
      </c>
      <c r="BJ24" s="38">
        <v>4</v>
      </c>
      <c r="BK24" s="38">
        <v>1</v>
      </c>
      <c r="BL24" s="38">
        <v>1</v>
      </c>
      <c r="BM24" s="38">
        <v>1</v>
      </c>
      <c r="BN24" s="38">
        <v>2</v>
      </c>
      <c r="BO24" s="38">
        <v>2</v>
      </c>
      <c r="BP24" s="38">
        <v>2</v>
      </c>
      <c r="BQ24" s="38">
        <v>3</v>
      </c>
      <c r="BR24" s="38">
        <v>3</v>
      </c>
      <c r="BS24" s="38">
        <v>3</v>
      </c>
      <c r="BT24" s="38">
        <v>4</v>
      </c>
      <c r="BU24" s="38">
        <v>4</v>
      </c>
      <c r="BV24" s="38">
        <v>4</v>
      </c>
      <c r="BW24" s="38">
        <v>1</v>
      </c>
      <c r="BX24" s="38">
        <v>1</v>
      </c>
      <c r="BY24" s="38">
        <v>1</v>
      </c>
      <c r="BZ24" s="38">
        <v>2</v>
      </c>
      <c r="CA24" s="38">
        <v>2</v>
      </c>
      <c r="CB24" s="38">
        <v>2</v>
      </c>
      <c r="CC24" s="38">
        <v>3</v>
      </c>
      <c r="CD24" s="38">
        <v>3</v>
      </c>
      <c r="CE24" s="38">
        <v>3</v>
      </c>
      <c r="CF24" s="38">
        <v>4</v>
      </c>
      <c r="CG24" s="38">
        <v>4</v>
      </c>
      <c r="CH24" s="38">
        <v>4</v>
      </c>
      <c r="CI24" s="38">
        <v>1</v>
      </c>
      <c r="CJ24" s="38">
        <v>1</v>
      </c>
      <c r="CK24" s="38">
        <v>1</v>
      </c>
    </row>
    <row r="25" spans="2:89">
      <c r="B25" s="37" t="str">
        <v>Месяц с начала квартала</v>
      </c>
      <c r="C25" s="33"/>
      <c r="D25" s="33"/>
      <c r="E25" s="34"/>
      <c r="F25" s="38">
        <v>1</v>
      </c>
      <c r="G25" s="38">
        <v>2</v>
      </c>
      <c r="H25" s="38">
        <v>3</v>
      </c>
      <c r="I25" s="38">
        <v>1</v>
      </c>
      <c r="J25" s="38">
        <v>2</v>
      </c>
      <c r="K25" s="38">
        <v>3</v>
      </c>
      <c r="L25" s="38">
        <v>1</v>
      </c>
      <c r="M25" s="38">
        <v>2</v>
      </c>
      <c r="N25" s="38">
        <v>3</v>
      </c>
      <c r="O25" s="38">
        <v>1</v>
      </c>
      <c r="P25" s="38">
        <v>2</v>
      </c>
      <c r="Q25" s="38">
        <v>3</v>
      </c>
      <c r="R25" s="38">
        <v>1</v>
      </c>
      <c r="S25" s="38">
        <v>2</v>
      </c>
      <c r="T25" s="38">
        <v>3</v>
      </c>
      <c r="U25" s="38">
        <v>1</v>
      </c>
      <c r="V25" s="38">
        <v>2</v>
      </c>
      <c r="W25" s="38">
        <v>3</v>
      </c>
      <c r="X25" s="38">
        <v>1</v>
      </c>
      <c r="Y25" s="38">
        <v>2</v>
      </c>
      <c r="Z25" s="38">
        <v>3</v>
      </c>
      <c r="AA25" s="38">
        <v>1</v>
      </c>
      <c r="AB25" s="38">
        <v>2</v>
      </c>
      <c r="AC25" s="38">
        <v>3</v>
      </c>
      <c r="AD25" s="38">
        <v>1</v>
      </c>
      <c r="AE25" s="38">
        <v>2</v>
      </c>
      <c r="AF25" s="38">
        <v>3</v>
      </c>
      <c r="AG25" s="38">
        <v>1</v>
      </c>
      <c r="AH25" s="38">
        <v>2</v>
      </c>
      <c r="AI25" s="38">
        <v>3</v>
      </c>
      <c r="AJ25" s="38">
        <v>1</v>
      </c>
      <c r="AK25" s="38">
        <v>2</v>
      </c>
      <c r="AL25" s="38">
        <v>3</v>
      </c>
      <c r="AM25" s="38">
        <v>1</v>
      </c>
      <c r="AN25" s="38">
        <v>2</v>
      </c>
      <c r="AO25" s="38">
        <v>3</v>
      </c>
      <c r="AP25" s="38">
        <v>1</v>
      </c>
      <c r="AQ25" s="38">
        <v>2</v>
      </c>
      <c r="AR25" s="38">
        <v>3</v>
      </c>
      <c r="AS25" s="38">
        <v>1</v>
      </c>
      <c r="AT25" s="38">
        <v>2</v>
      </c>
      <c r="AU25" s="38">
        <v>3</v>
      </c>
      <c r="AV25" s="38">
        <v>1</v>
      </c>
      <c r="AW25" s="38">
        <v>2</v>
      </c>
      <c r="AX25" s="38">
        <v>3</v>
      </c>
      <c r="AY25" s="38">
        <v>1</v>
      </c>
      <c r="AZ25" s="38">
        <v>2</v>
      </c>
      <c r="BA25" s="38">
        <v>3</v>
      </c>
      <c r="BB25" s="38">
        <v>1</v>
      </c>
      <c r="BC25" s="38">
        <v>2</v>
      </c>
      <c r="BD25" s="38">
        <v>3</v>
      </c>
      <c r="BE25" s="38">
        <v>1</v>
      </c>
      <c r="BF25" s="38">
        <v>2</v>
      </c>
      <c r="BG25" s="38">
        <v>3</v>
      </c>
      <c r="BH25" s="38">
        <v>1</v>
      </c>
      <c r="BI25" s="38">
        <v>2</v>
      </c>
      <c r="BJ25" s="38">
        <v>3</v>
      </c>
      <c r="BK25" s="38">
        <v>1</v>
      </c>
      <c r="BL25" s="38">
        <v>2</v>
      </c>
      <c r="BM25" s="38">
        <v>3</v>
      </c>
      <c r="BN25" s="38">
        <v>1</v>
      </c>
      <c r="BO25" s="38">
        <v>2</v>
      </c>
      <c r="BP25" s="38">
        <v>3</v>
      </c>
      <c r="BQ25" s="38">
        <v>1</v>
      </c>
      <c r="BR25" s="38">
        <v>2</v>
      </c>
      <c r="BS25" s="38">
        <v>3</v>
      </c>
      <c r="BT25" s="38">
        <v>1</v>
      </c>
      <c r="BU25" s="38">
        <v>2</v>
      </c>
      <c r="BV25" s="38">
        <v>3</v>
      </c>
      <c r="BW25" s="38">
        <v>1</v>
      </c>
      <c r="BX25" s="38">
        <v>2</v>
      </c>
      <c r="BY25" s="38">
        <v>3</v>
      </c>
      <c r="BZ25" s="38">
        <v>1</v>
      </c>
      <c r="CA25" s="38">
        <v>2</v>
      </c>
      <c r="CB25" s="38">
        <v>3</v>
      </c>
      <c r="CC25" s="38">
        <v>1</v>
      </c>
      <c r="CD25" s="38">
        <v>2</v>
      </c>
      <c r="CE25" s="38">
        <v>3</v>
      </c>
      <c r="CF25" s="38">
        <v>1</v>
      </c>
      <c r="CG25" s="38">
        <v>2</v>
      </c>
      <c r="CH25" s="38">
        <v>3</v>
      </c>
      <c r="CI25" s="38">
        <v>1</v>
      </c>
      <c r="CJ25" s="38">
        <v>2</v>
      </c>
      <c r="CK25" s="38">
        <v>3</v>
      </c>
    </row>
    <row r="26" spans="2:89">
      <c r="B26" s="37" t="str">
        <v>Дней в периоде</v>
      </c>
      <c r="C26" s="33"/>
      <c r="D26" s="33"/>
      <c r="E26" s="34"/>
      <c r="F26" s="38">
        <v>30</v>
      </c>
      <c r="G26" s="38">
        <v>31</v>
      </c>
      <c r="H26" s="38">
        <v>30</v>
      </c>
      <c r="I26" s="38">
        <v>31</v>
      </c>
      <c r="J26" s="38">
        <v>31</v>
      </c>
      <c r="K26" s="38">
        <v>30</v>
      </c>
      <c r="L26" s="38">
        <v>31</v>
      </c>
      <c r="M26" s="38">
        <v>30</v>
      </c>
      <c r="N26" s="38">
        <v>31</v>
      </c>
      <c r="O26" s="38">
        <v>31</v>
      </c>
      <c r="P26" s="38">
        <v>29</v>
      </c>
      <c r="Q26" s="38">
        <v>31</v>
      </c>
      <c r="R26" s="38">
        <v>30</v>
      </c>
      <c r="S26" s="38">
        <v>31</v>
      </c>
      <c r="T26" s="38">
        <v>30</v>
      </c>
      <c r="U26" s="38">
        <v>31</v>
      </c>
      <c r="V26" s="38">
        <v>31</v>
      </c>
      <c r="W26" s="38">
        <v>30</v>
      </c>
      <c r="X26" s="38">
        <v>31</v>
      </c>
      <c r="Y26" s="38">
        <v>30</v>
      </c>
      <c r="Z26" s="38">
        <v>31</v>
      </c>
      <c r="AA26" s="38">
        <v>31</v>
      </c>
      <c r="AB26" s="38">
        <v>28</v>
      </c>
      <c r="AC26" s="38">
        <v>31</v>
      </c>
      <c r="AD26" s="38">
        <v>30</v>
      </c>
      <c r="AE26" s="38">
        <v>31</v>
      </c>
      <c r="AF26" s="38">
        <v>30</v>
      </c>
      <c r="AG26" s="38">
        <v>31</v>
      </c>
      <c r="AH26" s="38">
        <v>31</v>
      </c>
      <c r="AI26" s="38">
        <v>30</v>
      </c>
      <c r="AJ26" s="38">
        <v>31</v>
      </c>
      <c r="AK26" s="38">
        <v>30</v>
      </c>
      <c r="AL26" s="38">
        <v>31</v>
      </c>
      <c r="AM26" s="38">
        <v>31</v>
      </c>
      <c r="AN26" s="38">
        <v>28</v>
      </c>
      <c r="AO26" s="38">
        <v>31</v>
      </c>
      <c r="AP26" s="38">
        <v>30</v>
      </c>
      <c r="AQ26" s="38">
        <v>31</v>
      </c>
      <c r="AR26" s="38">
        <v>30</v>
      </c>
      <c r="AS26" s="38">
        <v>31</v>
      </c>
      <c r="AT26" s="38">
        <v>31</v>
      </c>
      <c r="AU26" s="38">
        <v>30</v>
      </c>
      <c r="AV26" s="38">
        <v>31</v>
      </c>
      <c r="AW26" s="38">
        <v>30</v>
      </c>
      <c r="AX26" s="38">
        <v>31</v>
      </c>
      <c r="AY26" s="38">
        <v>31</v>
      </c>
      <c r="AZ26" s="38">
        <v>28</v>
      </c>
      <c r="BA26" s="38">
        <v>31</v>
      </c>
      <c r="BB26" s="38">
        <v>30</v>
      </c>
      <c r="BC26" s="38">
        <v>31</v>
      </c>
      <c r="BD26" s="38">
        <v>30</v>
      </c>
      <c r="BE26" s="38">
        <v>31</v>
      </c>
      <c r="BF26" s="38">
        <v>31</v>
      </c>
      <c r="BG26" s="38">
        <v>30</v>
      </c>
      <c r="BH26" s="38">
        <v>31</v>
      </c>
      <c r="BI26" s="38">
        <v>30</v>
      </c>
      <c r="BJ26" s="38">
        <v>31</v>
      </c>
      <c r="BK26" s="38">
        <v>31</v>
      </c>
      <c r="BL26" s="38">
        <v>29</v>
      </c>
      <c r="BM26" s="38">
        <v>31</v>
      </c>
      <c r="BN26" s="38">
        <v>30</v>
      </c>
      <c r="BO26" s="38">
        <v>31</v>
      </c>
      <c r="BP26" s="38">
        <v>30</v>
      </c>
      <c r="BQ26" s="38">
        <v>31</v>
      </c>
      <c r="BR26" s="38">
        <v>31</v>
      </c>
      <c r="BS26" s="38">
        <v>30</v>
      </c>
      <c r="BT26" s="38">
        <v>31</v>
      </c>
      <c r="BU26" s="38">
        <v>30</v>
      </c>
      <c r="BV26" s="38">
        <v>31</v>
      </c>
      <c r="BW26" s="38">
        <v>31</v>
      </c>
      <c r="BX26" s="38">
        <v>28</v>
      </c>
      <c r="BY26" s="38">
        <v>31</v>
      </c>
      <c r="BZ26" s="38">
        <v>30</v>
      </c>
      <c r="CA26" s="38">
        <v>31</v>
      </c>
      <c r="CB26" s="38">
        <v>30</v>
      </c>
      <c r="CC26" s="38">
        <v>31</v>
      </c>
      <c r="CD26" s="38">
        <v>31</v>
      </c>
      <c r="CE26" s="38">
        <v>30</v>
      </c>
      <c r="CF26" s="38">
        <v>31</v>
      </c>
      <c r="CG26" s="38">
        <v>30</v>
      </c>
      <c r="CH26" s="38">
        <v>31</v>
      </c>
      <c r="CI26" s="38">
        <v>31</v>
      </c>
      <c r="CJ26" s="38">
        <v>28</v>
      </c>
      <c r="CK26" s="38">
        <v>31</v>
      </c>
    </row>
    <row r="27" spans="2:89">
      <c r="B27" s="37" t="str">
        <v>№ периода</v>
      </c>
      <c r="C27" s="33"/>
      <c r="D27" s="33"/>
      <c r="E27" s="34"/>
      <c r="F27" s="38">
        <v>1</v>
      </c>
      <c r="G27" s="38">
        <v>2</v>
      </c>
      <c r="H27" s="38">
        <v>3</v>
      </c>
      <c r="I27" s="38">
        <v>4</v>
      </c>
      <c r="J27" s="38">
        <v>5</v>
      </c>
      <c r="K27" s="38">
        <v>6</v>
      </c>
      <c r="L27" s="38">
        <v>7</v>
      </c>
      <c r="M27" s="38">
        <v>8</v>
      </c>
      <c r="N27" s="38">
        <v>9</v>
      </c>
      <c r="O27" s="38">
        <v>10</v>
      </c>
      <c r="P27" s="38">
        <v>11</v>
      </c>
      <c r="Q27" s="38">
        <v>12</v>
      </c>
      <c r="R27" s="38">
        <v>13</v>
      </c>
      <c r="S27" s="38">
        <v>14</v>
      </c>
      <c r="T27" s="38">
        <v>15</v>
      </c>
      <c r="U27" s="38">
        <v>16</v>
      </c>
      <c r="V27" s="38">
        <v>17</v>
      </c>
      <c r="W27" s="38">
        <v>18</v>
      </c>
      <c r="X27" s="38">
        <v>19</v>
      </c>
      <c r="Y27" s="38">
        <v>20</v>
      </c>
      <c r="Z27" s="38">
        <v>21</v>
      </c>
      <c r="AA27" s="38">
        <v>22</v>
      </c>
      <c r="AB27" s="38">
        <v>23</v>
      </c>
      <c r="AC27" s="38">
        <v>24</v>
      </c>
      <c r="AD27" s="38">
        <v>25</v>
      </c>
      <c r="AE27" s="38">
        <v>26</v>
      </c>
      <c r="AF27" s="38">
        <v>27</v>
      </c>
      <c r="AG27" s="38">
        <v>28</v>
      </c>
      <c r="AH27" s="38">
        <v>29</v>
      </c>
      <c r="AI27" s="38">
        <v>30</v>
      </c>
      <c r="AJ27" s="38">
        <v>31</v>
      </c>
      <c r="AK27" s="38">
        <v>32</v>
      </c>
      <c r="AL27" s="38">
        <v>33</v>
      </c>
      <c r="AM27" s="38">
        <v>34</v>
      </c>
      <c r="AN27" s="38">
        <v>35</v>
      </c>
      <c r="AO27" s="38">
        <v>36</v>
      </c>
      <c r="AP27" s="38">
        <v>37</v>
      </c>
      <c r="AQ27" s="38">
        <v>38</v>
      </c>
      <c r="AR27" s="38">
        <v>39</v>
      </c>
      <c r="AS27" s="38">
        <v>40</v>
      </c>
      <c r="AT27" s="38">
        <v>41</v>
      </c>
      <c r="AU27" s="38">
        <v>42</v>
      </c>
      <c r="AV27" s="38">
        <v>43</v>
      </c>
      <c r="AW27" s="38">
        <v>44</v>
      </c>
      <c r="AX27" s="38">
        <v>45</v>
      </c>
      <c r="AY27" s="38">
        <v>46</v>
      </c>
      <c r="AZ27" s="38">
        <v>47</v>
      </c>
      <c r="BA27" s="38">
        <v>48</v>
      </c>
      <c r="BB27" s="38">
        <v>49</v>
      </c>
      <c r="BC27" s="38">
        <v>50</v>
      </c>
      <c r="BD27" s="38">
        <v>51</v>
      </c>
      <c r="BE27" s="38">
        <v>52</v>
      </c>
      <c r="BF27" s="38">
        <v>53</v>
      </c>
      <c r="BG27" s="38">
        <v>54</v>
      </c>
      <c r="BH27" s="38">
        <v>55</v>
      </c>
      <c r="BI27" s="38">
        <v>56</v>
      </c>
      <c r="BJ27" s="38">
        <v>57</v>
      </c>
      <c r="BK27" s="38">
        <v>58</v>
      </c>
      <c r="BL27" s="38">
        <v>59</v>
      </c>
      <c r="BM27" s="38">
        <v>60</v>
      </c>
      <c r="BN27" s="38">
        <v>61</v>
      </c>
      <c r="BO27" s="38">
        <v>62</v>
      </c>
      <c r="BP27" s="38">
        <v>63</v>
      </c>
      <c r="BQ27" s="38">
        <v>64</v>
      </c>
      <c r="BR27" s="38">
        <v>65</v>
      </c>
      <c r="BS27" s="38">
        <v>66</v>
      </c>
      <c r="BT27" s="38">
        <v>67</v>
      </c>
      <c r="BU27" s="38">
        <v>68</v>
      </c>
      <c r="BV27" s="38">
        <v>69</v>
      </c>
      <c r="BW27" s="38">
        <v>70</v>
      </c>
      <c r="BX27" s="38">
        <v>71</v>
      </c>
      <c r="BY27" s="38">
        <v>72</v>
      </c>
      <c r="BZ27" s="38">
        <v>73</v>
      </c>
      <c r="CA27" s="38">
        <v>74</v>
      </c>
      <c r="CB27" s="38">
        <v>75</v>
      </c>
      <c r="CC27" s="38">
        <v>76</v>
      </c>
      <c r="CD27" s="38">
        <v>77</v>
      </c>
      <c r="CE27" s="38">
        <v>78</v>
      </c>
      <c r="CF27" s="38">
        <v>79</v>
      </c>
      <c r="CG27" s="38">
        <v>80</v>
      </c>
      <c r="CH27" s="38">
        <v>81</v>
      </c>
      <c r="CI27" s="38">
        <v>82</v>
      </c>
      <c r="CJ27" s="38">
        <v>83</v>
      </c>
      <c r="CK27" s="38">
        <v>84</v>
      </c>
    </row>
    <row r="28" spans="2:89">
      <c r="B28" s="37" t="str">
        <v>№ операционного периода</v>
      </c>
      <c r="C28" s="33"/>
      <c r="D28" s="39"/>
      <c r="E28" s="34"/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1</v>
      </c>
      <c r="S28" s="38">
        <v>2</v>
      </c>
      <c r="T28" s="38">
        <v>3</v>
      </c>
      <c r="U28" s="38">
        <v>4</v>
      </c>
      <c r="V28" s="38">
        <v>5</v>
      </c>
      <c r="W28" s="38">
        <v>6</v>
      </c>
      <c r="X28" s="38">
        <v>7</v>
      </c>
      <c r="Y28" s="38">
        <v>8</v>
      </c>
      <c r="Z28" s="38">
        <v>9</v>
      </c>
      <c r="AA28" s="38">
        <v>10</v>
      </c>
      <c r="AB28" s="38">
        <v>11</v>
      </c>
      <c r="AC28" s="38">
        <v>12</v>
      </c>
      <c r="AD28" s="38">
        <v>13</v>
      </c>
      <c r="AE28" s="38">
        <v>14</v>
      </c>
      <c r="AF28" s="38">
        <v>15</v>
      </c>
      <c r="AG28" s="38">
        <v>16</v>
      </c>
      <c r="AH28" s="38">
        <v>17</v>
      </c>
      <c r="AI28" s="38">
        <v>18</v>
      </c>
      <c r="AJ28" s="38">
        <v>19</v>
      </c>
      <c r="AK28" s="38">
        <v>20</v>
      </c>
      <c r="AL28" s="38">
        <v>21</v>
      </c>
      <c r="AM28" s="38">
        <v>22</v>
      </c>
      <c r="AN28" s="38">
        <v>23</v>
      </c>
      <c r="AO28" s="38">
        <v>24</v>
      </c>
      <c r="AP28" s="38">
        <v>25</v>
      </c>
      <c r="AQ28" s="38">
        <v>26</v>
      </c>
      <c r="AR28" s="38">
        <v>27</v>
      </c>
      <c r="AS28" s="38">
        <v>28</v>
      </c>
      <c r="AT28" s="38">
        <v>29</v>
      </c>
      <c r="AU28" s="38">
        <v>30</v>
      </c>
      <c r="AV28" s="38">
        <v>31</v>
      </c>
      <c r="AW28" s="38">
        <v>32</v>
      </c>
      <c r="AX28" s="38">
        <v>33</v>
      </c>
      <c r="AY28" s="38">
        <v>34</v>
      </c>
      <c r="AZ28" s="38">
        <v>35</v>
      </c>
      <c r="BA28" s="38">
        <v>36</v>
      </c>
      <c r="BB28" s="38">
        <v>37</v>
      </c>
      <c r="BC28" s="38">
        <v>38</v>
      </c>
      <c r="BD28" s="38">
        <v>39</v>
      </c>
      <c r="BE28" s="38">
        <v>40</v>
      </c>
      <c r="BF28" s="38">
        <v>41</v>
      </c>
      <c r="BG28" s="38">
        <v>42</v>
      </c>
      <c r="BH28" s="38">
        <v>43</v>
      </c>
      <c r="BI28" s="38">
        <v>44</v>
      </c>
      <c r="BJ28" s="38">
        <v>45</v>
      </c>
      <c r="BK28" s="38">
        <v>46</v>
      </c>
      <c r="BL28" s="38">
        <v>47</v>
      </c>
      <c r="BM28" s="38">
        <v>48</v>
      </c>
      <c r="BN28" s="38">
        <v>49</v>
      </c>
      <c r="BO28" s="38">
        <v>50</v>
      </c>
      <c r="BP28" s="38">
        <v>51</v>
      </c>
      <c r="BQ28" s="38">
        <v>52</v>
      </c>
      <c r="BR28" s="38">
        <v>53</v>
      </c>
      <c r="BS28" s="38">
        <v>54</v>
      </c>
      <c r="BT28" s="38">
        <v>55</v>
      </c>
      <c r="BU28" s="38">
        <v>56</v>
      </c>
      <c r="BV28" s="38">
        <v>57</v>
      </c>
      <c r="BW28" s="38">
        <v>58</v>
      </c>
      <c r="BX28" s="38">
        <v>59</v>
      </c>
      <c r="BY28" s="38">
        <v>60</v>
      </c>
      <c r="BZ28" s="38">
        <v>61</v>
      </c>
      <c r="CA28" s="38">
        <v>62</v>
      </c>
      <c r="CB28" s="38">
        <v>63</v>
      </c>
      <c r="CC28" s="38">
        <v>64</v>
      </c>
      <c r="CD28" s="38">
        <v>65</v>
      </c>
      <c r="CE28" s="38">
        <v>66</v>
      </c>
      <c r="CF28" s="38">
        <v>67</v>
      </c>
      <c r="CG28" s="38">
        <v>68</v>
      </c>
      <c r="CH28" s="38">
        <v>69</v>
      </c>
      <c r="CI28" s="38">
        <v>70</v>
      </c>
      <c r="CJ28" s="38">
        <v>71</v>
      </c>
      <c r="CK28" s="38">
        <v>72</v>
      </c>
    </row>
    <row r="29" spans="2:89">
      <c r="B29" s="37" t="str">
        <v>№ операционного года</v>
      </c>
      <c r="C29" s="33"/>
      <c r="D29" s="39"/>
      <c r="E29" s="34"/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2</v>
      </c>
      <c r="AE29" s="38">
        <v>2</v>
      </c>
      <c r="AF29" s="38">
        <v>2</v>
      </c>
      <c r="AG29" s="38">
        <v>2</v>
      </c>
      <c r="AH29" s="38">
        <v>2</v>
      </c>
      <c r="AI29" s="38">
        <v>2</v>
      </c>
      <c r="AJ29" s="38">
        <v>2</v>
      </c>
      <c r="AK29" s="38">
        <v>2</v>
      </c>
      <c r="AL29" s="38">
        <v>2</v>
      </c>
      <c r="AM29" s="38">
        <v>2</v>
      </c>
      <c r="AN29" s="38">
        <v>2</v>
      </c>
      <c r="AO29" s="38">
        <v>2</v>
      </c>
      <c r="AP29" s="38">
        <v>3</v>
      </c>
      <c r="AQ29" s="38">
        <v>3</v>
      </c>
      <c r="AR29" s="38">
        <v>3</v>
      </c>
      <c r="AS29" s="38">
        <v>3</v>
      </c>
      <c r="AT29" s="38">
        <v>3</v>
      </c>
      <c r="AU29" s="38">
        <v>3</v>
      </c>
      <c r="AV29" s="38">
        <v>3</v>
      </c>
      <c r="AW29" s="38">
        <v>3</v>
      </c>
      <c r="AX29" s="38">
        <v>3</v>
      </c>
      <c r="AY29" s="38">
        <v>3</v>
      </c>
      <c r="AZ29" s="38">
        <v>3</v>
      </c>
      <c r="BA29" s="38">
        <v>3</v>
      </c>
      <c r="BB29" s="38">
        <v>4</v>
      </c>
      <c r="BC29" s="38">
        <v>4</v>
      </c>
      <c r="BD29" s="38">
        <v>4</v>
      </c>
      <c r="BE29" s="38">
        <v>4</v>
      </c>
      <c r="BF29" s="38">
        <v>4</v>
      </c>
      <c r="BG29" s="38">
        <v>4</v>
      </c>
      <c r="BH29" s="38">
        <v>4</v>
      </c>
      <c r="BI29" s="38">
        <v>4</v>
      </c>
      <c r="BJ29" s="38">
        <v>4</v>
      </c>
      <c r="BK29" s="38">
        <v>4</v>
      </c>
      <c r="BL29" s="38">
        <v>4</v>
      </c>
      <c r="BM29" s="38">
        <v>4</v>
      </c>
      <c r="BN29" s="38">
        <v>5</v>
      </c>
      <c r="BO29" s="38">
        <v>5</v>
      </c>
      <c r="BP29" s="38">
        <v>5</v>
      </c>
      <c r="BQ29" s="38">
        <v>5</v>
      </c>
      <c r="BR29" s="38">
        <v>5</v>
      </c>
      <c r="BS29" s="38">
        <v>5</v>
      </c>
      <c r="BT29" s="38">
        <v>5</v>
      </c>
      <c r="BU29" s="38">
        <v>5</v>
      </c>
      <c r="BV29" s="38">
        <v>5</v>
      </c>
      <c r="BW29" s="38">
        <v>5</v>
      </c>
      <c r="BX29" s="38">
        <v>5</v>
      </c>
      <c r="BY29" s="38">
        <v>5</v>
      </c>
      <c r="BZ29" s="38">
        <v>6</v>
      </c>
      <c r="CA29" s="38">
        <v>6</v>
      </c>
      <c r="CB29" s="38">
        <v>6</v>
      </c>
      <c r="CC29" s="38">
        <v>6</v>
      </c>
      <c r="CD29" s="38">
        <v>6</v>
      </c>
      <c r="CE29" s="38">
        <v>6</v>
      </c>
      <c r="CF29" s="38">
        <v>6</v>
      </c>
      <c r="CG29" s="38">
        <v>6</v>
      </c>
      <c r="CH29" s="38">
        <v>6</v>
      </c>
      <c r="CI29" s="38">
        <v>6</v>
      </c>
      <c r="CJ29" s="38">
        <v>6</v>
      </c>
      <c r="CK29" s="38"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2:89" ht="20.25" thickBot="1">
      <c r="B33" s="26" t="str">
        <f>"Отчет о прибылях и убытках, в "&amp;Ед_измерения_денег</f>
        <v>Отчет о прибылях и убытках, в  руб.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</row>
    <row r="34" spans="2:89" ht="15.75" thickTop="1">
      <c r="B34" s="99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</row>
    <row r="35" spans="2:89">
      <c r="B35" s="77" t="s">
        <v>559</v>
      </c>
      <c r="C35" s="78"/>
      <c r="D35" s="98">
        <f ca="1">SUM(F35:CK35)</f>
        <v>11534929222.63003</v>
      </c>
      <c r="E35" s="79"/>
      <c r="F35" s="80">
        <f ca="1">Операции!F162/(1+Налоги!F$37)</f>
        <v>0</v>
      </c>
      <c r="G35" s="80">
        <f ca="1">Операции!G162/(1+Налоги!G$37)</f>
        <v>0</v>
      </c>
      <c r="H35" s="80">
        <f ca="1">Операции!H162/(1+Налоги!H$37)</f>
        <v>0</v>
      </c>
      <c r="I35" s="80">
        <f ca="1">Операции!I162/(1+Налоги!I$37)</f>
        <v>0</v>
      </c>
      <c r="J35" s="80">
        <f ca="1">Операции!J162/(1+Налоги!J$37)</f>
        <v>0</v>
      </c>
      <c r="K35" s="80">
        <f ca="1">Операции!K162/(1+Налоги!K$37)</f>
        <v>0</v>
      </c>
      <c r="L35" s="80">
        <f ca="1">Операции!L162/(1+Налоги!L$37)</f>
        <v>0</v>
      </c>
      <c r="M35" s="80">
        <f ca="1">Операции!M162/(1+Налоги!M$37)</f>
        <v>0</v>
      </c>
      <c r="N35" s="80">
        <f ca="1">Операции!N162/(1+Налоги!N$37)</f>
        <v>0</v>
      </c>
      <c r="O35" s="80">
        <f ca="1">Операции!O162/(1+Налоги!O$37)</f>
        <v>0</v>
      </c>
      <c r="P35" s="80">
        <f ca="1">Операции!P162/(1+Налоги!P$37)</f>
        <v>0</v>
      </c>
      <c r="Q35" s="80">
        <f ca="1">Операции!Q162/(1+Налоги!Q$37)</f>
        <v>0</v>
      </c>
      <c r="R35" s="80">
        <f ca="1">Операции!R162/(1+Налоги!R$37)</f>
        <v>76902940.744730532</v>
      </c>
      <c r="S35" s="80">
        <f ca="1">Операции!S162/(1+Налоги!S$37)</f>
        <v>77221399.72881794</v>
      </c>
      <c r="T35" s="80">
        <f ca="1">Операции!T162/(1+Налоги!T$37)</f>
        <v>77530841.416849688</v>
      </c>
      <c r="U35" s="80">
        <f ca="1">Операции!U162/(1+Налоги!U$37)</f>
        <v>77851900.569516033</v>
      </c>
      <c r="V35" s="80">
        <f ca="1">Операции!V162/(1+Налоги!V$37)</f>
        <v>78174289.244442537</v>
      </c>
      <c r="W35" s="80">
        <f ca="1">Операции!W162/(1+Налоги!W$37)</f>
        <v>78487549.352514058</v>
      </c>
      <c r="X35" s="80">
        <f ca="1">Операции!X162/(1+Налоги!X$37)</f>
        <v>78812570.281340182</v>
      </c>
      <c r="Y35" s="80">
        <f ca="1">Операции!Y162/(1+Налоги!Y$37)</f>
        <v>79128388.109968305</v>
      </c>
      <c r="Z35" s="80">
        <f ca="1">Операции!Z162/(1+Налоги!Z$37)</f>
        <v>79456062.784641966</v>
      </c>
      <c r="AA35" s="80">
        <f ca="1">Операции!AA162/(1+Налоги!AA$37)</f>
        <v>79785997.70223625</v>
      </c>
      <c r="AB35" s="80">
        <f ca="1">Операции!AB162/(1+Налоги!AB$37)</f>
        <v>80085180.845199585</v>
      </c>
      <c r="AC35" s="80">
        <f ca="1">Операции!AC162/(1+Налоги!AC$37)</f>
        <v>80417728.125000015</v>
      </c>
      <c r="AD35" s="80">
        <f ca="1">Операции!AD162/(1+Налоги!AD$37)</f>
        <v>88984254.885259971</v>
      </c>
      <c r="AE35" s="80">
        <f ca="1">Операции!AE162/(1+Налоги!AE$37)</f>
        <v>91664075.54684718</v>
      </c>
      <c r="AF35" s="80">
        <f ca="1">Операции!AF162/(1+Налоги!AF$37)</f>
        <v>94521372.589215025</v>
      </c>
      <c r="AG35" s="80">
        <f ca="1">Операции!AG162/(1+Налоги!AG$37)</f>
        <v>97790560.435293153</v>
      </c>
      <c r="AH35" s="80">
        <f ca="1">Операции!AH162/(1+Налоги!AH$37)</f>
        <v>101434145.56297643</v>
      </c>
      <c r="AI35" s="80">
        <f ca="1">Операции!AI162/(1+Налоги!AI$37)</f>
        <v>105375523.09379695</v>
      </c>
      <c r="AJ35" s="80">
        <f ca="1">Операции!AJ162/(1+Налоги!AJ$37)</f>
        <v>109949085.53710474</v>
      </c>
      <c r="AK35" s="80">
        <f ca="1">Операции!AK162/(1+Налоги!AK$37)</f>
        <v>114940448.57385281</v>
      </c>
      <c r="AL35" s="80">
        <f ca="1">Операции!AL162/(1+Налоги!AL$37)</f>
        <v>120781584.59482816</v>
      </c>
      <c r="AM35" s="80">
        <f ca="1">Операции!AM162/(1+Налоги!AM$37)</f>
        <v>127436197.24098551</v>
      </c>
      <c r="AN35" s="80">
        <f ca="1">Операции!AN162/(1+Налоги!AN$37)</f>
        <v>134263384.76653552</v>
      </c>
      <c r="AO35" s="80">
        <f ca="1">Операции!AO162/(1+Налоги!AO$37)</f>
        <v>142878935.23408896</v>
      </c>
      <c r="AP35" s="80">
        <f ca="1">Операции!AP162/(1+Налоги!AP$37)</f>
        <v>145554298.37972531</v>
      </c>
      <c r="AQ35" s="80">
        <f ca="1">Операции!AQ162/(1+Налоги!AQ$37)</f>
        <v>148469039.71327278</v>
      </c>
      <c r="AR35" s="80">
        <f ca="1">Операции!AR162/(1+Налоги!AR$37)</f>
        <v>151444251.07211518</v>
      </c>
      <c r="AS35" s="80">
        <f ca="1">Операции!AS162/(1+Налоги!AS$37)</f>
        <v>154688438.29541534</v>
      </c>
      <c r="AT35" s="80">
        <f ca="1">Операции!AT162/(1+Налоги!AT$37)</f>
        <v>158116201.79937756</v>
      </c>
      <c r="AU35" s="80">
        <f ca="1">Операции!AU162/(1+Налоги!AU$37)</f>
        <v>161619314.62696719</v>
      </c>
      <c r="AV35" s="80">
        <f ca="1">Операции!AV162/(1+Налоги!AV$37)</f>
        <v>165443563.5553239</v>
      </c>
      <c r="AW35" s="80">
        <f ca="1">Операции!AW162/(1+Налоги!AW$37)</f>
        <v>169354694.15217078</v>
      </c>
      <c r="AX35" s="80">
        <f ca="1">Операции!AX162/(1+Налоги!AX$37)</f>
        <v>173627310.02614731</v>
      </c>
      <c r="AY35" s="80">
        <f ca="1">Операции!AY162/(1+Налоги!AY$37)</f>
        <v>178149826.0374594</v>
      </c>
      <c r="AZ35" s="80">
        <f ca="1">Операции!AZ162/(1+Налоги!AZ$37)</f>
        <v>182462876.1003077</v>
      </c>
      <c r="BA35" s="80">
        <f ca="1">Операции!BA162/(1+Налоги!BA$37)</f>
        <v>187506464.04928049</v>
      </c>
      <c r="BB35" s="80">
        <f ca="1">Операции!BB162/(1+Налоги!BB$37)</f>
        <v>188259902.87788081</v>
      </c>
      <c r="BC35" s="80">
        <f ca="1">Операции!BC162/(1+Налоги!BC$37)</f>
        <v>189041637.00068375</v>
      </c>
      <c r="BD35" s="80">
        <f ca="1">Операции!BD162/(1+Налоги!BD$37)</f>
        <v>189801244.46414199</v>
      </c>
      <c r="BE35" s="80">
        <f ca="1">Операции!BE162/(1+Налоги!BE$37)</f>
        <v>190589378.88405782</v>
      </c>
      <c r="BF35" s="80">
        <f ca="1">Операции!BF162/(1+Налоги!BF$37)</f>
        <v>191380785.96883744</v>
      </c>
      <c r="BG35" s="80">
        <f ca="1">Операции!BG162/(1+Налоги!BG$37)</f>
        <v>192149792.60510507</v>
      </c>
      <c r="BH35" s="80">
        <f ca="1">Операции!BH162/(1+Налоги!BH$37)</f>
        <v>192947679.18250522</v>
      </c>
      <c r="BI35" s="80">
        <f ca="1">Операции!BI162/(1+Налоги!BI$37)</f>
        <v>193722981.91204852</v>
      </c>
      <c r="BJ35" s="80">
        <f ca="1">Операции!BJ162/(1+Налоги!BJ$37)</f>
        <v>194527401.03166324</v>
      </c>
      <c r="BK35" s="80">
        <f ca="1">Операции!BK162/(1+Налоги!BK$37)</f>
        <v>195332948.88080645</v>
      </c>
      <c r="BL35" s="80">
        <f ca="1">Операции!BL162/(1+Налоги!BL$37)</f>
        <v>196089545.56850946</v>
      </c>
      <c r="BM35" s="80">
        <f ca="1">Операции!BM162/(1+Налоги!BM$37)</f>
        <v>196901562.33753258</v>
      </c>
      <c r="BN35" s="80">
        <f ca="1">Операции!BN162/(1+Налоги!BN$37)</f>
        <v>197690586.52046359</v>
      </c>
      <c r="BO35" s="80">
        <f ca="1">Операции!BO162/(1+Налоги!BO$37)</f>
        <v>198509233.28139731</v>
      </c>
      <c r="BP35" s="80">
        <f ca="1">Операции!BP162/(1+Налоги!BP$37)</f>
        <v>199304699.72531322</v>
      </c>
      <c r="BQ35" s="80">
        <f ca="1">Операции!BQ162/(1+Налоги!BQ$37)</f>
        <v>200130030.61102086</v>
      </c>
      <c r="BR35" s="80">
        <f ca="1">Операции!BR162/(1+Налоги!BR$37)</f>
        <v>200958779.23385081</v>
      </c>
      <c r="BS35" s="80">
        <f ca="1">Операции!BS162/(1+Налоги!BS$37)</f>
        <v>201764061.50132209</v>
      </c>
      <c r="BT35" s="80">
        <f ca="1">Операции!BT162/(1+Налоги!BT$37)</f>
        <v>202599576.7290732</v>
      </c>
      <c r="BU35" s="80">
        <f ca="1">Операции!BU162/(1+Налоги!BU$37)</f>
        <v>203411434.00228673</v>
      </c>
      <c r="BV35" s="80">
        <f ca="1">Операции!BV162/(1+Налоги!BV$37)</f>
        <v>204253771.08324644</v>
      </c>
      <c r="BW35" s="80">
        <f ca="1">Операции!BW162/(1+Налоги!BW$37)</f>
        <v>205101918.45890146</v>
      </c>
      <c r="BX35" s="80">
        <f ca="1">Операции!BX162/(1+Налоги!BX$37)</f>
        <v>205871013.76834857</v>
      </c>
      <c r="BY35" s="80">
        <f ca="1">Операции!BY162/(1+Налоги!BY$37)</f>
        <v>206725876.61433196</v>
      </c>
      <c r="BZ35" s="80">
        <f ca="1">Операции!BZ162/(1+Налоги!BZ$37)</f>
        <v>207556542.92286384</v>
      </c>
      <c r="CA35" s="80">
        <f ca="1">Операции!CA162/(1+Налоги!CA$37)</f>
        <v>208418404.79325408</v>
      </c>
      <c r="CB35" s="80">
        <f ca="1">Операции!CB162/(1+Налоги!CB$37)</f>
        <v>209255872.02171674</v>
      </c>
      <c r="CC35" s="80">
        <f ca="1">Операции!CC162/(1+Налоги!CC$37)</f>
        <v>210124790.21967399</v>
      </c>
      <c r="CD35" s="80">
        <f ca="1">Операции!CD162/(1+Налоги!CD$37)</f>
        <v>210997316.53064352</v>
      </c>
      <c r="CE35" s="80">
        <f ca="1">Операции!CE162/(1+Налоги!CE$37)</f>
        <v>211845146.34712857</v>
      </c>
      <c r="CF35" s="80">
        <f ca="1">Операции!CF162/(1+Налоги!CF$37)</f>
        <v>212724816.29871216</v>
      </c>
      <c r="CG35" s="80">
        <f ca="1">Операции!CG162/(1+Налоги!CG$37)</f>
        <v>213579587.55803373</v>
      </c>
      <c r="CH35" s="80">
        <f ca="1">Операции!CH162/(1+Налоги!CH$37)</f>
        <v>214466459.63740894</v>
      </c>
      <c r="CI35" s="80">
        <f ca="1">Операции!CI162/(1+Налоги!CI$37)</f>
        <v>215357014.38184676</v>
      </c>
      <c r="CJ35" s="80">
        <f ca="1">Операции!CJ162/(1+Налоги!CJ$37)</f>
        <v>216164564.45676622</v>
      </c>
      <c r="CK35" s="80">
        <f ca="1">Операции!CK162/(1+Налоги!CK$37)</f>
        <v>217062170.44504875</v>
      </c>
    </row>
    <row r="36" spans="2:89">
      <c r="B36" s="85"/>
      <c r="C36" s="83"/>
      <c r="D36" s="83"/>
      <c r="E36" s="83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</row>
    <row r="37" spans="2:89" ht="15.75" thickBot="1">
      <c r="B37" s="45" t="s">
        <v>560</v>
      </c>
      <c r="C37" s="46"/>
      <c r="D37" s="47">
        <f ca="1">SUM(F37:CK37)</f>
        <v>-4969898461.7632771</v>
      </c>
      <c r="E37" s="48"/>
      <c r="F37" s="49">
        <f ca="1">-Операции!F245/(1+Налоги!F$37)</f>
        <v>0</v>
      </c>
      <c r="G37" s="49">
        <f ca="1">-Операции!G245/(1+Налоги!G$37)</f>
        <v>0</v>
      </c>
      <c r="H37" s="49">
        <f ca="1">-Операции!H245/(1+Налоги!H$37)</f>
        <v>0</v>
      </c>
      <c r="I37" s="49">
        <f ca="1">-Операции!I245/(1+Налоги!I$37)</f>
        <v>0</v>
      </c>
      <c r="J37" s="49">
        <f ca="1">-Операции!J245/(1+Налоги!J$37)</f>
        <v>0</v>
      </c>
      <c r="K37" s="49">
        <f ca="1">-Операции!K245/(1+Налоги!K$37)</f>
        <v>0</v>
      </c>
      <c r="L37" s="49">
        <f ca="1">-Операции!L245/(1+Налоги!L$37)</f>
        <v>0</v>
      </c>
      <c r="M37" s="49">
        <f ca="1">-Операции!M245/(1+Налоги!M$37)</f>
        <v>0</v>
      </c>
      <c r="N37" s="49">
        <f ca="1">-Операции!N245/(1+Налоги!N$37)</f>
        <v>0</v>
      </c>
      <c r="O37" s="49">
        <f ca="1">-Операции!O245/(1+Налоги!O$37)</f>
        <v>0</v>
      </c>
      <c r="P37" s="49">
        <f ca="1">-Операции!P245/(1+Налоги!P$37)</f>
        <v>0</v>
      </c>
      <c r="Q37" s="49">
        <f ca="1">-Операции!Q245/(1+Налоги!Q$37)</f>
        <v>0</v>
      </c>
      <c r="R37" s="49">
        <f ca="1">-Операции!R245/(1+Налоги!R$37)</f>
        <v>-43862238.709859125</v>
      </c>
      <c r="S37" s="49">
        <f ca="1">-Операции!S245/(1+Налоги!S$37)</f>
        <v>-44050973.981057428</v>
      </c>
      <c r="T37" s="49">
        <f ca="1">-Операции!T245/(1+Налоги!T$37)</f>
        <v>-44234394.219719678</v>
      </c>
      <c r="U37" s="49">
        <f ca="1">-Операции!U245/(1+Налоги!U$37)</f>
        <v>-44424730.842630692</v>
      </c>
      <c r="V37" s="49">
        <f ca="1">-Операции!V245/(1+Налоги!V$37)</f>
        <v>-44615886.466924235</v>
      </c>
      <c r="W37" s="49">
        <f ca="1">-Операции!W245/(1+Налоги!W$37)</f>
        <v>-44801658.898367174</v>
      </c>
      <c r="X37" s="49">
        <f ca="1">-Операции!X245/(1+Налоги!X$37)</f>
        <v>-44994436.41020941</v>
      </c>
      <c r="Y37" s="49">
        <f ca="1">-Операции!Y245/(1+Налоги!Y$37)</f>
        <v>-45181785.054722533</v>
      </c>
      <c r="Z37" s="49">
        <f ca="1">-Операции!Z245/(1+Налоги!Z$37)</f>
        <v>-45376198.215253025</v>
      </c>
      <c r="AA37" s="49">
        <f ca="1">-Операции!AA245/(1+Налоги!AA$37)</f>
        <v>-45571984.001219176</v>
      </c>
      <c r="AB37" s="49">
        <f ca="1">-Операции!AB245/(1+Налоги!AB$37)</f>
        <v>-45749548.765393667</v>
      </c>
      <c r="AC37" s="49">
        <f ca="1">-Операции!AC245/(1+Налоги!AC$37)</f>
        <v>-45946945.456058219</v>
      </c>
      <c r="AD37" s="49">
        <f ca="1">-Операции!AD245/(1+Налоги!AD$37)</f>
        <v>-47627269.348996051</v>
      </c>
      <c r="AE37" s="49">
        <f ca="1">-Операции!AE245/(1+Налоги!AE$37)</f>
        <v>-49098023.00619635</v>
      </c>
      <c r="AF37" s="49">
        <f ca="1">-Операции!AF245/(1+Налоги!AF$37)</f>
        <v>-50588810.836980611</v>
      </c>
      <c r="AG37" s="49">
        <f ca="1">-Операции!AG245/(1+Налоги!AG$37)</f>
        <v>-52204411.601489738</v>
      </c>
      <c r="AH37" s="49">
        <f ca="1">-Операции!AH245/(1+Налоги!AH$37)</f>
        <v>-53902467.355674282</v>
      </c>
      <c r="AI37" s="49">
        <f ca="1">-Операции!AI245/(1+Налоги!AI$37)</f>
        <v>-55630738.191950537</v>
      </c>
      <c r="AJ37" s="49">
        <f ca="1">-Операции!AJ245/(1+Налоги!AJ$37)</f>
        <v>-57511942.568097487</v>
      </c>
      <c r="AK37" s="49">
        <f ca="1">-Операции!AK245/(1+Налоги!AK$37)</f>
        <v>-59432765.122759961</v>
      </c>
      <c r="AL37" s="49">
        <f ca="1">-Операции!AL245/(1+Налоги!AL$37)</f>
        <v>-61530721.949938126</v>
      </c>
      <c r="AM37" s="49">
        <f ca="1">-Операции!AM245/(1+Налоги!AM$37)</f>
        <v>-63754494.096603401</v>
      </c>
      <c r="AN37" s="49">
        <f ca="1">-Операции!AN245/(1+Налоги!AN$37)</f>
        <v>-65881499.411035851</v>
      </c>
      <c r="AO37" s="49">
        <f ca="1">-Операции!AO245/(1+Налоги!AO$37)</f>
        <v>-68380429.536776781</v>
      </c>
      <c r="AP37" s="49">
        <f ca="1">-Операции!AP245/(1+Налоги!AP$37)</f>
        <v>-68789640.120848447</v>
      </c>
      <c r="AQ37" s="49">
        <f ca="1">-Операции!AQ245/(1+Налоги!AQ$37)</f>
        <v>-69222485.398666739</v>
      </c>
      <c r="AR37" s="49">
        <f ca="1">-Операции!AR245/(1+Налоги!AR$37)</f>
        <v>-69651586.672846645</v>
      </c>
      <c r="AS37" s="49">
        <f ca="1">-Операции!AS245/(1+Налоги!AS$37)</f>
        <v>-70106158.261919424</v>
      </c>
      <c r="AT37" s="49">
        <f ca="1">-Операции!AT245/(1+Налоги!AT$37)</f>
        <v>-70572737.000640571</v>
      </c>
      <c r="AU37" s="49">
        <f ca="1">-Операции!AU245/(1+Налоги!AU$37)</f>
        <v>-71036362.7304959</v>
      </c>
      <c r="AV37" s="49">
        <f ca="1">-Операции!AV245/(1+Налоги!AV$37)</f>
        <v>-71528675.684607506</v>
      </c>
      <c r="AW37" s="49">
        <f ca="1">-Операции!AW245/(1+Налоги!AW$37)</f>
        <v>-72018658.900021166</v>
      </c>
      <c r="AX37" s="49">
        <f ca="1">-Операции!AX245/(1+Налоги!AX$37)</f>
        <v>-72539805.99815847</v>
      </c>
      <c r="AY37" s="49">
        <f ca="1">-Операции!AY245/(1+Налоги!AY$37)</f>
        <v>-73076923.093895316</v>
      </c>
      <c r="AZ37" s="49">
        <f ca="1">-Операции!AZ245/(1+Налоги!AZ$37)</f>
        <v>-73576588.054210752</v>
      </c>
      <c r="BA37" s="49">
        <f ca="1">-Операции!BA245/(1+Налоги!BA$37)</f>
        <v>-74146814.119404361</v>
      </c>
      <c r="BB37" s="49">
        <f ca="1">-Операции!BB245/(1+Налоги!BB$37)</f>
        <v>-74456395.568649232</v>
      </c>
      <c r="BC37" s="49">
        <f ca="1">-Операции!BC245/(1+Налоги!BC$37)</f>
        <v>-74777654.389352173</v>
      </c>
      <c r="BD37" s="49">
        <f ca="1">-Операции!BD245/(1+Налоги!BD$37)</f>
        <v>-75089869.754124388</v>
      </c>
      <c r="BE37" s="49">
        <f ca="1">-Операции!BE245/(1+Налоги!BE$37)</f>
        <v>-75413861.841301188</v>
      </c>
      <c r="BF37" s="49">
        <f ca="1">-Операции!BF245/(1+Налоги!BF$37)</f>
        <v>-75739251.865015805</v>
      </c>
      <c r="BG37" s="49">
        <f ca="1">-Операции!BG245/(1+Налоги!BG$37)</f>
        <v>-76055482.139176145</v>
      </c>
      <c r="BH37" s="49">
        <f ca="1">-Операции!BH245/(1+Налоги!BH$37)</f>
        <v>-76383640.577593923</v>
      </c>
      <c r="BI37" s="49">
        <f ca="1">-Операции!BI245/(1+Налоги!BI$37)</f>
        <v>-76702561.335410044</v>
      </c>
      <c r="BJ37" s="49">
        <f ca="1">-Операции!BJ245/(1+Налоги!BJ$37)</f>
        <v>-77033511.742172465</v>
      </c>
      <c r="BK37" s="49">
        <f ca="1">-Операции!BK245/(1+Налоги!BK$37)</f>
        <v>-77364980.020072937</v>
      </c>
      <c r="BL37" s="49">
        <f ca="1">-Операции!BL245/(1+Налоги!BL$37)</f>
        <v>-77676354.348046526</v>
      </c>
      <c r="BM37" s="49">
        <f ca="1">-Операции!BM245/(1+Налоги!BM$37)</f>
        <v>-78010588.719906777</v>
      </c>
      <c r="BN37" s="49">
        <f ca="1">-Операции!BN245/(1+Налоги!BN$37)</f>
        <v>-78335410.613909408</v>
      </c>
      <c r="BO37" s="49">
        <f ca="1">-Операции!BO245/(1+Налоги!BO$37)</f>
        <v>-78672480.845651209</v>
      </c>
      <c r="BP37" s="49">
        <f ca="1">-Операции!BP245/(1+Налоги!BP$37)</f>
        <v>-79000058.738005325</v>
      </c>
      <c r="BQ37" s="49">
        <f ca="1">-Операции!BQ245/(1+Налоги!BQ$37)</f>
        <v>-79339988.890892118</v>
      </c>
      <c r="BR37" s="49">
        <f ca="1">-Операции!BR245/(1+Налоги!BR$37)</f>
        <v>-79681381.7326767</v>
      </c>
      <c r="BS37" s="49">
        <f ca="1">-Операции!BS245/(1+Налоги!BS$37)</f>
        <v>-80013160.504710883</v>
      </c>
      <c r="BT37" s="49">
        <f ca="1">-Операции!BT245/(1+Налоги!BT$37)</f>
        <v>-80357449.943450704</v>
      </c>
      <c r="BU37" s="49">
        <f ca="1">-Операции!BU245/(1+Налоги!BU$37)</f>
        <v>-80692043.740474463</v>
      </c>
      <c r="BV37" s="49">
        <f ca="1">-Операции!BV245/(1+Налоги!BV$37)</f>
        <v>-81039254.352765456</v>
      </c>
      <c r="BW37" s="49">
        <f ca="1">-Операции!BW245/(1+Налоги!BW$37)</f>
        <v>-81388916.394356102</v>
      </c>
      <c r="BX37" s="49">
        <f ca="1">-Операции!BX245/(1+Налоги!BX$37)</f>
        <v>-81706036.749388158</v>
      </c>
      <c r="BY37" s="49">
        <f ca="1">-Операции!BY245/(1+Налоги!BY$37)</f>
        <v>-82058575.773201317</v>
      </c>
      <c r="BZ37" s="49">
        <f ca="1">-Операции!BZ245/(1+Налоги!BZ$37)</f>
        <v>-82401190.801406443</v>
      </c>
      <c r="CA37" s="49">
        <f ca="1">-Операции!CA245/(1+Налоги!CA$37)</f>
        <v>-82756729.223313645</v>
      </c>
      <c r="CB37" s="49">
        <f ca="1">-Операции!CB245/(1+Налоги!CB$37)</f>
        <v>-83102259.216368526</v>
      </c>
      <c r="CC37" s="49">
        <f ca="1">-Операции!CC245/(1+Налоги!CC$37)</f>
        <v>-83460822.555215433</v>
      </c>
      <c r="CD37" s="49">
        <f ca="1">-Операции!CD245/(1+Налоги!CD$37)</f>
        <v>-83820932.996020511</v>
      </c>
      <c r="CE37" s="49">
        <f ca="1">-Операции!CE245/(1+Налоги!CE$37)</f>
        <v>-84170906.305354863</v>
      </c>
      <c r="CF37" s="49">
        <f ca="1">-Операции!CF245/(1+Налоги!CF$37)</f>
        <v>-84534080.561785579</v>
      </c>
      <c r="CG37" s="49">
        <f ca="1">-Операции!CG245/(1+Налоги!CG$37)</f>
        <v>-84887031.440143719</v>
      </c>
      <c r="CH37" s="49">
        <f ca="1">-Операции!CH245/(1+Налоги!CH$37)</f>
        <v>-85253295.579109326</v>
      </c>
      <c r="CI37" s="49">
        <f ca="1">-Операции!CI245/(1+Налоги!CI$37)</f>
        <v>-85621140.046862662</v>
      </c>
      <c r="CJ37" s="49">
        <f ca="1">-Операции!CJ245/(1+Налоги!CJ$37)</f>
        <v>-85954750.660356387</v>
      </c>
      <c r="CK37" s="49">
        <f ca="1">-Операции!CK245/(1+Налоги!CK$37)</f>
        <v>-86325621.713407844</v>
      </c>
    </row>
    <row r="38" spans="2:89" ht="15.75" thickTop="1">
      <c r="B38" s="50" t="s">
        <v>74</v>
      </c>
      <c r="C38" s="51"/>
      <c r="D38" s="52">
        <f ca="1">SUM(F38:CK38)</f>
        <v>6565030760.8667536</v>
      </c>
      <c r="E38" s="53"/>
      <c r="F38" s="54">
        <f ca="1">SUM(F35,F37)</f>
        <v>0</v>
      </c>
      <c r="G38" s="54">
        <f t="shared" ref="G38:AG38" ca="1" si="0">SUM(G35,G37)</f>
        <v>0</v>
      </c>
      <c r="H38" s="54">
        <f t="shared" ca="1" si="0"/>
        <v>0</v>
      </c>
      <c r="I38" s="54">
        <f t="shared" ca="1" si="0"/>
        <v>0</v>
      </c>
      <c r="J38" s="54">
        <f t="shared" ca="1" si="0"/>
        <v>0</v>
      </c>
      <c r="K38" s="54">
        <f t="shared" ca="1" si="0"/>
        <v>0</v>
      </c>
      <c r="L38" s="54">
        <f t="shared" ca="1" si="0"/>
        <v>0</v>
      </c>
      <c r="M38" s="54">
        <f t="shared" ca="1" si="0"/>
        <v>0</v>
      </c>
      <c r="N38" s="54">
        <f t="shared" ca="1" si="0"/>
        <v>0</v>
      </c>
      <c r="O38" s="54">
        <f t="shared" ca="1" si="0"/>
        <v>0</v>
      </c>
      <c r="P38" s="54">
        <f t="shared" ca="1" si="0"/>
        <v>0</v>
      </c>
      <c r="Q38" s="54">
        <f t="shared" ca="1" si="0"/>
        <v>0</v>
      </c>
      <c r="R38" s="54">
        <f t="shared" ca="1" si="0"/>
        <v>33040702.034871407</v>
      </c>
      <c r="S38" s="54">
        <f t="shared" ca="1" si="0"/>
        <v>33170425.747760512</v>
      </c>
      <c r="T38" s="54">
        <f t="shared" ca="1" si="0"/>
        <v>33296447.19713001</v>
      </c>
      <c r="U38" s="54">
        <f t="shared" ca="1" si="0"/>
        <v>33427169.726885341</v>
      </c>
      <c r="V38" s="54">
        <f t="shared" ca="1" si="0"/>
        <v>33558402.777518302</v>
      </c>
      <c r="W38" s="54">
        <f t="shared" ca="1" si="0"/>
        <v>33685890.454146884</v>
      </c>
      <c r="X38" s="54">
        <f t="shared" ca="1" si="0"/>
        <v>33818133.871130772</v>
      </c>
      <c r="Y38" s="54">
        <f t="shared" ca="1" si="0"/>
        <v>33946603.055245772</v>
      </c>
      <c r="Z38" s="54">
        <f t="shared" ca="1" si="0"/>
        <v>34079864.569388941</v>
      </c>
      <c r="AA38" s="54">
        <f t="shared" ca="1" si="0"/>
        <v>34214013.701017074</v>
      </c>
      <c r="AB38" s="54">
        <f t="shared" ca="1" si="0"/>
        <v>34335632.079805918</v>
      </c>
      <c r="AC38" s="54">
        <f t="shared" ca="1" si="0"/>
        <v>34470782.668941796</v>
      </c>
      <c r="AD38" s="54">
        <f t="shared" ca="1" si="0"/>
        <v>41356985.53626392</v>
      </c>
      <c r="AE38" s="54">
        <f t="shared" ca="1" si="0"/>
        <v>42566052.54065083</v>
      </c>
      <c r="AF38" s="54">
        <f t="shared" ca="1" si="0"/>
        <v>43932561.752234414</v>
      </c>
      <c r="AG38" s="54">
        <f t="shared" ca="1" si="0"/>
        <v>45586148.833803415</v>
      </c>
      <c r="AH38" s="54">
        <f t="shared" ref="AH38:BM38" ca="1" si="1">SUM(AH35,AH37)</f>
        <v>47531678.207302153</v>
      </c>
      <c r="AI38" s="54">
        <f t="shared" ca="1" si="1"/>
        <v>49744784.901846416</v>
      </c>
      <c r="AJ38" s="54">
        <f t="shared" ca="1" si="1"/>
        <v>52437142.969007254</v>
      </c>
      <c r="AK38" s="54">
        <f t="shared" ca="1" si="1"/>
        <v>55507683.451092847</v>
      </c>
      <c r="AL38" s="54">
        <f t="shared" ca="1" si="1"/>
        <v>59250862.644890033</v>
      </c>
      <c r="AM38" s="54">
        <f t="shared" ca="1" si="1"/>
        <v>63681703.144382112</v>
      </c>
      <c r="AN38" s="54">
        <f t="shared" ca="1" si="1"/>
        <v>68381885.35549967</v>
      </c>
      <c r="AO38" s="54">
        <f t="shared" ca="1" si="1"/>
        <v>74498505.697312176</v>
      </c>
      <c r="AP38" s="54">
        <f t="shared" ca="1" si="1"/>
        <v>76764658.25887686</v>
      </c>
      <c r="AQ38" s="54">
        <f t="shared" ca="1" si="1"/>
        <v>79246554.314606041</v>
      </c>
      <c r="AR38" s="54">
        <f t="shared" ca="1" si="1"/>
        <v>81792664.399268538</v>
      </c>
      <c r="AS38" s="54">
        <f t="shared" ca="1" si="1"/>
        <v>84582280.033495918</v>
      </c>
      <c r="AT38" s="54">
        <f t="shared" ca="1" si="1"/>
        <v>87543464.798736989</v>
      </c>
      <c r="AU38" s="54">
        <f t="shared" ca="1" si="1"/>
        <v>90582951.896471292</v>
      </c>
      <c r="AV38" s="54">
        <f t="shared" ca="1" si="1"/>
        <v>93914887.870716393</v>
      </c>
      <c r="AW38" s="54">
        <f t="shared" ca="1" si="1"/>
        <v>97336035.252149612</v>
      </c>
      <c r="AX38" s="54">
        <f t="shared" ca="1" si="1"/>
        <v>101087504.02798884</v>
      </c>
      <c r="AY38" s="54">
        <f t="shared" ca="1" si="1"/>
        <v>105072902.94356409</v>
      </c>
      <c r="AZ38" s="54">
        <f t="shared" ca="1" si="1"/>
        <v>108886288.04609695</v>
      </c>
      <c r="BA38" s="54">
        <f t="shared" ca="1" si="1"/>
        <v>113359649.92987613</v>
      </c>
      <c r="BB38" s="54">
        <f t="shared" ca="1" si="1"/>
        <v>113803507.30923158</v>
      </c>
      <c r="BC38" s="54">
        <f t="shared" ca="1" si="1"/>
        <v>114263982.61133158</v>
      </c>
      <c r="BD38" s="54">
        <f t="shared" ca="1" si="1"/>
        <v>114711374.71001761</v>
      </c>
      <c r="BE38" s="54">
        <f t="shared" ca="1" si="1"/>
        <v>115175517.04275663</v>
      </c>
      <c r="BF38" s="54">
        <f t="shared" ca="1" si="1"/>
        <v>115641534.10382164</v>
      </c>
      <c r="BG38" s="54">
        <f t="shared" ca="1" si="1"/>
        <v>116094310.46592893</v>
      </c>
      <c r="BH38" s="54">
        <f t="shared" ca="1" si="1"/>
        <v>116564038.6049113</v>
      </c>
      <c r="BI38" s="54">
        <f t="shared" ca="1" si="1"/>
        <v>117020420.57663848</v>
      </c>
      <c r="BJ38" s="54">
        <f t="shared" ca="1" si="1"/>
        <v>117493889.28949077</v>
      </c>
      <c r="BK38" s="54">
        <f t="shared" ca="1" si="1"/>
        <v>117967968.86073351</v>
      </c>
      <c r="BL38" s="54">
        <f t="shared" ca="1" si="1"/>
        <v>118413191.22046293</v>
      </c>
      <c r="BM38" s="54">
        <f t="shared" ca="1" si="1"/>
        <v>118890973.6176258</v>
      </c>
      <c r="BN38" s="54">
        <f t="shared" ref="BN38:CK38" ca="1" si="2">SUM(BN35,BN37)</f>
        <v>119355175.90655418</v>
      </c>
      <c r="BO38" s="54">
        <f t="shared" ca="1" si="2"/>
        <v>119836752.4357461</v>
      </c>
      <c r="BP38" s="54">
        <f t="shared" ca="1" si="2"/>
        <v>120304640.98730789</v>
      </c>
      <c r="BQ38" s="54">
        <f t="shared" ca="1" si="2"/>
        <v>120790041.72012874</v>
      </c>
      <c r="BR38" s="54">
        <f t="shared" ca="1" si="2"/>
        <v>121277397.50117411</v>
      </c>
      <c r="BS38" s="54">
        <f t="shared" ca="1" si="2"/>
        <v>121750900.99661121</v>
      </c>
      <c r="BT38" s="54">
        <f t="shared" ca="1" si="2"/>
        <v>122242126.78562249</v>
      </c>
      <c r="BU38" s="54">
        <f t="shared" ca="1" si="2"/>
        <v>122719390.26181227</v>
      </c>
      <c r="BV38" s="54">
        <f t="shared" ca="1" si="2"/>
        <v>123214516.73048098</v>
      </c>
      <c r="BW38" s="54">
        <f t="shared" ca="1" si="2"/>
        <v>123713002.06454536</v>
      </c>
      <c r="BX38" s="54">
        <f t="shared" ca="1" si="2"/>
        <v>124164977.01896042</v>
      </c>
      <c r="BY38" s="54">
        <f t="shared" ca="1" si="2"/>
        <v>124667300.84113064</v>
      </c>
      <c r="BZ38" s="54">
        <f t="shared" ca="1" si="2"/>
        <v>125155352.1214574</v>
      </c>
      <c r="CA38" s="54">
        <f t="shared" ca="1" si="2"/>
        <v>125661675.56994043</v>
      </c>
      <c r="CB38" s="54">
        <f t="shared" ca="1" si="2"/>
        <v>126153612.80534822</v>
      </c>
      <c r="CC38" s="54">
        <f t="shared" ca="1" si="2"/>
        <v>126663967.66445856</v>
      </c>
      <c r="CD38" s="54">
        <f t="shared" ca="1" si="2"/>
        <v>127176383.53462301</v>
      </c>
      <c r="CE38" s="54">
        <f t="shared" ca="1" si="2"/>
        <v>127674240.04177371</v>
      </c>
      <c r="CF38" s="54">
        <f t="shared" ca="1" si="2"/>
        <v>128190735.73692659</v>
      </c>
      <c r="CG38" s="54">
        <f t="shared" ca="1" si="2"/>
        <v>128692556.11789002</v>
      </c>
      <c r="CH38" s="54">
        <f t="shared" ca="1" si="2"/>
        <v>129213164.05829962</v>
      </c>
      <c r="CI38" s="54">
        <f t="shared" ca="1" si="2"/>
        <v>129735874.33498409</v>
      </c>
      <c r="CJ38" s="54">
        <f t="shared" ca="1" si="2"/>
        <v>130209813.79640983</v>
      </c>
      <c r="CK38" s="54">
        <f t="shared" ca="1" si="2"/>
        <v>130736548.73164091</v>
      </c>
    </row>
    <row r="39" spans="2:89" ht="15.75" thickBot="1">
      <c r="B39" s="88" t="s">
        <v>562</v>
      </c>
      <c r="C39" s="89"/>
      <c r="D39" s="147">
        <f t="shared" ref="D39:AG39" ca="1" si="3">IFERROR(D38/D$35,"неприменимо")</f>
        <v>0.56914356682718237</v>
      </c>
      <c r="E39" s="90"/>
      <c r="F39" s="91" t="str">
        <f t="shared" ca="1" si="3"/>
        <v>неприменимо</v>
      </c>
      <c r="G39" s="91" t="str">
        <f t="shared" ca="1" si="3"/>
        <v>неприменимо</v>
      </c>
      <c r="H39" s="91" t="str">
        <f t="shared" ca="1" si="3"/>
        <v>неприменимо</v>
      </c>
      <c r="I39" s="91" t="str">
        <f t="shared" ca="1" si="3"/>
        <v>неприменимо</v>
      </c>
      <c r="J39" s="91" t="str">
        <f t="shared" ca="1" si="3"/>
        <v>неприменимо</v>
      </c>
      <c r="K39" s="91" t="str">
        <f t="shared" ca="1" si="3"/>
        <v>неприменимо</v>
      </c>
      <c r="L39" s="91" t="str">
        <f t="shared" ca="1" si="3"/>
        <v>неприменимо</v>
      </c>
      <c r="M39" s="91" t="str">
        <f t="shared" ca="1" si="3"/>
        <v>неприменимо</v>
      </c>
      <c r="N39" s="91" t="str">
        <f t="shared" ca="1" si="3"/>
        <v>неприменимо</v>
      </c>
      <c r="O39" s="91" t="str">
        <f t="shared" ca="1" si="3"/>
        <v>неприменимо</v>
      </c>
      <c r="P39" s="91" t="str">
        <f t="shared" ca="1" si="3"/>
        <v>неприменимо</v>
      </c>
      <c r="Q39" s="91" t="str">
        <f t="shared" ca="1" si="3"/>
        <v>неприменимо</v>
      </c>
      <c r="R39" s="91">
        <f t="shared" ca="1" si="3"/>
        <v>0.42964159387019785</v>
      </c>
      <c r="S39" s="91">
        <f t="shared" ca="1" si="3"/>
        <v>0.42954965675637419</v>
      </c>
      <c r="T39" s="91">
        <f t="shared" ca="1" si="3"/>
        <v>0.42946067124577514</v>
      </c>
      <c r="U39" s="91">
        <f t="shared" ca="1" si="3"/>
        <v>0.42936870496870311</v>
      </c>
      <c r="V39" s="91">
        <f t="shared" ca="1" si="3"/>
        <v>0.429276723867419</v>
      </c>
      <c r="W39" s="91">
        <f t="shared" ca="1" si="3"/>
        <v>0.4291876957815588</v>
      </c>
      <c r="X39" s="91">
        <f t="shared" ca="1" si="3"/>
        <v>0.42909568550307287</v>
      </c>
      <c r="Y39" s="91">
        <f t="shared" ca="1" si="3"/>
        <v>0.42900662917673288</v>
      </c>
      <c r="Z39" s="91">
        <f t="shared" ca="1" si="3"/>
        <v>0.42891458971179008</v>
      </c>
      <c r="AA39" s="91">
        <f t="shared" ca="1" si="3"/>
        <v>0.42882228318689208</v>
      </c>
      <c r="AB39" s="91">
        <f t="shared" ca="1" si="3"/>
        <v>0.42873889672765897</v>
      </c>
      <c r="AC39" s="91">
        <f t="shared" ca="1" si="3"/>
        <v>0.42864656180489169</v>
      </c>
      <c r="AD39" s="91">
        <f t="shared" ca="1" si="3"/>
        <v>0.46476745340612619</v>
      </c>
      <c r="AE39" s="91">
        <f t="shared" ca="1" si="3"/>
        <v>0.46437006304499739</v>
      </c>
      <c r="AF39" s="91">
        <f t="shared" ca="1" si="3"/>
        <v>0.46478971420742105</v>
      </c>
      <c r="AG39" s="91">
        <f t="shared" ca="1" si="3"/>
        <v>0.46616103467335401</v>
      </c>
      <c r="AH39" s="91">
        <f t="shared" ref="AH39:BM39" ca="1" si="4">IFERROR(AH38/AH$35,"неприменимо")</f>
        <v>0.46859642720400912</v>
      </c>
      <c r="AI39" s="91">
        <f t="shared" ca="1" si="4"/>
        <v>0.47207153465390195</v>
      </c>
      <c r="AJ39" s="91">
        <f t="shared" ca="1" si="4"/>
        <v>0.4769220472626049</v>
      </c>
      <c r="AK39" s="91">
        <f t="shared" ca="1" si="4"/>
        <v>0.48292558572561545</v>
      </c>
      <c r="AL39" s="91">
        <f t="shared" ca="1" si="4"/>
        <v>0.49056205748295129</v>
      </c>
      <c r="AM39" s="91">
        <f t="shared" ca="1" si="4"/>
        <v>0.49971440236841169</v>
      </c>
      <c r="AN39" s="91">
        <f t="shared" ca="1" si="4"/>
        <v>0.50931149601513337</v>
      </c>
      <c r="AO39" s="91">
        <f t="shared" ca="1" si="4"/>
        <v>0.52141000053825881</v>
      </c>
      <c r="AP39" s="91">
        <f t="shared" ca="1" si="4"/>
        <v>0.52739533709002195</v>
      </c>
      <c r="AQ39" s="91">
        <f t="shared" ca="1" si="4"/>
        <v>0.53375811191106926</v>
      </c>
      <c r="AR39" s="91">
        <f t="shared" ca="1" si="4"/>
        <v>0.54008431366813825</v>
      </c>
      <c r="AS39" s="91">
        <f t="shared" ca="1" si="4"/>
        <v>0.54679122089244581</v>
      </c>
      <c r="AT39" s="91">
        <f t="shared" ca="1" si="4"/>
        <v>0.55366536637285713</v>
      </c>
      <c r="AU39" s="91">
        <f t="shared" ca="1" si="4"/>
        <v>0.56047108048654581</v>
      </c>
      <c r="AV39" s="91">
        <f t="shared" ca="1" si="4"/>
        <v>0.56765513177133364</v>
      </c>
      <c r="AW39" s="91">
        <f t="shared" ca="1" si="4"/>
        <v>0.57474660350831475</v>
      </c>
      <c r="AX39" s="91">
        <f t="shared" ca="1" si="4"/>
        <v>0.58220969968817471</v>
      </c>
      <c r="AY39" s="91">
        <f t="shared" ca="1" si="4"/>
        <v>0.58980076085772037</v>
      </c>
      <c r="AZ39" s="91">
        <f t="shared" ca="1" si="4"/>
        <v>0.59675858658633374</v>
      </c>
      <c r="BA39" s="91">
        <f t="shared" ca="1" si="4"/>
        <v>0.60456395732620138</v>
      </c>
      <c r="BB39" s="91">
        <f t="shared" ca="1" si="4"/>
        <v>0.60450210357886403</v>
      </c>
      <c r="BC39" s="91">
        <f t="shared" ca="1" si="4"/>
        <v>0.60443817787569354</v>
      </c>
      <c r="BD39" s="91">
        <f t="shared" ca="1" si="4"/>
        <v>0.60437630445404866</v>
      </c>
      <c r="BE39" s="91">
        <f t="shared" ca="1" si="4"/>
        <v>0.60431235841752717</v>
      </c>
      <c r="BF39" s="91">
        <f t="shared" ca="1" si="4"/>
        <v>0.60424840204518526</v>
      </c>
      <c r="BG39" s="91">
        <f t="shared" ca="1" si="4"/>
        <v>0.6041864989389768</v>
      </c>
      <c r="BH39" s="91">
        <f t="shared" ca="1" si="4"/>
        <v>0.60412252222352869</v>
      </c>
      <c r="BI39" s="91">
        <f t="shared" ca="1" si="4"/>
        <v>0.60406059942731261</v>
      </c>
      <c r="BJ39" s="91">
        <f t="shared" ca="1" si="4"/>
        <v>0.60399660236228769</v>
      </c>
      <c r="BK39" s="91">
        <f t="shared" ca="1" si="4"/>
        <v>0.60393276985091948</v>
      </c>
      <c r="BL39" s="91">
        <f t="shared" ca="1" si="4"/>
        <v>0.60387304625116756</v>
      </c>
      <c r="BM39" s="91">
        <f t="shared" ca="1" si="4"/>
        <v>0.60380919382356413</v>
      </c>
      <c r="BN39" s="91">
        <f t="shared" ref="BN39:CK39" ca="1" si="5">IFERROR(BN38/BN$35,"неприменимо")</f>
        <v>0.60374739135188582</v>
      </c>
      <c r="BO39" s="91">
        <f t="shared" ca="1" si="5"/>
        <v>0.60368351866973957</v>
      </c>
      <c r="BP39" s="91">
        <f t="shared" ca="1" si="5"/>
        <v>0.60362169659378229</v>
      </c>
      <c r="BQ39" s="91">
        <f t="shared" ca="1" si="5"/>
        <v>0.60355780365066825</v>
      </c>
      <c r="BR39" s="91">
        <f t="shared" ca="1" si="5"/>
        <v>0.6034939004085339</v>
      </c>
      <c r="BS39" s="91">
        <f t="shared" ca="1" si="5"/>
        <v>0.60343204875370438</v>
      </c>
      <c r="BT39" s="91">
        <f t="shared" ca="1" si="5"/>
        <v>0.60336812524090855</v>
      </c>
      <c r="BU39" s="91">
        <f t="shared" ca="1" si="5"/>
        <v>0.60330625396619875</v>
      </c>
      <c r="BV39" s="91">
        <f t="shared" ca="1" si="5"/>
        <v>0.60324231017631103</v>
      </c>
      <c r="BW39" s="91">
        <f t="shared" ca="1" si="5"/>
        <v>0.60317818084834296</v>
      </c>
      <c r="BX39" s="91">
        <f t="shared" ca="1" si="5"/>
        <v>0.60312024867509562</v>
      </c>
      <c r="BY39" s="91">
        <f t="shared" ca="1" si="5"/>
        <v>0.60305609961790174</v>
      </c>
      <c r="BZ39" s="91">
        <f t="shared" ca="1" si="5"/>
        <v>0.60299401001282837</v>
      </c>
      <c r="CA39" s="91">
        <f t="shared" ca="1" si="5"/>
        <v>0.60292984055123977</v>
      </c>
      <c r="CB39" s="91">
        <f t="shared" ca="1" si="5"/>
        <v>0.60286773119683779</v>
      </c>
      <c r="CC39" s="91">
        <f t="shared" ca="1" si="5"/>
        <v>0.60280354132436398</v>
      </c>
      <c r="CD39" s="91">
        <f t="shared" ca="1" si="5"/>
        <v>0.6027393410766575</v>
      </c>
      <c r="CE39" s="91">
        <f t="shared" ca="1" si="5"/>
        <v>0.60267720192450025</v>
      </c>
      <c r="CF39" s="91">
        <f t="shared" ca="1" si="5"/>
        <v>0.60261298125611618</v>
      </c>
      <c r="CG39" s="91">
        <f t="shared" ca="1" si="5"/>
        <v>0.60255082233887047</v>
      </c>
      <c r="CH39" s="91">
        <f t="shared" ca="1" si="5"/>
        <v>0.60248658124331356</v>
      </c>
      <c r="CI39" s="91">
        <f t="shared" ca="1" si="5"/>
        <v>0.60242232976424481</v>
      </c>
      <c r="CJ39" s="91">
        <f t="shared" ca="1" si="5"/>
        <v>0.60236428724400071</v>
      </c>
      <c r="CK39" s="91">
        <f t="shared" ca="1" si="5"/>
        <v>0.60230001599812644</v>
      </c>
    </row>
    <row r="40" spans="2:89" ht="15.75" thickTop="1">
      <c r="B40" s="94"/>
      <c r="C40" s="14"/>
      <c r="D40" s="14"/>
      <c r="E40" s="14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</row>
    <row r="41" spans="2:89">
      <c r="B41" s="45" t="s">
        <v>561</v>
      </c>
      <c r="C41" s="46"/>
      <c r="D41" s="47">
        <f ca="1">SUM(F41:CK41)</f>
        <v>-116604878.96066678</v>
      </c>
      <c r="E41" s="48"/>
      <c r="F41" s="49">
        <f ca="1">-Операции!F279/(1+Налоги!F$37)</f>
        <v>0</v>
      </c>
      <c r="G41" s="49">
        <f ca="1">-Операции!G279/(1+Налоги!G$37)</f>
        <v>0</v>
      </c>
      <c r="H41" s="49">
        <f ca="1">-Операции!H279/(1+Налоги!H$37)</f>
        <v>0</v>
      </c>
      <c r="I41" s="49">
        <f ca="1">-Операции!I279/(1+Налоги!I$37)</f>
        <v>0</v>
      </c>
      <c r="J41" s="49">
        <f ca="1">-Операции!J279/(1+Налоги!J$37)</f>
        <v>0</v>
      </c>
      <c r="K41" s="49">
        <f ca="1">-Операции!K279/(1+Налоги!K$37)</f>
        <v>0</v>
      </c>
      <c r="L41" s="49">
        <f ca="1">-Операции!L279/(1+Налоги!L$37)</f>
        <v>0</v>
      </c>
      <c r="M41" s="49">
        <f ca="1">-Операции!M279/(1+Налоги!M$37)</f>
        <v>0</v>
      </c>
      <c r="N41" s="49">
        <f ca="1">-Операции!N279/(1+Налоги!N$37)</f>
        <v>0</v>
      </c>
      <c r="O41" s="49">
        <f ca="1">-Операции!O279/(1+Налоги!O$37)</f>
        <v>0</v>
      </c>
      <c r="P41" s="49">
        <f ca="1">-Операции!P279/(1+Налоги!P$37)</f>
        <v>0</v>
      </c>
      <c r="Q41" s="49">
        <f ca="1">-Операции!Q279/(1+Налоги!Q$37)</f>
        <v>0</v>
      </c>
      <c r="R41" s="49">
        <f ca="1">-Операции!R279/(1+Налоги!R$37)</f>
        <v>-1409240.9209514309</v>
      </c>
      <c r="S41" s="49">
        <f ca="1">-Операции!S279/(1+Налоги!S$37)</f>
        <v>-1414733.764256757</v>
      </c>
      <c r="T41" s="49">
        <f ca="1">-Операции!T279/(1+Налоги!T$37)</f>
        <v>-1420069.8030348714</v>
      </c>
      <c r="U41" s="49">
        <f ca="1">-Операции!U279/(1+Налоги!U$37)</f>
        <v>-1425604.8544194349</v>
      </c>
      <c r="V41" s="49">
        <f ca="1">-Операции!V279/(1+Налоги!V$37)</f>
        <v>-1431161.4799503991</v>
      </c>
      <c r="W41" s="49">
        <f ca="1">-Операции!W279/(1+Налоги!W$37)</f>
        <v>-1436559.4801591316</v>
      </c>
      <c r="X41" s="49">
        <f ca="1">-Операции!X279/(1+Налоги!X$37)</f>
        <v>-1442158.8038843947</v>
      </c>
      <c r="Y41" s="49">
        <f ca="1">-Операции!Y279/(1+Налоги!Y$37)</f>
        <v>-1447598.2833795131</v>
      </c>
      <c r="Z41" s="49">
        <f ca="1">-Операции!Z279/(1+Налоги!Z$37)</f>
        <v>-1453240.6334003271</v>
      </c>
      <c r="AA41" s="49">
        <f ca="1">-Операции!AA279/(1+Налоги!AA$37)</f>
        <v>-1458920.5248227294</v>
      </c>
      <c r="AB41" s="49">
        <f ca="1">-Операции!AB279/(1+Налоги!AB$37)</f>
        <v>-1464069.8278450719</v>
      </c>
      <c r="AC41" s="49">
        <f ca="1">-Операции!AC279/(1+Налоги!AC$37)</f>
        <v>-1469792.0444318163</v>
      </c>
      <c r="AD41" s="49">
        <f ca="1">-Операции!AD279/(1+Налоги!AD$37)</f>
        <v>-1475350.9668481839</v>
      </c>
      <c r="AE41" s="49">
        <f ca="1">-Операции!AE279/(1+Налоги!AE$37)</f>
        <v>-1481117.2749936054</v>
      </c>
      <c r="AF41" s="49">
        <f ca="1">-Операции!AF279/(1+Налоги!AF$37)</f>
        <v>-1486719.030733421</v>
      </c>
      <c r="AG41" s="49">
        <f ca="1">-Операции!AG279/(1+Налоги!AG$37)</f>
        <v>-1492529.7701774633</v>
      </c>
      <c r="AH41" s="49">
        <f ca="1">-Операции!AH279/(1+Налоги!AH$37)</f>
        <v>-1498363.2204984026</v>
      </c>
      <c r="AI41" s="49">
        <f ca="1">-Операции!AI279/(1+Налоги!AI$37)</f>
        <v>-1504030.2023859723</v>
      </c>
      <c r="AJ41" s="49">
        <f ca="1">-Операции!AJ279/(1+Налоги!AJ$37)</f>
        <v>-1509908.6013580528</v>
      </c>
      <c r="AK41" s="49">
        <f ca="1">-Операции!AK279/(1+Налоги!AK$37)</f>
        <v>-1515619.249202796</v>
      </c>
      <c r="AL41" s="49">
        <f ca="1">-Операции!AL279/(1+Налоги!AL$37)</f>
        <v>-1521542.9431701417</v>
      </c>
      <c r="AM41" s="49">
        <f ca="1">-Операции!AM279/(1+Налоги!AM$37)</f>
        <v>-1527489.7894893961</v>
      </c>
      <c r="AN41" s="49">
        <f ca="1">-Операции!AN279/(1+Налоги!AN$37)</f>
        <v>-1532881.1097537889</v>
      </c>
      <c r="AO41" s="49">
        <f ca="1">-Операции!AO279/(1+Налоги!AO$37)</f>
        <v>-1538872.2705201104</v>
      </c>
      <c r="AP41" s="49">
        <f ca="1">-Операции!AP279/(1+Налоги!AP$37)</f>
        <v>-1544692.4622900474</v>
      </c>
      <c r="AQ41" s="49">
        <f ca="1">-Операции!AQ279/(1+Налоги!AQ$37)</f>
        <v>-1550729.7869183037</v>
      </c>
      <c r="AR41" s="49">
        <f ca="1">-Операции!AR279/(1+Налоги!AR$37)</f>
        <v>-1556594.8251778907</v>
      </c>
      <c r="AS41" s="49">
        <f ca="1">-Операции!AS279/(1+Налоги!AS$37)</f>
        <v>-1562678.6693758033</v>
      </c>
      <c r="AT41" s="49">
        <f ca="1">-Операции!AT279/(1+Налоги!AT$37)</f>
        <v>-1568786.2918618263</v>
      </c>
      <c r="AU41" s="49">
        <f ca="1">-Операции!AU279/(1+Налоги!AU$37)</f>
        <v>-1574719.6218981119</v>
      </c>
      <c r="AV41" s="49">
        <f ca="1">-Операции!AV279/(1+Налоги!AV$37)</f>
        <v>-1580874.3056218799</v>
      </c>
      <c r="AW41" s="49">
        <f ca="1">-Операции!AW279/(1+Налоги!AW$37)</f>
        <v>-1586853.3539153261</v>
      </c>
      <c r="AX41" s="49">
        <f ca="1">-Операции!AX279/(1+Налоги!AX$37)</f>
        <v>-1593055.4614991366</v>
      </c>
      <c r="AY41" s="49">
        <f ca="1">-Операции!AY279/(1+Налоги!AY$37)</f>
        <v>-1599281.8095953965</v>
      </c>
      <c r="AZ41" s="49">
        <f ca="1">-Операции!AZ279/(1+Налоги!AZ$37)</f>
        <v>-1604926.5219122153</v>
      </c>
      <c r="BA41" s="49">
        <f ca="1">-Операции!BA279/(1+Налоги!BA$37)</f>
        <v>-1611199.2672345545</v>
      </c>
      <c r="BB41" s="49">
        <f ca="1">-Операции!BB279/(1+Налоги!BB$37)</f>
        <v>-1617293.0080176783</v>
      </c>
      <c r="BC41" s="49">
        <f ca="1">-Операции!BC279/(1+Налоги!BC$37)</f>
        <v>-1623614.0869034627</v>
      </c>
      <c r="BD41" s="49">
        <f ca="1">-Операции!BD279/(1+Налоги!BD$37)</f>
        <v>-1629754.7819612499</v>
      </c>
      <c r="BE41" s="49">
        <f ca="1">-Операции!BE279/(1+Налоги!BE$37)</f>
        <v>-1636124.5668364645</v>
      </c>
      <c r="BF41" s="49">
        <f ca="1">-Операции!BF279/(1+Налоги!BF$37)</f>
        <v>-1642519.2475793306</v>
      </c>
      <c r="BG41" s="49">
        <f ca="1">-Операции!BG279/(1+Налоги!BG$37)</f>
        <v>-1648731.4441273219</v>
      </c>
      <c r="BH41" s="49">
        <f ca="1">-Операции!BH279/(1+Налоги!BH$37)</f>
        <v>-1655175.397986107</v>
      </c>
      <c r="BI41" s="49">
        <f ca="1">-Операции!BI279/(1+Налоги!BI$37)</f>
        <v>-1661435.4615493454</v>
      </c>
      <c r="BJ41" s="49">
        <f ca="1">-Операции!BJ279/(1+Налоги!BJ$37)</f>
        <v>-1667929.0681895949</v>
      </c>
      <c r="BK41" s="49">
        <f ca="1">-Операции!BK279/(1+Налоги!BK$37)</f>
        <v>-1674430.20854094</v>
      </c>
      <c r="BL41" s="49">
        <f ca="1">-Операции!BL279/(1+Налоги!BL$37)</f>
        <v>-1680534.8587706755</v>
      </c>
      <c r="BM41" s="49">
        <f ca="1">-Операции!BM279/(1+Налоги!BM$37)</f>
        <v>-1687085.1331142092</v>
      </c>
      <c r="BN41" s="49">
        <f ca="1">-Операции!BN279/(1+Налоги!BN$37)</f>
        <v>-1693448.4163832751</v>
      </c>
      <c r="BO41" s="49">
        <f ca="1">-Операции!BO279/(1+Налоги!BO$37)</f>
        <v>-1700049.024312376</v>
      </c>
      <c r="BP41" s="49">
        <f ca="1">-Операции!BP279/(1+Налоги!BP$37)</f>
        <v>-1706461.2042911244</v>
      </c>
      <c r="BQ41" s="49">
        <f ca="1">-Операции!BQ279/(1+Налоги!BQ$37)</f>
        <v>-1713112.5325788814</v>
      </c>
      <c r="BR41" s="49">
        <f ca="1">-Операции!BR279/(1+Налоги!BR$37)</f>
        <v>-1719789.7859611444</v>
      </c>
      <c r="BS41" s="49">
        <f ca="1">-Операции!BS279/(1+Налоги!BS$37)</f>
        <v>-1726276.4233907068</v>
      </c>
      <c r="BT41" s="49">
        <f ca="1">-Операции!BT279/(1+Налоги!BT$37)</f>
        <v>-1733004.9860902359</v>
      </c>
      <c r="BU41" s="49">
        <f ca="1">-Операции!BU279/(1+Налоги!BU$37)</f>
        <v>-1739541.4681069078</v>
      </c>
      <c r="BV41" s="49">
        <f ca="1">-Операции!BV279/(1+Налоги!BV$37)</f>
        <v>-1746321.7343945038</v>
      </c>
      <c r="BW41" s="49">
        <f ca="1">-Операции!BW279/(1+Налоги!BW$37)</f>
        <v>-1753147.1132147568</v>
      </c>
      <c r="BX41" s="49">
        <f ca="1">-Операции!BX279/(1+Налоги!BX$37)</f>
        <v>-1759334.897658865</v>
      </c>
      <c r="BY41" s="49">
        <f ca="1">-Операции!BY279/(1+Налоги!BY$37)</f>
        <v>-1766211.1375359208</v>
      </c>
      <c r="BZ41" s="49">
        <f ca="1">-Операции!BZ279/(1+Налоги!BZ$37)</f>
        <v>-1772891.1510260482</v>
      </c>
      <c r="CA41" s="49">
        <f ca="1">-Операции!CA279/(1+Налоги!CA$37)</f>
        <v>-1779820.3745903547</v>
      </c>
      <c r="CB41" s="49">
        <f ca="1">-Операции!CB279/(1+Налоги!CB$37)</f>
        <v>-1786551.859778957</v>
      </c>
      <c r="CC41" s="49">
        <f ca="1">-Операции!CC279/(1+Налоги!CC$37)</f>
        <v>-1793534.4752872312</v>
      </c>
      <c r="CD41" s="49">
        <f ca="1">-Операции!CD279/(1+Налоги!CD$37)</f>
        <v>-1800544.3818696875</v>
      </c>
      <c r="CE41" s="49">
        <f ca="1">-Операции!CE279/(1+Налоги!CE$37)</f>
        <v>-1807354.2476353645</v>
      </c>
      <c r="CF41" s="49">
        <f ca="1">-Операции!CF279/(1+Налоги!CF$37)</f>
        <v>-1814418.1678509496</v>
      </c>
      <c r="CG41" s="49">
        <f ca="1">-Операции!CG279/(1+Налоги!CG$37)</f>
        <v>-1821280.5058695434</v>
      </c>
      <c r="CH41" s="49">
        <f ca="1">-Операции!CH279/(1+Налоги!CH$37)</f>
        <v>-1828398.8559110444</v>
      </c>
      <c r="CI41" s="49">
        <f ca="1">-Операции!CI279/(1+Налоги!CI$37)</f>
        <v>-1835545.0275358493</v>
      </c>
      <c r="CJ41" s="49">
        <f ca="1">-Операции!CJ279/(1+Налоги!CJ$37)</f>
        <v>-1842023.6378488301</v>
      </c>
      <c r="CK41" s="49">
        <f ca="1">-Операции!CK279/(1+Налоги!CK$37)</f>
        <v>-1849223.0610001076</v>
      </c>
    </row>
    <row r="42" spans="2:89">
      <c r="B42" s="45" t="s">
        <v>52</v>
      </c>
      <c r="C42" s="46"/>
      <c r="D42" s="47">
        <f t="shared" ref="D42:D44" ca="1" si="6">SUM(F42:CK42)</f>
        <v>-819489962.40671158</v>
      </c>
      <c r="E42" s="48"/>
      <c r="F42" s="49">
        <f ca="1">-Операции!F315</f>
        <v>0</v>
      </c>
      <c r="G42" s="49">
        <f ca="1">-Операции!G315</f>
        <v>0</v>
      </c>
      <c r="H42" s="49">
        <f ca="1">-Операции!H315</f>
        <v>0</v>
      </c>
      <c r="I42" s="49">
        <f ca="1">-Операции!I315</f>
        <v>0</v>
      </c>
      <c r="J42" s="49">
        <f ca="1">-Операции!J315</f>
        <v>0</v>
      </c>
      <c r="K42" s="49">
        <f ca="1">-Операции!K315</f>
        <v>0</v>
      </c>
      <c r="L42" s="49">
        <f ca="1">-Операции!L315</f>
        <v>0</v>
      </c>
      <c r="M42" s="49">
        <f ca="1">-Операции!M315</f>
        <v>0</v>
      </c>
      <c r="N42" s="49">
        <f ca="1">-Операции!N315</f>
        <v>0</v>
      </c>
      <c r="O42" s="49">
        <f ca="1">-Операции!O315</f>
        <v>0</v>
      </c>
      <c r="P42" s="49">
        <f ca="1">-Операции!P315</f>
        <v>0</v>
      </c>
      <c r="Q42" s="49">
        <f ca="1">-Операции!Q315</f>
        <v>0</v>
      </c>
      <c r="R42" s="49">
        <f ca="1">-Операции!R315</f>
        <v>-8975630.433996575</v>
      </c>
      <c r="S42" s="49">
        <f ca="1">-Операции!S315</f>
        <v>-9005496.8158958089</v>
      </c>
      <c r="T42" s="49">
        <f ca="1">-Операции!T315</f>
        <v>-9034494.3860124983</v>
      </c>
      <c r="U42" s="49">
        <f ca="1">-Операции!U315</f>
        <v>-9064556.6375260092</v>
      </c>
      <c r="V42" s="49">
        <f ca="1">-Операции!V315</f>
        <v>-9094718.9210864101</v>
      </c>
      <c r="W42" s="49">
        <f ca="1">-Операции!W315</f>
        <v>-9124003.7850974984</v>
      </c>
      <c r="X42" s="49">
        <f ca="1">-Операции!X315</f>
        <v>-9154363.8788535446</v>
      </c>
      <c r="Y42" s="49">
        <f ca="1">-Операции!Y315</f>
        <v>-9183840.7987700775</v>
      </c>
      <c r="Z42" s="49">
        <f ca="1">-Операции!Z315</f>
        <v>-9214399.9999999907</v>
      </c>
      <c r="AA42" s="49">
        <f ca="1">-Операции!AA315</f>
        <v>-9245145.0292922519</v>
      </c>
      <c r="AB42" s="49">
        <f ca="1">-Операции!AB315</f>
        <v>-9273002.8974595536</v>
      </c>
      <c r="AC42" s="49">
        <f ca="1">-Операции!AC315</f>
        <v>-9303943.4628473856</v>
      </c>
      <c r="AD42" s="49">
        <f ca="1">-Операции!AD315</f>
        <v>-10724600.399288468</v>
      </c>
      <c r="AE42" s="49">
        <f ca="1">-Операции!AE315</f>
        <v>-10760384.406215012</v>
      </c>
      <c r="AF42" s="49">
        <f ca="1">-Операции!AF315</f>
        <v>-10795127.7690005</v>
      </c>
      <c r="AG42" s="49">
        <f ca="1">-Операции!AG315</f>
        <v>-10831147.099556113</v>
      </c>
      <c r="AH42" s="49">
        <f ca="1">-Операции!AH315</f>
        <v>-10867286.613235211</v>
      </c>
      <c r="AI42" s="49">
        <f ca="1">-Операции!AI315</f>
        <v>-10902375.144187637</v>
      </c>
      <c r="AJ42" s="49">
        <f ca="1">-Операции!AJ315</f>
        <v>-10938752.319387682</v>
      </c>
      <c r="AK42" s="49">
        <f ca="1">-Операции!AK315</f>
        <v>-10974071.600363702</v>
      </c>
      <c r="AL42" s="49">
        <f ca="1">-Операции!AL315</f>
        <v>-11010687.999999985</v>
      </c>
      <c r="AM42" s="49">
        <f ca="1">-Операции!AM315</f>
        <v>-11047426.57495744</v>
      </c>
      <c r="AN42" s="49">
        <f ca="1">-Операции!AN315</f>
        <v>-11080715.155302906</v>
      </c>
      <c r="AO42" s="49">
        <f ca="1">-Операции!AO315</f>
        <v>-11117687.384859798</v>
      </c>
      <c r="AP42" s="49">
        <f ca="1">-Операции!AP315</f>
        <v>-11153584.415260006</v>
      </c>
      <c r="AQ42" s="49">
        <f ca="1">-Операции!AQ315</f>
        <v>-11190799.78246361</v>
      </c>
      <c r="AR42" s="49">
        <f ca="1">-Операции!AR315</f>
        <v>-11226932.879760519</v>
      </c>
      <c r="AS42" s="49">
        <f ca="1">-Операции!AS315</f>
        <v>-11264392.983538356</v>
      </c>
      <c r="AT42" s="49">
        <f ca="1">-Операции!AT315</f>
        <v>-11301978.077764615</v>
      </c>
      <c r="AU42" s="49">
        <f ca="1">-Операции!AU315</f>
        <v>-11338470.14995514</v>
      </c>
      <c r="AV42" s="49">
        <f ca="1">-Операции!AV315</f>
        <v>-11376302.412163187</v>
      </c>
      <c r="AW42" s="49">
        <f ca="1">-Операции!AW315</f>
        <v>-11413034.464378245</v>
      </c>
      <c r="AX42" s="49">
        <f ca="1">-Операции!AX315</f>
        <v>-11451115.519999979</v>
      </c>
      <c r="AY42" s="49">
        <f ca="1">-Операции!AY315</f>
        <v>-11489323.637955735</v>
      </c>
      <c r="AZ42" s="49">
        <f ca="1">-Операции!AZ315</f>
        <v>-11523943.761515018</v>
      </c>
      <c r="BA42" s="49">
        <f ca="1">-Операции!BA315</f>
        <v>-11562394.880254187</v>
      </c>
      <c r="BB42" s="49">
        <f ca="1">-Операции!BB315</f>
        <v>-11599727.7918704</v>
      </c>
      <c r="BC42" s="49">
        <f ca="1">-Операции!BC315</f>
        <v>-11638431.77376215</v>
      </c>
      <c r="BD42" s="49">
        <f ca="1">-Операции!BD315</f>
        <v>-11676010.194950934</v>
      </c>
      <c r="BE42" s="49">
        <f ca="1">-Операции!BE315</f>
        <v>-11714968.702879885</v>
      </c>
      <c r="BF42" s="49">
        <f ca="1">-Операции!BF315</f>
        <v>-11754057.200875195</v>
      </c>
      <c r="BG42" s="49">
        <f ca="1">-Операции!BG315</f>
        <v>-11792008.955953341</v>
      </c>
      <c r="BH42" s="49">
        <f ca="1">-Операции!BH315</f>
        <v>-11831354.508649711</v>
      </c>
      <c r="BI42" s="49">
        <f ca="1">-Операции!BI315</f>
        <v>-11869555.842953373</v>
      </c>
      <c r="BJ42" s="49">
        <f ca="1">-Операции!BJ315</f>
        <v>-11909160.140799977</v>
      </c>
      <c r="BK42" s="49">
        <f ca="1">-Операции!BK315</f>
        <v>-11948787.833526392</v>
      </c>
      <c r="BL42" s="49">
        <f ca="1">-Операции!BL315</f>
        <v>-11985978.267083632</v>
      </c>
      <c r="BM42" s="49">
        <f ca="1">-Операции!BM315</f>
        <v>-12025861.571882447</v>
      </c>
      <c r="BN42" s="49">
        <f ca="1">-Операции!BN315</f>
        <v>-12064584.67303648</v>
      </c>
      <c r="BO42" s="49">
        <f ca="1">-Операции!BO315</f>
        <v>-12104729.540402649</v>
      </c>
      <c r="BP42" s="49">
        <f ca="1">-Операции!BP315</f>
        <v>-12143706.595280048</v>
      </c>
      <c r="BQ42" s="49">
        <f ca="1">-Операции!BQ315</f>
        <v>-12184114.740592398</v>
      </c>
      <c r="BR42" s="49">
        <f ca="1">-Операции!BR315</f>
        <v>-12224657.343880551</v>
      </c>
      <c r="BS42" s="49">
        <f ca="1">-Операции!BS315</f>
        <v>-12264020.564558834</v>
      </c>
      <c r="BT42" s="49">
        <f ca="1">-Операции!BT315</f>
        <v>-12304829.054223673</v>
      </c>
      <c r="BU42" s="49">
        <f ca="1">-Операции!BU315</f>
        <v>-12344450.426655222</v>
      </c>
      <c r="BV42" s="49">
        <f ca="1">-Операции!BV315</f>
        <v>-12385526.546431968</v>
      </c>
      <c r="BW42" s="49">
        <f ca="1">-Операции!BW315</f>
        <v>-12426852.446812911</v>
      </c>
      <c r="BX42" s="49">
        <f ca="1">-Операции!BX315</f>
        <v>-12464297.572454633</v>
      </c>
      <c r="BY42" s="49">
        <f ca="1">-Операции!BY315</f>
        <v>-12505886.302482916</v>
      </c>
      <c r="BZ42" s="49">
        <f ca="1">-Операции!BZ315</f>
        <v>-12546265.579687016</v>
      </c>
      <c r="CA42" s="49">
        <f ca="1">-Операции!CA315</f>
        <v>-12588127.806501132</v>
      </c>
      <c r="CB42" s="49">
        <f ca="1">-Операции!CB315</f>
        <v>-12628772.626858922</v>
      </c>
      <c r="CC42" s="49">
        <f ca="1">-Операции!CC315</f>
        <v>-12670910.149034873</v>
      </c>
      <c r="CD42" s="49">
        <f ca="1">-Операции!CD315</f>
        <v>-12713188.268466599</v>
      </c>
      <c r="CE42" s="49">
        <f ca="1">-Операции!CE315</f>
        <v>-12754236.886759123</v>
      </c>
      <c r="CF42" s="49">
        <f ca="1">-Операции!CF315</f>
        <v>-12796793.036555514</v>
      </c>
      <c r="CG42" s="49">
        <f ca="1">-Операции!CG315</f>
        <v>-12838111.599738356</v>
      </c>
      <c r="CH42" s="49">
        <f ca="1">-Операции!CH315</f>
        <v>-12880947.608289244</v>
      </c>
      <c r="CI42" s="49">
        <f ca="1">-Операции!CI315</f>
        <v>-12923926.544685422</v>
      </c>
      <c r="CJ42" s="49">
        <f ca="1">-Операции!CJ315</f>
        <v>-12962869.475352816</v>
      </c>
      <c r="CK42" s="49">
        <f ca="1">-Операции!CK315</f>
        <v>-13006121.754582226</v>
      </c>
    </row>
    <row r="43" spans="2:89">
      <c r="B43" s="45" t="s">
        <v>139</v>
      </c>
      <c r="C43" s="46"/>
      <c r="D43" s="47">
        <f t="shared" ca="1" si="6"/>
        <v>-245846988.72201353</v>
      </c>
      <c r="E43" s="48"/>
      <c r="F43" s="49">
        <f ca="1">-Операции!F363</f>
        <v>0</v>
      </c>
      <c r="G43" s="49">
        <f ca="1">-Операции!G363</f>
        <v>0</v>
      </c>
      <c r="H43" s="49">
        <f ca="1">-Операции!H363</f>
        <v>0</v>
      </c>
      <c r="I43" s="49">
        <f ca="1">-Операции!I363</f>
        <v>0</v>
      </c>
      <c r="J43" s="49">
        <f ca="1">-Операции!J363</f>
        <v>0</v>
      </c>
      <c r="K43" s="49">
        <f ca="1">-Операции!K363</f>
        <v>0</v>
      </c>
      <c r="L43" s="49">
        <f ca="1">-Операции!L363</f>
        <v>0</v>
      </c>
      <c r="M43" s="49">
        <f ca="1">-Операции!M363</f>
        <v>0</v>
      </c>
      <c r="N43" s="49">
        <f ca="1">-Операции!N363</f>
        <v>0</v>
      </c>
      <c r="O43" s="49">
        <f ca="1">-Операции!O363</f>
        <v>0</v>
      </c>
      <c r="P43" s="49">
        <f ca="1">-Операции!P363</f>
        <v>0</v>
      </c>
      <c r="Q43" s="49">
        <f ca="1">-Операции!Q363</f>
        <v>0</v>
      </c>
      <c r="R43" s="49">
        <f ca="1">-Операции!R363</f>
        <v>-2692689.1301989723</v>
      </c>
      <c r="S43" s="49">
        <f ca="1">-Операции!S363</f>
        <v>-2701649.0447687423</v>
      </c>
      <c r="T43" s="49">
        <f ca="1">-Операции!T363</f>
        <v>-2710348.31580375</v>
      </c>
      <c r="U43" s="49">
        <f ca="1">-Операции!U363</f>
        <v>-2719366.9912578021</v>
      </c>
      <c r="V43" s="49">
        <f ca="1">-Операции!V363</f>
        <v>-2728415.6763259228</v>
      </c>
      <c r="W43" s="49">
        <f ca="1">-Операции!W363</f>
        <v>-2737201.1355292499</v>
      </c>
      <c r="X43" s="49">
        <f ca="1">-Операции!X363</f>
        <v>-2746309.1636560634</v>
      </c>
      <c r="Y43" s="49">
        <f ca="1">-Операции!Y363</f>
        <v>-2755152.2396310233</v>
      </c>
      <c r="Z43" s="49">
        <f ca="1">-Операции!Z363</f>
        <v>-2764319.9999999967</v>
      </c>
      <c r="AA43" s="49">
        <f ca="1">-Операции!AA363</f>
        <v>-2773543.5087876758</v>
      </c>
      <c r="AB43" s="49">
        <f ca="1">-Операции!AB363</f>
        <v>-2781900.8692378663</v>
      </c>
      <c r="AC43" s="49">
        <f ca="1">-Операции!AC363</f>
        <v>-2791183.0388542153</v>
      </c>
      <c r="AD43" s="49">
        <f ca="1">-Операции!AD363</f>
        <v>-3217380.1197865405</v>
      </c>
      <c r="AE43" s="49">
        <f ca="1">-Операции!AE363</f>
        <v>-3228115.3218645034</v>
      </c>
      <c r="AF43" s="49">
        <f ca="1">-Операции!AF363</f>
        <v>-3238538.3307001502</v>
      </c>
      <c r="AG43" s="49">
        <f ca="1">-Операции!AG363</f>
        <v>-3249344.1298668338</v>
      </c>
      <c r="AH43" s="49">
        <f ca="1">-Операции!AH363</f>
        <v>-3260185.9839705629</v>
      </c>
      <c r="AI43" s="49">
        <f ca="1">-Операции!AI363</f>
        <v>-3270712.5432562912</v>
      </c>
      <c r="AJ43" s="49">
        <f ca="1">-Операции!AJ363</f>
        <v>-3281625.6958163041</v>
      </c>
      <c r="AK43" s="49">
        <f ca="1">-Операции!AK363</f>
        <v>-3292221.4801091105</v>
      </c>
      <c r="AL43" s="49">
        <f ca="1">-Операции!AL363</f>
        <v>-3303206.3999999953</v>
      </c>
      <c r="AM43" s="49">
        <f ca="1">-Операции!AM363</f>
        <v>-3314227.9724872322</v>
      </c>
      <c r="AN43" s="49">
        <f ca="1">-Операции!AN363</f>
        <v>-3324214.5465908721</v>
      </c>
      <c r="AO43" s="49">
        <f ca="1">-Операции!AO363</f>
        <v>-3335306.2154579395</v>
      </c>
      <c r="AP43" s="49">
        <f ca="1">-Операции!AP363</f>
        <v>-3346075.3245780016</v>
      </c>
      <c r="AQ43" s="49">
        <f ca="1">-Операции!AQ363</f>
        <v>-3357239.9347390835</v>
      </c>
      <c r="AR43" s="49">
        <f ca="1">-Операции!AR363</f>
        <v>-3368079.8639281555</v>
      </c>
      <c r="AS43" s="49">
        <f ca="1">-Операции!AS363</f>
        <v>-3379317.8950615069</v>
      </c>
      <c r="AT43" s="49">
        <f ca="1">-Операции!AT363</f>
        <v>-3390593.4233293841</v>
      </c>
      <c r="AU43" s="49">
        <f ca="1">-Операции!AU363</f>
        <v>-3401541.0449865423</v>
      </c>
      <c r="AV43" s="49">
        <f ca="1">-Операции!AV363</f>
        <v>-3412890.723648956</v>
      </c>
      <c r="AW43" s="49">
        <f ca="1">-Операции!AW363</f>
        <v>-3423910.3393134731</v>
      </c>
      <c r="AX43" s="49">
        <f ca="1">-Операции!AX363</f>
        <v>-3435334.6559999939</v>
      </c>
      <c r="AY43" s="49">
        <f ca="1">-Операции!AY363</f>
        <v>-3446797.0913867205</v>
      </c>
      <c r="AZ43" s="49">
        <f ca="1">-Операции!AZ363</f>
        <v>-3457183.1284545055</v>
      </c>
      <c r="BA43" s="49">
        <f ca="1">-Операции!BA363</f>
        <v>-3468718.4640762554</v>
      </c>
      <c r="BB43" s="49">
        <f ca="1">-Операции!BB363</f>
        <v>-3479918.3375611203</v>
      </c>
      <c r="BC43" s="49">
        <f ca="1">-Операции!BC363</f>
        <v>-3491529.5321286451</v>
      </c>
      <c r="BD43" s="49">
        <f ca="1">-Операции!BD363</f>
        <v>-3502803.0584852798</v>
      </c>
      <c r="BE43" s="49">
        <f ca="1">-Операции!BE363</f>
        <v>-3514490.610863965</v>
      </c>
      <c r="BF43" s="49">
        <f ca="1">-Операции!BF363</f>
        <v>-3526217.1602625581</v>
      </c>
      <c r="BG43" s="49">
        <f ca="1">-Операции!BG363</f>
        <v>-3537602.686786002</v>
      </c>
      <c r="BH43" s="49">
        <f ca="1">-Операции!BH363</f>
        <v>-3549406.3525949134</v>
      </c>
      <c r="BI43" s="49">
        <f ca="1">-Операции!BI363</f>
        <v>-3560866.7528860113</v>
      </c>
      <c r="BJ43" s="49">
        <f ca="1">-Операции!BJ363</f>
        <v>-3572748.0422399929</v>
      </c>
      <c r="BK43" s="49">
        <f ca="1">-Операции!BK363</f>
        <v>-3584636.3500579172</v>
      </c>
      <c r="BL43" s="49">
        <f ca="1">-Операции!BL363</f>
        <v>-3595793.4801250892</v>
      </c>
      <c r="BM43" s="49">
        <f ca="1">-Операции!BM363</f>
        <v>-3607758.4715647344</v>
      </c>
      <c r="BN43" s="49">
        <f ca="1">-Операции!BN363</f>
        <v>-3619375.4019109439</v>
      </c>
      <c r="BO43" s="49">
        <f ca="1">-Операции!BO363</f>
        <v>-3631418.8621207951</v>
      </c>
      <c r="BP43" s="49">
        <f ca="1">-Операции!BP363</f>
        <v>-3643111.9785840139</v>
      </c>
      <c r="BQ43" s="49">
        <f ca="1">-Операции!BQ363</f>
        <v>-3655234.4221777194</v>
      </c>
      <c r="BR43" s="49">
        <f ca="1">-Операции!BR363</f>
        <v>-3667397.2031641649</v>
      </c>
      <c r="BS43" s="49">
        <f ca="1">-Операции!BS363</f>
        <v>-3679206.1693676501</v>
      </c>
      <c r="BT43" s="49">
        <f ca="1">-Операции!BT363</f>
        <v>-3691448.7162671015</v>
      </c>
      <c r="BU43" s="49">
        <f ca="1">-Операции!BU363</f>
        <v>-3703335.1279965662</v>
      </c>
      <c r="BV43" s="49">
        <f ca="1">-Операции!BV363</f>
        <v>-3715657.9639295898</v>
      </c>
      <c r="BW43" s="49">
        <f ca="1">-Операции!BW363</f>
        <v>-3728055.7340438729</v>
      </c>
      <c r="BX43" s="49">
        <f ca="1">-Операции!BX363</f>
        <v>-3739289.2717363895</v>
      </c>
      <c r="BY43" s="49">
        <f ca="1">-Операции!BY363</f>
        <v>-3751765.8907448743</v>
      </c>
      <c r="BZ43" s="49">
        <f ca="1">-Операции!BZ363</f>
        <v>-3763879.6739061046</v>
      </c>
      <c r="CA43" s="49">
        <f ca="1">-Операции!CA363</f>
        <v>-3776438.3419503393</v>
      </c>
      <c r="CB43" s="49">
        <f ca="1">-Операции!CB363</f>
        <v>-3788631.7880576761</v>
      </c>
      <c r="CC43" s="49">
        <f ca="1">-Операции!CC363</f>
        <v>-3801273.044710462</v>
      </c>
      <c r="CD43" s="49">
        <f ca="1">-Операции!CD363</f>
        <v>-3813956.4805399794</v>
      </c>
      <c r="CE43" s="49">
        <f ca="1">-Операции!CE363</f>
        <v>-3826271.0660277368</v>
      </c>
      <c r="CF43" s="49">
        <f ca="1">-Операции!CF363</f>
        <v>-3839037.9109666538</v>
      </c>
      <c r="CG43" s="49">
        <f ca="1">-Операции!CG363</f>
        <v>-3851433.4799215063</v>
      </c>
      <c r="CH43" s="49">
        <f ca="1">-Операции!CH363</f>
        <v>-3864284.2824867731</v>
      </c>
      <c r="CI43" s="49">
        <f ca="1">-Операции!CI363</f>
        <v>-3877177.9634056264</v>
      </c>
      <c r="CJ43" s="49">
        <f ca="1">-Операции!CJ363</f>
        <v>-3888860.8426058446</v>
      </c>
      <c r="CK43" s="49">
        <f ca="1">-Операции!CK363</f>
        <v>-3901836.5263746679</v>
      </c>
    </row>
    <row r="44" spans="2:89" ht="15.75" thickBot="1">
      <c r="B44" s="45" t="s">
        <v>30</v>
      </c>
      <c r="C44" s="46"/>
      <c r="D44" s="47">
        <f t="shared" ca="1" si="6"/>
        <v>-16467857.14285714</v>
      </c>
      <c r="E44" s="48"/>
      <c r="F44" s="49">
        <f ca="1">-Налоги!F163</f>
        <v>0</v>
      </c>
      <c r="G44" s="49">
        <f ca="1">-Налоги!G163</f>
        <v>0</v>
      </c>
      <c r="H44" s="49">
        <f ca="1">-Налоги!H163</f>
        <v>0</v>
      </c>
      <c r="I44" s="49">
        <f ca="1">-Налоги!I163</f>
        <v>0</v>
      </c>
      <c r="J44" s="49">
        <f ca="1">-Налоги!J163</f>
        <v>0</v>
      </c>
      <c r="K44" s="49">
        <f ca="1">-Налоги!K163</f>
        <v>0</v>
      </c>
      <c r="L44" s="49">
        <f ca="1">-Налоги!L163</f>
        <v>0</v>
      </c>
      <c r="M44" s="49">
        <f ca="1">-Налоги!M163</f>
        <v>0</v>
      </c>
      <c r="N44" s="49">
        <f ca="1">-Налоги!N163</f>
        <v>0</v>
      </c>
      <c r="O44" s="49">
        <f ca="1">-Налоги!O163</f>
        <v>0</v>
      </c>
      <c r="P44" s="49">
        <f ca="1">-Налоги!P163</f>
        <v>0</v>
      </c>
      <c r="Q44" s="49">
        <f ca="1">-Налоги!Q163</f>
        <v>0</v>
      </c>
      <c r="R44" s="49">
        <f ca="1">-Налоги!R163</f>
        <v>0</v>
      </c>
      <c r="S44" s="49">
        <f ca="1">-Налоги!S163</f>
        <v>0</v>
      </c>
      <c r="T44" s="49">
        <f ca="1">-Налоги!T163</f>
        <v>-5696428.5714285709</v>
      </c>
      <c r="U44" s="49">
        <f ca="1">-Налоги!U163</f>
        <v>0</v>
      </c>
      <c r="V44" s="49">
        <f ca="1">-Налоги!V163</f>
        <v>0</v>
      </c>
      <c r="W44" s="49">
        <f ca="1">-Налоги!W163</f>
        <v>-5489285.7142857136</v>
      </c>
      <c r="X44" s="49">
        <f ca="1">-Налоги!X163</f>
        <v>0</v>
      </c>
      <c r="Y44" s="49">
        <f ca="1">-Налоги!Y163</f>
        <v>0</v>
      </c>
      <c r="Z44" s="49">
        <f ca="1">-Налоги!Z163</f>
        <v>-5282142.8571428563</v>
      </c>
      <c r="AA44" s="49">
        <f ca="1">-Налоги!AA163</f>
        <v>0</v>
      </c>
      <c r="AB44" s="49">
        <f ca="1">-Налоги!AB163</f>
        <v>0</v>
      </c>
      <c r="AC44" s="49">
        <f ca="1">-Налоги!AC163</f>
        <v>0</v>
      </c>
      <c r="AD44" s="49">
        <f ca="1">-Налоги!AD163</f>
        <v>0</v>
      </c>
      <c r="AE44" s="49">
        <f ca="1">-Налоги!AE163</f>
        <v>0</v>
      </c>
      <c r="AF44" s="49">
        <f ca="1">-Налоги!AF163</f>
        <v>0</v>
      </c>
      <c r="AG44" s="49">
        <f ca="1">-Налоги!AG163</f>
        <v>0</v>
      </c>
      <c r="AH44" s="49">
        <f ca="1">-Налоги!AH163</f>
        <v>0</v>
      </c>
      <c r="AI44" s="49">
        <f ca="1">-Налоги!AI163</f>
        <v>0</v>
      </c>
      <c r="AJ44" s="49">
        <f ca="1">-Налоги!AJ163</f>
        <v>0</v>
      </c>
      <c r="AK44" s="49">
        <f ca="1">-Налоги!AK163</f>
        <v>0</v>
      </c>
      <c r="AL44" s="49">
        <f ca="1">-Налоги!AL163</f>
        <v>0</v>
      </c>
      <c r="AM44" s="49">
        <f ca="1">-Налоги!AM163</f>
        <v>0</v>
      </c>
      <c r="AN44" s="49">
        <f ca="1">-Налоги!AN163</f>
        <v>0</v>
      </c>
      <c r="AO44" s="49">
        <f ca="1">-Налоги!AO163</f>
        <v>0</v>
      </c>
      <c r="AP44" s="49">
        <f ca="1">-Налоги!AP163</f>
        <v>0</v>
      </c>
      <c r="AQ44" s="49">
        <f ca="1">-Налоги!AQ163</f>
        <v>0</v>
      </c>
      <c r="AR44" s="49">
        <f ca="1">-Налоги!AR163</f>
        <v>0</v>
      </c>
      <c r="AS44" s="49">
        <f ca="1">-Налоги!AS163</f>
        <v>0</v>
      </c>
      <c r="AT44" s="49">
        <f ca="1">-Налоги!AT163</f>
        <v>0</v>
      </c>
      <c r="AU44" s="49">
        <f ca="1">-Налоги!AU163</f>
        <v>0</v>
      </c>
      <c r="AV44" s="49">
        <f ca="1">-Налоги!AV163</f>
        <v>0</v>
      </c>
      <c r="AW44" s="49">
        <f ca="1">-Налоги!AW163</f>
        <v>0</v>
      </c>
      <c r="AX44" s="49">
        <f ca="1">-Налоги!AX163</f>
        <v>0</v>
      </c>
      <c r="AY44" s="49">
        <f ca="1">-Налоги!AY163</f>
        <v>0</v>
      </c>
      <c r="AZ44" s="49">
        <f ca="1">-Налоги!AZ163</f>
        <v>0</v>
      </c>
      <c r="BA44" s="49">
        <f ca="1">-Налоги!BA163</f>
        <v>0</v>
      </c>
      <c r="BB44" s="49">
        <f ca="1">-Налоги!BB163</f>
        <v>0</v>
      </c>
      <c r="BC44" s="49">
        <f ca="1">-Налоги!BC163</f>
        <v>0</v>
      </c>
      <c r="BD44" s="49">
        <f ca="1">-Налоги!BD163</f>
        <v>0</v>
      </c>
      <c r="BE44" s="49">
        <f ca="1">-Налоги!BE163</f>
        <v>0</v>
      </c>
      <c r="BF44" s="49">
        <f ca="1">-Налоги!BF163</f>
        <v>0</v>
      </c>
      <c r="BG44" s="49">
        <f ca="1">-Налоги!BG163</f>
        <v>0</v>
      </c>
      <c r="BH44" s="49">
        <f ca="1">-Налоги!BH163</f>
        <v>0</v>
      </c>
      <c r="BI44" s="49">
        <f ca="1">-Налоги!BI163</f>
        <v>0</v>
      </c>
      <c r="BJ44" s="49">
        <f ca="1">-Налоги!BJ163</f>
        <v>0</v>
      </c>
      <c r="BK44" s="49">
        <f ca="1">-Налоги!BK163</f>
        <v>0</v>
      </c>
      <c r="BL44" s="49">
        <f ca="1">-Налоги!BL163</f>
        <v>0</v>
      </c>
      <c r="BM44" s="49">
        <f ca="1">-Налоги!BM163</f>
        <v>0</v>
      </c>
      <c r="BN44" s="49">
        <f ca="1">-Налоги!BN163</f>
        <v>0</v>
      </c>
      <c r="BO44" s="49">
        <f ca="1">-Налоги!BO163</f>
        <v>0</v>
      </c>
      <c r="BP44" s="49">
        <f ca="1">-Налоги!BP163</f>
        <v>0</v>
      </c>
      <c r="BQ44" s="49">
        <f ca="1">-Налоги!BQ163</f>
        <v>0</v>
      </c>
      <c r="BR44" s="49">
        <f ca="1">-Налоги!BR163</f>
        <v>0</v>
      </c>
      <c r="BS44" s="49">
        <f ca="1">-Налоги!BS163</f>
        <v>0</v>
      </c>
      <c r="BT44" s="49">
        <f ca="1">-Налоги!BT163</f>
        <v>0</v>
      </c>
      <c r="BU44" s="49">
        <f ca="1">-Налоги!BU163</f>
        <v>0</v>
      </c>
      <c r="BV44" s="49">
        <f ca="1">-Налоги!BV163</f>
        <v>0</v>
      </c>
      <c r="BW44" s="49">
        <f ca="1">-Налоги!BW163</f>
        <v>0</v>
      </c>
      <c r="BX44" s="49">
        <f ca="1">-Налоги!BX163</f>
        <v>0</v>
      </c>
      <c r="BY44" s="49">
        <f ca="1">-Налоги!BY163</f>
        <v>0</v>
      </c>
      <c r="BZ44" s="49">
        <f ca="1">-Налоги!BZ163</f>
        <v>0</v>
      </c>
      <c r="CA44" s="49">
        <f ca="1">-Налоги!CA163</f>
        <v>0</v>
      </c>
      <c r="CB44" s="49">
        <f ca="1">-Налоги!CB163</f>
        <v>0</v>
      </c>
      <c r="CC44" s="49">
        <f ca="1">-Налоги!CC163</f>
        <v>0</v>
      </c>
      <c r="CD44" s="49">
        <f ca="1">-Налоги!CD163</f>
        <v>0</v>
      </c>
      <c r="CE44" s="49">
        <f ca="1">-Налоги!CE163</f>
        <v>0</v>
      </c>
      <c r="CF44" s="49">
        <f ca="1">-Налоги!CF163</f>
        <v>0</v>
      </c>
      <c r="CG44" s="49">
        <f ca="1">-Налоги!CG163</f>
        <v>0</v>
      </c>
      <c r="CH44" s="49">
        <f ca="1">-Налоги!CH163</f>
        <v>0</v>
      </c>
      <c r="CI44" s="49">
        <f ca="1">-Налоги!CI163</f>
        <v>0</v>
      </c>
      <c r="CJ44" s="49">
        <f ca="1">-Налоги!CJ163</f>
        <v>0</v>
      </c>
      <c r="CK44" s="49">
        <f ca="1">-Налоги!CK163</f>
        <v>0</v>
      </c>
    </row>
    <row r="45" spans="2:89" ht="15.75" thickTop="1">
      <c r="B45" s="50" t="s">
        <v>75</v>
      </c>
      <c r="C45" s="51"/>
      <c r="D45" s="52">
        <f ca="1">SUM(F45:CK45)</f>
        <v>5366621073.6345043</v>
      </c>
      <c r="E45" s="53"/>
      <c r="F45" s="54">
        <f ca="1">SUM(F38,F41:F44)</f>
        <v>0</v>
      </c>
      <c r="G45" s="54">
        <f t="shared" ref="G45:AG45" ca="1" si="7">SUM(G38,G41:G44)</f>
        <v>0</v>
      </c>
      <c r="H45" s="54">
        <f t="shared" ca="1" si="7"/>
        <v>0</v>
      </c>
      <c r="I45" s="54">
        <f t="shared" ca="1" si="7"/>
        <v>0</v>
      </c>
      <c r="J45" s="54">
        <f t="shared" ca="1" si="7"/>
        <v>0</v>
      </c>
      <c r="K45" s="54">
        <f t="shared" ca="1" si="7"/>
        <v>0</v>
      </c>
      <c r="L45" s="54">
        <f t="shared" ca="1" si="7"/>
        <v>0</v>
      </c>
      <c r="M45" s="54">
        <f t="shared" ca="1" si="7"/>
        <v>0</v>
      </c>
      <c r="N45" s="54">
        <f t="shared" ca="1" si="7"/>
        <v>0</v>
      </c>
      <c r="O45" s="54">
        <f t="shared" ca="1" si="7"/>
        <v>0</v>
      </c>
      <c r="P45" s="54">
        <f t="shared" ca="1" si="7"/>
        <v>0</v>
      </c>
      <c r="Q45" s="54">
        <f t="shared" ca="1" si="7"/>
        <v>0</v>
      </c>
      <c r="R45" s="54">
        <f t="shared" ca="1" si="7"/>
        <v>19963141.54972443</v>
      </c>
      <c r="S45" s="54">
        <f t="shared" ca="1" si="7"/>
        <v>20048546.122839205</v>
      </c>
      <c r="T45" s="54">
        <f t="shared" ca="1" si="7"/>
        <v>14435106.120850317</v>
      </c>
      <c r="U45" s="54">
        <f t="shared" ca="1" si="7"/>
        <v>20217641.243682094</v>
      </c>
      <c r="V45" s="54">
        <f t="shared" ca="1" si="7"/>
        <v>20304106.700155571</v>
      </c>
      <c r="W45" s="54">
        <f t="shared" ca="1" si="7"/>
        <v>14898840.339075293</v>
      </c>
      <c r="X45" s="54">
        <f t="shared" ca="1" si="7"/>
        <v>20475302.024736769</v>
      </c>
      <c r="Y45" s="54">
        <f t="shared" ca="1" si="7"/>
        <v>20560011.733465157</v>
      </c>
      <c r="Z45" s="54">
        <f t="shared" ca="1" si="7"/>
        <v>15365761.078845767</v>
      </c>
      <c r="AA45" s="54">
        <f t="shared" ca="1" si="7"/>
        <v>20736404.638114415</v>
      </c>
      <c r="AB45" s="54">
        <f t="shared" ca="1" si="7"/>
        <v>20816658.485263426</v>
      </c>
      <c r="AC45" s="54">
        <f t="shared" ca="1" si="7"/>
        <v>20905864.122808378</v>
      </c>
      <c r="AD45" s="54">
        <f t="shared" ca="1" si="7"/>
        <v>25939654.050340723</v>
      </c>
      <c r="AE45" s="54">
        <f t="shared" ca="1" si="7"/>
        <v>27096435.537577707</v>
      </c>
      <c r="AF45" s="54">
        <f t="shared" ca="1" si="7"/>
        <v>28412176.621800341</v>
      </c>
      <c r="AG45" s="54">
        <f t="shared" ca="1" si="7"/>
        <v>30013127.834203009</v>
      </c>
      <c r="AH45" s="54">
        <f t="shared" ref="AH45:BM45" ca="1" si="8">SUM(AH38,AH41:AH44)</f>
        <v>31905842.389597971</v>
      </c>
      <c r="AI45" s="54">
        <f t="shared" ca="1" si="8"/>
        <v>34067667.01201652</v>
      </c>
      <c r="AJ45" s="54">
        <f t="shared" ca="1" si="8"/>
        <v>36706856.352445215</v>
      </c>
      <c r="AK45" s="54">
        <f t="shared" ca="1" si="8"/>
        <v>39725771.121417239</v>
      </c>
      <c r="AL45" s="54">
        <f t="shared" ca="1" si="8"/>
        <v>43415425.301719904</v>
      </c>
      <c r="AM45" s="54">
        <f t="shared" ca="1" si="8"/>
        <v>47792558.807448044</v>
      </c>
      <c r="AN45" s="54">
        <f t="shared" ca="1" si="8"/>
        <v>52444074.543852106</v>
      </c>
      <c r="AO45" s="54">
        <f t="shared" ca="1" si="8"/>
        <v>58506639.826474331</v>
      </c>
      <c r="AP45" s="54">
        <f t="shared" ca="1" si="8"/>
        <v>60720306.056748807</v>
      </c>
      <c r="AQ45" s="54">
        <f t="shared" ca="1" si="8"/>
        <v>63147784.81048505</v>
      </c>
      <c r="AR45" s="54">
        <f t="shared" ca="1" si="8"/>
        <v>65641056.830401972</v>
      </c>
      <c r="AS45" s="54">
        <f t="shared" ca="1" si="8"/>
        <v>68375890.485520244</v>
      </c>
      <c r="AT45" s="54">
        <f t="shared" ca="1" si="8"/>
        <v>71282107.005781159</v>
      </c>
      <c r="AU45" s="54">
        <f t="shared" ca="1" si="8"/>
        <v>74268221.079631492</v>
      </c>
      <c r="AV45" s="54">
        <f t="shared" ca="1" si="8"/>
        <v>77544820.429282382</v>
      </c>
      <c r="AW45" s="54">
        <f t="shared" ca="1" si="8"/>
        <v>80912237.094542563</v>
      </c>
      <c r="AX45" s="54">
        <f t="shared" ca="1" si="8"/>
        <v>84607998.390489727</v>
      </c>
      <c r="AY45" s="54">
        <f t="shared" ca="1" si="8"/>
        <v>88537500.404626235</v>
      </c>
      <c r="AZ45" s="54">
        <f t="shared" ca="1" si="8"/>
        <v>92300234.634215206</v>
      </c>
      <c r="BA45" s="54">
        <f t="shared" ca="1" si="8"/>
        <v>96717337.318311155</v>
      </c>
      <c r="BB45" s="54">
        <f t="shared" ca="1" si="8"/>
        <v>97106568.171782389</v>
      </c>
      <c r="BC45" s="54">
        <f t="shared" ca="1" si="8"/>
        <v>97510407.218537316</v>
      </c>
      <c r="BD45" s="54">
        <f t="shared" ca="1" si="8"/>
        <v>97902806.674620137</v>
      </c>
      <c r="BE45" s="54">
        <f t="shared" ca="1" si="8"/>
        <v>98309933.162176311</v>
      </c>
      <c r="BF45" s="54">
        <f t="shared" ca="1" si="8"/>
        <v>98718740.495104551</v>
      </c>
      <c r="BG45" s="54">
        <f t="shared" ca="1" si="8"/>
        <v>99115967.379062265</v>
      </c>
      <c r="BH45" s="54">
        <f t="shared" ca="1" si="8"/>
        <v>99528102.345680565</v>
      </c>
      <c r="BI45" s="54">
        <f t="shared" ca="1" si="8"/>
        <v>99928562.519249752</v>
      </c>
      <c r="BJ45" s="54">
        <f t="shared" ca="1" si="8"/>
        <v>100344052.0382612</v>
      </c>
      <c r="BK45" s="54">
        <f t="shared" ca="1" si="8"/>
        <v>100760114.46860826</v>
      </c>
      <c r="BL45" s="54">
        <f t="shared" ca="1" si="8"/>
        <v>101150884.61448355</v>
      </c>
      <c r="BM45" s="54">
        <f t="shared" ca="1" si="8"/>
        <v>101570268.44106442</v>
      </c>
      <c r="BN45" s="54">
        <f t="shared" ref="BN45:CK45" ca="1" si="9">SUM(BN38,BN41:BN44)</f>
        <v>101977767.41522346</v>
      </c>
      <c r="BO45" s="54">
        <f t="shared" ca="1" si="9"/>
        <v>102400555.00891028</v>
      </c>
      <c r="BP45" s="54">
        <f t="shared" ca="1" si="9"/>
        <v>102811361.2091527</v>
      </c>
      <c r="BQ45" s="54">
        <f t="shared" ca="1" si="9"/>
        <v>103237580.02477975</v>
      </c>
      <c r="BR45" s="54">
        <f t="shared" ca="1" si="9"/>
        <v>103665553.16816825</v>
      </c>
      <c r="BS45" s="54">
        <f t="shared" ca="1" si="9"/>
        <v>104081397.83929402</v>
      </c>
      <c r="BT45" s="54">
        <f t="shared" ca="1" si="9"/>
        <v>104512844.02904147</v>
      </c>
      <c r="BU45" s="54">
        <f t="shared" ca="1" si="9"/>
        <v>104932063.23905358</v>
      </c>
      <c r="BV45" s="54">
        <f t="shared" ca="1" si="9"/>
        <v>105367010.48572491</v>
      </c>
      <c r="BW45" s="54">
        <f t="shared" ca="1" si="9"/>
        <v>105804946.77047382</v>
      </c>
      <c r="BX45" s="54">
        <f t="shared" ca="1" si="9"/>
        <v>106202055.27711053</v>
      </c>
      <c r="BY45" s="54">
        <f t="shared" ca="1" si="9"/>
        <v>106643437.51036693</v>
      </c>
      <c r="BZ45" s="54">
        <f t="shared" ca="1" si="9"/>
        <v>107072315.71683823</v>
      </c>
      <c r="CA45" s="54">
        <f t="shared" ca="1" si="9"/>
        <v>107517289.0468986</v>
      </c>
      <c r="CB45" s="54">
        <f t="shared" ca="1" si="9"/>
        <v>107949656.53065267</v>
      </c>
      <c r="CC45" s="54">
        <f t="shared" ca="1" si="9"/>
        <v>108398249.995426</v>
      </c>
      <c r="CD45" s="54">
        <f t="shared" ca="1" si="9"/>
        <v>108848694.40374675</v>
      </c>
      <c r="CE45" s="54">
        <f t="shared" ca="1" si="9"/>
        <v>109286377.84135149</v>
      </c>
      <c r="CF45" s="54">
        <f t="shared" ca="1" si="9"/>
        <v>109740486.62155347</v>
      </c>
      <c r="CG45" s="54">
        <f t="shared" ca="1" si="9"/>
        <v>110181730.53236061</v>
      </c>
      <c r="CH45" s="54">
        <f t="shared" ca="1" si="9"/>
        <v>110639533.31161256</v>
      </c>
      <c r="CI45" s="54">
        <f t="shared" ca="1" si="9"/>
        <v>111099224.79935719</v>
      </c>
      <c r="CJ45" s="54">
        <f t="shared" ca="1" si="9"/>
        <v>111516059.84060235</v>
      </c>
      <c r="CK45" s="54">
        <f t="shared" ca="1" si="9"/>
        <v>111979367.3896839</v>
      </c>
    </row>
    <row r="46" spans="2:89" ht="15.75" thickBot="1">
      <c r="B46" s="88" t="s">
        <v>510</v>
      </c>
      <c r="C46" s="89"/>
      <c r="D46" s="147">
        <f t="shared" ref="D46:AG46" ca="1" si="10">IFERROR(D45/D$35,"неприменимо")</f>
        <v>0.46524958845052056</v>
      </c>
      <c r="E46" s="90"/>
      <c r="F46" s="91" t="str">
        <f t="shared" ca="1" si="10"/>
        <v>неприменимо</v>
      </c>
      <c r="G46" s="91" t="str">
        <f t="shared" ca="1" si="10"/>
        <v>неприменимо</v>
      </c>
      <c r="H46" s="91" t="str">
        <f t="shared" ca="1" si="10"/>
        <v>неприменимо</v>
      </c>
      <c r="I46" s="91" t="str">
        <f t="shared" ca="1" si="10"/>
        <v>неприменимо</v>
      </c>
      <c r="J46" s="91" t="str">
        <f t="shared" ca="1" si="10"/>
        <v>неприменимо</v>
      </c>
      <c r="K46" s="91" t="str">
        <f t="shared" ca="1" si="10"/>
        <v>неприменимо</v>
      </c>
      <c r="L46" s="91" t="str">
        <f t="shared" ca="1" si="10"/>
        <v>неприменимо</v>
      </c>
      <c r="M46" s="91" t="str">
        <f t="shared" ca="1" si="10"/>
        <v>неприменимо</v>
      </c>
      <c r="N46" s="91" t="str">
        <f t="shared" ca="1" si="10"/>
        <v>неприменимо</v>
      </c>
      <c r="O46" s="91" t="str">
        <f t="shared" ca="1" si="10"/>
        <v>неприменимо</v>
      </c>
      <c r="P46" s="91" t="str">
        <f t="shared" ca="1" si="10"/>
        <v>неприменимо</v>
      </c>
      <c r="Q46" s="91" t="str">
        <f t="shared" ca="1" si="10"/>
        <v>неприменимо</v>
      </c>
      <c r="R46" s="91">
        <f t="shared" ca="1" si="10"/>
        <v>0.25958879278738539</v>
      </c>
      <c r="S46" s="91">
        <f t="shared" ca="1" si="10"/>
        <v>0.25962422583952943</v>
      </c>
      <c r="T46" s="91">
        <f t="shared" ca="1" si="10"/>
        <v>0.18618534065997061</v>
      </c>
      <c r="U46" s="91">
        <f t="shared" ca="1" si="10"/>
        <v>0.25969361179088007</v>
      </c>
      <c r="V46" s="91">
        <f t="shared" ca="1" si="10"/>
        <v>0.25972870231882539</v>
      </c>
      <c r="W46" s="91">
        <f t="shared" ca="1" si="10"/>
        <v>0.18982425189706939</v>
      </c>
      <c r="X46" s="91">
        <f t="shared" ca="1" si="10"/>
        <v>0.25979741495100739</v>
      </c>
      <c r="Y46" s="91">
        <f t="shared" ca="1" si="10"/>
        <v>0.25983104451580613</v>
      </c>
      <c r="Z46" s="91">
        <f t="shared" ca="1" si="10"/>
        <v>0.19338689258355513</v>
      </c>
      <c r="AA46" s="91">
        <f t="shared" ca="1" si="10"/>
        <v>0.25990029874042941</v>
      </c>
      <c r="AB46" s="91">
        <f t="shared" ca="1" si="10"/>
        <v>0.25993146629088504</v>
      </c>
      <c r="AC46" s="91">
        <f t="shared" ca="1" si="10"/>
        <v>0.25996586337670025</v>
      </c>
      <c r="AD46" s="91">
        <f t="shared" ca="1" si="10"/>
        <v>0.29150835823470567</v>
      </c>
      <c r="AE46" s="91">
        <f t="shared" ca="1" si="10"/>
        <v>0.29560583441142552</v>
      </c>
      <c r="AF46" s="91">
        <f t="shared" ca="1" si="10"/>
        <v>0.30058997074955929</v>
      </c>
      <c r="AG46" s="91">
        <f t="shared" ca="1" si="10"/>
        <v>0.30691232058192708</v>
      </c>
      <c r="AH46" s="91">
        <f t="shared" ref="AH46:BM46" ca="1" si="11">IFERROR(AH45/AH$35,"неприменимо")</f>
        <v>0.31454735693306451</v>
      </c>
      <c r="AI46" s="91">
        <f t="shared" ca="1" si="11"/>
        <v>0.32329772618724917</v>
      </c>
      <c r="AJ46" s="91">
        <f t="shared" ca="1" si="11"/>
        <v>0.33385322099889297</v>
      </c>
      <c r="AK46" s="91">
        <f t="shared" ca="1" si="11"/>
        <v>0.34562046359069321</v>
      </c>
      <c r="AL46" s="91">
        <f t="shared" ca="1" si="11"/>
        <v>0.35945401318719694</v>
      </c>
      <c r="AM46" s="91">
        <f t="shared" ca="1" si="11"/>
        <v>0.37503126931095521</v>
      </c>
      <c r="AN46" s="91">
        <f t="shared" ca="1" si="11"/>
        <v>0.39060593202714738</v>
      </c>
      <c r="AO46" s="91">
        <f t="shared" ca="1" si="11"/>
        <v>0.40948401337551016</v>
      </c>
      <c r="AP46" s="91">
        <f t="shared" ca="1" si="11"/>
        <v>0.41716601112211965</v>
      </c>
      <c r="AQ46" s="91">
        <f t="shared" ca="1" si="11"/>
        <v>0.42532628305832432</v>
      </c>
      <c r="AR46" s="91">
        <f t="shared" ca="1" si="11"/>
        <v>0.43343379735916693</v>
      </c>
      <c r="AS46" s="91">
        <f t="shared" ca="1" si="11"/>
        <v>0.44202327749239917</v>
      </c>
      <c r="AT46" s="91">
        <f t="shared" ca="1" si="11"/>
        <v>0.45082101767297683</v>
      </c>
      <c r="AU46" s="91">
        <f t="shared" ca="1" si="11"/>
        <v>0.45952565292737219</v>
      </c>
      <c r="AV46" s="91">
        <f t="shared" ca="1" si="11"/>
        <v>0.46870859622986538</v>
      </c>
      <c r="AW46" s="91">
        <f t="shared" ca="1" si="11"/>
        <v>0.47776790303692585</v>
      </c>
      <c r="AX46" s="91">
        <f t="shared" ca="1" si="11"/>
        <v>0.48729660315389461</v>
      </c>
      <c r="AY46" s="91">
        <f t="shared" ca="1" si="11"/>
        <v>0.49698336716876462</v>
      </c>
      <c r="AZ46" s="91">
        <f t="shared" ca="1" si="11"/>
        <v>0.50585761118592576</v>
      </c>
      <c r="BA46" s="91">
        <f t="shared" ca="1" si="11"/>
        <v>0.51580801658598752</v>
      </c>
      <c r="BB46" s="91">
        <f t="shared" ca="1" si="11"/>
        <v>0.51581120932996993</v>
      </c>
      <c r="BC46" s="91">
        <f t="shared" ca="1" si="11"/>
        <v>0.51581444577833735</v>
      </c>
      <c r="BD46" s="91">
        <f t="shared" ca="1" si="11"/>
        <v>0.51581751716657642</v>
      </c>
      <c r="BE46" s="91">
        <f t="shared" ca="1" si="11"/>
        <v>0.51582062829420139</v>
      </c>
      <c r="BF46" s="91">
        <f t="shared" ca="1" si="11"/>
        <v>0.51582367579564092</v>
      </c>
      <c r="BG46" s="91">
        <f t="shared" ca="1" si="11"/>
        <v>0.51582656444891184</v>
      </c>
      <c r="BH46" s="91">
        <f t="shared" ca="1" si="11"/>
        <v>0.5158294868710962</v>
      </c>
      <c r="BI46" s="91">
        <f t="shared" ca="1" si="11"/>
        <v>0.51583225455727277</v>
      </c>
      <c r="BJ46" s="91">
        <f t="shared" ca="1" si="11"/>
        <v>0.51583505205998303</v>
      </c>
      <c r="BK46" s="91">
        <f t="shared" ca="1" si="11"/>
        <v>0.5158377787563776</v>
      </c>
      <c r="BL46" s="91">
        <f t="shared" ca="1" si="11"/>
        <v>0.51584027246951625</v>
      </c>
      <c r="BM46" s="91">
        <f t="shared" ca="1" si="11"/>
        <v>0.51584287719845834</v>
      </c>
      <c r="BN46" s="91">
        <f t="shared" ref="BN46:CK46" ca="1" si="12">IFERROR(BN45/BN$35,"неприменимо")</f>
        <v>0.51584533796032528</v>
      </c>
      <c r="BO46" s="91">
        <f t="shared" ca="1" si="12"/>
        <v>0.51584781884554509</v>
      </c>
      <c r="BP46" s="91">
        <f t="shared" ca="1" si="12"/>
        <v>0.51585015983491567</v>
      </c>
      <c r="BQ46" s="91">
        <f t="shared" ca="1" si="12"/>
        <v>0.51585251703396584</v>
      </c>
      <c r="BR46" s="91">
        <f t="shared" ca="1" si="12"/>
        <v>0.51585481143640499</v>
      </c>
      <c r="BS46" s="91">
        <f t="shared" ca="1" si="12"/>
        <v>0.51585697207335413</v>
      </c>
      <c r="BT46" s="91">
        <f t="shared" ca="1" si="12"/>
        <v>0.51585914302674751</v>
      </c>
      <c r="BU46" s="91">
        <f t="shared" ca="1" si="12"/>
        <v>0.51586118427282679</v>
      </c>
      <c r="BV46" s="91">
        <f t="shared" ca="1" si="12"/>
        <v>0.51586323193406858</v>
      </c>
      <c r="BW46" s="91">
        <f t="shared" ca="1" si="12"/>
        <v>0.51586522235127275</v>
      </c>
      <c r="BX46" s="91">
        <f t="shared" ca="1" si="12"/>
        <v>0.51586696608300497</v>
      </c>
      <c r="BY46" s="91">
        <f t="shared" ca="1" si="12"/>
        <v>0.51586883682356344</v>
      </c>
      <c r="BZ46" s="91">
        <f t="shared" ca="1" si="12"/>
        <v>0.5158705874024434</v>
      </c>
      <c r="CA46" s="91">
        <f t="shared" ca="1" si="12"/>
        <v>0.51587233456446946</v>
      </c>
      <c r="CB46" s="91">
        <f t="shared" ca="1" si="12"/>
        <v>0.51587396562735199</v>
      </c>
      <c r="CC46" s="91">
        <f t="shared" ca="1" si="12"/>
        <v>0.51587558936811573</v>
      </c>
      <c r="CD46" s="91">
        <f t="shared" ca="1" si="12"/>
        <v>0.51587715044678528</v>
      </c>
      <c r="CE46" s="91">
        <f t="shared" ca="1" si="12"/>
        <v>0.5158786015435789</v>
      </c>
      <c r="CF46" s="91">
        <f t="shared" ca="1" si="12"/>
        <v>0.51588003943768279</v>
      </c>
      <c r="CG46" s="91">
        <f t="shared" ca="1" si="12"/>
        <v>0.51588137139941848</v>
      </c>
      <c r="CH46" s="91">
        <f t="shared" ca="1" si="12"/>
        <v>0.5158826862655681</v>
      </c>
      <c r="CI46" s="91">
        <f t="shared" ca="1" si="12"/>
        <v>0.51588393866924898</v>
      </c>
      <c r="CJ46" s="91">
        <f t="shared" ca="1" si="12"/>
        <v>0.51588501621830818</v>
      </c>
      <c r="CK46" s="91">
        <f t="shared" ca="1" si="12"/>
        <v>0.51588614985323977</v>
      </c>
    </row>
    <row r="47" spans="2:89" ht="15.75" thickTop="1">
      <c r="B47" s="94"/>
      <c r="C47" s="14"/>
      <c r="D47" s="14"/>
      <c r="E47" s="14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</row>
    <row r="48" spans="2:89" ht="15.75" thickBot="1">
      <c r="B48" s="45" t="s">
        <v>56</v>
      </c>
      <c r="C48" s="46"/>
      <c r="D48" s="47">
        <f ca="1">SUM(F48:CK48)</f>
        <v>-903896103.89610386</v>
      </c>
      <c r="E48" s="48"/>
      <c r="F48" s="49">
        <f ca="1">Инвестиции!F80</f>
        <v>0</v>
      </c>
      <c r="G48" s="49">
        <f ca="1">Инвестиции!G80</f>
        <v>0</v>
      </c>
      <c r="H48" s="49">
        <f ca="1">Инвестиции!H80</f>
        <v>0</v>
      </c>
      <c r="I48" s="49">
        <f ca="1">Инвестиции!I80</f>
        <v>0</v>
      </c>
      <c r="J48" s="49">
        <f ca="1">Инвестиции!J80</f>
        <v>0</v>
      </c>
      <c r="K48" s="49">
        <f ca="1">Инвестиции!K80</f>
        <v>0</v>
      </c>
      <c r="L48" s="49">
        <f ca="1">Инвестиции!L80</f>
        <v>0</v>
      </c>
      <c r="M48" s="49">
        <f ca="1">Инвестиции!M80</f>
        <v>0</v>
      </c>
      <c r="N48" s="49">
        <f ca="1">Инвестиции!N80</f>
        <v>0</v>
      </c>
      <c r="O48" s="49">
        <f ca="1">Инвестиции!O80</f>
        <v>0</v>
      </c>
      <c r="P48" s="49">
        <f ca="1">Инвестиции!P80</f>
        <v>0</v>
      </c>
      <c r="Q48" s="49">
        <f ca="1">Инвестиции!Q80</f>
        <v>0</v>
      </c>
      <c r="R48" s="49">
        <f ca="1">Инвестиции!R80</f>
        <v>-12554112.554112554</v>
      </c>
      <c r="S48" s="49">
        <f ca="1">Инвестиции!S80</f>
        <v>-12554112.554112554</v>
      </c>
      <c r="T48" s="49">
        <f ca="1">Инвестиции!T80</f>
        <v>-12554112.554112554</v>
      </c>
      <c r="U48" s="49">
        <f ca="1">Инвестиции!U80</f>
        <v>-12554112.554112554</v>
      </c>
      <c r="V48" s="49">
        <f ca="1">Инвестиции!V80</f>
        <v>-12554112.554112554</v>
      </c>
      <c r="W48" s="49">
        <f ca="1">Инвестиции!W80</f>
        <v>-12554112.554112554</v>
      </c>
      <c r="X48" s="49">
        <f ca="1">Инвестиции!X80</f>
        <v>-12554112.554112554</v>
      </c>
      <c r="Y48" s="49">
        <f ca="1">Инвестиции!Y80</f>
        <v>-12554112.554112554</v>
      </c>
      <c r="Z48" s="49">
        <f ca="1">Инвестиции!Z80</f>
        <v>-12554112.554112554</v>
      </c>
      <c r="AA48" s="49">
        <f ca="1">Инвестиции!AA80</f>
        <v>-12554112.554112554</v>
      </c>
      <c r="AB48" s="49">
        <f ca="1">Инвестиции!AB80</f>
        <v>-12554112.554112554</v>
      </c>
      <c r="AC48" s="49">
        <f ca="1">Инвестиции!AC80</f>
        <v>-12554112.554112554</v>
      </c>
      <c r="AD48" s="49">
        <f ca="1">Инвестиции!AD80</f>
        <v>-12554112.554112554</v>
      </c>
      <c r="AE48" s="49">
        <f ca="1">Инвестиции!AE80</f>
        <v>-12554112.554112554</v>
      </c>
      <c r="AF48" s="49">
        <f ca="1">Инвестиции!AF80</f>
        <v>-12554112.554112554</v>
      </c>
      <c r="AG48" s="49">
        <f ca="1">Инвестиции!AG80</f>
        <v>-12554112.554112554</v>
      </c>
      <c r="AH48" s="49">
        <f ca="1">Инвестиции!AH80</f>
        <v>-12554112.554112554</v>
      </c>
      <c r="AI48" s="49">
        <f ca="1">Инвестиции!AI80</f>
        <v>-12554112.554112554</v>
      </c>
      <c r="AJ48" s="49">
        <f ca="1">Инвестиции!AJ80</f>
        <v>-12554112.554112554</v>
      </c>
      <c r="AK48" s="49">
        <f ca="1">Инвестиции!AK80</f>
        <v>-12554112.554112554</v>
      </c>
      <c r="AL48" s="49">
        <f ca="1">Инвестиции!AL80</f>
        <v>-12554112.554112554</v>
      </c>
      <c r="AM48" s="49">
        <f ca="1">Инвестиции!AM80</f>
        <v>-12554112.554112554</v>
      </c>
      <c r="AN48" s="49">
        <f ca="1">Инвестиции!AN80</f>
        <v>-12554112.554112554</v>
      </c>
      <c r="AO48" s="49">
        <f ca="1">Инвестиции!AO80</f>
        <v>-12554112.554112554</v>
      </c>
      <c r="AP48" s="49">
        <f ca="1">Инвестиции!AP80</f>
        <v>-12554112.554112554</v>
      </c>
      <c r="AQ48" s="49">
        <f ca="1">Инвестиции!AQ80</f>
        <v>-12554112.554112554</v>
      </c>
      <c r="AR48" s="49">
        <f ca="1">Инвестиции!AR80</f>
        <v>-12554112.554112554</v>
      </c>
      <c r="AS48" s="49">
        <f ca="1">Инвестиции!AS80</f>
        <v>-12554112.554112554</v>
      </c>
      <c r="AT48" s="49">
        <f ca="1">Инвестиции!AT80</f>
        <v>-12554112.554112554</v>
      </c>
      <c r="AU48" s="49">
        <f ca="1">Инвестиции!AU80</f>
        <v>-12554112.554112554</v>
      </c>
      <c r="AV48" s="49">
        <f ca="1">Инвестиции!AV80</f>
        <v>-12554112.554112554</v>
      </c>
      <c r="AW48" s="49">
        <f ca="1">Инвестиции!AW80</f>
        <v>-12554112.554112554</v>
      </c>
      <c r="AX48" s="49">
        <f ca="1">Инвестиции!AX80</f>
        <v>-12554112.554112554</v>
      </c>
      <c r="AY48" s="49">
        <f ca="1">Инвестиции!AY80</f>
        <v>-12554112.554112554</v>
      </c>
      <c r="AZ48" s="49">
        <f ca="1">Инвестиции!AZ80</f>
        <v>-12554112.554112554</v>
      </c>
      <c r="BA48" s="49">
        <f ca="1">Инвестиции!BA80</f>
        <v>-12554112.554112554</v>
      </c>
      <c r="BB48" s="49">
        <f ca="1">Инвестиции!BB80</f>
        <v>-12554112.554112554</v>
      </c>
      <c r="BC48" s="49">
        <f ca="1">Инвестиции!BC80</f>
        <v>-12554112.554112554</v>
      </c>
      <c r="BD48" s="49">
        <f ca="1">Инвестиции!BD80</f>
        <v>-12554112.554112554</v>
      </c>
      <c r="BE48" s="49">
        <f ca="1">Инвестиции!BE80</f>
        <v>-12554112.554112554</v>
      </c>
      <c r="BF48" s="49">
        <f ca="1">Инвестиции!BF80</f>
        <v>-12554112.554112554</v>
      </c>
      <c r="BG48" s="49">
        <f ca="1">Инвестиции!BG80</f>
        <v>-12554112.554112554</v>
      </c>
      <c r="BH48" s="49">
        <f ca="1">Инвестиции!BH80</f>
        <v>-12554112.554112554</v>
      </c>
      <c r="BI48" s="49">
        <f ca="1">Инвестиции!BI80</f>
        <v>-12554112.554112554</v>
      </c>
      <c r="BJ48" s="49">
        <f ca="1">Инвестиции!BJ80</f>
        <v>-12554112.554112554</v>
      </c>
      <c r="BK48" s="49">
        <f ca="1">Инвестиции!BK80</f>
        <v>-12554112.554112554</v>
      </c>
      <c r="BL48" s="49">
        <f ca="1">Инвестиции!BL80</f>
        <v>-12554112.554112554</v>
      </c>
      <c r="BM48" s="49">
        <f ca="1">Инвестиции!BM80</f>
        <v>-12554112.554112554</v>
      </c>
      <c r="BN48" s="49">
        <f ca="1">Инвестиции!BN80</f>
        <v>-12554112.554112554</v>
      </c>
      <c r="BO48" s="49">
        <f ca="1">Инвестиции!BO80</f>
        <v>-12554112.554112554</v>
      </c>
      <c r="BP48" s="49">
        <f ca="1">Инвестиции!BP80</f>
        <v>-12554112.554112554</v>
      </c>
      <c r="BQ48" s="49">
        <f ca="1">Инвестиции!BQ80</f>
        <v>-12554112.554112554</v>
      </c>
      <c r="BR48" s="49">
        <f ca="1">Инвестиции!BR80</f>
        <v>-12554112.554112554</v>
      </c>
      <c r="BS48" s="49">
        <f ca="1">Инвестиции!BS80</f>
        <v>-12554112.554112554</v>
      </c>
      <c r="BT48" s="49">
        <f ca="1">Инвестиции!BT80</f>
        <v>-12554112.554112554</v>
      </c>
      <c r="BU48" s="49">
        <f ca="1">Инвестиции!BU80</f>
        <v>-12554112.554112554</v>
      </c>
      <c r="BV48" s="49">
        <f ca="1">Инвестиции!BV80</f>
        <v>-12554112.554112554</v>
      </c>
      <c r="BW48" s="49">
        <f ca="1">Инвестиции!BW80</f>
        <v>-12554112.554112554</v>
      </c>
      <c r="BX48" s="49">
        <f ca="1">Инвестиции!BX80</f>
        <v>-12554112.554112554</v>
      </c>
      <c r="BY48" s="49">
        <f ca="1">Инвестиции!BY80</f>
        <v>-12554112.554112554</v>
      </c>
      <c r="BZ48" s="49">
        <f ca="1">Инвестиции!BZ80</f>
        <v>-12554112.554112554</v>
      </c>
      <c r="CA48" s="49">
        <f ca="1">Инвестиции!CA80</f>
        <v>-12554112.554112554</v>
      </c>
      <c r="CB48" s="49">
        <f ca="1">Инвестиции!CB80</f>
        <v>-12554112.554112554</v>
      </c>
      <c r="CC48" s="49">
        <f ca="1">Инвестиции!CC80</f>
        <v>-12554112.554112554</v>
      </c>
      <c r="CD48" s="49">
        <f ca="1">Инвестиции!CD80</f>
        <v>-12554112.554112554</v>
      </c>
      <c r="CE48" s="49">
        <f ca="1">Инвестиции!CE80</f>
        <v>-12554112.554112554</v>
      </c>
      <c r="CF48" s="49">
        <f ca="1">Инвестиции!CF80</f>
        <v>-12554112.554112554</v>
      </c>
      <c r="CG48" s="49">
        <f ca="1">Инвестиции!CG80</f>
        <v>-12554112.554112554</v>
      </c>
      <c r="CH48" s="49">
        <f ca="1">Инвестиции!CH80</f>
        <v>-12554112.554112554</v>
      </c>
      <c r="CI48" s="49">
        <f ca="1">Инвестиции!CI80</f>
        <v>-12554112.554112554</v>
      </c>
      <c r="CJ48" s="49">
        <f ca="1">Инвестиции!CJ80</f>
        <v>-12554112.554112554</v>
      </c>
      <c r="CK48" s="49">
        <f ca="1">Инвестиции!CK80</f>
        <v>-12554112.554112554</v>
      </c>
    </row>
    <row r="49" spans="2:89" ht="15.75" thickTop="1">
      <c r="B49" s="50" t="s">
        <v>76</v>
      </c>
      <c r="C49" s="51"/>
      <c r="D49" s="52">
        <f ca="1">SUM(F49:CK49)</f>
        <v>4462724969.7383995</v>
      </c>
      <c r="E49" s="53"/>
      <c r="F49" s="54">
        <f ca="1">SUM(F45,F48)</f>
        <v>0</v>
      </c>
      <c r="G49" s="54">
        <f t="shared" ref="G49:AG49" ca="1" si="13">SUM(G45,G48)</f>
        <v>0</v>
      </c>
      <c r="H49" s="54">
        <f t="shared" ca="1" si="13"/>
        <v>0</v>
      </c>
      <c r="I49" s="54">
        <f t="shared" ca="1" si="13"/>
        <v>0</v>
      </c>
      <c r="J49" s="54">
        <f t="shared" ca="1" si="13"/>
        <v>0</v>
      </c>
      <c r="K49" s="54">
        <f t="shared" ca="1" si="13"/>
        <v>0</v>
      </c>
      <c r="L49" s="54">
        <f t="shared" ca="1" si="13"/>
        <v>0</v>
      </c>
      <c r="M49" s="54">
        <f t="shared" ca="1" si="13"/>
        <v>0</v>
      </c>
      <c r="N49" s="54">
        <f t="shared" ca="1" si="13"/>
        <v>0</v>
      </c>
      <c r="O49" s="54">
        <f t="shared" ca="1" si="13"/>
        <v>0</v>
      </c>
      <c r="P49" s="54">
        <f t="shared" ca="1" si="13"/>
        <v>0</v>
      </c>
      <c r="Q49" s="54">
        <f t="shared" ca="1" si="13"/>
        <v>0</v>
      </c>
      <c r="R49" s="54">
        <f t="shared" ca="1" si="13"/>
        <v>7409028.9956118762</v>
      </c>
      <c r="S49" s="54">
        <f t="shared" ca="1" si="13"/>
        <v>7494433.5687266514</v>
      </c>
      <c r="T49" s="54">
        <f t="shared" ca="1" si="13"/>
        <v>1880993.5667377636</v>
      </c>
      <c r="U49" s="54">
        <f t="shared" ca="1" si="13"/>
        <v>7663528.6895695403</v>
      </c>
      <c r="V49" s="54">
        <f t="shared" ca="1" si="13"/>
        <v>7749994.1460430175</v>
      </c>
      <c r="W49" s="54">
        <f t="shared" ca="1" si="13"/>
        <v>2344727.7849627398</v>
      </c>
      <c r="X49" s="54">
        <f t="shared" ca="1" si="13"/>
        <v>7921189.4706242159</v>
      </c>
      <c r="Y49" s="54">
        <f t="shared" ca="1" si="13"/>
        <v>8005899.1793526039</v>
      </c>
      <c r="Z49" s="54">
        <f t="shared" ca="1" si="13"/>
        <v>2811648.5247332137</v>
      </c>
      <c r="AA49" s="54">
        <f t="shared" ca="1" si="13"/>
        <v>8182292.0840018615</v>
      </c>
      <c r="AB49" s="54">
        <f t="shared" ca="1" si="13"/>
        <v>8262545.9311508723</v>
      </c>
      <c r="AC49" s="54">
        <f t="shared" ca="1" si="13"/>
        <v>8351751.5686958246</v>
      </c>
      <c r="AD49" s="54">
        <f t="shared" ca="1" si="13"/>
        <v>13385541.49622817</v>
      </c>
      <c r="AE49" s="54">
        <f t="shared" ca="1" si="13"/>
        <v>14542322.983465154</v>
      </c>
      <c r="AF49" s="54">
        <f t="shared" ca="1" si="13"/>
        <v>15858064.067687787</v>
      </c>
      <c r="AG49" s="54">
        <f t="shared" ca="1" si="13"/>
        <v>17459015.280090455</v>
      </c>
      <c r="AH49" s="54">
        <f t="shared" ref="AH49:BM49" ca="1" si="14">SUM(AH45,AH48)</f>
        <v>19351729.835485417</v>
      </c>
      <c r="AI49" s="54">
        <f t="shared" ca="1" si="14"/>
        <v>21513554.457903966</v>
      </c>
      <c r="AJ49" s="54">
        <f t="shared" ca="1" si="14"/>
        <v>24152743.798332661</v>
      </c>
      <c r="AK49" s="54">
        <f t="shared" ca="1" si="14"/>
        <v>27171658.567304686</v>
      </c>
      <c r="AL49" s="54">
        <f t="shared" ca="1" si="14"/>
        <v>30861312.74760735</v>
      </c>
      <c r="AM49" s="54">
        <f t="shared" ca="1" si="14"/>
        <v>35238446.253335491</v>
      </c>
      <c r="AN49" s="54">
        <f t="shared" ca="1" si="14"/>
        <v>39889961.989739552</v>
      </c>
      <c r="AO49" s="54">
        <f t="shared" ca="1" si="14"/>
        <v>45952527.272361778</v>
      </c>
      <c r="AP49" s="54">
        <f t="shared" ca="1" si="14"/>
        <v>48166193.502636254</v>
      </c>
      <c r="AQ49" s="54">
        <f t="shared" ca="1" si="14"/>
        <v>50593672.256372496</v>
      </c>
      <c r="AR49" s="54">
        <f t="shared" ca="1" si="14"/>
        <v>53086944.276289418</v>
      </c>
      <c r="AS49" s="54">
        <f t="shared" ca="1" si="14"/>
        <v>55821777.93140769</v>
      </c>
      <c r="AT49" s="54">
        <f t="shared" ca="1" si="14"/>
        <v>58727994.451668605</v>
      </c>
      <c r="AU49" s="54">
        <f t="shared" ca="1" si="14"/>
        <v>61714108.525518939</v>
      </c>
      <c r="AV49" s="54">
        <f t="shared" ca="1" si="14"/>
        <v>64990707.875169829</v>
      </c>
      <c r="AW49" s="54">
        <f t="shared" ca="1" si="14"/>
        <v>68358124.540430009</v>
      </c>
      <c r="AX49" s="54">
        <f t="shared" ca="1" si="14"/>
        <v>72053885.836377174</v>
      </c>
      <c r="AY49" s="54">
        <f t="shared" ca="1" si="14"/>
        <v>75983387.850513682</v>
      </c>
      <c r="AZ49" s="54">
        <f t="shared" ca="1" si="14"/>
        <v>79746122.080102652</v>
      </c>
      <c r="BA49" s="54">
        <f t="shared" ca="1" si="14"/>
        <v>84163224.764198601</v>
      </c>
      <c r="BB49" s="54">
        <f t="shared" ca="1" si="14"/>
        <v>84552455.617669836</v>
      </c>
      <c r="BC49" s="54">
        <f t="shared" ca="1" si="14"/>
        <v>84956294.664424762</v>
      </c>
      <c r="BD49" s="54">
        <f t="shared" ca="1" si="14"/>
        <v>85348694.120507583</v>
      </c>
      <c r="BE49" s="54">
        <f t="shared" ca="1" si="14"/>
        <v>85755820.608063757</v>
      </c>
      <c r="BF49" s="54">
        <f t="shared" ca="1" si="14"/>
        <v>86164627.940991998</v>
      </c>
      <c r="BG49" s="54">
        <f t="shared" ca="1" si="14"/>
        <v>86561854.824949712</v>
      </c>
      <c r="BH49" s="54">
        <f t="shared" ca="1" si="14"/>
        <v>86973989.791568011</v>
      </c>
      <c r="BI49" s="54">
        <f t="shared" ca="1" si="14"/>
        <v>87374449.965137199</v>
      </c>
      <c r="BJ49" s="54">
        <f t="shared" ca="1" si="14"/>
        <v>87789939.484148651</v>
      </c>
      <c r="BK49" s="54">
        <f t="shared" ca="1" si="14"/>
        <v>88206001.914495707</v>
      </c>
      <c r="BL49" s="54">
        <f t="shared" ca="1" si="14"/>
        <v>88596772.060370997</v>
      </c>
      <c r="BM49" s="54">
        <f t="shared" ca="1" si="14"/>
        <v>89016155.886951864</v>
      </c>
      <c r="BN49" s="54">
        <f t="shared" ref="BN49:CK49" ca="1" si="15">SUM(BN45,BN48)</f>
        <v>89423654.861110911</v>
      </c>
      <c r="BO49" s="54">
        <f t="shared" ca="1" si="15"/>
        <v>89846442.45479773</v>
      </c>
      <c r="BP49" s="54">
        <f t="shared" ca="1" si="15"/>
        <v>90257248.655040145</v>
      </c>
      <c r="BQ49" s="54">
        <f t="shared" ca="1" si="15"/>
        <v>90683467.470667198</v>
      </c>
      <c r="BR49" s="54">
        <f t="shared" ca="1" si="15"/>
        <v>91111440.614055693</v>
      </c>
      <c r="BS49" s="54">
        <f t="shared" ca="1" si="15"/>
        <v>91527285.285181463</v>
      </c>
      <c r="BT49" s="54">
        <f t="shared" ca="1" si="15"/>
        <v>91958731.474928916</v>
      </c>
      <c r="BU49" s="54">
        <f t="shared" ca="1" si="15"/>
        <v>92377950.684941024</v>
      </c>
      <c r="BV49" s="54">
        <f t="shared" ca="1" si="15"/>
        <v>92812897.931612357</v>
      </c>
      <c r="BW49" s="54">
        <f t="shared" ca="1" si="15"/>
        <v>93250834.216361269</v>
      </c>
      <c r="BX49" s="54">
        <f t="shared" ca="1" si="15"/>
        <v>93647942.722997978</v>
      </c>
      <c r="BY49" s="54">
        <f t="shared" ca="1" si="15"/>
        <v>94089324.956254378</v>
      </c>
      <c r="BZ49" s="54">
        <f t="shared" ca="1" si="15"/>
        <v>94518203.162725672</v>
      </c>
      <c r="CA49" s="54">
        <f t="shared" ca="1" si="15"/>
        <v>94963176.49278605</v>
      </c>
      <c r="CB49" s="54">
        <f t="shared" ca="1" si="15"/>
        <v>95395543.976540118</v>
      </c>
      <c r="CC49" s="54">
        <f t="shared" ca="1" si="15"/>
        <v>95844137.441313446</v>
      </c>
      <c r="CD49" s="54">
        <f t="shared" ca="1" si="15"/>
        <v>96294581.8496342</v>
      </c>
      <c r="CE49" s="54">
        <f t="shared" ca="1" si="15"/>
        <v>96732265.287238941</v>
      </c>
      <c r="CF49" s="54">
        <f t="shared" ca="1" si="15"/>
        <v>97186374.067440912</v>
      </c>
      <c r="CG49" s="54">
        <f t="shared" ca="1" si="15"/>
        <v>97627617.97824806</v>
      </c>
      <c r="CH49" s="54">
        <f t="shared" ca="1" si="15"/>
        <v>98085420.757500008</v>
      </c>
      <c r="CI49" s="54">
        <f t="shared" ca="1" si="15"/>
        <v>98545112.245244637</v>
      </c>
      <c r="CJ49" s="54">
        <f t="shared" ca="1" si="15"/>
        <v>98961947.2864898</v>
      </c>
      <c r="CK49" s="54">
        <f t="shared" ca="1" si="15"/>
        <v>99425254.835571349</v>
      </c>
    </row>
    <row r="50" spans="2:89" ht="15.75" thickBot="1">
      <c r="B50" s="88" t="s">
        <v>563</v>
      </c>
      <c r="C50" s="89"/>
      <c r="D50" s="147">
        <f t="shared" ref="D50:AG50" ca="1" si="16">IFERROR(D49/D$35,"неприменимо")</f>
        <v>0.38688793694400081</v>
      </c>
      <c r="E50" s="90"/>
      <c r="F50" s="91" t="str">
        <f t="shared" ca="1" si="16"/>
        <v>неприменимо</v>
      </c>
      <c r="G50" s="91" t="str">
        <f t="shared" ca="1" si="16"/>
        <v>неприменимо</v>
      </c>
      <c r="H50" s="91" t="str">
        <f t="shared" ca="1" si="16"/>
        <v>неприменимо</v>
      </c>
      <c r="I50" s="91" t="str">
        <f t="shared" ca="1" si="16"/>
        <v>неприменимо</v>
      </c>
      <c r="J50" s="91" t="str">
        <f t="shared" ca="1" si="16"/>
        <v>неприменимо</v>
      </c>
      <c r="K50" s="91" t="str">
        <f t="shared" ca="1" si="16"/>
        <v>неприменимо</v>
      </c>
      <c r="L50" s="91" t="str">
        <f t="shared" ca="1" si="16"/>
        <v>неприменимо</v>
      </c>
      <c r="M50" s="91" t="str">
        <f t="shared" ca="1" si="16"/>
        <v>неприменимо</v>
      </c>
      <c r="N50" s="91" t="str">
        <f t="shared" ca="1" si="16"/>
        <v>неприменимо</v>
      </c>
      <c r="O50" s="91" t="str">
        <f t="shared" ca="1" si="16"/>
        <v>неприменимо</v>
      </c>
      <c r="P50" s="91" t="str">
        <f t="shared" ca="1" si="16"/>
        <v>неприменимо</v>
      </c>
      <c r="Q50" s="91" t="str">
        <f t="shared" ca="1" si="16"/>
        <v>неприменимо</v>
      </c>
      <c r="R50" s="91">
        <f t="shared" ca="1" si="16"/>
        <v>9.6342596575145281E-2</v>
      </c>
      <c r="S50" s="91">
        <f t="shared" ca="1" si="16"/>
        <v>9.7051252567878984E-2</v>
      </c>
      <c r="T50" s="91">
        <f t="shared" ca="1" si="16"/>
        <v>2.4261229884304718E-2</v>
      </c>
      <c r="U50" s="91">
        <f t="shared" ca="1" si="16"/>
        <v>9.8437271710875851E-2</v>
      </c>
      <c r="V50" s="91">
        <f t="shared" ca="1" si="16"/>
        <v>9.9137379066020354E-2</v>
      </c>
      <c r="W50" s="91">
        <f t="shared" ca="1" si="16"/>
        <v>2.987388196351725E-2</v>
      </c>
      <c r="X50" s="91">
        <f t="shared" ca="1" si="16"/>
        <v>0.10050667605875116</v>
      </c>
      <c r="Y50" s="91">
        <f t="shared" ca="1" si="16"/>
        <v>0.10117606804054245</v>
      </c>
      <c r="Z50" s="91">
        <f t="shared" ca="1" si="16"/>
        <v>3.5386204981662853E-2</v>
      </c>
      <c r="AA50" s="91">
        <f t="shared" ca="1" si="16"/>
        <v>0.10255298322568357</v>
      </c>
      <c r="AB50" s="91">
        <f t="shared" ca="1" si="16"/>
        <v>0.10317197069357859</v>
      </c>
      <c r="AC50" s="91">
        <f t="shared" ca="1" si="16"/>
        <v>0.10385460722931636</v>
      </c>
      <c r="AD50" s="91">
        <f t="shared" ca="1" si="16"/>
        <v>0.15042595472073175</v>
      </c>
      <c r="AE50" s="91">
        <f t="shared" ca="1" si="16"/>
        <v>0.15864800792141237</v>
      </c>
      <c r="AF50" s="91">
        <f t="shared" ca="1" si="16"/>
        <v>0.16777225756767319</v>
      </c>
      <c r="AG50" s="91">
        <f t="shared" ca="1" si="16"/>
        <v>0.17853477066063936</v>
      </c>
      <c r="AH50" s="91">
        <f t="shared" ref="AH50:BM50" ca="1" si="17">IFERROR(AH49/AH$35,"неприменимо")</f>
        <v>0.19078121798217049</v>
      </c>
      <c r="AI50" s="91">
        <f t="shared" ca="1" si="17"/>
        <v>0.20416083191116691</v>
      </c>
      <c r="AJ50" s="91">
        <f t="shared" ca="1" si="17"/>
        <v>0.21967207530963762</v>
      </c>
      <c r="AK50" s="91">
        <f t="shared" ca="1" si="17"/>
        <v>0.23639770772119487</v>
      </c>
      <c r="AL50" s="91">
        <f t="shared" ca="1" si="17"/>
        <v>0.25551339511842125</v>
      </c>
      <c r="AM50" s="91">
        <f t="shared" ca="1" si="17"/>
        <v>0.27651834420873822</v>
      </c>
      <c r="AN50" s="91">
        <f t="shared" ca="1" si="17"/>
        <v>0.29710231169206996</v>
      </c>
      <c r="AO50" s="91">
        <f t="shared" ca="1" si="17"/>
        <v>0.32161862906575001</v>
      </c>
      <c r="AP50" s="91">
        <f t="shared" ca="1" si="17"/>
        <v>0.33091563793588019</v>
      </c>
      <c r="AQ50" s="91">
        <f t="shared" ca="1" si="17"/>
        <v>0.3407691755404379</v>
      </c>
      <c r="AR50" s="91">
        <f t="shared" ca="1" si="17"/>
        <v>0.35053786393654729</v>
      </c>
      <c r="AS50" s="91">
        <f t="shared" ca="1" si="17"/>
        <v>0.36086587043307256</v>
      </c>
      <c r="AT50" s="91">
        <f t="shared" ca="1" si="17"/>
        <v>0.37142300272418882</v>
      </c>
      <c r="AU50" s="91">
        <f t="shared" ca="1" si="17"/>
        <v>0.38184859692024431</v>
      </c>
      <c r="AV50" s="91">
        <f t="shared" ca="1" si="17"/>
        <v>0.39282705521171335</v>
      </c>
      <c r="AW50" s="91">
        <f t="shared" ca="1" si="17"/>
        <v>0.40363879420435778</v>
      </c>
      <c r="AX50" s="91">
        <f t="shared" ca="1" si="17"/>
        <v>0.41499166130907783</v>
      </c>
      <c r="AY50" s="91">
        <f t="shared" ca="1" si="17"/>
        <v>0.42651396041518852</v>
      </c>
      <c r="AZ50" s="91">
        <f t="shared" ca="1" si="17"/>
        <v>0.43705395741028863</v>
      </c>
      <c r="BA50" s="91">
        <f t="shared" ca="1" si="17"/>
        <v>0.44885505782925328</v>
      </c>
      <c r="BB50" s="91">
        <f t="shared" ca="1" si="17"/>
        <v>0.44912620438626683</v>
      </c>
      <c r="BC50" s="91">
        <f t="shared" ca="1" si="17"/>
        <v>0.44940519989317212</v>
      </c>
      <c r="BD50" s="91">
        <f t="shared" ca="1" si="17"/>
        <v>0.44967404908997843</v>
      </c>
      <c r="BE50" s="91">
        <f t="shared" ca="1" si="17"/>
        <v>0.44995067988668991</v>
      </c>
      <c r="BF50" s="91">
        <f t="shared" ca="1" si="17"/>
        <v>0.45022611598544798</v>
      </c>
      <c r="BG50" s="91">
        <f t="shared" ca="1" si="17"/>
        <v>0.45049153398175418</v>
      </c>
      <c r="BH50" s="91">
        <f t="shared" ca="1" si="17"/>
        <v>0.45076463298271191</v>
      </c>
      <c r="BI50" s="91">
        <f t="shared" ca="1" si="17"/>
        <v>0.45102779805859977</v>
      </c>
      <c r="BJ50" s="91">
        <f t="shared" ca="1" si="17"/>
        <v>0.45129857808494073</v>
      </c>
      <c r="BK50" s="91">
        <f t="shared" ca="1" si="17"/>
        <v>0.45156745147138305</v>
      </c>
      <c r="BL50" s="91">
        <f t="shared" ca="1" si="17"/>
        <v>0.45181792738367682</v>
      </c>
      <c r="BM50" s="91">
        <f t="shared" ca="1" si="17"/>
        <v>0.45208455854889862</v>
      </c>
      <c r="BN50" s="91">
        <f t="shared" ref="BN50:CK50" ca="1" si="18">IFERROR(BN49/BN$35,"неприменимо")</f>
        <v>0.45234149200045182</v>
      </c>
      <c r="BO50" s="91">
        <f t="shared" ca="1" si="18"/>
        <v>0.45260586104544392</v>
      </c>
      <c r="BP50" s="91">
        <f t="shared" ca="1" si="18"/>
        <v>0.45286061382112397</v>
      </c>
      <c r="BQ50" s="91">
        <f t="shared" ca="1" si="18"/>
        <v>0.45312273822074456</v>
      </c>
      <c r="BR50" s="91">
        <f t="shared" ca="1" si="18"/>
        <v>0.4533837285507768</v>
      </c>
      <c r="BS50" s="91">
        <f t="shared" ca="1" si="18"/>
        <v>0.45363522425217295</v>
      </c>
      <c r="BT50" s="91">
        <f t="shared" ca="1" si="18"/>
        <v>0.45389399602695601</v>
      </c>
      <c r="BU50" s="91">
        <f t="shared" ca="1" si="18"/>
        <v>0.45414335304230008</v>
      </c>
      <c r="BV50" s="91">
        <f t="shared" ca="1" si="18"/>
        <v>0.45439992338640928</v>
      </c>
      <c r="BW50" s="91">
        <f t="shared" ca="1" si="18"/>
        <v>0.45465607985059858</v>
      </c>
      <c r="BX50" s="91">
        <f t="shared" ca="1" si="18"/>
        <v>0.45488648940337506</v>
      </c>
      <c r="BY50" s="91">
        <f t="shared" ca="1" si="18"/>
        <v>0.45514052956121953</v>
      </c>
      <c r="BZ50" s="91">
        <f t="shared" ca="1" si="18"/>
        <v>0.45538532214738392</v>
      </c>
      <c r="CA50" s="91">
        <f t="shared" ca="1" si="18"/>
        <v>0.45563719090445576</v>
      </c>
      <c r="CB50" s="91">
        <f t="shared" ca="1" si="18"/>
        <v>0.45587989027442866</v>
      </c>
      <c r="CC50" s="91">
        <f t="shared" ca="1" si="18"/>
        <v>0.456129604417992</v>
      </c>
      <c r="CD50" s="91">
        <f t="shared" ca="1" si="18"/>
        <v>0.45637822998402522</v>
      </c>
      <c r="CE50" s="91">
        <f t="shared" ca="1" si="18"/>
        <v>0.45661780293391219</v>
      </c>
      <c r="CF50" s="91">
        <f t="shared" ca="1" si="18"/>
        <v>0.45686429894935243</v>
      </c>
      <c r="CG50" s="91">
        <f t="shared" ca="1" si="18"/>
        <v>0.45710181901966984</v>
      </c>
      <c r="CH50" s="91">
        <f t="shared" ca="1" si="18"/>
        <v>0.45734620193446401</v>
      </c>
      <c r="CI50" s="91">
        <f t="shared" ca="1" si="18"/>
        <v>0.45758951724003549</v>
      </c>
      <c r="CJ50" s="91">
        <f t="shared" ca="1" si="18"/>
        <v>0.45780837176151779</v>
      </c>
      <c r="CK50" s="91">
        <f t="shared" ca="1" si="18"/>
        <v>0.45804966674624564</v>
      </c>
    </row>
    <row r="51" spans="2:89" ht="15.75" thickTop="1">
      <c r="B51" s="94"/>
      <c r="C51" s="14"/>
      <c r="D51" s="14"/>
      <c r="E51" s="14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</row>
    <row r="52" spans="2:89" ht="15.75" thickBot="1">
      <c r="B52" s="45" t="s">
        <v>77</v>
      </c>
      <c r="C52" s="46"/>
      <c r="D52" s="47">
        <f>SUM(F52:CK52)</f>
        <v>-267718562.89499858</v>
      </c>
      <c r="E52" s="48"/>
      <c r="F52" s="49">
        <f>-Финансирование!F121</f>
        <v>0</v>
      </c>
      <c r="G52" s="49">
        <f>-Финансирование!G121</f>
        <v>-879041.09589041094</v>
      </c>
      <c r="H52" s="49">
        <f>-Финансирование!H121</f>
        <v>-850684.93150684924</v>
      </c>
      <c r="I52" s="49">
        <f>-Финансирование!I121</f>
        <v>-879041.09589041094</v>
      </c>
      <c r="J52" s="49">
        <f>-Финансирование!J121</f>
        <v>-2790000</v>
      </c>
      <c r="K52" s="49">
        <f>-Финансирование!K121</f>
        <v>-2699999.9999999995</v>
      </c>
      <c r="L52" s="49">
        <f>-Финансирование!L121</f>
        <v>-2790000</v>
      </c>
      <c r="M52" s="49">
        <f>-Финансирование!M121</f>
        <v>-4924109.5890410952</v>
      </c>
      <c r="N52" s="49">
        <f>-Финансирование!N121</f>
        <v>-5088246.5753424652</v>
      </c>
      <c r="O52" s="49">
        <f>-Финансирование!O121</f>
        <v>-5074344.2622950822</v>
      </c>
      <c r="P52" s="49">
        <f>-Финансирование!P121</f>
        <v>-6180327.8688524598</v>
      </c>
      <c r="Q52" s="49">
        <f>-Финансирование!Q121</f>
        <v>-6606557.3770491797</v>
      </c>
      <c r="R52" s="49">
        <f>-Финансирование!R121</f>
        <v>-6393442.6229508193</v>
      </c>
      <c r="S52" s="49">
        <f>-Финансирование!S121</f>
        <v>-6553620.2185792346</v>
      </c>
      <c r="T52" s="49">
        <f>-Финансирование!T121</f>
        <v>-6290983.6065573767</v>
      </c>
      <c r="U52" s="49">
        <f>-Финансирование!U121</f>
        <v>-6447745.9016393442</v>
      </c>
      <c r="V52" s="49">
        <f>-Финансирование!V121</f>
        <v>-6394808.743169399</v>
      </c>
      <c r="W52" s="49">
        <f>-Финансирование!W121</f>
        <v>-6137295.0819672123</v>
      </c>
      <c r="X52" s="49">
        <f>-Финансирование!X121</f>
        <v>-6288934.4262295077</v>
      </c>
      <c r="Y52" s="49">
        <f>-Финансирование!Y121</f>
        <v>-6034836.0655737706</v>
      </c>
      <c r="Z52" s="49">
        <f>-Финансирование!Z121</f>
        <v>-6183060.1092896173</v>
      </c>
      <c r="AA52" s="49">
        <f>-Финансирование!AA121</f>
        <v>-6146917.8082191776</v>
      </c>
      <c r="AB52" s="49">
        <f>-Финансирование!AB121</f>
        <v>-5504109.5890410962</v>
      </c>
      <c r="AC52" s="49">
        <f>-Финансирование!AC121</f>
        <v>-6040753.4246575339</v>
      </c>
      <c r="AD52" s="49">
        <f>-Финансирование!AD121</f>
        <v>-5794520.5479452051</v>
      </c>
      <c r="AE52" s="49">
        <f>-Финансирование!AE121</f>
        <v>-5867857.1428571427</v>
      </c>
      <c r="AF52" s="49">
        <f>-Финансирование!AF121</f>
        <v>-5562622.3091976512</v>
      </c>
      <c r="AG52" s="49">
        <f>-Финансирование!AG121</f>
        <v>-5628228.9628180042</v>
      </c>
      <c r="AH52" s="49">
        <f>-Финансирование!AH121</f>
        <v>-5508414.8727984354</v>
      </c>
      <c r="AI52" s="49">
        <f>-Финансирование!AI121</f>
        <v>-5214774.9510763213</v>
      </c>
      <c r="AJ52" s="49">
        <f>-Финансирование!AJ121</f>
        <v>-5268786.6927592959</v>
      </c>
      <c r="AK52" s="49">
        <f>-Финансирование!AK121</f>
        <v>-4982876.7123287674</v>
      </c>
      <c r="AL52" s="49">
        <f>-Финансирование!AL121</f>
        <v>-5029158.5127201574</v>
      </c>
      <c r="AM52" s="49">
        <f>-Финансирование!AM121</f>
        <v>-4909344.4227005877</v>
      </c>
      <c r="AN52" s="49">
        <f>-Финансирование!AN121</f>
        <v>-4326027.3972602747</v>
      </c>
      <c r="AO52" s="49">
        <f>-Финансирование!AO121</f>
        <v>-4669716.2426614482</v>
      </c>
      <c r="AP52" s="49">
        <f>-Финансирование!AP121</f>
        <v>-4403131.1154598836</v>
      </c>
      <c r="AQ52" s="49">
        <f>-Финансирование!AQ121</f>
        <v>-4430088.0626223106</v>
      </c>
      <c r="AR52" s="49">
        <f>-Финансирование!AR121</f>
        <v>-4171232.8767123297</v>
      </c>
      <c r="AS52" s="49">
        <f>-Финансирование!AS121</f>
        <v>-4190459.8825831711</v>
      </c>
      <c r="AT52" s="49">
        <f>-Финансирование!AT121</f>
        <v>-4070645.7925636023</v>
      </c>
      <c r="AU52" s="49">
        <f>-Финансирование!AU121</f>
        <v>-3823385.5185909988</v>
      </c>
      <c r="AV52" s="49">
        <f>-Финансирование!AV121</f>
        <v>-3831017.6125244633</v>
      </c>
      <c r="AW52" s="49">
        <f>-Финансирование!AW121</f>
        <v>-3591487.2798434459</v>
      </c>
      <c r="AX52" s="49">
        <f>-Финансирование!AX121</f>
        <v>-3591389.4324853243</v>
      </c>
      <c r="AY52" s="49">
        <f>-Финансирование!AY121</f>
        <v>-3471575.3424657555</v>
      </c>
      <c r="AZ52" s="49">
        <f>-Финансирование!AZ121</f>
        <v>-3027397.2602739744</v>
      </c>
      <c r="BA52" s="49">
        <f>-Финансирование!BA121</f>
        <v>-3231947.1624266161</v>
      </c>
      <c r="BB52" s="49">
        <f>-Финансирование!BB121</f>
        <v>-3011741.6829745611</v>
      </c>
      <c r="BC52" s="49">
        <f>-Финансирование!BC121</f>
        <v>-2992318.9823874775</v>
      </c>
      <c r="BD52" s="49">
        <f>-Финансирование!BD121</f>
        <v>-2779843.4442270072</v>
      </c>
      <c r="BE52" s="49">
        <f>-Финансирование!BE121</f>
        <v>-2752690.8023483381</v>
      </c>
      <c r="BF52" s="49">
        <f>-Финансирование!BF121</f>
        <v>-2632876.7123287688</v>
      </c>
      <c r="BG52" s="49">
        <f>-Финансирование!BG121</f>
        <v>-2431996.0861056764</v>
      </c>
      <c r="BH52" s="49">
        <f>-Финансирование!BH121</f>
        <v>-2393248.5322896298</v>
      </c>
      <c r="BI52" s="49">
        <f>-Финансирование!BI121</f>
        <v>-2200097.8473581225</v>
      </c>
      <c r="BJ52" s="49">
        <f>-Финансирование!BJ121</f>
        <v>-2153620.3522504903</v>
      </c>
      <c r="BK52" s="49">
        <f>-Финансирование!BK121</f>
        <v>-2028249.4145199074</v>
      </c>
      <c r="BL52" s="49">
        <f>-Финансирование!BL121</f>
        <v>-1785616.7056986743</v>
      </c>
      <c r="BM52" s="49">
        <f>-Финансирование!BM121</f>
        <v>-1789275.9562841542</v>
      </c>
      <c r="BN52" s="49">
        <f>-Финансирование!BN121</f>
        <v>-1615925.0585480104</v>
      </c>
      <c r="BO52" s="49">
        <f>-Финансирование!BO121</f>
        <v>-1550302.498048401</v>
      </c>
      <c r="BP52" s="49">
        <f>-Финансирование!BP121</f>
        <v>-1384660.421545669</v>
      </c>
      <c r="BQ52" s="49">
        <f>-Финансирование!BQ121</f>
        <v>-1311329.0398126475</v>
      </c>
      <c r="BR52" s="49">
        <f>-Финансирование!BR121</f>
        <v>-1191842.3106947711</v>
      </c>
      <c r="BS52" s="49">
        <f>-Финансирование!BS121</f>
        <v>-1037763.4660421559</v>
      </c>
      <c r="BT52" s="49">
        <f>-Финансирование!BT121</f>
        <v>-952868.85245901777</v>
      </c>
      <c r="BU52" s="49">
        <f>-Финансирование!BU121</f>
        <v>-870901.63934426359</v>
      </c>
      <c r="BV52" s="49">
        <f>-Финансирование!BV121</f>
        <v>-846994.53551912704</v>
      </c>
      <c r="BW52" s="49">
        <f>-Финансирование!BW121</f>
        <v>-796232.87671233015</v>
      </c>
      <c r="BX52" s="49">
        <f>-Финансирование!BX121</f>
        <v>-671232.87671233015</v>
      </c>
      <c r="BY52" s="49">
        <f>-Финансирование!BY121</f>
        <v>-690068.49315068638</v>
      </c>
      <c r="BZ52" s="49">
        <f>-Финансирование!BZ121</f>
        <v>-616438.35616438475</v>
      </c>
      <c r="CA52" s="49">
        <f>-Финансирование!CA121</f>
        <v>-583904.10958904249</v>
      </c>
      <c r="CB52" s="49">
        <f>-Финансирование!CB121</f>
        <v>-513698.6301369876</v>
      </c>
      <c r="CC52" s="49">
        <f>-Финансирование!CC121</f>
        <v>-477739.72602739866</v>
      </c>
      <c r="CD52" s="49">
        <f>-Финансирование!CD121</f>
        <v>-424657.53424657678</v>
      </c>
      <c r="CE52" s="49">
        <f>-Финансирование!CE121</f>
        <v>-359589.04109589173</v>
      </c>
      <c r="CF52" s="49">
        <f>-Финансирование!CF121</f>
        <v>-318493.15068493289</v>
      </c>
      <c r="CG52" s="49">
        <f>-Финансирование!CG121</f>
        <v>-256849.31506849447</v>
      </c>
      <c r="CH52" s="49">
        <f>-Финансирование!CH121</f>
        <v>-212328.76712328906</v>
      </c>
      <c r="CI52" s="49">
        <f>-Финансирование!CI121</f>
        <v>-159246.57534246711</v>
      </c>
      <c r="CJ52" s="49">
        <f>-Финансирование!CJ121</f>
        <v>-95890.410958905355</v>
      </c>
      <c r="CK52" s="49">
        <f>-Финансирование!CK121</f>
        <v>-53082.191780823297</v>
      </c>
    </row>
    <row r="53" spans="2:89" ht="15.75" thickTop="1">
      <c r="B53" s="50" t="s">
        <v>69</v>
      </c>
      <c r="C53" s="51"/>
      <c r="D53" s="52">
        <f ca="1">SUM(F53:CK53)</f>
        <v>4195006406.8434014</v>
      </c>
      <c r="E53" s="53"/>
      <c r="F53" s="54">
        <f ca="1">SUM(F49,F52)</f>
        <v>0</v>
      </c>
      <c r="G53" s="54">
        <f t="shared" ref="G53:AG53" ca="1" si="19">SUM(G49,G52)</f>
        <v>-879041.09589041094</v>
      </c>
      <c r="H53" s="54">
        <f t="shared" ca="1" si="19"/>
        <v>-850684.93150684924</v>
      </c>
      <c r="I53" s="54">
        <f t="shared" ca="1" si="19"/>
        <v>-879041.09589041094</v>
      </c>
      <c r="J53" s="54">
        <f t="shared" ca="1" si="19"/>
        <v>-2790000</v>
      </c>
      <c r="K53" s="54">
        <f t="shared" ca="1" si="19"/>
        <v>-2699999.9999999995</v>
      </c>
      <c r="L53" s="54">
        <f t="shared" ca="1" si="19"/>
        <v>-2790000</v>
      </c>
      <c r="M53" s="54">
        <f t="shared" ca="1" si="19"/>
        <v>-4924109.5890410952</v>
      </c>
      <c r="N53" s="54">
        <f t="shared" ca="1" si="19"/>
        <v>-5088246.5753424652</v>
      </c>
      <c r="O53" s="54">
        <f t="shared" ca="1" si="19"/>
        <v>-5074344.2622950822</v>
      </c>
      <c r="P53" s="54">
        <f t="shared" ca="1" si="19"/>
        <v>-6180327.8688524598</v>
      </c>
      <c r="Q53" s="54">
        <f t="shared" ca="1" si="19"/>
        <v>-6606557.3770491797</v>
      </c>
      <c r="R53" s="54">
        <f t="shared" ca="1" si="19"/>
        <v>1015586.3726610569</v>
      </c>
      <c r="S53" s="54">
        <f t="shared" ca="1" si="19"/>
        <v>940813.35014741682</v>
      </c>
      <c r="T53" s="54">
        <f t="shared" ca="1" si="19"/>
        <v>-4409990.0398196131</v>
      </c>
      <c r="U53" s="54">
        <f t="shared" ca="1" si="19"/>
        <v>1215782.7879301962</v>
      </c>
      <c r="V53" s="54">
        <f t="shared" ca="1" si="19"/>
        <v>1355185.4028736185</v>
      </c>
      <c r="W53" s="54">
        <f t="shared" ca="1" si="19"/>
        <v>-3792567.2970044725</v>
      </c>
      <c r="X53" s="54">
        <f t="shared" ca="1" si="19"/>
        <v>1632255.0443947082</v>
      </c>
      <c r="Y53" s="54">
        <f t="shared" ca="1" si="19"/>
        <v>1971063.1137788333</v>
      </c>
      <c r="Z53" s="54">
        <f t="shared" ca="1" si="19"/>
        <v>-3371411.5845564036</v>
      </c>
      <c r="AA53" s="54">
        <f t="shared" ca="1" si="19"/>
        <v>2035374.2757826839</v>
      </c>
      <c r="AB53" s="54">
        <f t="shared" ca="1" si="19"/>
        <v>2758436.3421097761</v>
      </c>
      <c r="AC53" s="54">
        <f t="shared" ca="1" si="19"/>
        <v>2310998.1440382907</v>
      </c>
      <c r="AD53" s="54">
        <f t="shared" ca="1" si="19"/>
        <v>7591020.9482829645</v>
      </c>
      <c r="AE53" s="54">
        <f t="shared" ca="1" si="19"/>
        <v>8674465.8406080119</v>
      </c>
      <c r="AF53" s="54">
        <f t="shared" ca="1" si="19"/>
        <v>10295441.758490136</v>
      </c>
      <c r="AG53" s="54">
        <f t="shared" ca="1" si="19"/>
        <v>11830786.317272451</v>
      </c>
      <c r="AH53" s="54">
        <f t="shared" ref="AH53:BM53" ca="1" si="20">SUM(AH49,AH52)</f>
        <v>13843314.962686982</v>
      </c>
      <c r="AI53" s="54">
        <f t="shared" ca="1" si="20"/>
        <v>16298779.506827645</v>
      </c>
      <c r="AJ53" s="54">
        <f t="shared" ca="1" si="20"/>
        <v>18883957.105573364</v>
      </c>
      <c r="AK53" s="54">
        <f t="shared" ca="1" si="20"/>
        <v>22188781.854975916</v>
      </c>
      <c r="AL53" s="54">
        <f t="shared" ca="1" si="20"/>
        <v>25832154.234887194</v>
      </c>
      <c r="AM53" s="54">
        <f t="shared" ca="1" si="20"/>
        <v>30329101.830634903</v>
      </c>
      <c r="AN53" s="54">
        <f t="shared" ca="1" si="20"/>
        <v>35563934.592479274</v>
      </c>
      <c r="AO53" s="54">
        <f t="shared" ca="1" si="20"/>
        <v>41282811.029700331</v>
      </c>
      <c r="AP53" s="54">
        <f t="shared" ca="1" si="20"/>
        <v>43763062.387176372</v>
      </c>
      <c r="AQ53" s="54">
        <f t="shared" ca="1" si="20"/>
        <v>46163584.193750188</v>
      </c>
      <c r="AR53" s="54">
        <f t="shared" ca="1" si="20"/>
        <v>48915711.399577089</v>
      </c>
      <c r="AS53" s="54">
        <f t="shared" ca="1" si="20"/>
        <v>51631318.048824519</v>
      </c>
      <c r="AT53" s="54">
        <f t="shared" ca="1" si="20"/>
        <v>54657348.659105003</v>
      </c>
      <c r="AU53" s="54">
        <f t="shared" ca="1" si="20"/>
        <v>57890723.006927937</v>
      </c>
      <c r="AV53" s="54">
        <f t="shared" ca="1" si="20"/>
        <v>61159690.262645364</v>
      </c>
      <c r="AW53" s="54">
        <f t="shared" ca="1" si="20"/>
        <v>64766637.26058656</v>
      </c>
      <c r="AX53" s="54">
        <f t="shared" ca="1" si="20"/>
        <v>68462496.403891847</v>
      </c>
      <c r="AY53" s="54">
        <f t="shared" ca="1" si="20"/>
        <v>72511812.508047923</v>
      </c>
      <c r="AZ53" s="54">
        <f t="shared" ca="1" si="20"/>
        <v>76718724.819828674</v>
      </c>
      <c r="BA53" s="54">
        <f t="shared" ca="1" si="20"/>
        <v>80931277.601771981</v>
      </c>
      <c r="BB53" s="54">
        <f t="shared" ca="1" si="20"/>
        <v>81540713.934695274</v>
      </c>
      <c r="BC53" s="54">
        <f t="shared" ca="1" si="20"/>
        <v>81963975.682037279</v>
      </c>
      <c r="BD53" s="54">
        <f t="shared" ca="1" si="20"/>
        <v>82568850.676280573</v>
      </c>
      <c r="BE53" s="54">
        <f t="shared" ca="1" si="20"/>
        <v>83003129.805715412</v>
      </c>
      <c r="BF53" s="54">
        <f t="shared" ca="1" si="20"/>
        <v>83531751.228663236</v>
      </c>
      <c r="BG53" s="54">
        <f t="shared" ca="1" si="20"/>
        <v>84129858.738844037</v>
      </c>
      <c r="BH53" s="54">
        <f t="shared" ca="1" si="20"/>
        <v>84580741.259278387</v>
      </c>
      <c r="BI53" s="54">
        <f t="shared" ca="1" si="20"/>
        <v>85174352.117779076</v>
      </c>
      <c r="BJ53" s="54">
        <f t="shared" ca="1" si="20"/>
        <v>85636319.131898165</v>
      </c>
      <c r="BK53" s="54">
        <f t="shared" ca="1" si="20"/>
        <v>86177752.499975801</v>
      </c>
      <c r="BL53" s="54">
        <f t="shared" ca="1" si="20"/>
        <v>86811155.354672328</v>
      </c>
      <c r="BM53" s="54">
        <f t="shared" ca="1" si="20"/>
        <v>87226879.930667713</v>
      </c>
      <c r="BN53" s="54">
        <f t="shared" ref="BN53:CK53" ca="1" si="21">SUM(BN49,BN52)</f>
        <v>87807729.802562907</v>
      </c>
      <c r="BO53" s="54">
        <f t="shared" ca="1" si="21"/>
        <v>88296139.956749335</v>
      </c>
      <c r="BP53" s="54">
        <f t="shared" ca="1" si="21"/>
        <v>88872588.233494475</v>
      </c>
      <c r="BQ53" s="54">
        <f t="shared" ca="1" si="21"/>
        <v>89372138.430854544</v>
      </c>
      <c r="BR53" s="54">
        <f t="shared" ca="1" si="21"/>
        <v>89919598.303360924</v>
      </c>
      <c r="BS53" s="54">
        <f t="shared" ca="1" si="21"/>
        <v>90489521.819139302</v>
      </c>
      <c r="BT53" s="54">
        <f t="shared" ca="1" si="21"/>
        <v>91005862.622469902</v>
      </c>
      <c r="BU53" s="54">
        <f t="shared" ca="1" si="21"/>
        <v>91507049.045596763</v>
      </c>
      <c r="BV53" s="54">
        <f t="shared" ca="1" si="21"/>
        <v>91965903.396093234</v>
      </c>
      <c r="BW53" s="54">
        <f t="shared" ca="1" si="21"/>
        <v>92454601.339648932</v>
      </c>
      <c r="BX53" s="54">
        <f t="shared" ca="1" si="21"/>
        <v>92976709.846285641</v>
      </c>
      <c r="BY53" s="54">
        <f t="shared" ca="1" si="21"/>
        <v>93399256.463103697</v>
      </c>
      <c r="BZ53" s="54">
        <f t="shared" ca="1" si="21"/>
        <v>93901764.806561291</v>
      </c>
      <c r="CA53" s="54">
        <f t="shared" ca="1" si="21"/>
        <v>94379272.38319701</v>
      </c>
      <c r="CB53" s="54">
        <f t="shared" ca="1" si="21"/>
        <v>94881845.346403137</v>
      </c>
      <c r="CC53" s="54">
        <f t="shared" ca="1" si="21"/>
        <v>95366397.715286046</v>
      </c>
      <c r="CD53" s="54">
        <f t="shared" ca="1" si="21"/>
        <v>95869924.315387622</v>
      </c>
      <c r="CE53" s="54">
        <f t="shared" ca="1" si="21"/>
        <v>96372676.246143043</v>
      </c>
      <c r="CF53" s="54">
        <f t="shared" ca="1" si="21"/>
        <v>96867880.916755974</v>
      </c>
      <c r="CG53" s="54">
        <f t="shared" ca="1" si="21"/>
        <v>97370768.663179561</v>
      </c>
      <c r="CH53" s="54">
        <f t="shared" ca="1" si="21"/>
        <v>97873091.990376726</v>
      </c>
      <c r="CI53" s="54">
        <f t="shared" ca="1" si="21"/>
        <v>98385865.669902176</v>
      </c>
      <c r="CJ53" s="54">
        <f t="shared" ca="1" si="21"/>
        <v>98866056.875530899</v>
      </c>
      <c r="CK53" s="54">
        <f t="shared" ca="1" si="21"/>
        <v>99372172.643790528</v>
      </c>
    </row>
    <row r="54" spans="2:89" ht="15.75" thickBot="1">
      <c r="B54" s="88" t="s">
        <v>564</v>
      </c>
      <c r="C54" s="89"/>
      <c r="D54" s="147">
        <f t="shared" ref="D54:AG54" ca="1" si="22">IFERROR(D53/D$35,"неприменимо")</f>
        <v>0.36367855631167156</v>
      </c>
      <c r="E54" s="90"/>
      <c r="F54" s="91" t="str">
        <f t="shared" ca="1" si="22"/>
        <v>неприменимо</v>
      </c>
      <c r="G54" s="91" t="str">
        <f t="shared" ca="1" si="22"/>
        <v>неприменимо</v>
      </c>
      <c r="H54" s="91" t="str">
        <f t="shared" ca="1" si="22"/>
        <v>неприменимо</v>
      </c>
      <c r="I54" s="91" t="str">
        <f t="shared" ca="1" si="22"/>
        <v>неприменимо</v>
      </c>
      <c r="J54" s="91" t="str">
        <f t="shared" ca="1" si="22"/>
        <v>неприменимо</v>
      </c>
      <c r="K54" s="91" t="str">
        <f t="shared" ca="1" si="22"/>
        <v>неприменимо</v>
      </c>
      <c r="L54" s="91" t="str">
        <f t="shared" ca="1" si="22"/>
        <v>неприменимо</v>
      </c>
      <c r="M54" s="91" t="str">
        <f t="shared" ca="1" si="22"/>
        <v>неприменимо</v>
      </c>
      <c r="N54" s="91" t="str">
        <f t="shared" ca="1" si="22"/>
        <v>неприменимо</v>
      </c>
      <c r="O54" s="91" t="str">
        <f t="shared" ca="1" si="22"/>
        <v>неприменимо</v>
      </c>
      <c r="P54" s="91" t="str">
        <f t="shared" ca="1" si="22"/>
        <v>неприменимо</v>
      </c>
      <c r="Q54" s="91" t="str">
        <f t="shared" ca="1" si="22"/>
        <v>неприменимо</v>
      </c>
      <c r="R54" s="91">
        <f t="shared" ca="1" si="22"/>
        <v>1.3206079804310291E-2</v>
      </c>
      <c r="S54" s="91">
        <f t="shared" ca="1" si="22"/>
        <v>1.2183324226850534E-2</v>
      </c>
      <c r="T54" s="91">
        <f t="shared" ca="1" si="22"/>
        <v>-5.6880461494142831E-2</v>
      </c>
      <c r="U54" s="91">
        <f t="shared" ca="1" si="22"/>
        <v>1.5616610243761375E-2</v>
      </c>
      <c r="V54" s="91">
        <f t="shared" ca="1" si="22"/>
        <v>1.7335436189718341E-2</v>
      </c>
      <c r="W54" s="91">
        <f t="shared" ca="1" si="22"/>
        <v>-4.8320623185351012E-2</v>
      </c>
      <c r="X54" s="91">
        <f t="shared" ca="1" si="22"/>
        <v>2.0710592721034048E-2</v>
      </c>
      <c r="Y54" s="91">
        <f t="shared" ca="1" si="22"/>
        <v>2.4909683627569384E-2</v>
      </c>
      <c r="Z54" s="91">
        <f t="shared" ca="1" si="22"/>
        <v>-4.2431143280963861E-2</v>
      </c>
      <c r="AA54" s="91">
        <f t="shared" ca="1" si="22"/>
        <v>2.5510419552297409E-2</v>
      </c>
      <c r="AB54" s="91">
        <f t="shared" ca="1" si="22"/>
        <v>3.4443779897827632E-2</v>
      </c>
      <c r="AC54" s="91">
        <f t="shared" ca="1" si="22"/>
        <v>2.8737421435807198E-2</v>
      </c>
      <c r="AD54" s="91">
        <f t="shared" ca="1" si="22"/>
        <v>8.5307462068105702E-2</v>
      </c>
      <c r="AE54" s="91">
        <f t="shared" ca="1" si="22"/>
        <v>9.4633211417429419E-2</v>
      </c>
      <c r="AF54" s="91">
        <f t="shared" ca="1" si="22"/>
        <v>0.1089218393308103</v>
      </c>
      <c r="AG54" s="91">
        <f t="shared" ca="1" si="22"/>
        <v>0.12098086220807315</v>
      </c>
      <c r="AH54" s="91">
        <f t="shared" ref="AH54:BM54" ca="1" si="23">IFERROR(AH53/AH$35,"неприменимо")</f>
        <v>0.13647588675247643</v>
      </c>
      <c r="AI54" s="91">
        <f t="shared" ca="1" si="23"/>
        <v>0.15467329630544049</v>
      </c>
      <c r="AJ54" s="91">
        <f t="shared" ca="1" si="23"/>
        <v>0.17175183416328238</v>
      </c>
      <c r="AK54" s="91">
        <f t="shared" ca="1" si="23"/>
        <v>0.19304589576852865</v>
      </c>
      <c r="AL54" s="91">
        <f t="shared" ca="1" si="23"/>
        <v>0.21387494063389959</v>
      </c>
      <c r="AM54" s="91">
        <f t="shared" ca="1" si="23"/>
        <v>0.23799440415882545</v>
      </c>
      <c r="AN54" s="91">
        <f t="shared" ca="1" si="23"/>
        <v>0.26488185631786193</v>
      </c>
      <c r="AO54" s="91">
        <f t="shared" ca="1" si="23"/>
        <v>0.28893560105318322</v>
      </c>
      <c r="AP54" s="91">
        <f t="shared" ca="1" si="23"/>
        <v>0.30066485754344618</v>
      </c>
      <c r="AQ54" s="91">
        <f t="shared" ca="1" si="23"/>
        <v>0.31093071176928527</v>
      </c>
      <c r="AR54" s="91">
        <f t="shared" ca="1" si="23"/>
        <v>0.32299483838633303</v>
      </c>
      <c r="AS54" s="91">
        <f t="shared" ca="1" si="23"/>
        <v>0.33377619308704837</v>
      </c>
      <c r="AT54" s="91">
        <f t="shared" ca="1" si="23"/>
        <v>0.3456783557731537</v>
      </c>
      <c r="AU54" s="91">
        <f t="shared" ca="1" si="23"/>
        <v>0.35819186054924967</v>
      </c>
      <c r="AV54" s="91">
        <f t="shared" ca="1" si="23"/>
        <v>0.36967101619637033</v>
      </c>
      <c r="AW54" s="91">
        <f t="shared" ca="1" si="23"/>
        <v>0.38243189883116913</v>
      </c>
      <c r="AX54" s="91">
        <f t="shared" ca="1" si="23"/>
        <v>0.39430718815825561</v>
      </c>
      <c r="AY54" s="91">
        <f t="shared" ca="1" si="23"/>
        <v>0.40702713059512574</v>
      </c>
      <c r="AZ54" s="91">
        <f t="shared" ca="1" si="23"/>
        <v>0.42046210417977348</v>
      </c>
      <c r="BA54" s="91">
        <f t="shared" ca="1" si="23"/>
        <v>0.43161860052196177</v>
      </c>
      <c r="BB54" s="91">
        <f t="shared" ca="1" si="23"/>
        <v>0.43312841815066994</v>
      </c>
      <c r="BC54" s="91">
        <f t="shared" ca="1" si="23"/>
        <v>0.43357631145428993</v>
      </c>
      <c r="BD54" s="91">
        <f t="shared" ca="1" si="23"/>
        <v>0.4350279731273301</v>
      </c>
      <c r="BE54" s="91">
        <f t="shared" ca="1" si="23"/>
        <v>0.43550763579647905</v>
      </c>
      <c r="BF54" s="91">
        <f t="shared" ca="1" si="23"/>
        <v>0.43646884824824955</v>
      </c>
      <c r="BG54" s="91">
        <f t="shared" ca="1" si="23"/>
        <v>0.43783476213134803</v>
      </c>
      <c r="BH54" s="91">
        <f t="shared" ca="1" si="23"/>
        <v>0.43836101899559626</v>
      </c>
      <c r="BI54" s="91">
        <f t="shared" ca="1" si="23"/>
        <v>0.43967087062725879</v>
      </c>
      <c r="BJ54" s="91">
        <f t="shared" ca="1" si="23"/>
        <v>0.44022753955345928</v>
      </c>
      <c r="BK54" s="91">
        <f t="shared" ca="1" si="23"/>
        <v>0.44118390160874538</v>
      </c>
      <c r="BL54" s="91">
        <f t="shared" ca="1" si="23"/>
        <v>0.44271179834185692</v>
      </c>
      <c r="BM54" s="91">
        <f t="shared" ca="1" si="23"/>
        <v>0.4429973987770684</v>
      </c>
      <c r="BN54" s="91">
        <f t="shared" ref="BN54:CK54" ca="1" si="24">IFERROR(BN53/BN$35,"неприменимо")</f>
        <v>0.4441674808500487</v>
      </c>
      <c r="BO54" s="91">
        <f t="shared" ca="1" si="24"/>
        <v>0.44479613616553998</v>
      </c>
      <c r="BP54" s="91">
        <f t="shared" ca="1" si="24"/>
        <v>0.4459131588767396</v>
      </c>
      <c r="BQ54" s="91">
        <f t="shared" ca="1" si="24"/>
        <v>0.44657035307490206</v>
      </c>
      <c r="BR54" s="91">
        <f t="shared" ca="1" si="24"/>
        <v>0.44745294854087309</v>
      </c>
      <c r="BS54" s="91">
        <f t="shared" ca="1" si="24"/>
        <v>0.44849177373714971</v>
      </c>
      <c r="BT54" s="91">
        <f t="shared" ca="1" si="24"/>
        <v>0.44919078357289821</v>
      </c>
      <c r="BU54" s="91">
        <f t="shared" ca="1" si="24"/>
        <v>0.4498618747487324</v>
      </c>
      <c r="BV54" s="91">
        <f t="shared" ca="1" si="24"/>
        <v>0.45025314787755505</v>
      </c>
      <c r="BW54" s="91">
        <f t="shared" ca="1" si="24"/>
        <v>0.45077394709096824</v>
      </c>
      <c r="BX54" s="91">
        <f t="shared" ca="1" si="24"/>
        <v>0.45162603585809052</v>
      </c>
      <c r="BY54" s="91">
        <f t="shared" ca="1" si="24"/>
        <v>0.45180244482576054</v>
      </c>
      <c r="BZ54" s="91">
        <f t="shared" ca="1" si="24"/>
        <v>0.45241534419591328</v>
      </c>
      <c r="CA54" s="91">
        <f t="shared" ca="1" si="24"/>
        <v>0.45283559519044836</v>
      </c>
      <c r="CB54" s="91">
        <f t="shared" ca="1" si="24"/>
        <v>0.45342500752646131</v>
      </c>
      <c r="CC54" s="91">
        <f t="shared" ca="1" si="24"/>
        <v>0.45385600440379115</v>
      </c>
      <c r="CD54" s="91">
        <f t="shared" ca="1" si="24"/>
        <v>0.45436560943875443</v>
      </c>
      <c r="CE54" s="91">
        <f t="shared" ca="1" si="24"/>
        <v>0.45492038834926707</v>
      </c>
      <c r="CF54" s="91">
        <f t="shared" ca="1" si="24"/>
        <v>0.4553670916360425</v>
      </c>
      <c r="CG54" s="91">
        <f t="shared" ca="1" si="24"/>
        <v>0.45589922602843319</v>
      </c>
      <c r="CH54" s="91">
        <f t="shared" ca="1" si="24"/>
        <v>0.45635616942550083</v>
      </c>
      <c r="CI54" s="91">
        <f t="shared" ca="1" si="24"/>
        <v>0.45685006338105832</v>
      </c>
      <c r="CJ54" s="91">
        <f t="shared" ca="1" si="24"/>
        <v>0.45736477263971037</v>
      </c>
      <c r="CK54" s="91">
        <f t="shared" ca="1" si="24"/>
        <v>0.45780511841397759</v>
      </c>
    </row>
    <row r="55" spans="2:89" ht="15.75" thickTop="1">
      <c r="B55" s="94"/>
      <c r="C55" s="14"/>
      <c r="D55" s="14"/>
      <c r="E55" s="14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</row>
    <row r="56" spans="2:89">
      <c r="B56" s="45" t="s">
        <v>29</v>
      </c>
      <c r="C56" s="46"/>
      <c r="D56" s="47">
        <f ca="1">SUM(F56:CK56)</f>
        <v>0</v>
      </c>
      <c r="E56" s="48"/>
      <c r="F56" s="49">
        <f ca="1">-Налоги!F99</f>
        <v>0</v>
      </c>
      <c r="G56" s="49">
        <f ca="1">-Налоги!G99</f>
        <v>0</v>
      </c>
      <c r="H56" s="49">
        <f ca="1">-Налоги!H99</f>
        <v>0</v>
      </c>
      <c r="I56" s="49">
        <f ca="1">-Налоги!I99</f>
        <v>0</v>
      </c>
      <c r="J56" s="49">
        <f ca="1">-Налоги!J99</f>
        <v>0</v>
      </c>
      <c r="K56" s="49">
        <f ca="1">-Налоги!K99</f>
        <v>0</v>
      </c>
      <c r="L56" s="49">
        <f ca="1">-Налоги!L99</f>
        <v>0</v>
      </c>
      <c r="M56" s="49">
        <f ca="1">-Налоги!M99</f>
        <v>0</v>
      </c>
      <c r="N56" s="49">
        <f ca="1">-Налоги!N99</f>
        <v>0</v>
      </c>
      <c r="O56" s="49">
        <f ca="1">-Налоги!O99</f>
        <v>0</v>
      </c>
      <c r="P56" s="49">
        <f ca="1">-Налоги!P99</f>
        <v>0</v>
      </c>
      <c r="Q56" s="49">
        <f ca="1">-Налоги!Q99</f>
        <v>0</v>
      </c>
      <c r="R56" s="49">
        <f ca="1">-Налоги!R99</f>
        <v>0</v>
      </c>
      <c r="S56" s="49">
        <f ca="1">-Налоги!S99</f>
        <v>0</v>
      </c>
      <c r="T56" s="49">
        <f ca="1">-Налоги!T99</f>
        <v>0</v>
      </c>
      <c r="U56" s="49">
        <f ca="1">-Налоги!U99</f>
        <v>0</v>
      </c>
      <c r="V56" s="49">
        <f ca="1">-Налоги!V99</f>
        <v>0</v>
      </c>
      <c r="W56" s="49">
        <f ca="1">-Налоги!W99</f>
        <v>0</v>
      </c>
      <c r="X56" s="49">
        <f ca="1">-Налоги!X99</f>
        <v>0</v>
      </c>
      <c r="Y56" s="49">
        <f ca="1">-Налоги!Y99</f>
        <v>0</v>
      </c>
      <c r="Z56" s="49">
        <f ca="1">-Налоги!Z99</f>
        <v>0</v>
      </c>
      <c r="AA56" s="49">
        <f ca="1">-Налоги!AA99</f>
        <v>0</v>
      </c>
      <c r="AB56" s="49">
        <f ca="1">-Налоги!AB99</f>
        <v>0</v>
      </c>
      <c r="AC56" s="49">
        <f ca="1">-Налоги!AC99</f>
        <v>0</v>
      </c>
      <c r="AD56" s="49">
        <f ca="1">-Налоги!AD99</f>
        <v>0</v>
      </c>
      <c r="AE56" s="49">
        <f ca="1">-Налоги!AE99</f>
        <v>0</v>
      </c>
      <c r="AF56" s="49">
        <f ca="1">-Налоги!AF99</f>
        <v>0</v>
      </c>
      <c r="AG56" s="49">
        <f ca="1">-Налоги!AG99</f>
        <v>0</v>
      </c>
      <c r="AH56" s="49">
        <f ca="1">-Налоги!AH99</f>
        <v>0</v>
      </c>
      <c r="AI56" s="49">
        <f ca="1">-Налоги!AI99</f>
        <v>0</v>
      </c>
      <c r="AJ56" s="49">
        <f ca="1">-Налоги!AJ99</f>
        <v>0</v>
      </c>
      <c r="AK56" s="49">
        <f ca="1">-Налоги!AK99</f>
        <v>0</v>
      </c>
      <c r="AL56" s="49">
        <f ca="1">-Налоги!AL99</f>
        <v>0</v>
      </c>
      <c r="AM56" s="49">
        <f ca="1">-Налоги!AM99</f>
        <v>0</v>
      </c>
      <c r="AN56" s="49">
        <f ca="1">-Налоги!AN99</f>
        <v>0</v>
      </c>
      <c r="AO56" s="49">
        <f ca="1">-Налоги!AO99</f>
        <v>0</v>
      </c>
      <c r="AP56" s="49">
        <f ca="1">-Налоги!AP99</f>
        <v>0</v>
      </c>
      <c r="AQ56" s="49">
        <f ca="1">-Налоги!AQ99</f>
        <v>0</v>
      </c>
      <c r="AR56" s="49">
        <f ca="1">-Налоги!AR99</f>
        <v>0</v>
      </c>
      <c r="AS56" s="49">
        <f ca="1">-Налоги!AS99</f>
        <v>0</v>
      </c>
      <c r="AT56" s="49">
        <f ca="1">-Налоги!AT99</f>
        <v>0</v>
      </c>
      <c r="AU56" s="49">
        <f ca="1">-Налоги!AU99</f>
        <v>0</v>
      </c>
      <c r="AV56" s="49">
        <f ca="1">-Налоги!AV99</f>
        <v>0</v>
      </c>
      <c r="AW56" s="49">
        <f ca="1">-Налоги!AW99</f>
        <v>0</v>
      </c>
      <c r="AX56" s="49">
        <f ca="1">-Налоги!AX99</f>
        <v>0</v>
      </c>
      <c r="AY56" s="49">
        <f ca="1">-Налоги!AY99</f>
        <v>0</v>
      </c>
      <c r="AZ56" s="49">
        <f ca="1">-Налоги!AZ99</f>
        <v>0</v>
      </c>
      <c r="BA56" s="49">
        <f ca="1">-Налоги!BA99</f>
        <v>0</v>
      </c>
      <c r="BB56" s="49">
        <f ca="1">-Налоги!BB99</f>
        <v>0</v>
      </c>
      <c r="BC56" s="49">
        <f ca="1">-Налоги!BC99</f>
        <v>0</v>
      </c>
      <c r="BD56" s="49">
        <f ca="1">-Налоги!BD99</f>
        <v>0</v>
      </c>
      <c r="BE56" s="49">
        <f ca="1">-Налоги!BE99</f>
        <v>0</v>
      </c>
      <c r="BF56" s="49">
        <f ca="1">-Налоги!BF99</f>
        <v>0</v>
      </c>
      <c r="BG56" s="49">
        <f ca="1">-Налоги!BG99</f>
        <v>0</v>
      </c>
      <c r="BH56" s="49">
        <f ca="1">-Налоги!BH99</f>
        <v>0</v>
      </c>
      <c r="BI56" s="49">
        <f ca="1">-Налоги!BI99</f>
        <v>0</v>
      </c>
      <c r="BJ56" s="49">
        <f ca="1">-Налоги!BJ99</f>
        <v>0</v>
      </c>
      <c r="BK56" s="49">
        <f ca="1">-Налоги!BK99</f>
        <v>0</v>
      </c>
      <c r="BL56" s="49">
        <f ca="1">-Налоги!BL99</f>
        <v>0</v>
      </c>
      <c r="BM56" s="49">
        <f ca="1">-Налоги!BM99</f>
        <v>0</v>
      </c>
      <c r="BN56" s="49">
        <f ca="1">-Налоги!BN99</f>
        <v>0</v>
      </c>
      <c r="BO56" s="49">
        <f ca="1">-Налоги!BO99</f>
        <v>0</v>
      </c>
      <c r="BP56" s="49">
        <f ca="1">-Налоги!BP99</f>
        <v>0</v>
      </c>
      <c r="BQ56" s="49">
        <f ca="1">-Налоги!BQ99</f>
        <v>0</v>
      </c>
      <c r="BR56" s="49">
        <f ca="1">-Налоги!BR99</f>
        <v>0</v>
      </c>
      <c r="BS56" s="49">
        <f ca="1">-Налоги!BS99</f>
        <v>0</v>
      </c>
      <c r="BT56" s="49">
        <f ca="1">-Налоги!BT99</f>
        <v>0</v>
      </c>
      <c r="BU56" s="49">
        <f ca="1">-Налоги!BU99</f>
        <v>0</v>
      </c>
      <c r="BV56" s="49">
        <f ca="1">-Налоги!BV99</f>
        <v>0</v>
      </c>
      <c r="BW56" s="49">
        <f ca="1">-Налоги!BW99</f>
        <v>0</v>
      </c>
      <c r="BX56" s="49">
        <f ca="1">-Налоги!BX99</f>
        <v>0</v>
      </c>
      <c r="BY56" s="49">
        <f ca="1">-Налоги!BY99</f>
        <v>0</v>
      </c>
      <c r="BZ56" s="49">
        <f ca="1">-Налоги!BZ99</f>
        <v>0</v>
      </c>
      <c r="CA56" s="49">
        <f ca="1">-Налоги!CA99</f>
        <v>0</v>
      </c>
      <c r="CB56" s="49">
        <f ca="1">-Налоги!CB99</f>
        <v>0</v>
      </c>
      <c r="CC56" s="49">
        <f ca="1">-Налоги!CC99</f>
        <v>0</v>
      </c>
      <c r="CD56" s="49">
        <f ca="1">-Налоги!CD99</f>
        <v>0</v>
      </c>
      <c r="CE56" s="49">
        <f ca="1">-Налоги!CE99</f>
        <v>0</v>
      </c>
      <c r="CF56" s="49">
        <f ca="1">-Налоги!CF99</f>
        <v>0</v>
      </c>
      <c r="CG56" s="49">
        <f ca="1">-Налоги!CG99</f>
        <v>0</v>
      </c>
      <c r="CH56" s="49">
        <f ca="1">-Налоги!CH99</f>
        <v>0</v>
      </c>
      <c r="CI56" s="49">
        <f ca="1">-Налоги!CI99</f>
        <v>0</v>
      </c>
      <c r="CJ56" s="49">
        <f ca="1">-Налоги!CJ99</f>
        <v>0</v>
      </c>
      <c r="CK56" s="49">
        <f ca="1">-Налоги!CK99</f>
        <v>0</v>
      </c>
    </row>
    <row r="57" spans="2:89" ht="15.75" thickBot="1">
      <c r="B57" s="45" t="s">
        <v>717</v>
      </c>
      <c r="C57" s="46"/>
      <c r="D57" s="47">
        <f ca="1">SUM(F57:CK57)</f>
        <v>-233902938.6992507</v>
      </c>
      <c r="E57" s="48"/>
      <c r="F57" s="49">
        <f ca="1">-Налоги!F133</f>
        <v>0</v>
      </c>
      <c r="G57" s="49">
        <f ca="1">-Налоги!G133</f>
        <v>0</v>
      </c>
      <c r="H57" s="49">
        <f ca="1">-Налоги!H133</f>
        <v>0</v>
      </c>
      <c r="I57" s="49">
        <f ca="1">-Налоги!I133</f>
        <v>0</v>
      </c>
      <c r="J57" s="49">
        <f ca="1">-Налоги!J133</f>
        <v>0</v>
      </c>
      <c r="K57" s="49">
        <f ca="1">-Налоги!K133</f>
        <v>0</v>
      </c>
      <c r="L57" s="49">
        <f ca="1">-Налоги!L133</f>
        <v>0</v>
      </c>
      <c r="M57" s="49">
        <f ca="1">-Налоги!M133</f>
        <v>0</v>
      </c>
      <c r="N57" s="49">
        <f ca="1">-Налоги!N133</f>
        <v>0</v>
      </c>
      <c r="O57" s="49">
        <f ca="1">-Налоги!O133</f>
        <v>0</v>
      </c>
      <c r="P57" s="49">
        <f ca="1">-Налоги!P133</f>
        <v>0</v>
      </c>
      <c r="Q57" s="49">
        <f ca="1">-Налоги!Q133</f>
        <v>0</v>
      </c>
      <c r="R57" s="49">
        <f ca="1">-Налоги!R133</f>
        <v>0</v>
      </c>
      <c r="S57" s="49">
        <f ca="1">-Налоги!S133</f>
        <v>0</v>
      </c>
      <c r="T57" s="49">
        <f ca="1">-Налоги!T133</f>
        <v>0</v>
      </c>
      <c r="U57" s="49">
        <f ca="1">-Налоги!U133</f>
        <v>0</v>
      </c>
      <c r="V57" s="49">
        <f ca="1">-Налоги!V133</f>
        <v>0</v>
      </c>
      <c r="W57" s="49">
        <f ca="1">-Налоги!W133</f>
        <v>0</v>
      </c>
      <c r="X57" s="49">
        <f ca="1">-Налоги!X133</f>
        <v>0</v>
      </c>
      <c r="Y57" s="49">
        <f ca="1">-Налоги!Y133</f>
        <v>0</v>
      </c>
      <c r="Z57" s="49">
        <f ca="1">-Налоги!Z133</f>
        <v>0</v>
      </c>
      <c r="AA57" s="49">
        <f ca="1">-Налоги!AA133</f>
        <v>0</v>
      </c>
      <c r="AB57" s="49">
        <f ca="1">-Налоги!AB133</f>
        <v>0</v>
      </c>
      <c r="AC57" s="49">
        <f ca="1">-Налоги!AC133</f>
        <v>0</v>
      </c>
      <c r="AD57" s="49">
        <f ca="1">-Налоги!AD133</f>
        <v>0</v>
      </c>
      <c r="AE57" s="49">
        <f ca="1">-Налоги!AE133</f>
        <v>0</v>
      </c>
      <c r="AF57" s="49">
        <f ca="1">-Налоги!AF133</f>
        <v>0</v>
      </c>
      <c r="AG57" s="49">
        <f ca="1">-Налоги!AG133</f>
        <v>0</v>
      </c>
      <c r="AH57" s="49">
        <f ca="1">-Налоги!AH133</f>
        <v>0</v>
      </c>
      <c r="AI57" s="49">
        <f ca="1">-Налоги!AI133</f>
        <v>0</v>
      </c>
      <c r="AJ57" s="49">
        <f ca="1">-Налоги!AJ133</f>
        <v>0</v>
      </c>
      <c r="AK57" s="49">
        <f ca="1">-Налоги!AK133</f>
        <v>0</v>
      </c>
      <c r="AL57" s="49">
        <f ca="1">-Налоги!AL133</f>
        <v>-6020272.5387643678</v>
      </c>
      <c r="AM57" s="49">
        <f ca="1">-Налоги!AM133</f>
        <v>0</v>
      </c>
      <c r="AN57" s="49">
        <f ca="1">-Налоги!AN133</f>
        <v>0</v>
      </c>
      <c r="AO57" s="49">
        <f ca="1">-Налоги!AO133</f>
        <v>0</v>
      </c>
      <c r="AP57" s="49">
        <f ca="1">-Налоги!AP133</f>
        <v>0</v>
      </c>
      <c r="AQ57" s="49">
        <f ca="1">-Налоги!AQ133</f>
        <v>0</v>
      </c>
      <c r="AR57" s="49">
        <f ca="1">-Налоги!AR133</f>
        <v>-14761092.325999089</v>
      </c>
      <c r="AS57" s="49">
        <f ca="1">-Налоги!AS133</f>
        <v>0</v>
      </c>
      <c r="AT57" s="49">
        <f ca="1">-Налоги!AT133</f>
        <v>0</v>
      </c>
      <c r="AU57" s="49">
        <f ca="1">-Налоги!AU133</f>
        <v>0</v>
      </c>
      <c r="AV57" s="49">
        <f ca="1">-Налоги!AV133</f>
        <v>0</v>
      </c>
      <c r="AW57" s="49">
        <f ca="1">-Налоги!AW133</f>
        <v>0</v>
      </c>
      <c r="AX57" s="49">
        <f ca="1">-Налоги!AX133</f>
        <v>-21514092.818518873</v>
      </c>
      <c r="AY57" s="49">
        <f ca="1">-Налоги!AY133</f>
        <v>0</v>
      </c>
      <c r="AZ57" s="49">
        <f ca="1">-Налоги!AZ133</f>
        <v>0</v>
      </c>
      <c r="BA57" s="49">
        <f ca="1">-Налоги!BA133</f>
        <v>0</v>
      </c>
      <c r="BB57" s="49">
        <f ca="1">-Налоги!BB133</f>
        <v>0</v>
      </c>
      <c r="BC57" s="49">
        <f ca="1">-Налоги!BC133</f>
        <v>0</v>
      </c>
      <c r="BD57" s="49">
        <f ca="1">-Налоги!BD133</f>
        <v>-28574121.313359704</v>
      </c>
      <c r="BE57" s="49">
        <f ca="1">-Налоги!BE133</f>
        <v>0</v>
      </c>
      <c r="BF57" s="49">
        <f ca="1">-Налоги!BF133</f>
        <v>0</v>
      </c>
      <c r="BG57" s="49">
        <f ca="1">-Налоги!BG133</f>
        <v>0</v>
      </c>
      <c r="BH57" s="49">
        <f ca="1">-Налоги!BH133</f>
        <v>0</v>
      </c>
      <c r="BI57" s="49">
        <f ca="1">-Налоги!BI133</f>
        <v>0</v>
      </c>
      <c r="BJ57" s="49">
        <f ca="1">-Налоги!BJ133</f>
        <v>-30363369.1369307</v>
      </c>
      <c r="BK57" s="49">
        <f ca="1">-Налоги!BK133</f>
        <v>0</v>
      </c>
      <c r="BL57" s="49">
        <f ca="1">-Налоги!BL133</f>
        <v>0</v>
      </c>
      <c r="BM57" s="49">
        <f ca="1">-Налоги!BM133</f>
        <v>0</v>
      </c>
      <c r="BN57" s="49">
        <f ca="1">-Налоги!BN133</f>
        <v>0</v>
      </c>
      <c r="BO57" s="49">
        <f ca="1">-Налоги!BO133</f>
        <v>0</v>
      </c>
      <c r="BP57" s="49">
        <f ca="1">-Налоги!BP133</f>
        <v>-31511534.746687349</v>
      </c>
      <c r="BQ57" s="49">
        <f ca="1">-Налоги!BQ133</f>
        <v>0</v>
      </c>
      <c r="BR57" s="49">
        <f ca="1">-Налоги!BR133</f>
        <v>0</v>
      </c>
      <c r="BS57" s="49">
        <f ca="1">-Налоги!BS133</f>
        <v>0</v>
      </c>
      <c r="BT57" s="49">
        <f ca="1">-Налоги!BT133</f>
        <v>0</v>
      </c>
      <c r="BU57" s="49">
        <f ca="1">-Налоги!BU133</f>
        <v>0</v>
      </c>
      <c r="BV57" s="49">
        <f ca="1">-Налоги!BV133</f>
        <v>-32655604.417050876</v>
      </c>
      <c r="BW57" s="49">
        <f ca="1">-Налоги!BW133</f>
        <v>0</v>
      </c>
      <c r="BX57" s="49">
        <f ca="1">-Налоги!BX133</f>
        <v>0</v>
      </c>
      <c r="BY57" s="49">
        <f ca="1">-Налоги!BY133</f>
        <v>0</v>
      </c>
      <c r="BZ57" s="49">
        <f ca="1">-Налоги!BZ133</f>
        <v>0</v>
      </c>
      <c r="CA57" s="49">
        <f ca="1">-Налоги!CA133</f>
        <v>0</v>
      </c>
      <c r="CB57" s="49">
        <f ca="1">-Налоги!CB133</f>
        <v>-33719607.011111982</v>
      </c>
      <c r="CC57" s="49">
        <f ca="1">-Налоги!CC133</f>
        <v>0</v>
      </c>
      <c r="CD57" s="49">
        <f ca="1">-Налоги!CD133</f>
        <v>0</v>
      </c>
      <c r="CE57" s="49">
        <f ca="1">-Налоги!CE133</f>
        <v>0</v>
      </c>
      <c r="CF57" s="49">
        <f ca="1">-Налоги!CF133</f>
        <v>0</v>
      </c>
      <c r="CG57" s="49">
        <f ca="1">-Налоги!CG133</f>
        <v>0</v>
      </c>
      <c r="CH57" s="49">
        <f ca="1">-Налоги!CH133</f>
        <v>-34783244.390827738</v>
      </c>
      <c r="CI57" s="49">
        <f ca="1">-Налоги!CI133</f>
        <v>0</v>
      </c>
      <c r="CJ57" s="49">
        <f ca="1">-Налоги!CJ133</f>
        <v>0</v>
      </c>
      <c r="CK57" s="49">
        <f ca="1">-Налоги!CK133</f>
        <v>0</v>
      </c>
    </row>
    <row r="58" spans="2:89" ht="15.75" thickTop="1">
      <c r="B58" s="50" t="s">
        <v>78</v>
      </c>
      <c r="C58" s="51"/>
      <c r="D58" s="52">
        <f ca="1">SUM(F58:CK58)</f>
        <v>3961103468.1441512</v>
      </c>
      <c r="E58" s="53"/>
      <c r="F58" s="54">
        <f ca="1">SUM(F53,F56,F57)</f>
        <v>0</v>
      </c>
      <c r="G58" s="54">
        <f t="shared" ref="G58:BR58" ca="1" si="25">SUM(G53,G56,G57)</f>
        <v>-879041.09589041094</v>
      </c>
      <c r="H58" s="54">
        <f t="shared" ca="1" si="25"/>
        <v>-850684.93150684924</v>
      </c>
      <c r="I58" s="54">
        <f t="shared" ca="1" si="25"/>
        <v>-879041.09589041094</v>
      </c>
      <c r="J58" s="54">
        <f t="shared" ca="1" si="25"/>
        <v>-2790000</v>
      </c>
      <c r="K58" s="54">
        <f t="shared" ca="1" si="25"/>
        <v>-2699999.9999999995</v>
      </c>
      <c r="L58" s="54">
        <f t="shared" ca="1" si="25"/>
        <v>-2790000</v>
      </c>
      <c r="M58" s="54">
        <f t="shared" ca="1" si="25"/>
        <v>-4924109.5890410952</v>
      </c>
      <c r="N58" s="54">
        <f t="shared" ca="1" si="25"/>
        <v>-5088246.5753424652</v>
      </c>
      <c r="O58" s="54">
        <f t="shared" ca="1" si="25"/>
        <v>-5074344.2622950822</v>
      </c>
      <c r="P58" s="54">
        <f t="shared" ca="1" si="25"/>
        <v>-6180327.8688524598</v>
      </c>
      <c r="Q58" s="54">
        <f t="shared" ca="1" si="25"/>
        <v>-6606557.3770491797</v>
      </c>
      <c r="R58" s="54">
        <f t="shared" ca="1" si="25"/>
        <v>1015586.3726610569</v>
      </c>
      <c r="S58" s="54">
        <f t="shared" ca="1" si="25"/>
        <v>940813.35014741682</v>
      </c>
      <c r="T58" s="54">
        <f t="shared" ca="1" si="25"/>
        <v>-4409990.0398196131</v>
      </c>
      <c r="U58" s="54">
        <f t="shared" ca="1" si="25"/>
        <v>1215782.7879301962</v>
      </c>
      <c r="V58" s="54">
        <f t="shared" ca="1" si="25"/>
        <v>1355185.4028736185</v>
      </c>
      <c r="W58" s="54">
        <f t="shared" ca="1" si="25"/>
        <v>-3792567.2970044725</v>
      </c>
      <c r="X58" s="54">
        <f t="shared" ca="1" si="25"/>
        <v>1632255.0443947082</v>
      </c>
      <c r="Y58" s="54">
        <f t="shared" ca="1" si="25"/>
        <v>1971063.1137788333</v>
      </c>
      <c r="Z58" s="54">
        <f t="shared" ca="1" si="25"/>
        <v>-3371411.5845564036</v>
      </c>
      <c r="AA58" s="54">
        <f t="shared" ca="1" si="25"/>
        <v>2035374.2757826839</v>
      </c>
      <c r="AB58" s="54">
        <f t="shared" ca="1" si="25"/>
        <v>2758436.3421097761</v>
      </c>
      <c r="AC58" s="54">
        <f t="shared" ca="1" si="25"/>
        <v>2310998.1440382907</v>
      </c>
      <c r="AD58" s="54">
        <f t="shared" ca="1" si="25"/>
        <v>7591020.9482829645</v>
      </c>
      <c r="AE58" s="54">
        <f t="shared" ca="1" si="25"/>
        <v>8674465.8406080119</v>
      </c>
      <c r="AF58" s="54">
        <f t="shared" ca="1" si="25"/>
        <v>10295441.758490136</v>
      </c>
      <c r="AG58" s="54">
        <f t="shared" ca="1" si="25"/>
        <v>11830786.317272451</v>
      </c>
      <c r="AH58" s="54">
        <f t="shared" ca="1" si="25"/>
        <v>13843314.962686982</v>
      </c>
      <c r="AI58" s="54">
        <f t="shared" ca="1" si="25"/>
        <v>16298779.506827645</v>
      </c>
      <c r="AJ58" s="54">
        <f t="shared" ca="1" si="25"/>
        <v>18883957.105573364</v>
      </c>
      <c r="AK58" s="54">
        <f t="shared" ca="1" si="25"/>
        <v>22188781.854975916</v>
      </c>
      <c r="AL58" s="54">
        <f t="shared" ca="1" si="25"/>
        <v>19811881.696122825</v>
      </c>
      <c r="AM58" s="54">
        <f t="shared" ca="1" si="25"/>
        <v>30329101.830634903</v>
      </c>
      <c r="AN58" s="54">
        <f t="shared" ca="1" si="25"/>
        <v>35563934.592479274</v>
      </c>
      <c r="AO58" s="54">
        <f t="shared" ca="1" si="25"/>
        <v>41282811.029700331</v>
      </c>
      <c r="AP58" s="54">
        <f t="shared" ca="1" si="25"/>
        <v>43763062.387176372</v>
      </c>
      <c r="AQ58" s="54">
        <f t="shared" ca="1" si="25"/>
        <v>46163584.193750188</v>
      </c>
      <c r="AR58" s="54">
        <f t="shared" ca="1" si="25"/>
        <v>34154619.073578</v>
      </c>
      <c r="AS58" s="54">
        <f t="shared" ca="1" si="25"/>
        <v>51631318.048824519</v>
      </c>
      <c r="AT58" s="54">
        <f t="shared" ca="1" si="25"/>
        <v>54657348.659105003</v>
      </c>
      <c r="AU58" s="54">
        <f t="shared" ca="1" si="25"/>
        <v>57890723.006927937</v>
      </c>
      <c r="AV58" s="54">
        <f t="shared" ca="1" si="25"/>
        <v>61159690.262645364</v>
      </c>
      <c r="AW58" s="54">
        <f t="shared" ca="1" si="25"/>
        <v>64766637.26058656</v>
      </c>
      <c r="AX58" s="54">
        <f t="shared" ca="1" si="25"/>
        <v>46948403.58537297</v>
      </c>
      <c r="AY58" s="54">
        <f t="shared" ca="1" si="25"/>
        <v>72511812.508047923</v>
      </c>
      <c r="AZ58" s="54">
        <f t="shared" ca="1" si="25"/>
        <v>76718724.819828674</v>
      </c>
      <c r="BA58" s="54">
        <f t="shared" ca="1" si="25"/>
        <v>80931277.601771981</v>
      </c>
      <c r="BB58" s="54">
        <f t="shared" ca="1" si="25"/>
        <v>81540713.934695274</v>
      </c>
      <c r="BC58" s="54">
        <f t="shared" ca="1" si="25"/>
        <v>81963975.682037279</v>
      </c>
      <c r="BD58" s="54">
        <f t="shared" ca="1" si="25"/>
        <v>53994729.362920865</v>
      </c>
      <c r="BE58" s="54">
        <f t="shared" ca="1" si="25"/>
        <v>83003129.805715412</v>
      </c>
      <c r="BF58" s="54">
        <f t="shared" ca="1" si="25"/>
        <v>83531751.228663236</v>
      </c>
      <c r="BG58" s="54">
        <f t="shared" ca="1" si="25"/>
        <v>84129858.738844037</v>
      </c>
      <c r="BH58" s="54">
        <f t="shared" ca="1" si="25"/>
        <v>84580741.259278387</v>
      </c>
      <c r="BI58" s="54">
        <f t="shared" ca="1" si="25"/>
        <v>85174352.117779076</v>
      </c>
      <c r="BJ58" s="54">
        <f t="shared" ca="1" si="25"/>
        <v>55272949.994967461</v>
      </c>
      <c r="BK58" s="54">
        <f t="shared" ca="1" si="25"/>
        <v>86177752.499975801</v>
      </c>
      <c r="BL58" s="54">
        <f t="shared" ca="1" si="25"/>
        <v>86811155.354672328</v>
      </c>
      <c r="BM58" s="54">
        <f t="shared" ca="1" si="25"/>
        <v>87226879.930667713</v>
      </c>
      <c r="BN58" s="54">
        <f t="shared" ca="1" si="25"/>
        <v>87807729.802562907</v>
      </c>
      <c r="BO58" s="54">
        <f t="shared" ca="1" si="25"/>
        <v>88296139.956749335</v>
      </c>
      <c r="BP58" s="54">
        <f t="shared" ca="1" si="25"/>
        <v>57361053.486807123</v>
      </c>
      <c r="BQ58" s="54">
        <f t="shared" ca="1" si="25"/>
        <v>89372138.430854544</v>
      </c>
      <c r="BR58" s="54">
        <f t="shared" ca="1" si="25"/>
        <v>89919598.303360924</v>
      </c>
      <c r="BS58" s="54">
        <f t="shared" ref="BS58:CK58" ca="1" si="26">SUM(BS53,BS56,BS57)</f>
        <v>90489521.819139302</v>
      </c>
      <c r="BT58" s="54">
        <f t="shared" ca="1" si="26"/>
        <v>91005862.622469902</v>
      </c>
      <c r="BU58" s="54">
        <f t="shared" ca="1" si="26"/>
        <v>91507049.045596763</v>
      </c>
      <c r="BV58" s="54">
        <f t="shared" ca="1" si="26"/>
        <v>59310298.979042359</v>
      </c>
      <c r="BW58" s="54">
        <f t="shared" ca="1" si="26"/>
        <v>92454601.339648932</v>
      </c>
      <c r="BX58" s="54">
        <f t="shared" ca="1" si="26"/>
        <v>92976709.846285641</v>
      </c>
      <c r="BY58" s="54">
        <f t="shared" ca="1" si="26"/>
        <v>93399256.463103697</v>
      </c>
      <c r="BZ58" s="54">
        <f t="shared" ca="1" si="26"/>
        <v>93901764.806561291</v>
      </c>
      <c r="CA58" s="54">
        <f t="shared" ca="1" si="26"/>
        <v>94379272.38319701</v>
      </c>
      <c r="CB58" s="54">
        <f t="shared" ca="1" si="26"/>
        <v>61162238.335291155</v>
      </c>
      <c r="CC58" s="54">
        <f t="shared" ca="1" si="26"/>
        <v>95366397.715286046</v>
      </c>
      <c r="CD58" s="54">
        <f t="shared" ca="1" si="26"/>
        <v>95869924.315387622</v>
      </c>
      <c r="CE58" s="54">
        <f t="shared" ca="1" si="26"/>
        <v>96372676.246143043</v>
      </c>
      <c r="CF58" s="54">
        <f t="shared" ca="1" si="26"/>
        <v>96867880.916755974</v>
      </c>
      <c r="CG58" s="54">
        <f t="shared" ca="1" si="26"/>
        <v>97370768.663179561</v>
      </c>
      <c r="CH58" s="54">
        <f t="shared" ca="1" si="26"/>
        <v>63089847.599548988</v>
      </c>
      <c r="CI58" s="54">
        <f t="shared" ca="1" si="26"/>
        <v>98385865.669902176</v>
      </c>
      <c r="CJ58" s="54">
        <f t="shared" ca="1" si="26"/>
        <v>98866056.875530899</v>
      </c>
      <c r="CK58" s="54">
        <f t="shared" ca="1" si="26"/>
        <v>99372172.643790528</v>
      </c>
    </row>
    <row r="59" spans="2:89" ht="15.75" thickBot="1">
      <c r="B59" s="88" t="s">
        <v>511</v>
      </c>
      <c r="C59" s="89"/>
      <c r="D59" s="147">
        <f t="shared" ref="D59:AG59" ca="1" si="27">IFERROR(D58/D$35,"неприменимо")</f>
        <v>0.34340076056756219</v>
      </c>
      <c r="E59" s="90"/>
      <c r="F59" s="91" t="str">
        <f t="shared" ca="1" si="27"/>
        <v>неприменимо</v>
      </c>
      <c r="G59" s="91" t="str">
        <f t="shared" ca="1" si="27"/>
        <v>неприменимо</v>
      </c>
      <c r="H59" s="91" t="str">
        <f t="shared" ca="1" si="27"/>
        <v>неприменимо</v>
      </c>
      <c r="I59" s="91" t="str">
        <f t="shared" ca="1" si="27"/>
        <v>неприменимо</v>
      </c>
      <c r="J59" s="91" t="str">
        <f t="shared" ca="1" si="27"/>
        <v>неприменимо</v>
      </c>
      <c r="K59" s="91" t="str">
        <f t="shared" ca="1" si="27"/>
        <v>неприменимо</v>
      </c>
      <c r="L59" s="91" t="str">
        <f t="shared" ca="1" si="27"/>
        <v>неприменимо</v>
      </c>
      <c r="M59" s="91" t="str">
        <f t="shared" ca="1" si="27"/>
        <v>неприменимо</v>
      </c>
      <c r="N59" s="91" t="str">
        <f t="shared" ca="1" si="27"/>
        <v>неприменимо</v>
      </c>
      <c r="O59" s="91" t="str">
        <f t="shared" ca="1" si="27"/>
        <v>неприменимо</v>
      </c>
      <c r="P59" s="91" t="str">
        <f t="shared" ca="1" si="27"/>
        <v>неприменимо</v>
      </c>
      <c r="Q59" s="91" t="str">
        <f t="shared" ca="1" si="27"/>
        <v>неприменимо</v>
      </c>
      <c r="R59" s="91">
        <f t="shared" ca="1" si="27"/>
        <v>1.3206079804310291E-2</v>
      </c>
      <c r="S59" s="91">
        <f t="shared" ca="1" si="27"/>
        <v>1.2183324226850534E-2</v>
      </c>
      <c r="T59" s="91">
        <f t="shared" ca="1" si="27"/>
        <v>-5.6880461494142831E-2</v>
      </c>
      <c r="U59" s="91">
        <f t="shared" ca="1" si="27"/>
        <v>1.5616610243761375E-2</v>
      </c>
      <c r="V59" s="91">
        <f t="shared" ca="1" si="27"/>
        <v>1.7335436189718341E-2</v>
      </c>
      <c r="W59" s="91">
        <f t="shared" ca="1" si="27"/>
        <v>-4.8320623185351012E-2</v>
      </c>
      <c r="X59" s="91">
        <f t="shared" ca="1" si="27"/>
        <v>2.0710592721034048E-2</v>
      </c>
      <c r="Y59" s="91">
        <f t="shared" ca="1" si="27"/>
        <v>2.4909683627569384E-2</v>
      </c>
      <c r="Z59" s="91">
        <f t="shared" ca="1" si="27"/>
        <v>-4.2431143280963861E-2</v>
      </c>
      <c r="AA59" s="91">
        <f t="shared" ca="1" si="27"/>
        <v>2.5510419552297409E-2</v>
      </c>
      <c r="AB59" s="91">
        <f t="shared" ca="1" si="27"/>
        <v>3.4443779897827632E-2</v>
      </c>
      <c r="AC59" s="91">
        <f t="shared" ca="1" si="27"/>
        <v>2.8737421435807198E-2</v>
      </c>
      <c r="AD59" s="91">
        <f t="shared" ca="1" si="27"/>
        <v>8.5307462068105702E-2</v>
      </c>
      <c r="AE59" s="91">
        <f t="shared" ca="1" si="27"/>
        <v>9.4633211417429419E-2</v>
      </c>
      <c r="AF59" s="91">
        <f t="shared" ca="1" si="27"/>
        <v>0.1089218393308103</v>
      </c>
      <c r="AG59" s="91">
        <f t="shared" ca="1" si="27"/>
        <v>0.12098086220807315</v>
      </c>
      <c r="AH59" s="91">
        <f t="shared" ref="AH59:BM59" ca="1" si="28">IFERROR(AH58/AH$35,"неприменимо")</f>
        <v>0.13647588675247643</v>
      </c>
      <c r="AI59" s="91">
        <f t="shared" ca="1" si="28"/>
        <v>0.15467329630544049</v>
      </c>
      <c r="AJ59" s="91">
        <f t="shared" ca="1" si="28"/>
        <v>0.17175183416328238</v>
      </c>
      <c r="AK59" s="91">
        <f t="shared" ca="1" si="28"/>
        <v>0.19304589576852865</v>
      </c>
      <c r="AL59" s="91">
        <f t="shared" ca="1" si="28"/>
        <v>0.16403064889886504</v>
      </c>
      <c r="AM59" s="91">
        <f t="shared" ca="1" si="28"/>
        <v>0.23799440415882545</v>
      </c>
      <c r="AN59" s="91">
        <f t="shared" ca="1" si="28"/>
        <v>0.26488185631786193</v>
      </c>
      <c r="AO59" s="91">
        <f t="shared" ca="1" si="28"/>
        <v>0.28893560105318322</v>
      </c>
      <c r="AP59" s="91">
        <f t="shared" ca="1" si="28"/>
        <v>0.30066485754344618</v>
      </c>
      <c r="AQ59" s="91">
        <f t="shared" ca="1" si="28"/>
        <v>0.31093071176928527</v>
      </c>
      <c r="AR59" s="91">
        <f t="shared" ca="1" si="28"/>
        <v>0.22552601919048185</v>
      </c>
      <c r="AS59" s="91">
        <f t="shared" ca="1" si="28"/>
        <v>0.33377619308704837</v>
      </c>
      <c r="AT59" s="91">
        <f t="shared" ca="1" si="28"/>
        <v>0.3456783557731537</v>
      </c>
      <c r="AU59" s="91">
        <f t="shared" ca="1" si="28"/>
        <v>0.35819186054924967</v>
      </c>
      <c r="AV59" s="91">
        <f t="shared" ca="1" si="28"/>
        <v>0.36967101619637033</v>
      </c>
      <c r="AW59" s="91">
        <f t="shared" ca="1" si="28"/>
        <v>0.38243189883116913</v>
      </c>
      <c r="AX59" s="91">
        <f t="shared" ca="1" si="28"/>
        <v>0.27039757500304995</v>
      </c>
      <c r="AY59" s="91">
        <f t="shared" ca="1" si="28"/>
        <v>0.40702713059512574</v>
      </c>
      <c r="AZ59" s="91">
        <f t="shared" ca="1" si="28"/>
        <v>0.42046210417977348</v>
      </c>
      <c r="BA59" s="91">
        <f t="shared" ca="1" si="28"/>
        <v>0.43161860052196177</v>
      </c>
      <c r="BB59" s="91">
        <f t="shared" ca="1" si="28"/>
        <v>0.43312841815066994</v>
      </c>
      <c r="BC59" s="91">
        <f t="shared" ca="1" si="28"/>
        <v>0.43357631145428993</v>
      </c>
      <c r="BD59" s="91">
        <f t="shared" ca="1" si="28"/>
        <v>0.28448037585507907</v>
      </c>
      <c r="BE59" s="91">
        <f t="shared" ca="1" si="28"/>
        <v>0.43550763579647905</v>
      </c>
      <c r="BF59" s="91">
        <f t="shared" ca="1" si="28"/>
        <v>0.43646884824824955</v>
      </c>
      <c r="BG59" s="91">
        <f t="shared" ca="1" si="28"/>
        <v>0.43783476213134803</v>
      </c>
      <c r="BH59" s="91">
        <f t="shared" ca="1" si="28"/>
        <v>0.43836101899559626</v>
      </c>
      <c r="BI59" s="91">
        <f t="shared" ca="1" si="28"/>
        <v>0.43967087062725879</v>
      </c>
      <c r="BJ59" s="91">
        <f t="shared" ca="1" si="28"/>
        <v>0.28413966208272468</v>
      </c>
      <c r="BK59" s="91">
        <f t="shared" ca="1" si="28"/>
        <v>0.44118390160874538</v>
      </c>
      <c r="BL59" s="91">
        <f t="shared" ca="1" si="28"/>
        <v>0.44271179834185692</v>
      </c>
      <c r="BM59" s="91">
        <f t="shared" ca="1" si="28"/>
        <v>0.4429973987770684</v>
      </c>
      <c r="BN59" s="91">
        <f t="shared" ref="BN59:CK59" ca="1" si="29">IFERROR(BN58/BN$35,"неприменимо")</f>
        <v>0.4441674808500487</v>
      </c>
      <c r="BO59" s="91">
        <f t="shared" ca="1" si="29"/>
        <v>0.44479613616553998</v>
      </c>
      <c r="BP59" s="91">
        <f t="shared" ca="1" si="29"/>
        <v>0.28780582477916267</v>
      </c>
      <c r="BQ59" s="91">
        <f t="shared" ca="1" si="29"/>
        <v>0.44657035307490206</v>
      </c>
      <c r="BR59" s="91">
        <f t="shared" ca="1" si="29"/>
        <v>0.44745294854087309</v>
      </c>
      <c r="BS59" s="91">
        <f t="shared" ca="1" si="29"/>
        <v>0.44849177373714971</v>
      </c>
      <c r="BT59" s="91">
        <f t="shared" ca="1" si="29"/>
        <v>0.44919078357289821</v>
      </c>
      <c r="BU59" s="91">
        <f t="shared" ca="1" si="29"/>
        <v>0.4498618747487324</v>
      </c>
      <c r="BV59" s="91">
        <f t="shared" ca="1" si="29"/>
        <v>0.29037553952856826</v>
      </c>
      <c r="BW59" s="91">
        <f t="shared" ca="1" si="29"/>
        <v>0.45077394709096824</v>
      </c>
      <c r="BX59" s="91">
        <f t="shared" ca="1" si="29"/>
        <v>0.45162603585809052</v>
      </c>
      <c r="BY59" s="91">
        <f t="shared" ca="1" si="29"/>
        <v>0.45180244482576054</v>
      </c>
      <c r="BZ59" s="91">
        <f t="shared" ca="1" si="29"/>
        <v>0.45241534419591328</v>
      </c>
      <c r="CA59" s="91">
        <f t="shared" ca="1" si="29"/>
        <v>0.45283559519044836</v>
      </c>
      <c r="CB59" s="91">
        <f t="shared" ca="1" si="29"/>
        <v>0.29228445416787963</v>
      </c>
      <c r="CC59" s="91">
        <f t="shared" ca="1" si="29"/>
        <v>0.45385600440379115</v>
      </c>
      <c r="CD59" s="91">
        <f t="shared" ca="1" si="29"/>
        <v>0.45436560943875443</v>
      </c>
      <c r="CE59" s="91">
        <f t="shared" ca="1" si="29"/>
        <v>0.45492038834926707</v>
      </c>
      <c r="CF59" s="91">
        <f t="shared" ca="1" si="29"/>
        <v>0.4553670916360425</v>
      </c>
      <c r="CG59" s="91">
        <f t="shared" ca="1" si="29"/>
        <v>0.45589922602843319</v>
      </c>
      <c r="CH59" s="91">
        <f t="shared" ca="1" si="29"/>
        <v>0.2941711618041013</v>
      </c>
      <c r="CI59" s="91">
        <f t="shared" ca="1" si="29"/>
        <v>0.45685006338105832</v>
      </c>
      <c r="CJ59" s="91">
        <f t="shared" ca="1" si="29"/>
        <v>0.45736477263971037</v>
      </c>
      <c r="CK59" s="91">
        <f t="shared" ca="1" si="29"/>
        <v>0.45780511841397759</v>
      </c>
    </row>
    <row r="60" spans="2:89" ht="15.75" thickTop="1">
      <c r="B60" s="14"/>
      <c r="C60" s="14"/>
      <c r="D60" s="14"/>
      <c r="E60" s="14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</row>
    <row r="61" spans="2:89" ht="15.75" thickBot="1">
      <c r="B61" s="96" t="s">
        <v>130</v>
      </c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</row>
    <row r="62" spans="2:89">
      <c r="B62" s="14"/>
      <c r="C62" s="14"/>
      <c r="D62" s="14"/>
      <c r="E62" s="14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</row>
    <row r="63" spans="2:89">
      <c r="B63" s="77" t="s">
        <v>97</v>
      </c>
      <c r="C63" s="78"/>
      <c r="D63" s="98">
        <v>0</v>
      </c>
      <c r="E63" s="79"/>
      <c r="F63" s="80">
        <f>E65</f>
        <v>0</v>
      </c>
      <c r="G63" s="80">
        <f t="shared" ref="G63:AG63" ca="1" si="30">F65</f>
        <v>0</v>
      </c>
      <c r="H63" s="80">
        <f t="shared" ca="1" si="30"/>
        <v>-879041.09589041094</v>
      </c>
      <c r="I63" s="80">
        <f t="shared" ca="1" si="30"/>
        <v>-1729726.0273972601</v>
      </c>
      <c r="J63" s="80">
        <f t="shared" ca="1" si="30"/>
        <v>-2608767.1232876712</v>
      </c>
      <c r="K63" s="80">
        <f t="shared" ca="1" si="30"/>
        <v>-5398767.1232876712</v>
      </c>
      <c r="L63" s="80">
        <f t="shared" ca="1" si="30"/>
        <v>-8098767.1232876703</v>
      </c>
      <c r="M63" s="80">
        <f t="shared" ca="1" si="30"/>
        <v>-10888767.12328767</v>
      </c>
      <c r="N63" s="80">
        <f t="shared" ca="1" si="30"/>
        <v>-15812876.712328766</v>
      </c>
      <c r="O63" s="80">
        <f t="shared" ca="1" si="30"/>
        <v>-20901123.287671231</v>
      </c>
      <c r="P63" s="80">
        <f t="shared" ca="1" si="30"/>
        <v>-25975467.549966313</v>
      </c>
      <c r="Q63" s="80">
        <f t="shared" ca="1" si="30"/>
        <v>-32155795.418818772</v>
      </c>
      <c r="R63" s="80">
        <f t="shared" ca="1" si="30"/>
        <v>-38762352.79586795</v>
      </c>
      <c r="S63" s="80">
        <f t="shared" ca="1" si="30"/>
        <v>-37746766.423206896</v>
      </c>
      <c r="T63" s="80">
        <f t="shared" ca="1" si="30"/>
        <v>-36805953.073059477</v>
      </c>
      <c r="U63" s="80">
        <f t="shared" ca="1" si="30"/>
        <v>-41215943.11287909</v>
      </c>
      <c r="V63" s="80">
        <f t="shared" ca="1" si="30"/>
        <v>-40000160.324948892</v>
      </c>
      <c r="W63" s="80">
        <f t="shared" ca="1" si="30"/>
        <v>-38644974.922075272</v>
      </c>
      <c r="X63" s="80">
        <f t="shared" ca="1" si="30"/>
        <v>-42437542.219079748</v>
      </c>
      <c r="Y63" s="80">
        <f t="shared" ca="1" si="30"/>
        <v>-40805287.174685039</v>
      </c>
      <c r="Z63" s="80">
        <f t="shared" ca="1" si="30"/>
        <v>-38834224.060906202</v>
      </c>
      <c r="AA63" s="80">
        <f t="shared" ca="1" si="30"/>
        <v>-42205635.645462602</v>
      </c>
      <c r="AB63" s="80">
        <f t="shared" ca="1" si="30"/>
        <v>-40170261.36967992</v>
      </c>
      <c r="AC63" s="80">
        <f t="shared" ca="1" si="30"/>
        <v>-37411825.027570143</v>
      </c>
      <c r="AD63" s="80">
        <f t="shared" ca="1" si="30"/>
        <v>-35100826.883531854</v>
      </c>
      <c r="AE63" s="80">
        <f t="shared" ca="1" si="30"/>
        <v>-27509805.935248889</v>
      </c>
      <c r="AF63" s="80">
        <f t="shared" ca="1" si="30"/>
        <v>-18835340.094640877</v>
      </c>
      <c r="AG63" s="80">
        <f t="shared" ca="1" si="30"/>
        <v>-8539898.3361507412</v>
      </c>
      <c r="AH63" s="80">
        <f t="shared" ref="AH63:BM63" ca="1" si="31">AG65</f>
        <v>3290887.9811217096</v>
      </c>
      <c r="AI63" s="80">
        <f t="shared" ca="1" si="31"/>
        <v>17134202.94380869</v>
      </c>
      <c r="AJ63" s="80">
        <f t="shared" ca="1" si="31"/>
        <v>33432982.450636335</v>
      </c>
      <c r="AK63" s="80">
        <f t="shared" ca="1" si="31"/>
        <v>52316939.556209698</v>
      </c>
      <c r="AL63" s="80">
        <f t="shared" ca="1" si="31"/>
        <v>74505721.411185622</v>
      </c>
      <c r="AM63" s="80">
        <f t="shared" ca="1" si="31"/>
        <v>94317603.107308447</v>
      </c>
      <c r="AN63" s="80">
        <f t="shared" ca="1" si="31"/>
        <v>124646704.93794335</v>
      </c>
      <c r="AO63" s="80">
        <f t="shared" ca="1" si="31"/>
        <v>160210639.53042263</v>
      </c>
      <c r="AP63" s="80">
        <f t="shared" ca="1" si="31"/>
        <v>201493450.56012297</v>
      </c>
      <c r="AQ63" s="80">
        <f t="shared" ca="1" si="31"/>
        <v>245256512.94729933</v>
      </c>
      <c r="AR63" s="80">
        <f t="shared" ca="1" si="31"/>
        <v>291420097.1410495</v>
      </c>
      <c r="AS63" s="80">
        <f t="shared" ca="1" si="31"/>
        <v>325574716.2146275</v>
      </c>
      <c r="AT63" s="80">
        <f t="shared" ca="1" si="31"/>
        <v>377206034.26345205</v>
      </c>
      <c r="AU63" s="80">
        <f t="shared" ca="1" si="31"/>
        <v>431863382.92255706</v>
      </c>
      <c r="AV63" s="80">
        <f t="shared" ca="1" si="31"/>
        <v>489754105.92948496</v>
      </c>
      <c r="AW63" s="80">
        <f t="shared" ca="1" si="31"/>
        <v>550913796.19213033</v>
      </c>
      <c r="AX63" s="80">
        <f t="shared" ca="1" si="31"/>
        <v>615680433.45271683</v>
      </c>
      <c r="AY63" s="80">
        <f t="shared" ca="1" si="31"/>
        <v>662628837.03808975</v>
      </c>
      <c r="AZ63" s="80">
        <f t="shared" ca="1" si="31"/>
        <v>735140649.54613769</v>
      </c>
      <c r="BA63" s="80">
        <f t="shared" ca="1" si="31"/>
        <v>811859374.36596632</v>
      </c>
      <c r="BB63" s="80">
        <f t="shared" ca="1" si="31"/>
        <v>892790651.96773827</v>
      </c>
      <c r="BC63" s="80">
        <f t="shared" ca="1" si="31"/>
        <v>974331365.90243351</v>
      </c>
      <c r="BD63" s="80">
        <f t="shared" ca="1" si="31"/>
        <v>1056295341.5844707</v>
      </c>
      <c r="BE63" s="80">
        <f t="shared" ca="1" si="31"/>
        <v>1110290070.9473915</v>
      </c>
      <c r="BF63" s="80">
        <f t="shared" ca="1" si="31"/>
        <v>1193293200.7531068</v>
      </c>
      <c r="BG63" s="80">
        <f t="shared" ca="1" si="31"/>
        <v>1276824951.98177</v>
      </c>
      <c r="BH63" s="80">
        <f t="shared" ca="1" si="31"/>
        <v>1360954810.720614</v>
      </c>
      <c r="BI63" s="80">
        <f t="shared" ca="1" si="31"/>
        <v>1445535551.9798923</v>
      </c>
      <c r="BJ63" s="80">
        <f t="shared" ca="1" si="31"/>
        <v>1530709904.0976713</v>
      </c>
      <c r="BK63" s="80">
        <f t="shared" ca="1" si="31"/>
        <v>1585982854.0926387</v>
      </c>
      <c r="BL63" s="80">
        <f t="shared" ca="1" si="31"/>
        <v>1672160606.5926147</v>
      </c>
      <c r="BM63" s="80">
        <f t="shared" ca="1" si="31"/>
        <v>1758971761.9472871</v>
      </c>
      <c r="BN63" s="80">
        <f t="shared" ref="BN63" ca="1" si="32">BM65</f>
        <v>1846198641.8779547</v>
      </c>
      <c r="BO63" s="80">
        <f t="shared" ref="BO63" ca="1" si="33">BN65</f>
        <v>1934006371.6805177</v>
      </c>
      <c r="BP63" s="80">
        <f t="shared" ref="BP63" ca="1" si="34">BO65</f>
        <v>2022302511.6372671</v>
      </c>
      <c r="BQ63" s="80">
        <f t="shared" ref="BQ63" ca="1" si="35">BP65</f>
        <v>2079663565.1240742</v>
      </c>
      <c r="BR63" s="80">
        <f t="shared" ref="BR63" ca="1" si="36">BQ65</f>
        <v>2169035703.5549288</v>
      </c>
      <c r="BS63" s="80">
        <f t="shared" ref="BS63" ca="1" si="37">BR65</f>
        <v>2258955301.8582897</v>
      </c>
      <c r="BT63" s="80">
        <f t="shared" ref="BT63" ca="1" si="38">BS65</f>
        <v>2349444823.6774292</v>
      </c>
      <c r="BU63" s="80">
        <f t="shared" ref="BU63" ca="1" si="39">BT65</f>
        <v>2440450686.2998991</v>
      </c>
      <c r="BV63" s="80">
        <f t="shared" ref="BV63" ca="1" si="40">BU65</f>
        <v>2531957735.3454957</v>
      </c>
      <c r="BW63" s="80">
        <f t="shared" ref="BW63" ca="1" si="41">BV65</f>
        <v>2591268034.3245382</v>
      </c>
      <c r="BX63" s="80">
        <f t="shared" ref="BX63" ca="1" si="42">BW65</f>
        <v>2683722635.664187</v>
      </c>
      <c r="BY63" s="80">
        <f t="shared" ref="BY63" ca="1" si="43">BX65</f>
        <v>2776699345.5104728</v>
      </c>
      <c r="BZ63" s="80">
        <f t="shared" ref="BZ63" ca="1" si="44">BY65</f>
        <v>2870098601.9735765</v>
      </c>
      <c r="CA63" s="80">
        <f t="shared" ref="CA63" ca="1" si="45">BZ65</f>
        <v>2964000366.780138</v>
      </c>
      <c r="CB63" s="80">
        <f t="shared" ref="CB63" ca="1" si="46">CA65</f>
        <v>3058379639.1633348</v>
      </c>
      <c r="CC63" s="80">
        <f t="shared" ref="CC63" ca="1" si="47">CB65</f>
        <v>3119541877.4986262</v>
      </c>
      <c r="CD63" s="80">
        <f t="shared" ref="CD63" ca="1" si="48">CC65</f>
        <v>3214908275.2139125</v>
      </c>
      <c r="CE63" s="80">
        <f t="shared" ref="CE63" ca="1" si="49">CD65</f>
        <v>3310778199.5293002</v>
      </c>
      <c r="CF63" s="80">
        <f t="shared" ref="CF63" ca="1" si="50">CE65</f>
        <v>3407150875.7754431</v>
      </c>
      <c r="CG63" s="80">
        <f t="shared" ref="CG63" ca="1" si="51">CF65</f>
        <v>3504018756.6921992</v>
      </c>
      <c r="CH63" s="80">
        <f t="shared" ref="CH63" ca="1" si="52">CG65</f>
        <v>3601389525.3553786</v>
      </c>
      <c r="CI63" s="80">
        <f t="shared" ref="CI63" ca="1" si="53">CH65</f>
        <v>3664479372.9549274</v>
      </c>
      <c r="CJ63" s="80">
        <f t="shared" ref="CJ63" ca="1" si="54">CI65</f>
        <v>3762865238.6248298</v>
      </c>
      <c r="CK63" s="80">
        <f t="shared" ref="CK63" ca="1" si="55">CJ65</f>
        <v>3861731295.5003605</v>
      </c>
    </row>
    <row r="64" spans="2:89" ht="15.75" thickBot="1">
      <c r="B64" s="45" t="s">
        <v>129</v>
      </c>
      <c r="C64" s="46"/>
      <c r="D64" s="98">
        <f ca="1">SUM(F64:CK64)</f>
        <v>3961103468.1441512</v>
      </c>
      <c r="E64" s="48"/>
      <c r="F64" s="49">
        <f ca="1">F58</f>
        <v>0</v>
      </c>
      <c r="G64" s="49">
        <f t="shared" ref="G64:AG64" ca="1" si="56">G58</f>
        <v>-879041.09589041094</v>
      </c>
      <c r="H64" s="49">
        <f t="shared" ca="1" si="56"/>
        <v>-850684.93150684924</v>
      </c>
      <c r="I64" s="49">
        <f t="shared" ca="1" si="56"/>
        <v>-879041.09589041094</v>
      </c>
      <c r="J64" s="49">
        <f t="shared" ca="1" si="56"/>
        <v>-2790000</v>
      </c>
      <c r="K64" s="49">
        <f t="shared" ca="1" si="56"/>
        <v>-2699999.9999999995</v>
      </c>
      <c r="L64" s="49">
        <f t="shared" ca="1" si="56"/>
        <v>-2790000</v>
      </c>
      <c r="M64" s="49">
        <f t="shared" ca="1" si="56"/>
        <v>-4924109.5890410952</v>
      </c>
      <c r="N64" s="49">
        <f t="shared" ca="1" si="56"/>
        <v>-5088246.5753424652</v>
      </c>
      <c r="O64" s="49">
        <f t="shared" ca="1" si="56"/>
        <v>-5074344.2622950822</v>
      </c>
      <c r="P64" s="49">
        <f t="shared" ca="1" si="56"/>
        <v>-6180327.8688524598</v>
      </c>
      <c r="Q64" s="49">
        <f t="shared" ca="1" si="56"/>
        <v>-6606557.3770491797</v>
      </c>
      <c r="R64" s="49">
        <f t="shared" ca="1" si="56"/>
        <v>1015586.3726610569</v>
      </c>
      <c r="S64" s="49">
        <f t="shared" ca="1" si="56"/>
        <v>940813.35014741682</v>
      </c>
      <c r="T64" s="49">
        <f t="shared" ca="1" si="56"/>
        <v>-4409990.0398196131</v>
      </c>
      <c r="U64" s="49">
        <f t="shared" ca="1" si="56"/>
        <v>1215782.7879301962</v>
      </c>
      <c r="V64" s="49">
        <f t="shared" ca="1" si="56"/>
        <v>1355185.4028736185</v>
      </c>
      <c r="W64" s="49">
        <f t="shared" ca="1" si="56"/>
        <v>-3792567.2970044725</v>
      </c>
      <c r="X64" s="49">
        <f t="shared" ca="1" si="56"/>
        <v>1632255.0443947082</v>
      </c>
      <c r="Y64" s="49">
        <f t="shared" ca="1" si="56"/>
        <v>1971063.1137788333</v>
      </c>
      <c r="Z64" s="49">
        <f t="shared" ca="1" si="56"/>
        <v>-3371411.5845564036</v>
      </c>
      <c r="AA64" s="49">
        <f t="shared" ca="1" si="56"/>
        <v>2035374.2757826839</v>
      </c>
      <c r="AB64" s="49">
        <f t="shared" ca="1" si="56"/>
        <v>2758436.3421097761</v>
      </c>
      <c r="AC64" s="49">
        <f t="shared" ca="1" si="56"/>
        <v>2310998.1440382907</v>
      </c>
      <c r="AD64" s="49">
        <f t="shared" ca="1" si="56"/>
        <v>7591020.9482829645</v>
      </c>
      <c r="AE64" s="49">
        <f t="shared" ca="1" si="56"/>
        <v>8674465.8406080119</v>
      </c>
      <c r="AF64" s="49">
        <f t="shared" ca="1" si="56"/>
        <v>10295441.758490136</v>
      </c>
      <c r="AG64" s="49">
        <f t="shared" ca="1" si="56"/>
        <v>11830786.317272451</v>
      </c>
      <c r="AH64" s="49">
        <f t="shared" ref="AH64:BM64" ca="1" si="57">AH58</f>
        <v>13843314.962686982</v>
      </c>
      <c r="AI64" s="49">
        <f t="shared" ca="1" si="57"/>
        <v>16298779.506827645</v>
      </c>
      <c r="AJ64" s="49">
        <f t="shared" ca="1" si="57"/>
        <v>18883957.105573364</v>
      </c>
      <c r="AK64" s="49">
        <f t="shared" ca="1" si="57"/>
        <v>22188781.854975916</v>
      </c>
      <c r="AL64" s="49">
        <f t="shared" ca="1" si="57"/>
        <v>19811881.696122825</v>
      </c>
      <c r="AM64" s="49">
        <f t="shared" ca="1" si="57"/>
        <v>30329101.830634903</v>
      </c>
      <c r="AN64" s="49">
        <f t="shared" ca="1" si="57"/>
        <v>35563934.592479274</v>
      </c>
      <c r="AO64" s="49">
        <f t="shared" ca="1" si="57"/>
        <v>41282811.029700331</v>
      </c>
      <c r="AP64" s="49">
        <f t="shared" ca="1" si="57"/>
        <v>43763062.387176372</v>
      </c>
      <c r="AQ64" s="49">
        <f t="shared" ca="1" si="57"/>
        <v>46163584.193750188</v>
      </c>
      <c r="AR64" s="49">
        <f t="shared" ca="1" si="57"/>
        <v>34154619.073578</v>
      </c>
      <c r="AS64" s="49">
        <f t="shared" ca="1" si="57"/>
        <v>51631318.048824519</v>
      </c>
      <c r="AT64" s="49">
        <f t="shared" ca="1" si="57"/>
        <v>54657348.659105003</v>
      </c>
      <c r="AU64" s="49">
        <f t="shared" ca="1" si="57"/>
        <v>57890723.006927937</v>
      </c>
      <c r="AV64" s="49">
        <f t="shared" ca="1" si="57"/>
        <v>61159690.262645364</v>
      </c>
      <c r="AW64" s="49">
        <f t="shared" ca="1" si="57"/>
        <v>64766637.26058656</v>
      </c>
      <c r="AX64" s="49">
        <f t="shared" ca="1" si="57"/>
        <v>46948403.58537297</v>
      </c>
      <c r="AY64" s="49">
        <f t="shared" ca="1" si="57"/>
        <v>72511812.508047923</v>
      </c>
      <c r="AZ64" s="49">
        <f t="shared" ca="1" si="57"/>
        <v>76718724.819828674</v>
      </c>
      <c r="BA64" s="49">
        <f t="shared" ca="1" si="57"/>
        <v>80931277.601771981</v>
      </c>
      <c r="BB64" s="49">
        <f t="shared" ca="1" si="57"/>
        <v>81540713.934695274</v>
      </c>
      <c r="BC64" s="49">
        <f t="shared" ca="1" si="57"/>
        <v>81963975.682037279</v>
      </c>
      <c r="BD64" s="49">
        <f t="shared" ca="1" si="57"/>
        <v>53994729.362920865</v>
      </c>
      <c r="BE64" s="49">
        <f t="shared" ca="1" si="57"/>
        <v>83003129.805715412</v>
      </c>
      <c r="BF64" s="49">
        <f t="shared" ca="1" si="57"/>
        <v>83531751.228663236</v>
      </c>
      <c r="BG64" s="49">
        <f t="shared" ca="1" si="57"/>
        <v>84129858.738844037</v>
      </c>
      <c r="BH64" s="49">
        <f t="shared" ca="1" si="57"/>
        <v>84580741.259278387</v>
      </c>
      <c r="BI64" s="49">
        <f t="shared" ca="1" si="57"/>
        <v>85174352.117779076</v>
      </c>
      <c r="BJ64" s="49">
        <f t="shared" ca="1" si="57"/>
        <v>55272949.994967461</v>
      </c>
      <c r="BK64" s="49">
        <f t="shared" ca="1" si="57"/>
        <v>86177752.499975801</v>
      </c>
      <c r="BL64" s="49">
        <f t="shared" ca="1" si="57"/>
        <v>86811155.354672328</v>
      </c>
      <c r="BM64" s="49">
        <f t="shared" ca="1" si="57"/>
        <v>87226879.930667713</v>
      </c>
      <c r="BN64" s="49">
        <f t="shared" ref="BN64:CK64" ca="1" si="58">BN58</f>
        <v>87807729.802562907</v>
      </c>
      <c r="BO64" s="49">
        <f t="shared" ca="1" si="58"/>
        <v>88296139.956749335</v>
      </c>
      <c r="BP64" s="49">
        <f t="shared" ca="1" si="58"/>
        <v>57361053.486807123</v>
      </c>
      <c r="BQ64" s="49">
        <f t="shared" ca="1" si="58"/>
        <v>89372138.430854544</v>
      </c>
      <c r="BR64" s="49">
        <f t="shared" ca="1" si="58"/>
        <v>89919598.303360924</v>
      </c>
      <c r="BS64" s="49">
        <f t="shared" ca="1" si="58"/>
        <v>90489521.819139302</v>
      </c>
      <c r="BT64" s="49">
        <f t="shared" ca="1" si="58"/>
        <v>91005862.622469902</v>
      </c>
      <c r="BU64" s="49">
        <f t="shared" ca="1" si="58"/>
        <v>91507049.045596763</v>
      </c>
      <c r="BV64" s="49">
        <f t="shared" ca="1" si="58"/>
        <v>59310298.979042359</v>
      </c>
      <c r="BW64" s="49">
        <f t="shared" ca="1" si="58"/>
        <v>92454601.339648932</v>
      </c>
      <c r="BX64" s="49">
        <f t="shared" ca="1" si="58"/>
        <v>92976709.846285641</v>
      </c>
      <c r="BY64" s="49">
        <f t="shared" ca="1" si="58"/>
        <v>93399256.463103697</v>
      </c>
      <c r="BZ64" s="49">
        <f t="shared" ca="1" si="58"/>
        <v>93901764.806561291</v>
      </c>
      <c r="CA64" s="49">
        <f t="shared" ca="1" si="58"/>
        <v>94379272.38319701</v>
      </c>
      <c r="CB64" s="49">
        <f t="shared" ca="1" si="58"/>
        <v>61162238.335291155</v>
      </c>
      <c r="CC64" s="49">
        <f t="shared" ca="1" si="58"/>
        <v>95366397.715286046</v>
      </c>
      <c r="CD64" s="49">
        <f t="shared" ca="1" si="58"/>
        <v>95869924.315387622</v>
      </c>
      <c r="CE64" s="49">
        <f t="shared" ca="1" si="58"/>
        <v>96372676.246143043</v>
      </c>
      <c r="CF64" s="49">
        <f t="shared" ca="1" si="58"/>
        <v>96867880.916755974</v>
      </c>
      <c r="CG64" s="49">
        <f t="shared" ca="1" si="58"/>
        <v>97370768.663179561</v>
      </c>
      <c r="CH64" s="49">
        <f t="shared" ca="1" si="58"/>
        <v>63089847.599548988</v>
      </c>
      <c r="CI64" s="49">
        <f t="shared" ca="1" si="58"/>
        <v>98385865.669902176</v>
      </c>
      <c r="CJ64" s="49">
        <f t="shared" ca="1" si="58"/>
        <v>98866056.875530899</v>
      </c>
      <c r="CK64" s="49">
        <f t="shared" ca="1" si="58"/>
        <v>99372172.643790528</v>
      </c>
    </row>
    <row r="65" spans="2:89" ht="15.75" thickTop="1">
      <c r="B65" s="50" t="s">
        <v>99</v>
      </c>
      <c r="C65" s="51"/>
      <c r="D65" s="52">
        <f ca="1">SUM(D63:D64)</f>
        <v>3961103468.1441512</v>
      </c>
      <c r="E65" s="53"/>
      <c r="F65" s="54">
        <f ca="1">SUM(F63:F64)</f>
        <v>0</v>
      </c>
      <c r="G65" s="54">
        <f t="shared" ref="G65:AG65" ca="1" si="59">SUM(G63:G64)</f>
        <v>-879041.09589041094</v>
      </c>
      <c r="H65" s="54">
        <f t="shared" ca="1" si="59"/>
        <v>-1729726.0273972601</v>
      </c>
      <c r="I65" s="54">
        <f t="shared" ca="1" si="59"/>
        <v>-2608767.1232876712</v>
      </c>
      <c r="J65" s="54">
        <f t="shared" ca="1" si="59"/>
        <v>-5398767.1232876712</v>
      </c>
      <c r="K65" s="54">
        <f t="shared" ca="1" si="59"/>
        <v>-8098767.1232876703</v>
      </c>
      <c r="L65" s="54">
        <f t="shared" ca="1" si="59"/>
        <v>-10888767.12328767</v>
      </c>
      <c r="M65" s="54">
        <f t="shared" ca="1" si="59"/>
        <v>-15812876.712328766</v>
      </c>
      <c r="N65" s="54">
        <f t="shared" ca="1" si="59"/>
        <v>-20901123.287671231</v>
      </c>
      <c r="O65" s="54">
        <f t="shared" ca="1" si="59"/>
        <v>-25975467.549966313</v>
      </c>
      <c r="P65" s="54">
        <f t="shared" ca="1" si="59"/>
        <v>-32155795.418818772</v>
      </c>
      <c r="Q65" s="54">
        <f t="shared" ca="1" si="59"/>
        <v>-38762352.79586795</v>
      </c>
      <c r="R65" s="54">
        <f t="shared" ca="1" si="59"/>
        <v>-37746766.423206896</v>
      </c>
      <c r="S65" s="54">
        <f t="shared" ca="1" si="59"/>
        <v>-36805953.073059477</v>
      </c>
      <c r="T65" s="54">
        <f t="shared" ca="1" si="59"/>
        <v>-41215943.11287909</v>
      </c>
      <c r="U65" s="54">
        <f t="shared" ca="1" si="59"/>
        <v>-40000160.324948892</v>
      </c>
      <c r="V65" s="54">
        <f t="shared" ca="1" si="59"/>
        <v>-38644974.922075272</v>
      </c>
      <c r="W65" s="54">
        <f t="shared" ca="1" si="59"/>
        <v>-42437542.219079748</v>
      </c>
      <c r="X65" s="54">
        <f t="shared" ca="1" si="59"/>
        <v>-40805287.174685039</v>
      </c>
      <c r="Y65" s="54">
        <f t="shared" ca="1" si="59"/>
        <v>-38834224.060906202</v>
      </c>
      <c r="Z65" s="54">
        <f t="shared" ca="1" si="59"/>
        <v>-42205635.645462602</v>
      </c>
      <c r="AA65" s="54">
        <f t="shared" ca="1" si="59"/>
        <v>-40170261.36967992</v>
      </c>
      <c r="AB65" s="54">
        <f t="shared" ca="1" si="59"/>
        <v>-37411825.027570143</v>
      </c>
      <c r="AC65" s="54">
        <f t="shared" ca="1" si="59"/>
        <v>-35100826.883531854</v>
      </c>
      <c r="AD65" s="54">
        <f t="shared" ca="1" si="59"/>
        <v>-27509805.935248889</v>
      </c>
      <c r="AE65" s="54">
        <f t="shared" ca="1" si="59"/>
        <v>-18835340.094640877</v>
      </c>
      <c r="AF65" s="54">
        <f t="shared" ca="1" si="59"/>
        <v>-8539898.3361507412</v>
      </c>
      <c r="AG65" s="54">
        <f t="shared" ca="1" si="59"/>
        <v>3290887.9811217096</v>
      </c>
      <c r="AH65" s="54">
        <f t="shared" ref="AH65:BM65" ca="1" si="60">SUM(AH63:AH64)</f>
        <v>17134202.94380869</v>
      </c>
      <c r="AI65" s="54">
        <f t="shared" ca="1" si="60"/>
        <v>33432982.450636335</v>
      </c>
      <c r="AJ65" s="54">
        <f t="shared" ca="1" si="60"/>
        <v>52316939.556209698</v>
      </c>
      <c r="AK65" s="54">
        <f t="shared" ca="1" si="60"/>
        <v>74505721.411185622</v>
      </c>
      <c r="AL65" s="54">
        <f t="shared" ca="1" si="60"/>
        <v>94317603.107308447</v>
      </c>
      <c r="AM65" s="54">
        <f t="shared" ca="1" si="60"/>
        <v>124646704.93794335</v>
      </c>
      <c r="AN65" s="54">
        <f t="shared" ca="1" si="60"/>
        <v>160210639.53042263</v>
      </c>
      <c r="AO65" s="54">
        <f t="shared" ca="1" si="60"/>
        <v>201493450.56012297</v>
      </c>
      <c r="AP65" s="54">
        <f t="shared" ca="1" si="60"/>
        <v>245256512.94729933</v>
      </c>
      <c r="AQ65" s="54">
        <f t="shared" ca="1" si="60"/>
        <v>291420097.1410495</v>
      </c>
      <c r="AR65" s="54">
        <f t="shared" ca="1" si="60"/>
        <v>325574716.2146275</v>
      </c>
      <c r="AS65" s="54">
        <f t="shared" ca="1" si="60"/>
        <v>377206034.26345205</v>
      </c>
      <c r="AT65" s="54">
        <f t="shared" ca="1" si="60"/>
        <v>431863382.92255706</v>
      </c>
      <c r="AU65" s="54">
        <f t="shared" ca="1" si="60"/>
        <v>489754105.92948496</v>
      </c>
      <c r="AV65" s="54">
        <f t="shared" ca="1" si="60"/>
        <v>550913796.19213033</v>
      </c>
      <c r="AW65" s="54">
        <f t="shared" ca="1" si="60"/>
        <v>615680433.45271683</v>
      </c>
      <c r="AX65" s="54">
        <f t="shared" ca="1" si="60"/>
        <v>662628837.03808975</v>
      </c>
      <c r="AY65" s="54">
        <f t="shared" ca="1" si="60"/>
        <v>735140649.54613769</v>
      </c>
      <c r="AZ65" s="54">
        <f t="shared" ca="1" si="60"/>
        <v>811859374.36596632</v>
      </c>
      <c r="BA65" s="54">
        <f t="shared" ca="1" si="60"/>
        <v>892790651.96773827</v>
      </c>
      <c r="BB65" s="54">
        <f t="shared" ca="1" si="60"/>
        <v>974331365.90243351</v>
      </c>
      <c r="BC65" s="54">
        <f t="shared" ca="1" si="60"/>
        <v>1056295341.5844707</v>
      </c>
      <c r="BD65" s="54">
        <f t="shared" ca="1" si="60"/>
        <v>1110290070.9473915</v>
      </c>
      <c r="BE65" s="54">
        <f t="shared" ca="1" si="60"/>
        <v>1193293200.7531068</v>
      </c>
      <c r="BF65" s="54">
        <f t="shared" ca="1" si="60"/>
        <v>1276824951.98177</v>
      </c>
      <c r="BG65" s="54">
        <f t="shared" ca="1" si="60"/>
        <v>1360954810.720614</v>
      </c>
      <c r="BH65" s="54">
        <f t="shared" ca="1" si="60"/>
        <v>1445535551.9798923</v>
      </c>
      <c r="BI65" s="54">
        <f t="shared" ca="1" si="60"/>
        <v>1530709904.0976713</v>
      </c>
      <c r="BJ65" s="54">
        <f t="shared" ca="1" si="60"/>
        <v>1585982854.0926387</v>
      </c>
      <c r="BK65" s="54">
        <f t="shared" ca="1" si="60"/>
        <v>1672160606.5926147</v>
      </c>
      <c r="BL65" s="54">
        <f t="shared" ca="1" si="60"/>
        <v>1758971761.9472871</v>
      </c>
      <c r="BM65" s="54">
        <f t="shared" ca="1" si="60"/>
        <v>1846198641.8779547</v>
      </c>
      <c r="BN65" s="54">
        <f t="shared" ref="BN65:CK65" ca="1" si="61">SUM(BN63:BN64)</f>
        <v>1934006371.6805177</v>
      </c>
      <c r="BO65" s="54">
        <f t="shared" ca="1" si="61"/>
        <v>2022302511.6372671</v>
      </c>
      <c r="BP65" s="54">
        <f t="shared" ca="1" si="61"/>
        <v>2079663565.1240742</v>
      </c>
      <c r="BQ65" s="54">
        <f t="shared" ca="1" si="61"/>
        <v>2169035703.5549288</v>
      </c>
      <c r="BR65" s="54">
        <f t="shared" ca="1" si="61"/>
        <v>2258955301.8582897</v>
      </c>
      <c r="BS65" s="54">
        <f t="shared" ca="1" si="61"/>
        <v>2349444823.6774292</v>
      </c>
      <c r="BT65" s="54">
        <f t="shared" ca="1" si="61"/>
        <v>2440450686.2998991</v>
      </c>
      <c r="BU65" s="54">
        <f t="shared" ca="1" si="61"/>
        <v>2531957735.3454957</v>
      </c>
      <c r="BV65" s="54">
        <f t="shared" ca="1" si="61"/>
        <v>2591268034.3245382</v>
      </c>
      <c r="BW65" s="54">
        <f t="shared" ca="1" si="61"/>
        <v>2683722635.664187</v>
      </c>
      <c r="BX65" s="54">
        <f t="shared" ca="1" si="61"/>
        <v>2776699345.5104728</v>
      </c>
      <c r="BY65" s="54">
        <f t="shared" ca="1" si="61"/>
        <v>2870098601.9735765</v>
      </c>
      <c r="BZ65" s="54">
        <f t="shared" ca="1" si="61"/>
        <v>2964000366.780138</v>
      </c>
      <c r="CA65" s="54">
        <f t="shared" ca="1" si="61"/>
        <v>3058379639.1633348</v>
      </c>
      <c r="CB65" s="54">
        <f t="shared" ca="1" si="61"/>
        <v>3119541877.4986262</v>
      </c>
      <c r="CC65" s="54">
        <f t="shared" ca="1" si="61"/>
        <v>3214908275.2139125</v>
      </c>
      <c r="CD65" s="54">
        <f t="shared" ca="1" si="61"/>
        <v>3310778199.5293002</v>
      </c>
      <c r="CE65" s="54">
        <f t="shared" ca="1" si="61"/>
        <v>3407150875.7754431</v>
      </c>
      <c r="CF65" s="54">
        <f t="shared" ca="1" si="61"/>
        <v>3504018756.6921992</v>
      </c>
      <c r="CG65" s="54">
        <f t="shared" ca="1" si="61"/>
        <v>3601389525.3553786</v>
      </c>
      <c r="CH65" s="54">
        <f t="shared" ca="1" si="61"/>
        <v>3664479372.9549274</v>
      </c>
      <c r="CI65" s="54">
        <f t="shared" ca="1" si="61"/>
        <v>3762865238.6248298</v>
      </c>
      <c r="CJ65" s="54">
        <f t="shared" ca="1" si="61"/>
        <v>3861731295.5003605</v>
      </c>
      <c r="CK65" s="54">
        <f t="shared" ca="1" si="61"/>
        <v>3961103468.1441512</v>
      </c>
    </row>
    <row r="66" spans="2:89">
      <c r="B66" s="14"/>
      <c r="C66" s="14"/>
      <c r="D66" s="14"/>
      <c r="E66" s="14"/>
      <c r="F66" s="14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</row>
    <row r="67" spans="2:89" ht="20.25" thickBot="1">
      <c r="B67" s="26" t="str">
        <f>"Отчет о движении денежных средств, в "&amp;Ед_измерения_денег</f>
        <v>Отчет о движении денежных средств, в  руб.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</row>
    <row r="68" spans="2:89" ht="15.75" thickTop="1">
      <c r="B68" s="99"/>
      <c r="C68" s="14"/>
      <c r="D68" s="14"/>
      <c r="E68" s="14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</row>
    <row r="69" spans="2:89" ht="18" thickBot="1">
      <c r="B69" s="100" t="s">
        <v>79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</row>
    <row r="70" spans="2:89" ht="15.75" thickTop="1">
      <c r="B70" s="148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</row>
    <row r="71" spans="2:89" ht="15.75" thickBot="1">
      <c r="B71" s="96" t="s">
        <v>80</v>
      </c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</row>
    <row r="72" spans="2:89">
      <c r="B72" s="148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9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</row>
    <row r="73" spans="2:89">
      <c r="B73" s="45" t="s">
        <v>48</v>
      </c>
      <c r="C73" s="46"/>
      <c r="D73" s="47">
        <f ca="1">SUM(F73:CK73)</f>
        <v>11534929222.63003</v>
      </c>
      <c r="E73" s="48"/>
      <c r="F73" s="49">
        <f ca="1">F35</f>
        <v>0</v>
      </c>
      <c r="G73" s="49">
        <f t="shared" ref="G73:AG73" ca="1" si="62">G35</f>
        <v>0</v>
      </c>
      <c r="H73" s="49">
        <f t="shared" ca="1" si="62"/>
        <v>0</v>
      </c>
      <c r="I73" s="49">
        <f t="shared" ca="1" si="62"/>
        <v>0</v>
      </c>
      <c r="J73" s="49">
        <f t="shared" ca="1" si="62"/>
        <v>0</v>
      </c>
      <c r="K73" s="49">
        <f t="shared" ca="1" si="62"/>
        <v>0</v>
      </c>
      <c r="L73" s="49">
        <f t="shared" ca="1" si="62"/>
        <v>0</v>
      </c>
      <c r="M73" s="49">
        <f t="shared" ca="1" si="62"/>
        <v>0</v>
      </c>
      <c r="N73" s="49">
        <f t="shared" ca="1" si="62"/>
        <v>0</v>
      </c>
      <c r="O73" s="49">
        <f t="shared" ca="1" si="62"/>
        <v>0</v>
      </c>
      <c r="P73" s="49">
        <f t="shared" ca="1" si="62"/>
        <v>0</v>
      </c>
      <c r="Q73" s="49">
        <f t="shared" ca="1" si="62"/>
        <v>0</v>
      </c>
      <c r="R73" s="49">
        <f t="shared" ca="1" si="62"/>
        <v>76902940.744730532</v>
      </c>
      <c r="S73" s="49">
        <f t="shared" ca="1" si="62"/>
        <v>77221399.72881794</v>
      </c>
      <c r="T73" s="49">
        <f t="shared" ca="1" si="62"/>
        <v>77530841.416849688</v>
      </c>
      <c r="U73" s="49">
        <f t="shared" ca="1" si="62"/>
        <v>77851900.569516033</v>
      </c>
      <c r="V73" s="49">
        <f t="shared" ca="1" si="62"/>
        <v>78174289.244442537</v>
      </c>
      <c r="W73" s="49">
        <f t="shared" ca="1" si="62"/>
        <v>78487549.352514058</v>
      </c>
      <c r="X73" s="49">
        <f t="shared" ca="1" si="62"/>
        <v>78812570.281340182</v>
      </c>
      <c r="Y73" s="49">
        <f t="shared" ca="1" si="62"/>
        <v>79128388.109968305</v>
      </c>
      <c r="Z73" s="49">
        <f t="shared" ca="1" si="62"/>
        <v>79456062.784641966</v>
      </c>
      <c r="AA73" s="49">
        <f t="shared" ca="1" si="62"/>
        <v>79785997.70223625</v>
      </c>
      <c r="AB73" s="49">
        <f t="shared" ca="1" si="62"/>
        <v>80085180.845199585</v>
      </c>
      <c r="AC73" s="49">
        <f t="shared" ca="1" si="62"/>
        <v>80417728.125000015</v>
      </c>
      <c r="AD73" s="49">
        <f t="shared" ca="1" si="62"/>
        <v>88984254.885259971</v>
      </c>
      <c r="AE73" s="49">
        <f t="shared" ca="1" si="62"/>
        <v>91664075.54684718</v>
      </c>
      <c r="AF73" s="49">
        <f t="shared" ca="1" si="62"/>
        <v>94521372.589215025</v>
      </c>
      <c r="AG73" s="49">
        <f t="shared" ca="1" si="62"/>
        <v>97790560.435293153</v>
      </c>
      <c r="AH73" s="49">
        <f t="shared" ref="AH73:BM73" ca="1" si="63">AH35</f>
        <v>101434145.56297643</v>
      </c>
      <c r="AI73" s="49">
        <f t="shared" ca="1" si="63"/>
        <v>105375523.09379695</v>
      </c>
      <c r="AJ73" s="49">
        <f t="shared" ca="1" si="63"/>
        <v>109949085.53710474</v>
      </c>
      <c r="AK73" s="49">
        <f t="shared" ca="1" si="63"/>
        <v>114940448.57385281</v>
      </c>
      <c r="AL73" s="49">
        <f t="shared" ca="1" si="63"/>
        <v>120781584.59482816</v>
      </c>
      <c r="AM73" s="49">
        <f t="shared" ca="1" si="63"/>
        <v>127436197.24098551</v>
      </c>
      <c r="AN73" s="49">
        <f t="shared" ca="1" si="63"/>
        <v>134263384.76653552</v>
      </c>
      <c r="AO73" s="49">
        <f t="shared" ca="1" si="63"/>
        <v>142878935.23408896</v>
      </c>
      <c r="AP73" s="49">
        <f t="shared" ca="1" si="63"/>
        <v>145554298.37972531</v>
      </c>
      <c r="AQ73" s="49">
        <f t="shared" ca="1" si="63"/>
        <v>148469039.71327278</v>
      </c>
      <c r="AR73" s="49">
        <f t="shared" ca="1" si="63"/>
        <v>151444251.07211518</v>
      </c>
      <c r="AS73" s="49">
        <f t="shared" ca="1" si="63"/>
        <v>154688438.29541534</v>
      </c>
      <c r="AT73" s="49">
        <f t="shared" ca="1" si="63"/>
        <v>158116201.79937756</v>
      </c>
      <c r="AU73" s="49">
        <f t="shared" ca="1" si="63"/>
        <v>161619314.62696719</v>
      </c>
      <c r="AV73" s="49">
        <f t="shared" ca="1" si="63"/>
        <v>165443563.5553239</v>
      </c>
      <c r="AW73" s="49">
        <f t="shared" ca="1" si="63"/>
        <v>169354694.15217078</v>
      </c>
      <c r="AX73" s="49">
        <f t="shared" ca="1" si="63"/>
        <v>173627310.02614731</v>
      </c>
      <c r="AY73" s="49">
        <f t="shared" ca="1" si="63"/>
        <v>178149826.0374594</v>
      </c>
      <c r="AZ73" s="49">
        <f t="shared" ca="1" si="63"/>
        <v>182462876.1003077</v>
      </c>
      <c r="BA73" s="49">
        <f t="shared" ca="1" si="63"/>
        <v>187506464.04928049</v>
      </c>
      <c r="BB73" s="49">
        <f t="shared" ca="1" si="63"/>
        <v>188259902.87788081</v>
      </c>
      <c r="BC73" s="49">
        <f t="shared" ca="1" si="63"/>
        <v>189041637.00068375</v>
      </c>
      <c r="BD73" s="49">
        <f t="shared" ca="1" si="63"/>
        <v>189801244.46414199</v>
      </c>
      <c r="BE73" s="49">
        <f t="shared" ca="1" si="63"/>
        <v>190589378.88405782</v>
      </c>
      <c r="BF73" s="49">
        <f t="shared" ca="1" si="63"/>
        <v>191380785.96883744</v>
      </c>
      <c r="BG73" s="49">
        <f t="shared" ca="1" si="63"/>
        <v>192149792.60510507</v>
      </c>
      <c r="BH73" s="49">
        <f t="shared" ca="1" si="63"/>
        <v>192947679.18250522</v>
      </c>
      <c r="BI73" s="49">
        <f t="shared" ca="1" si="63"/>
        <v>193722981.91204852</v>
      </c>
      <c r="BJ73" s="49">
        <f t="shared" ca="1" si="63"/>
        <v>194527401.03166324</v>
      </c>
      <c r="BK73" s="49">
        <f t="shared" ca="1" si="63"/>
        <v>195332948.88080645</v>
      </c>
      <c r="BL73" s="49">
        <f t="shared" ca="1" si="63"/>
        <v>196089545.56850946</v>
      </c>
      <c r="BM73" s="49">
        <f t="shared" ca="1" si="63"/>
        <v>196901562.33753258</v>
      </c>
      <c r="BN73" s="49">
        <f t="shared" ref="BN73:CK73" ca="1" si="64">BN35</f>
        <v>197690586.52046359</v>
      </c>
      <c r="BO73" s="49">
        <f t="shared" ca="1" si="64"/>
        <v>198509233.28139731</v>
      </c>
      <c r="BP73" s="49">
        <f t="shared" ca="1" si="64"/>
        <v>199304699.72531322</v>
      </c>
      <c r="BQ73" s="49">
        <f t="shared" ca="1" si="64"/>
        <v>200130030.61102086</v>
      </c>
      <c r="BR73" s="49">
        <f t="shared" ca="1" si="64"/>
        <v>200958779.23385081</v>
      </c>
      <c r="BS73" s="49">
        <f t="shared" ca="1" si="64"/>
        <v>201764061.50132209</v>
      </c>
      <c r="BT73" s="49">
        <f t="shared" ca="1" si="64"/>
        <v>202599576.7290732</v>
      </c>
      <c r="BU73" s="49">
        <f t="shared" ca="1" si="64"/>
        <v>203411434.00228673</v>
      </c>
      <c r="BV73" s="49">
        <f t="shared" ca="1" si="64"/>
        <v>204253771.08324644</v>
      </c>
      <c r="BW73" s="49">
        <f t="shared" ca="1" si="64"/>
        <v>205101918.45890146</v>
      </c>
      <c r="BX73" s="49">
        <f t="shared" ca="1" si="64"/>
        <v>205871013.76834857</v>
      </c>
      <c r="BY73" s="49">
        <f t="shared" ca="1" si="64"/>
        <v>206725876.61433196</v>
      </c>
      <c r="BZ73" s="49">
        <f t="shared" ca="1" si="64"/>
        <v>207556542.92286384</v>
      </c>
      <c r="CA73" s="49">
        <f t="shared" ca="1" si="64"/>
        <v>208418404.79325408</v>
      </c>
      <c r="CB73" s="49">
        <f t="shared" ca="1" si="64"/>
        <v>209255872.02171674</v>
      </c>
      <c r="CC73" s="49">
        <f t="shared" ca="1" si="64"/>
        <v>210124790.21967399</v>
      </c>
      <c r="CD73" s="49">
        <f t="shared" ca="1" si="64"/>
        <v>210997316.53064352</v>
      </c>
      <c r="CE73" s="49">
        <f t="shared" ca="1" si="64"/>
        <v>211845146.34712857</v>
      </c>
      <c r="CF73" s="49">
        <f t="shared" ca="1" si="64"/>
        <v>212724816.29871216</v>
      </c>
      <c r="CG73" s="49">
        <f t="shared" ca="1" si="64"/>
        <v>213579587.55803373</v>
      </c>
      <c r="CH73" s="49">
        <f t="shared" ca="1" si="64"/>
        <v>214466459.63740894</v>
      </c>
      <c r="CI73" s="49">
        <f t="shared" ca="1" si="64"/>
        <v>215357014.38184676</v>
      </c>
      <c r="CJ73" s="49">
        <f t="shared" ca="1" si="64"/>
        <v>216164564.45676622</v>
      </c>
      <c r="CK73" s="49">
        <f t="shared" ca="1" si="64"/>
        <v>217062170.44504875</v>
      </c>
    </row>
    <row r="74" spans="2:89">
      <c r="B74" s="45" t="s">
        <v>132</v>
      </c>
      <c r="C74" s="46"/>
      <c r="D74" s="47">
        <f t="shared" ref="D74:D75" si="65">SUM(F74:CK74)</f>
        <v>-231066181.44150352</v>
      </c>
      <c r="E74" s="48"/>
      <c r="F74" s="49">
        <f>-Оборотный_капитал!F81</f>
        <v>0</v>
      </c>
      <c r="G74" s="49">
        <f>-Оборотный_капитал!G81</f>
        <v>0</v>
      </c>
      <c r="H74" s="49">
        <f>-Оборотный_капитал!H81</f>
        <v>0</v>
      </c>
      <c r="I74" s="49">
        <f>-Оборотный_капитал!I81</f>
        <v>0</v>
      </c>
      <c r="J74" s="49">
        <f>-Оборотный_капитал!J81</f>
        <v>0</v>
      </c>
      <c r="K74" s="49">
        <f>-Оборотный_капитал!K81</f>
        <v>0</v>
      </c>
      <c r="L74" s="49">
        <f>-Оборотный_капитал!L81</f>
        <v>0</v>
      </c>
      <c r="M74" s="49">
        <f>-Оборотный_капитал!M81</f>
        <v>0</v>
      </c>
      <c r="N74" s="49">
        <f>-Оборотный_капитал!N81</f>
        <v>0</v>
      </c>
      <c r="O74" s="49">
        <f>-Оборотный_капитал!O81</f>
        <v>0</v>
      </c>
      <c r="P74" s="49">
        <f>-Оборотный_капитал!P81</f>
        <v>0</v>
      </c>
      <c r="Q74" s="49">
        <f>-Оборотный_капитал!Q81</f>
        <v>0</v>
      </c>
      <c r="R74" s="49">
        <f>-Оборотный_капитал!R81</f>
        <v>-84593234.819203585</v>
      </c>
      <c r="S74" s="49">
        <f>-Оборотный_капитал!S81</f>
        <v>2389809.3014296442</v>
      </c>
      <c r="T74" s="49">
        <f>-Оборотный_капитал!T81</f>
        <v>-3080500.0407607257</v>
      </c>
      <c r="U74" s="49">
        <f>-Оборотный_капитал!U81</f>
        <v>2409321.7264692038</v>
      </c>
      <c r="V74" s="49">
        <f>-Оборотный_капитал!V81</f>
        <v>-343187.94427658617</v>
      </c>
      <c r="W74" s="49">
        <f>-Оборотный_капитал!W81</f>
        <v>-3118512.5114234239</v>
      </c>
      <c r="X74" s="49">
        <f>-Оборотный_капитал!X81</f>
        <v>2439052.0527904332</v>
      </c>
      <c r="Y74" s="49">
        <f>-Оборотный_капитал!Y81</f>
        <v>-3143974.68599011</v>
      </c>
      <c r="Z74" s="49">
        <f>-Оборотный_капитал!Z81</f>
        <v>2458966.5373140126</v>
      </c>
      <c r="AA74" s="49">
        <f>-Оборотный_капитал!AA81</f>
        <v>-351221.04131004214</v>
      </c>
      <c r="AB74" s="49">
        <f>-Оборотный_капитал!AB81</f>
        <v>-9452624.5711669177</v>
      </c>
      <c r="AC74" s="49">
        <f>-Оборотный_капитал!AC81</f>
        <v>8780137.3469345123</v>
      </c>
      <c r="AD74" s="49">
        <f>-Оборотный_капитал!AD81</f>
        <v>-12276711.724592388</v>
      </c>
      <c r="AE74" s="49">
        <f>-Оборотный_капитал!AE81</f>
        <v>304793.50133574009</v>
      </c>
      <c r="AF74" s="49">
        <f>-Оборотный_капитал!AF81</f>
        <v>-6395622.9756863266</v>
      </c>
      <c r="AG74" s="49">
        <f>-Оборотный_капитал!AG81</f>
        <v>-126119.0023368001</v>
      </c>
      <c r="AH74" s="49">
        <f>-Оборотный_капитал!AH81</f>
        <v>-3878655.1359209269</v>
      </c>
      <c r="AI74" s="49">
        <f>-Оборотный_капитал!AI81</f>
        <v>-7934791.4167823642</v>
      </c>
      <c r="AJ74" s="49">
        <f>-Оборотный_капитал!AJ81</f>
        <v>-1129499.5234187245</v>
      </c>
      <c r="AK74" s="49">
        <f>-Оборотный_капитал!AK81</f>
        <v>-9391918.504642725</v>
      </c>
      <c r="AL74" s="49">
        <f>-Оборотный_капитал!AL81</f>
        <v>-2139451.4600306004</v>
      </c>
      <c r="AM74" s="49">
        <f>-Оборотный_капитал!AM81</f>
        <v>-7083942.4942965209</v>
      </c>
      <c r="AN74" s="49">
        <f>-Оборотный_капитал!AN81</f>
        <v>-22581101.803565979</v>
      </c>
      <c r="AO74" s="49">
        <f>-Оборотный_капитал!AO81</f>
        <v>6142058.1334880888</v>
      </c>
      <c r="AP74" s="49">
        <f>-Оборотный_капитал!AP81</f>
        <v>-8012797.1620547175</v>
      </c>
      <c r="AQ74" s="49">
        <f>-Оборотный_капитал!AQ81</f>
        <v>2062040.7809880674</v>
      </c>
      <c r="AR74" s="49">
        <f>-Оборотный_капитал!AR81</f>
        <v>-8540988.7426169515</v>
      </c>
      <c r="AS74" s="49">
        <f>-Оборотный_капитал!AS81</f>
        <v>1920338.6390458643</v>
      </c>
      <c r="AT74" s="49">
        <f>-Оборотный_капитал!AT81</f>
        <v>-3648909.5364759266</v>
      </c>
      <c r="AU74" s="49">
        <f>-Оборотный_капитал!AU81</f>
        <v>-9463999.0129071474</v>
      </c>
      <c r="AV74" s="49">
        <f>-Оборотный_капитал!AV81</f>
        <v>1663904.2404481471</v>
      </c>
      <c r="AW74" s="49">
        <f>-Оборотный_капитал!AW81</f>
        <v>-10172821.718172103</v>
      </c>
      <c r="AX74" s="49">
        <f>-Оборотный_капитал!AX81</f>
        <v>1461091.6040697694</v>
      </c>
      <c r="AY74" s="49">
        <f>-Оборотный_капитал!AY81</f>
        <v>-4814291.2378483713</v>
      </c>
      <c r="AZ74" s="49">
        <f>-Оборотный_капитал!AZ81</f>
        <v>-25402169.345624745</v>
      </c>
      <c r="BA74" s="49">
        <f>-Оборотный_капитал!BA81</f>
        <v>15441877.268524885</v>
      </c>
      <c r="BB74" s="49">
        <f>-Оборотный_капитал!BB81</f>
        <v>-7482237.8874025643</v>
      </c>
      <c r="BC74" s="49">
        <f>-Оборотный_капитал!BC81</f>
        <v>5848021.5197797418</v>
      </c>
      <c r="BD74" s="49">
        <f>-Оборотный_капитал!BD81</f>
        <v>-7543497.2646670341</v>
      </c>
      <c r="BE74" s="49">
        <f>-Оборотный_капитал!BE81</f>
        <v>5895901.0662365854</v>
      </c>
      <c r="BF74" s="49">
        <f>-Оборотный_капитал!BF81</f>
        <v>-842465.60637834668</v>
      </c>
      <c r="BG74" s="49">
        <f>-Оборотный_капитал!BG81</f>
        <v>-7636838.414917618</v>
      </c>
      <c r="BH74" s="49">
        <f>-Оборотный_капитал!BH81</f>
        <v>5968855.3164971173</v>
      </c>
      <c r="BI74" s="49">
        <f>-Оборотный_капитал!BI81</f>
        <v>-7699363.5541349351</v>
      </c>
      <c r="BJ74" s="49">
        <f>-Оборотный_капитал!BJ81</f>
        <v>6017724.1663215458</v>
      </c>
      <c r="BK74" s="49">
        <f>-Оборотный_капитал!BK81</f>
        <v>-857518.67812019587</v>
      </c>
      <c r="BL74" s="49">
        <f>-Оборотный_капитал!BL81</f>
        <v>-15201304.824975967</v>
      </c>
      <c r="BM74" s="49">
        <f>-Оборотный_капитал!BM81</f>
        <v>13531490.500073969</v>
      </c>
      <c r="BN74" s="49">
        <f>-Оборотный_капитал!BN81</f>
        <v>-7854756.2325559258</v>
      </c>
      <c r="BO74" s="49">
        <f>-Оборотный_капитал!BO81</f>
        <v>6143364.5826354027</v>
      </c>
      <c r="BP74" s="49">
        <f>-Оборотный_капитал!BP81</f>
        <v>-7918889.1079699993</v>
      </c>
      <c r="BQ74" s="49">
        <f>-Оборотный_капитал!BQ81</f>
        <v>6193524.2086933255</v>
      </c>
      <c r="BR74" s="49">
        <f>-Оборотный_капитал!BR81</f>
        <v>-882216.27591577172</v>
      </c>
      <c r="BS74" s="49">
        <f>-Оборотный_капитал!BS81</f>
        <v>-8016605.8863873184</v>
      </c>
      <c r="BT74" s="49">
        <f>-Оборотный_капитал!BT81</f>
        <v>6269950.4882473648</v>
      </c>
      <c r="BU74" s="49">
        <f>-Оборотный_капитал!BU81</f>
        <v>-8082060.2393084466</v>
      </c>
      <c r="BV74" s="49">
        <f>-Оборотный_капитал!BV81</f>
        <v>6321143.6687369645</v>
      </c>
      <c r="BW74" s="49">
        <f>-Оборотный_капитал!BW81</f>
        <v>-902866.56118121743</v>
      </c>
      <c r="BX74" s="49">
        <f>-Оборотный_капитал!BX81</f>
        <v>-24299394.503451169</v>
      </c>
      <c r="BY74" s="49">
        <f>-Оборотный_капитал!BY81</f>
        <v>22570664.854121953</v>
      </c>
      <c r="BZ74" s="49">
        <f>-Оборотный_капитал!BZ81</f>
        <v>-8249167.2708613575</v>
      </c>
      <c r="CA74" s="49">
        <f>-Оборотный_капитал!CA81</f>
        <v>6447443.7255571783</v>
      </c>
      <c r="CB74" s="49">
        <f>-Оборотный_капитал!CB81</f>
        <v>-8316705.7342953682</v>
      </c>
      <c r="CC74" s="49">
        <f>-Оборотный_капитал!CC81</f>
        <v>6500230.9255257845</v>
      </c>
      <c r="CD74" s="49">
        <f>-Оборотный_капитал!CD81</f>
        <v>-928818.33103209734</v>
      </c>
      <c r="CE74" s="49">
        <f>-Оборотный_капитал!CE81</f>
        <v>-8419614.3524467051</v>
      </c>
      <c r="CF74" s="49">
        <f>-Оборотный_капитал!CF81</f>
        <v>6580662.9864381552</v>
      </c>
      <c r="CG74" s="49">
        <f>-Оборотный_капитал!CG81</f>
        <v>-8488548.3184338212</v>
      </c>
      <c r="CH74" s="49">
        <f>-Оборотный_капитал!CH81</f>
        <v>6634540.8933695257</v>
      </c>
      <c r="CI74" s="49">
        <f>-Оборотный_капитал!CI81</f>
        <v>-948009.88924026489</v>
      </c>
      <c r="CJ74" s="49">
        <f>-Оборотный_капитал!CJ81</f>
        <v>-25514364.228623748</v>
      </c>
      <c r="CK74" s="49">
        <f>-Оборотный_капитал!CK81</f>
        <v>23699198.096828073</v>
      </c>
    </row>
    <row r="75" spans="2:89" ht="15.75" thickBot="1">
      <c r="B75" s="45" t="s">
        <v>134</v>
      </c>
      <c r="C75" s="46"/>
      <c r="D75" s="47">
        <f t="shared" ca="1" si="65"/>
        <v>1153492922.2630031</v>
      </c>
      <c r="E75" s="48"/>
      <c r="F75" s="49">
        <f ca="1">Налоги!F44</f>
        <v>0</v>
      </c>
      <c r="G75" s="49">
        <f ca="1">Налоги!G44</f>
        <v>0</v>
      </c>
      <c r="H75" s="49">
        <f ca="1">Налоги!H44</f>
        <v>0</v>
      </c>
      <c r="I75" s="49">
        <f ca="1">Налоги!I44</f>
        <v>0</v>
      </c>
      <c r="J75" s="49">
        <f ca="1">Налоги!J44</f>
        <v>0</v>
      </c>
      <c r="K75" s="49">
        <f ca="1">Налоги!K44</f>
        <v>0</v>
      </c>
      <c r="L75" s="49">
        <f ca="1">Налоги!L44</f>
        <v>0</v>
      </c>
      <c r="M75" s="49">
        <f ca="1">Налоги!M44</f>
        <v>0</v>
      </c>
      <c r="N75" s="49">
        <f ca="1">Налоги!N44</f>
        <v>0</v>
      </c>
      <c r="O75" s="49">
        <f ca="1">Налоги!O44</f>
        <v>0</v>
      </c>
      <c r="P75" s="49">
        <f ca="1">Налоги!P44</f>
        <v>0</v>
      </c>
      <c r="Q75" s="49">
        <f ca="1">Налоги!Q44</f>
        <v>0</v>
      </c>
      <c r="R75" s="49">
        <f ca="1">Налоги!R44</f>
        <v>7690294.0744730532</v>
      </c>
      <c r="S75" s="49">
        <f ca="1">Налоги!S44</f>
        <v>7722139.972881794</v>
      </c>
      <c r="T75" s="49">
        <f ca="1">Налоги!T44</f>
        <v>7753084.141684969</v>
      </c>
      <c r="U75" s="49">
        <f ca="1">Налоги!U44</f>
        <v>7785190.0569516039</v>
      </c>
      <c r="V75" s="49">
        <f ca="1">Налоги!V44</f>
        <v>7817428.9244442545</v>
      </c>
      <c r="W75" s="49">
        <f ca="1">Налоги!W44</f>
        <v>7848754.9352514064</v>
      </c>
      <c r="X75" s="49">
        <f ca="1">Налоги!X44</f>
        <v>7881257.0281340182</v>
      </c>
      <c r="Y75" s="49">
        <f ca="1">Налоги!Y44</f>
        <v>7912838.8109968305</v>
      </c>
      <c r="Z75" s="49">
        <f ca="1">Налоги!Z44</f>
        <v>7945606.2784641972</v>
      </c>
      <c r="AA75" s="49">
        <f ca="1">Налоги!AA44</f>
        <v>7978599.770223625</v>
      </c>
      <c r="AB75" s="49">
        <f ca="1">Налоги!AB44</f>
        <v>8008518.0845199591</v>
      </c>
      <c r="AC75" s="49">
        <f ca="1">Налоги!AC44</f>
        <v>8041772.8125000019</v>
      </c>
      <c r="AD75" s="49">
        <f ca="1">Налоги!AD44</f>
        <v>8898425.4885259978</v>
      </c>
      <c r="AE75" s="49">
        <f ca="1">Налоги!AE44</f>
        <v>9166407.5546847191</v>
      </c>
      <c r="AF75" s="49">
        <f ca="1">Налоги!AF44</f>
        <v>9452137.2589215022</v>
      </c>
      <c r="AG75" s="49">
        <f ca="1">Налоги!AG44</f>
        <v>9779056.0435293149</v>
      </c>
      <c r="AH75" s="49">
        <f ca="1">Налоги!AH44</f>
        <v>10143414.556297645</v>
      </c>
      <c r="AI75" s="49">
        <f ca="1">Налоги!AI44</f>
        <v>10537552.309379697</v>
      </c>
      <c r="AJ75" s="49">
        <f ca="1">Налоги!AJ44</f>
        <v>10994908.553710476</v>
      </c>
      <c r="AK75" s="49">
        <f ca="1">Налоги!AK44</f>
        <v>11494044.857385281</v>
      </c>
      <c r="AL75" s="49">
        <f ca="1">Налоги!AL44</f>
        <v>12078158.459482817</v>
      </c>
      <c r="AM75" s="49">
        <f ca="1">Налоги!AM44</f>
        <v>12743619.724098552</v>
      </c>
      <c r="AN75" s="49">
        <f ca="1">Налоги!AN44</f>
        <v>13426338.476653554</v>
      </c>
      <c r="AO75" s="49">
        <f ca="1">Налоги!AO44</f>
        <v>14287893.523408897</v>
      </c>
      <c r="AP75" s="49">
        <f ca="1">Налоги!AP44</f>
        <v>14555429.837972531</v>
      </c>
      <c r="AQ75" s="49">
        <f ca="1">Налоги!AQ44</f>
        <v>14846903.971327279</v>
      </c>
      <c r="AR75" s="49">
        <f ca="1">Налоги!AR44</f>
        <v>15144425.107211519</v>
      </c>
      <c r="AS75" s="49">
        <f ca="1">Налоги!AS44</f>
        <v>15468843.829541534</v>
      </c>
      <c r="AT75" s="49">
        <f ca="1">Налоги!AT44</f>
        <v>15811620.179937758</v>
      </c>
      <c r="AU75" s="49">
        <f ca="1">Налоги!AU44</f>
        <v>16161931.46269672</v>
      </c>
      <c r="AV75" s="49">
        <f ca="1">Налоги!AV44</f>
        <v>16544356.355532391</v>
      </c>
      <c r="AW75" s="49">
        <f ca="1">Налоги!AW44</f>
        <v>16935469.415217079</v>
      </c>
      <c r="AX75" s="49">
        <f ca="1">Налоги!AX44</f>
        <v>17362731.002614733</v>
      </c>
      <c r="AY75" s="49">
        <f ca="1">Налоги!AY44</f>
        <v>17814982.603745941</v>
      </c>
      <c r="AZ75" s="49">
        <f ca="1">Налоги!AZ44</f>
        <v>18246287.61003077</v>
      </c>
      <c r="BA75" s="49">
        <f ca="1">Налоги!BA44</f>
        <v>18750646.404928051</v>
      </c>
      <c r="BB75" s="49">
        <f ca="1">Налоги!BB44</f>
        <v>18825990.287788082</v>
      </c>
      <c r="BC75" s="49">
        <f ca="1">Налоги!BC44</f>
        <v>18904163.700068377</v>
      </c>
      <c r="BD75" s="49">
        <f ca="1">Налоги!BD44</f>
        <v>18980124.446414199</v>
      </c>
      <c r="BE75" s="49">
        <f ca="1">Налоги!BE44</f>
        <v>19058937.888405781</v>
      </c>
      <c r="BF75" s="49">
        <f ca="1">Налоги!BF44</f>
        <v>19138078.596883744</v>
      </c>
      <c r="BG75" s="49">
        <f ca="1">Налоги!BG44</f>
        <v>19214979.260510508</v>
      </c>
      <c r="BH75" s="49">
        <f ca="1">Налоги!BH44</f>
        <v>19294767.918250524</v>
      </c>
      <c r="BI75" s="49">
        <f ca="1">Налоги!BI44</f>
        <v>19372298.191204853</v>
      </c>
      <c r="BJ75" s="49">
        <f ca="1">Налоги!BJ44</f>
        <v>19452740.103166323</v>
      </c>
      <c r="BK75" s="49">
        <f ca="1">Налоги!BK44</f>
        <v>19533294.888080645</v>
      </c>
      <c r="BL75" s="49">
        <f ca="1">Налоги!BL44</f>
        <v>19608954.556850947</v>
      </c>
      <c r="BM75" s="49">
        <f ca="1">Налоги!BM44</f>
        <v>19690156.23375326</v>
      </c>
      <c r="BN75" s="49">
        <f ca="1">Налоги!BN44</f>
        <v>19769058.65204636</v>
      </c>
      <c r="BO75" s="49">
        <f ca="1">Налоги!BO44</f>
        <v>19850923.328139734</v>
      </c>
      <c r="BP75" s="49">
        <f ca="1">Налоги!BP44</f>
        <v>19930469.972531322</v>
      </c>
      <c r="BQ75" s="49">
        <f ca="1">Налоги!BQ44</f>
        <v>20013003.061102089</v>
      </c>
      <c r="BR75" s="49">
        <f ca="1">Налоги!BR44</f>
        <v>20095877.92338508</v>
      </c>
      <c r="BS75" s="49">
        <f ca="1">Налоги!BS44</f>
        <v>20176406.150132209</v>
      </c>
      <c r="BT75" s="49">
        <f ca="1">Налоги!BT44</f>
        <v>20259957.672907323</v>
      </c>
      <c r="BU75" s="49">
        <f ca="1">Налоги!BU44</f>
        <v>20341143.400228675</v>
      </c>
      <c r="BV75" s="49">
        <f ca="1">Налоги!BV44</f>
        <v>20425377.108324647</v>
      </c>
      <c r="BW75" s="49">
        <f ca="1">Налоги!BW44</f>
        <v>20510191.845890149</v>
      </c>
      <c r="BX75" s="49">
        <f ca="1">Налоги!BX44</f>
        <v>20587101.376834858</v>
      </c>
      <c r="BY75" s="49">
        <f ca="1">Налоги!BY44</f>
        <v>20672587.661433198</v>
      </c>
      <c r="BZ75" s="49">
        <f ca="1">Налоги!BZ44</f>
        <v>20755654.292286385</v>
      </c>
      <c r="CA75" s="49">
        <f ca="1">Налоги!CA44</f>
        <v>20841840.47932541</v>
      </c>
      <c r="CB75" s="49">
        <f ca="1">Налоги!CB44</f>
        <v>20925587.202171676</v>
      </c>
      <c r="CC75" s="49">
        <f ca="1">Налоги!CC44</f>
        <v>21012479.0219674</v>
      </c>
      <c r="CD75" s="49">
        <f ca="1">Налоги!CD44</f>
        <v>21099731.653064355</v>
      </c>
      <c r="CE75" s="49">
        <f ca="1">Налоги!CE44</f>
        <v>21184514.63471286</v>
      </c>
      <c r="CF75" s="49">
        <f ca="1">Налоги!CF44</f>
        <v>21272481.629871219</v>
      </c>
      <c r="CG75" s="49">
        <f ca="1">Налоги!CG44</f>
        <v>21357958.755803376</v>
      </c>
      <c r="CH75" s="49">
        <f ca="1">Налоги!CH44</f>
        <v>21446645.963740896</v>
      </c>
      <c r="CI75" s="49">
        <f ca="1">Налоги!CI44</f>
        <v>21535701.438184679</v>
      </c>
      <c r="CJ75" s="49">
        <f ca="1">Налоги!CJ44</f>
        <v>21616456.445676625</v>
      </c>
      <c r="CK75" s="49">
        <f ca="1">Налоги!CK44</f>
        <v>21706217.044504877</v>
      </c>
    </row>
    <row r="76" spans="2:89" ht="15.75" thickTop="1">
      <c r="B76" s="50" t="s">
        <v>90</v>
      </c>
      <c r="C76" s="51"/>
      <c r="D76" s="52">
        <f ca="1">SUM(D73:D75)</f>
        <v>12457355963.451529</v>
      </c>
      <c r="E76" s="53"/>
      <c r="F76" s="54">
        <f ca="1">SUM(F73:F75)</f>
        <v>0</v>
      </c>
      <c r="G76" s="54">
        <f t="shared" ref="G76:AG76" ca="1" si="66">SUM(G73:G75)</f>
        <v>0</v>
      </c>
      <c r="H76" s="54">
        <f t="shared" ca="1" si="66"/>
        <v>0</v>
      </c>
      <c r="I76" s="54">
        <f t="shared" ca="1" si="66"/>
        <v>0</v>
      </c>
      <c r="J76" s="54">
        <f t="shared" ca="1" si="66"/>
        <v>0</v>
      </c>
      <c r="K76" s="54">
        <f t="shared" ca="1" si="66"/>
        <v>0</v>
      </c>
      <c r="L76" s="54">
        <f t="shared" ca="1" si="66"/>
        <v>0</v>
      </c>
      <c r="M76" s="54">
        <f t="shared" ca="1" si="66"/>
        <v>0</v>
      </c>
      <c r="N76" s="54">
        <f t="shared" ca="1" si="66"/>
        <v>0</v>
      </c>
      <c r="O76" s="54">
        <f t="shared" ca="1" si="66"/>
        <v>0</v>
      </c>
      <c r="P76" s="54">
        <f t="shared" ca="1" si="66"/>
        <v>0</v>
      </c>
      <c r="Q76" s="54">
        <f t="shared" ca="1" si="66"/>
        <v>0</v>
      </c>
      <c r="R76" s="54">
        <f t="shared" ca="1" si="66"/>
        <v>0</v>
      </c>
      <c r="S76" s="54">
        <f t="shared" ca="1" si="66"/>
        <v>87333349.003129378</v>
      </c>
      <c r="T76" s="54">
        <f t="shared" ca="1" si="66"/>
        <v>82203425.517773926</v>
      </c>
      <c r="U76" s="54">
        <f t="shared" ca="1" si="66"/>
        <v>88046412.352936834</v>
      </c>
      <c r="V76" s="54">
        <f t="shared" ca="1" si="66"/>
        <v>85648530.224610209</v>
      </c>
      <c r="W76" s="54">
        <f t="shared" ca="1" si="66"/>
        <v>83217791.776342034</v>
      </c>
      <c r="X76" s="54">
        <f t="shared" ca="1" si="66"/>
        <v>89132879.362264633</v>
      </c>
      <c r="Y76" s="54">
        <f t="shared" ca="1" si="66"/>
        <v>83897252.234975025</v>
      </c>
      <c r="Z76" s="54">
        <f t="shared" ca="1" si="66"/>
        <v>89860635.600420177</v>
      </c>
      <c r="AA76" s="54">
        <f t="shared" ca="1" si="66"/>
        <v>87413376.43114984</v>
      </c>
      <c r="AB76" s="54">
        <f t="shared" ca="1" si="66"/>
        <v>78641074.35855262</v>
      </c>
      <c r="AC76" s="54">
        <f t="shared" ca="1" si="66"/>
        <v>97239638.284434527</v>
      </c>
      <c r="AD76" s="54">
        <f t="shared" ca="1" si="66"/>
        <v>85605968.649193585</v>
      </c>
      <c r="AE76" s="54">
        <f t="shared" ca="1" si="66"/>
        <v>101135276.60286763</v>
      </c>
      <c r="AF76" s="54">
        <f t="shared" ca="1" si="66"/>
        <v>97577886.872450203</v>
      </c>
      <c r="AG76" s="54">
        <f t="shared" ca="1" si="66"/>
        <v>107443497.47648567</v>
      </c>
      <c r="AH76" s="54">
        <f t="shared" ref="AH76:BM76" ca="1" si="67">SUM(AH73:AH75)</f>
        <v>107698904.98335315</v>
      </c>
      <c r="AI76" s="54">
        <f t="shared" ca="1" si="67"/>
        <v>107978283.98639429</v>
      </c>
      <c r="AJ76" s="54">
        <f t="shared" ca="1" si="67"/>
        <v>119814494.56739649</v>
      </c>
      <c r="AK76" s="54">
        <f t="shared" ca="1" si="67"/>
        <v>117042574.92659536</v>
      </c>
      <c r="AL76" s="54">
        <f t="shared" ca="1" si="67"/>
        <v>130720291.59428038</v>
      </c>
      <c r="AM76" s="54">
        <f t="shared" ca="1" si="67"/>
        <v>133095874.47078754</v>
      </c>
      <c r="AN76" s="54">
        <f t="shared" ca="1" si="67"/>
        <v>125108621.43962309</v>
      </c>
      <c r="AO76" s="54">
        <f t="shared" ca="1" si="67"/>
        <v>163308886.89098594</v>
      </c>
      <c r="AP76" s="54">
        <f t="shared" ca="1" si="67"/>
        <v>152096931.05564311</v>
      </c>
      <c r="AQ76" s="54">
        <f t="shared" ca="1" si="67"/>
        <v>165377984.46558812</v>
      </c>
      <c r="AR76" s="54">
        <f t="shared" ca="1" si="67"/>
        <v>158047687.43670976</v>
      </c>
      <c r="AS76" s="54">
        <f t="shared" ca="1" si="67"/>
        <v>172077620.76400274</v>
      </c>
      <c r="AT76" s="54">
        <f t="shared" ca="1" si="67"/>
        <v>170278912.44283938</v>
      </c>
      <c r="AU76" s="54">
        <f t="shared" ca="1" si="67"/>
        <v>168317247.07675678</v>
      </c>
      <c r="AV76" s="54">
        <f t="shared" ca="1" si="67"/>
        <v>183651824.15130442</v>
      </c>
      <c r="AW76" s="54">
        <f t="shared" ca="1" si="67"/>
        <v>176117341.84921575</v>
      </c>
      <c r="AX76" s="54">
        <f t="shared" ca="1" si="67"/>
        <v>192451132.63283181</v>
      </c>
      <c r="AY76" s="54">
        <f t="shared" ca="1" si="67"/>
        <v>191150517.40335697</v>
      </c>
      <c r="AZ76" s="54">
        <f t="shared" ca="1" si="67"/>
        <v>175306994.36471373</v>
      </c>
      <c r="BA76" s="54">
        <f t="shared" ca="1" si="67"/>
        <v>221698987.72273344</v>
      </c>
      <c r="BB76" s="54">
        <f t="shared" ca="1" si="67"/>
        <v>199603655.27826634</v>
      </c>
      <c r="BC76" s="54">
        <f t="shared" ca="1" si="67"/>
        <v>213793822.22053188</v>
      </c>
      <c r="BD76" s="54">
        <f t="shared" ca="1" si="67"/>
        <v>201237871.64588916</v>
      </c>
      <c r="BE76" s="54">
        <f t="shared" ca="1" si="67"/>
        <v>215544217.83870018</v>
      </c>
      <c r="BF76" s="54">
        <f t="shared" ca="1" si="67"/>
        <v>209676398.95934284</v>
      </c>
      <c r="BG76" s="54">
        <f t="shared" ca="1" si="67"/>
        <v>203727933.45069796</v>
      </c>
      <c r="BH76" s="54">
        <f t="shared" ca="1" si="67"/>
        <v>218211302.41725287</v>
      </c>
      <c r="BI76" s="54">
        <f t="shared" ca="1" si="67"/>
        <v>205395916.54911843</v>
      </c>
      <c r="BJ76" s="54">
        <f t="shared" ca="1" si="67"/>
        <v>219997865.3011511</v>
      </c>
      <c r="BK76" s="54">
        <f t="shared" ca="1" si="67"/>
        <v>214008725.09076691</v>
      </c>
      <c r="BL76" s="54">
        <f t="shared" ca="1" si="67"/>
        <v>200497195.30038443</v>
      </c>
      <c r="BM76" s="54">
        <f t="shared" ca="1" si="67"/>
        <v>230123209.07135981</v>
      </c>
      <c r="BN76" s="54">
        <f t="shared" ref="BN76:CK76" ca="1" si="68">SUM(BN73:BN75)</f>
        <v>209604888.93995401</v>
      </c>
      <c r="BO76" s="54">
        <f t="shared" ca="1" si="68"/>
        <v>224503521.19217244</v>
      </c>
      <c r="BP76" s="54">
        <f t="shared" ca="1" si="68"/>
        <v>211316280.58987454</v>
      </c>
      <c r="BQ76" s="54">
        <f t="shared" ca="1" si="68"/>
        <v>226336557.88081628</v>
      </c>
      <c r="BR76" s="54">
        <f t="shared" ca="1" si="68"/>
        <v>220172440.88132012</v>
      </c>
      <c r="BS76" s="54">
        <f t="shared" ca="1" si="68"/>
        <v>213923861.76506698</v>
      </c>
      <c r="BT76" s="54">
        <f t="shared" ca="1" si="68"/>
        <v>229129484.89022788</v>
      </c>
      <c r="BU76" s="54">
        <f t="shared" ca="1" si="68"/>
        <v>215670517.16320696</v>
      </c>
      <c r="BV76" s="54">
        <f t="shared" ca="1" si="68"/>
        <v>231000291.86030805</v>
      </c>
      <c r="BW76" s="54">
        <f t="shared" ca="1" si="68"/>
        <v>224709243.74361038</v>
      </c>
      <c r="BX76" s="54">
        <f t="shared" ca="1" si="68"/>
        <v>202158720.64173228</v>
      </c>
      <c r="BY76" s="54">
        <f t="shared" ca="1" si="68"/>
        <v>249969129.1298871</v>
      </c>
      <c r="BZ76" s="54">
        <f t="shared" ca="1" si="68"/>
        <v>220063029.94428888</v>
      </c>
      <c r="CA76" s="54">
        <f t="shared" ca="1" si="68"/>
        <v>235707688.99813667</v>
      </c>
      <c r="CB76" s="54">
        <f t="shared" ca="1" si="68"/>
        <v>221864753.48959306</v>
      </c>
      <c r="CC76" s="54">
        <f t="shared" ca="1" si="68"/>
        <v>237637500.16716719</v>
      </c>
      <c r="CD76" s="54">
        <f t="shared" ca="1" si="68"/>
        <v>231168229.8526758</v>
      </c>
      <c r="CE76" s="54">
        <f t="shared" ca="1" si="68"/>
        <v>224610046.62939471</v>
      </c>
      <c r="CF76" s="54">
        <f t="shared" ca="1" si="68"/>
        <v>240577960.91502154</v>
      </c>
      <c r="CG76" s="54">
        <f t="shared" ca="1" si="68"/>
        <v>226448997.99540329</v>
      </c>
      <c r="CH76" s="54">
        <f t="shared" ca="1" si="68"/>
        <v>242547646.49451935</v>
      </c>
      <c r="CI76" s="54">
        <f t="shared" ca="1" si="68"/>
        <v>235944705.93079117</v>
      </c>
      <c r="CJ76" s="54">
        <f t="shared" ca="1" si="68"/>
        <v>212266656.67381909</v>
      </c>
      <c r="CK76" s="54">
        <f t="shared" ca="1" si="68"/>
        <v>262467585.5863817</v>
      </c>
    </row>
    <row r="77" spans="2:89">
      <c r="B77" s="150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</row>
    <row r="78" spans="2:89" ht="15.75" thickBot="1">
      <c r="B78" s="96" t="s">
        <v>81</v>
      </c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</row>
    <row r="79" spans="2:89">
      <c r="B79" s="150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</row>
    <row r="80" spans="2:89">
      <c r="B80" s="45" t="s">
        <v>15</v>
      </c>
      <c r="C80" s="46"/>
      <c r="D80" s="47">
        <f t="shared" ref="D80:D87" ca="1" si="69">SUM(F80:CK80)</f>
        <v>-4969898461.7632771</v>
      </c>
      <c r="E80" s="48"/>
      <c r="F80" s="49">
        <f ca="1">F37</f>
        <v>0</v>
      </c>
      <c r="G80" s="49">
        <f t="shared" ref="G80:AG80" ca="1" si="70">G37</f>
        <v>0</v>
      </c>
      <c r="H80" s="49">
        <f t="shared" ca="1" si="70"/>
        <v>0</v>
      </c>
      <c r="I80" s="49">
        <f t="shared" ca="1" si="70"/>
        <v>0</v>
      </c>
      <c r="J80" s="49">
        <f t="shared" ca="1" si="70"/>
        <v>0</v>
      </c>
      <c r="K80" s="49">
        <f t="shared" ca="1" si="70"/>
        <v>0</v>
      </c>
      <c r="L80" s="49">
        <f t="shared" ca="1" si="70"/>
        <v>0</v>
      </c>
      <c r="M80" s="49">
        <f t="shared" ca="1" si="70"/>
        <v>0</v>
      </c>
      <c r="N80" s="49">
        <f t="shared" ca="1" si="70"/>
        <v>0</v>
      </c>
      <c r="O80" s="49">
        <f t="shared" ca="1" si="70"/>
        <v>0</v>
      </c>
      <c r="P80" s="49">
        <f t="shared" ca="1" si="70"/>
        <v>0</v>
      </c>
      <c r="Q80" s="49">
        <f t="shared" ca="1" si="70"/>
        <v>0</v>
      </c>
      <c r="R80" s="49">
        <f t="shared" ca="1" si="70"/>
        <v>-43862238.709859125</v>
      </c>
      <c r="S80" s="49">
        <f t="shared" ca="1" si="70"/>
        <v>-44050973.981057428</v>
      </c>
      <c r="T80" s="49">
        <f t="shared" ca="1" si="70"/>
        <v>-44234394.219719678</v>
      </c>
      <c r="U80" s="49">
        <f t="shared" ca="1" si="70"/>
        <v>-44424730.842630692</v>
      </c>
      <c r="V80" s="49">
        <f t="shared" ca="1" si="70"/>
        <v>-44615886.466924235</v>
      </c>
      <c r="W80" s="49">
        <f t="shared" ca="1" si="70"/>
        <v>-44801658.898367174</v>
      </c>
      <c r="X80" s="49">
        <f t="shared" ca="1" si="70"/>
        <v>-44994436.41020941</v>
      </c>
      <c r="Y80" s="49">
        <f t="shared" ca="1" si="70"/>
        <v>-45181785.054722533</v>
      </c>
      <c r="Z80" s="49">
        <f t="shared" ca="1" si="70"/>
        <v>-45376198.215253025</v>
      </c>
      <c r="AA80" s="49">
        <f t="shared" ca="1" si="70"/>
        <v>-45571984.001219176</v>
      </c>
      <c r="AB80" s="49">
        <f t="shared" ca="1" si="70"/>
        <v>-45749548.765393667</v>
      </c>
      <c r="AC80" s="49">
        <f t="shared" ca="1" si="70"/>
        <v>-45946945.456058219</v>
      </c>
      <c r="AD80" s="49">
        <f t="shared" ca="1" si="70"/>
        <v>-47627269.348996051</v>
      </c>
      <c r="AE80" s="49">
        <f t="shared" ca="1" si="70"/>
        <v>-49098023.00619635</v>
      </c>
      <c r="AF80" s="49">
        <f t="shared" ca="1" si="70"/>
        <v>-50588810.836980611</v>
      </c>
      <c r="AG80" s="49">
        <f t="shared" ca="1" si="70"/>
        <v>-52204411.601489738</v>
      </c>
      <c r="AH80" s="49">
        <f t="shared" ref="AH80:BM80" ca="1" si="71">AH37</f>
        <v>-53902467.355674282</v>
      </c>
      <c r="AI80" s="49">
        <f t="shared" ca="1" si="71"/>
        <v>-55630738.191950537</v>
      </c>
      <c r="AJ80" s="49">
        <f t="shared" ca="1" si="71"/>
        <v>-57511942.568097487</v>
      </c>
      <c r="AK80" s="49">
        <f t="shared" ca="1" si="71"/>
        <v>-59432765.122759961</v>
      </c>
      <c r="AL80" s="49">
        <f t="shared" ca="1" si="71"/>
        <v>-61530721.949938126</v>
      </c>
      <c r="AM80" s="49">
        <f t="shared" ca="1" si="71"/>
        <v>-63754494.096603401</v>
      </c>
      <c r="AN80" s="49">
        <f t="shared" ca="1" si="71"/>
        <v>-65881499.411035851</v>
      </c>
      <c r="AO80" s="49">
        <f t="shared" ca="1" si="71"/>
        <v>-68380429.536776781</v>
      </c>
      <c r="AP80" s="49">
        <f t="shared" ca="1" si="71"/>
        <v>-68789640.120848447</v>
      </c>
      <c r="AQ80" s="49">
        <f t="shared" ca="1" si="71"/>
        <v>-69222485.398666739</v>
      </c>
      <c r="AR80" s="49">
        <f t="shared" ca="1" si="71"/>
        <v>-69651586.672846645</v>
      </c>
      <c r="AS80" s="49">
        <f t="shared" ca="1" si="71"/>
        <v>-70106158.261919424</v>
      </c>
      <c r="AT80" s="49">
        <f t="shared" ca="1" si="71"/>
        <v>-70572737.000640571</v>
      </c>
      <c r="AU80" s="49">
        <f t="shared" ca="1" si="71"/>
        <v>-71036362.7304959</v>
      </c>
      <c r="AV80" s="49">
        <f t="shared" ca="1" si="71"/>
        <v>-71528675.684607506</v>
      </c>
      <c r="AW80" s="49">
        <f t="shared" ca="1" si="71"/>
        <v>-72018658.900021166</v>
      </c>
      <c r="AX80" s="49">
        <f t="shared" ca="1" si="71"/>
        <v>-72539805.99815847</v>
      </c>
      <c r="AY80" s="49">
        <f t="shared" ca="1" si="71"/>
        <v>-73076923.093895316</v>
      </c>
      <c r="AZ80" s="49">
        <f t="shared" ca="1" si="71"/>
        <v>-73576588.054210752</v>
      </c>
      <c r="BA80" s="49">
        <f t="shared" ca="1" si="71"/>
        <v>-74146814.119404361</v>
      </c>
      <c r="BB80" s="49">
        <f t="shared" ca="1" si="71"/>
        <v>-74456395.568649232</v>
      </c>
      <c r="BC80" s="49">
        <f t="shared" ca="1" si="71"/>
        <v>-74777654.389352173</v>
      </c>
      <c r="BD80" s="49">
        <f t="shared" ca="1" si="71"/>
        <v>-75089869.754124388</v>
      </c>
      <c r="BE80" s="49">
        <f t="shared" ca="1" si="71"/>
        <v>-75413861.841301188</v>
      </c>
      <c r="BF80" s="49">
        <f t="shared" ca="1" si="71"/>
        <v>-75739251.865015805</v>
      </c>
      <c r="BG80" s="49">
        <f t="shared" ca="1" si="71"/>
        <v>-76055482.139176145</v>
      </c>
      <c r="BH80" s="49">
        <f t="shared" ca="1" si="71"/>
        <v>-76383640.577593923</v>
      </c>
      <c r="BI80" s="49">
        <f t="shared" ca="1" si="71"/>
        <v>-76702561.335410044</v>
      </c>
      <c r="BJ80" s="49">
        <f t="shared" ca="1" si="71"/>
        <v>-77033511.742172465</v>
      </c>
      <c r="BK80" s="49">
        <f t="shared" ca="1" si="71"/>
        <v>-77364980.020072937</v>
      </c>
      <c r="BL80" s="49">
        <f t="shared" ca="1" si="71"/>
        <v>-77676354.348046526</v>
      </c>
      <c r="BM80" s="49">
        <f t="shared" ca="1" si="71"/>
        <v>-78010588.719906777</v>
      </c>
      <c r="BN80" s="49">
        <f t="shared" ref="BN80:CK80" ca="1" si="72">BN37</f>
        <v>-78335410.613909408</v>
      </c>
      <c r="BO80" s="49">
        <f t="shared" ca="1" si="72"/>
        <v>-78672480.845651209</v>
      </c>
      <c r="BP80" s="49">
        <f t="shared" ca="1" si="72"/>
        <v>-79000058.738005325</v>
      </c>
      <c r="BQ80" s="49">
        <f t="shared" ca="1" si="72"/>
        <v>-79339988.890892118</v>
      </c>
      <c r="BR80" s="49">
        <f t="shared" ca="1" si="72"/>
        <v>-79681381.7326767</v>
      </c>
      <c r="BS80" s="49">
        <f t="shared" ca="1" si="72"/>
        <v>-80013160.504710883</v>
      </c>
      <c r="BT80" s="49">
        <f t="shared" ca="1" si="72"/>
        <v>-80357449.943450704</v>
      </c>
      <c r="BU80" s="49">
        <f t="shared" ca="1" si="72"/>
        <v>-80692043.740474463</v>
      </c>
      <c r="BV80" s="49">
        <f t="shared" ca="1" si="72"/>
        <v>-81039254.352765456</v>
      </c>
      <c r="BW80" s="49">
        <f t="shared" ca="1" si="72"/>
        <v>-81388916.394356102</v>
      </c>
      <c r="BX80" s="49">
        <f t="shared" ca="1" si="72"/>
        <v>-81706036.749388158</v>
      </c>
      <c r="BY80" s="49">
        <f t="shared" ca="1" si="72"/>
        <v>-82058575.773201317</v>
      </c>
      <c r="BZ80" s="49">
        <f t="shared" ca="1" si="72"/>
        <v>-82401190.801406443</v>
      </c>
      <c r="CA80" s="49">
        <f t="shared" ca="1" si="72"/>
        <v>-82756729.223313645</v>
      </c>
      <c r="CB80" s="49">
        <f t="shared" ca="1" si="72"/>
        <v>-83102259.216368526</v>
      </c>
      <c r="CC80" s="49">
        <f t="shared" ca="1" si="72"/>
        <v>-83460822.555215433</v>
      </c>
      <c r="CD80" s="49">
        <f t="shared" ca="1" si="72"/>
        <v>-83820932.996020511</v>
      </c>
      <c r="CE80" s="49">
        <f t="shared" ca="1" si="72"/>
        <v>-84170906.305354863</v>
      </c>
      <c r="CF80" s="49">
        <f t="shared" ca="1" si="72"/>
        <v>-84534080.561785579</v>
      </c>
      <c r="CG80" s="49">
        <f t="shared" ca="1" si="72"/>
        <v>-84887031.440143719</v>
      </c>
      <c r="CH80" s="49">
        <f t="shared" ca="1" si="72"/>
        <v>-85253295.579109326</v>
      </c>
      <c r="CI80" s="49">
        <f t="shared" ca="1" si="72"/>
        <v>-85621140.046862662</v>
      </c>
      <c r="CJ80" s="49">
        <f t="shared" ca="1" si="72"/>
        <v>-85954750.660356387</v>
      </c>
      <c r="CK80" s="49">
        <f t="shared" ca="1" si="72"/>
        <v>-86325621.713407844</v>
      </c>
    </row>
    <row r="81" spans="2:89">
      <c r="B81" s="45" t="s">
        <v>16</v>
      </c>
      <c r="C81" s="46"/>
      <c r="D81" s="47">
        <f t="shared" ca="1" si="69"/>
        <v>-116604878.96066678</v>
      </c>
      <c r="E81" s="48"/>
      <c r="F81" s="49">
        <f ca="1">F41</f>
        <v>0</v>
      </c>
      <c r="G81" s="49">
        <f t="shared" ref="G81:AG81" ca="1" si="73">G41</f>
        <v>0</v>
      </c>
      <c r="H81" s="49">
        <f t="shared" ca="1" si="73"/>
        <v>0</v>
      </c>
      <c r="I81" s="49">
        <f t="shared" ca="1" si="73"/>
        <v>0</v>
      </c>
      <c r="J81" s="49">
        <f t="shared" ca="1" si="73"/>
        <v>0</v>
      </c>
      <c r="K81" s="49">
        <f t="shared" ca="1" si="73"/>
        <v>0</v>
      </c>
      <c r="L81" s="49">
        <f t="shared" ca="1" si="73"/>
        <v>0</v>
      </c>
      <c r="M81" s="49">
        <f t="shared" ca="1" si="73"/>
        <v>0</v>
      </c>
      <c r="N81" s="49">
        <f t="shared" ca="1" si="73"/>
        <v>0</v>
      </c>
      <c r="O81" s="49">
        <f t="shared" ca="1" si="73"/>
        <v>0</v>
      </c>
      <c r="P81" s="49">
        <f t="shared" ca="1" si="73"/>
        <v>0</v>
      </c>
      <c r="Q81" s="49">
        <f t="shared" ca="1" si="73"/>
        <v>0</v>
      </c>
      <c r="R81" s="49">
        <f t="shared" ca="1" si="73"/>
        <v>-1409240.9209514309</v>
      </c>
      <c r="S81" s="49">
        <f t="shared" ca="1" si="73"/>
        <v>-1414733.764256757</v>
      </c>
      <c r="T81" s="49">
        <f t="shared" ca="1" si="73"/>
        <v>-1420069.8030348714</v>
      </c>
      <c r="U81" s="49">
        <f t="shared" ca="1" si="73"/>
        <v>-1425604.8544194349</v>
      </c>
      <c r="V81" s="49">
        <f t="shared" ca="1" si="73"/>
        <v>-1431161.4799503991</v>
      </c>
      <c r="W81" s="49">
        <f t="shared" ca="1" si="73"/>
        <v>-1436559.4801591316</v>
      </c>
      <c r="X81" s="49">
        <f t="shared" ca="1" si="73"/>
        <v>-1442158.8038843947</v>
      </c>
      <c r="Y81" s="49">
        <f t="shared" ca="1" si="73"/>
        <v>-1447598.2833795131</v>
      </c>
      <c r="Z81" s="49">
        <f t="shared" ca="1" si="73"/>
        <v>-1453240.6334003271</v>
      </c>
      <c r="AA81" s="49">
        <f t="shared" ca="1" si="73"/>
        <v>-1458920.5248227294</v>
      </c>
      <c r="AB81" s="49">
        <f t="shared" ca="1" si="73"/>
        <v>-1464069.8278450719</v>
      </c>
      <c r="AC81" s="49">
        <f t="shared" ca="1" si="73"/>
        <v>-1469792.0444318163</v>
      </c>
      <c r="AD81" s="49">
        <f t="shared" ca="1" si="73"/>
        <v>-1475350.9668481839</v>
      </c>
      <c r="AE81" s="49">
        <f t="shared" ca="1" si="73"/>
        <v>-1481117.2749936054</v>
      </c>
      <c r="AF81" s="49">
        <f t="shared" ca="1" si="73"/>
        <v>-1486719.030733421</v>
      </c>
      <c r="AG81" s="49">
        <f t="shared" ca="1" si="73"/>
        <v>-1492529.7701774633</v>
      </c>
      <c r="AH81" s="49">
        <f t="shared" ref="AH81:BM81" ca="1" si="74">AH41</f>
        <v>-1498363.2204984026</v>
      </c>
      <c r="AI81" s="49">
        <f t="shared" ca="1" si="74"/>
        <v>-1504030.2023859723</v>
      </c>
      <c r="AJ81" s="49">
        <f t="shared" ca="1" si="74"/>
        <v>-1509908.6013580528</v>
      </c>
      <c r="AK81" s="49">
        <f t="shared" ca="1" si="74"/>
        <v>-1515619.249202796</v>
      </c>
      <c r="AL81" s="49">
        <f t="shared" ca="1" si="74"/>
        <v>-1521542.9431701417</v>
      </c>
      <c r="AM81" s="49">
        <f t="shared" ca="1" si="74"/>
        <v>-1527489.7894893961</v>
      </c>
      <c r="AN81" s="49">
        <f t="shared" ca="1" si="74"/>
        <v>-1532881.1097537889</v>
      </c>
      <c r="AO81" s="49">
        <f t="shared" ca="1" si="74"/>
        <v>-1538872.2705201104</v>
      </c>
      <c r="AP81" s="49">
        <f t="shared" ca="1" si="74"/>
        <v>-1544692.4622900474</v>
      </c>
      <c r="AQ81" s="49">
        <f t="shared" ca="1" si="74"/>
        <v>-1550729.7869183037</v>
      </c>
      <c r="AR81" s="49">
        <f t="shared" ca="1" si="74"/>
        <v>-1556594.8251778907</v>
      </c>
      <c r="AS81" s="49">
        <f t="shared" ca="1" si="74"/>
        <v>-1562678.6693758033</v>
      </c>
      <c r="AT81" s="49">
        <f t="shared" ca="1" si="74"/>
        <v>-1568786.2918618263</v>
      </c>
      <c r="AU81" s="49">
        <f t="shared" ca="1" si="74"/>
        <v>-1574719.6218981119</v>
      </c>
      <c r="AV81" s="49">
        <f t="shared" ca="1" si="74"/>
        <v>-1580874.3056218799</v>
      </c>
      <c r="AW81" s="49">
        <f t="shared" ca="1" si="74"/>
        <v>-1586853.3539153261</v>
      </c>
      <c r="AX81" s="49">
        <f t="shared" ca="1" si="74"/>
        <v>-1593055.4614991366</v>
      </c>
      <c r="AY81" s="49">
        <f t="shared" ca="1" si="74"/>
        <v>-1599281.8095953965</v>
      </c>
      <c r="AZ81" s="49">
        <f t="shared" ca="1" si="74"/>
        <v>-1604926.5219122153</v>
      </c>
      <c r="BA81" s="49">
        <f t="shared" ca="1" si="74"/>
        <v>-1611199.2672345545</v>
      </c>
      <c r="BB81" s="49">
        <f t="shared" ca="1" si="74"/>
        <v>-1617293.0080176783</v>
      </c>
      <c r="BC81" s="49">
        <f t="shared" ca="1" si="74"/>
        <v>-1623614.0869034627</v>
      </c>
      <c r="BD81" s="49">
        <f t="shared" ca="1" si="74"/>
        <v>-1629754.7819612499</v>
      </c>
      <c r="BE81" s="49">
        <f t="shared" ca="1" si="74"/>
        <v>-1636124.5668364645</v>
      </c>
      <c r="BF81" s="49">
        <f t="shared" ca="1" si="74"/>
        <v>-1642519.2475793306</v>
      </c>
      <c r="BG81" s="49">
        <f t="shared" ca="1" si="74"/>
        <v>-1648731.4441273219</v>
      </c>
      <c r="BH81" s="49">
        <f t="shared" ca="1" si="74"/>
        <v>-1655175.397986107</v>
      </c>
      <c r="BI81" s="49">
        <f t="shared" ca="1" si="74"/>
        <v>-1661435.4615493454</v>
      </c>
      <c r="BJ81" s="49">
        <f t="shared" ca="1" si="74"/>
        <v>-1667929.0681895949</v>
      </c>
      <c r="BK81" s="49">
        <f t="shared" ca="1" si="74"/>
        <v>-1674430.20854094</v>
      </c>
      <c r="BL81" s="49">
        <f t="shared" ca="1" si="74"/>
        <v>-1680534.8587706755</v>
      </c>
      <c r="BM81" s="49">
        <f t="shared" ca="1" si="74"/>
        <v>-1687085.1331142092</v>
      </c>
      <c r="BN81" s="49">
        <f t="shared" ref="BN81:CK81" ca="1" si="75">BN41</f>
        <v>-1693448.4163832751</v>
      </c>
      <c r="BO81" s="49">
        <f t="shared" ca="1" si="75"/>
        <v>-1700049.024312376</v>
      </c>
      <c r="BP81" s="49">
        <f t="shared" ca="1" si="75"/>
        <v>-1706461.2042911244</v>
      </c>
      <c r="BQ81" s="49">
        <f t="shared" ca="1" si="75"/>
        <v>-1713112.5325788814</v>
      </c>
      <c r="BR81" s="49">
        <f t="shared" ca="1" si="75"/>
        <v>-1719789.7859611444</v>
      </c>
      <c r="BS81" s="49">
        <f t="shared" ca="1" si="75"/>
        <v>-1726276.4233907068</v>
      </c>
      <c r="BT81" s="49">
        <f t="shared" ca="1" si="75"/>
        <v>-1733004.9860902359</v>
      </c>
      <c r="BU81" s="49">
        <f t="shared" ca="1" si="75"/>
        <v>-1739541.4681069078</v>
      </c>
      <c r="BV81" s="49">
        <f t="shared" ca="1" si="75"/>
        <v>-1746321.7343945038</v>
      </c>
      <c r="BW81" s="49">
        <f t="shared" ca="1" si="75"/>
        <v>-1753147.1132147568</v>
      </c>
      <c r="BX81" s="49">
        <f t="shared" ca="1" si="75"/>
        <v>-1759334.897658865</v>
      </c>
      <c r="BY81" s="49">
        <f t="shared" ca="1" si="75"/>
        <v>-1766211.1375359208</v>
      </c>
      <c r="BZ81" s="49">
        <f t="shared" ca="1" si="75"/>
        <v>-1772891.1510260482</v>
      </c>
      <c r="CA81" s="49">
        <f t="shared" ca="1" si="75"/>
        <v>-1779820.3745903547</v>
      </c>
      <c r="CB81" s="49">
        <f t="shared" ca="1" si="75"/>
        <v>-1786551.859778957</v>
      </c>
      <c r="CC81" s="49">
        <f t="shared" ca="1" si="75"/>
        <v>-1793534.4752872312</v>
      </c>
      <c r="CD81" s="49">
        <f t="shared" ca="1" si="75"/>
        <v>-1800544.3818696875</v>
      </c>
      <c r="CE81" s="49">
        <f t="shared" ca="1" si="75"/>
        <v>-1807354.2476353645</v>
      </c>
      <c r="CF81" s="49">
        <f t="shared" ca="1" si="75"/>
        <v>-1814418.1678509496</v>
      </c>
      <c r="CG81" s="49">
        <f t="shared" ca="1" si="75"/>
        <v>-1821280.5058695434</v>
      </c>
      <c r="CH81" s="49">
        <f t="shared" ca="1" si="75"/>
        <v>-1828398.8559110444</v>
      </c>
      <c r="CI81" s="49">
        <f t="shared" ca="1" si="75"/>
        <v>-1835545.0275358493</v>
      </c>
      <c r="CJ81" s="49">
        <f t="shared" ca="1" si="75"/>
        <v>-1842023.6378488301</v>
      </c>
      <c r="CK81" s="49">
        <f t="shared" ca="1" si="75"/>
        <v>-1849223.0610001076</v>
      </c>
    </row>
    <row r="82" spans="2:89">
      <c r="B82" s="45" t="s">
        <v>52</v>
      </c>
      <c r="C82" s="46"/>
      <c r="D82" s="47">
        <f t="shared" ca="1" si="69"/>
        <v>-712956267.2938391</v>
      </c>
      <c r="E82" s="48"/>
      <c r="F82" s="49">
        <f ca="1">Операции!F321</f>
        <v>0</v>
      </c>
      <c r="G82" s="49">
        <f ca="1">Операции!G321</f>
        <v>0</v>
      </c>
      <c r="H82" s="49">
        <f ca="1">Операции!H321</f>
        <v>0</v>
      </c>
      <c r="I82" s="49">
        <f ca="1">Операции!I321</f>
        <v>0</v>
      </c>
      <c r="J82" s="49">
        <f ca="1">Операции!J321</f>
        <v>0</v>
      </c>
      <c r="K82" s="49">
        <f ca="1">Операции!K321</f>
        <v>0</v>
      </c>
      <c r="L82" s="49">
        <f ca="1">Операции!L321</f>
        <v>0</v>
      </c>
      <c r="M82" s="49">
        <f ca="1">Операции!M321</f>
        <v>0</v>
      </c>
      <c r="N82" s="49">
        <f ca="1">Операции!N321</f>
        <v>0</v>
      </c>
      <c r="O82" s="49">
        <f ca="1">Операции!O321</f>
        <v>0</v>
      </c>
      <c r="P82" s="49">
        <f ca="1">Операции!P321</f>
        <v>0</v>
      </c>
      <c r="Q82" s="49">
        <f ca="1">Операции!Q321</f>
        <v>0</v>
      </c>
      <c r="R82" s="49">
        <f ca="1">Операции!R321</f>
        <v>-7808798.4775770195</v>
      </c>
      <c r="S82" s="49">
        <f ca="1">Операции!S321</f>
        <v>-7834782.2298293542</v>
      </c>
      <c r="T82" s="49">
        <f ca="1">Операции!T321</f>
        <v>-7860010.1158308731</v>
      </c>
      <c r="U82" s="49">
        <f ca="1">Операции!U321</f>
        <v>-7886164.274647628</v>
      </c>
      <c r="V82" s="49">
        <f ca="1">Операции!V321</f>
        <v>-7912405.4613451771</v>
      </c>
      <c r="W82" s="49">
        <f ca="1">Операции!W321</f>
        <v>-7937883.2930348236</v>
      </c>
      <c r="X82" s="49">
        <f ca="1">Операции!X321</f>
        <v>-7964296.5746025834</v>
      </c>
      <c r="Y82" s="49">
        <f ca="1">Операции!Y321</f>
        <v>-7989941.4949299674</v>
      </c>
      <c r="Z82" s="49">
        <f ca="1">Операции!Z321</f>
        <v>-8016527.9999999925</v>
      </c>
      <c r="AA82" s="49">
        <f ca="1">Операции!AA321</f>
        <v>-8043276.1754842587</v>
      </c>
      <c r="AB82" s="49">
        <f ca="1">Операции!AB321</f>
        <v>-8067512.5207898114</v>
      </c>
      <c r="AC82" s="49">
        <f ca="1">Операции!AC321</f>
        <v>-8094430.8126772251</v>
      </c>
      <c r="AD82" s="49">
        <f ca="1">Операции!AD321</f>
        <v>-9330402.3473809678</v>
      </c>
      <c r="AE82" s="49">
        <f ca="1">Операции!AE321</f>
        <v>-9361534.4334070608</v>
      </c>
      <c r="AF82" s="49">
        <f ca="1">Операции!AF321</f>
        <v>-9391761.1590304356</v>
      </c>
      <c r="AG82" s="49">
        <f ca="1">Операции!AG321</f>
        <v>-9423097.9766138177</v>
      </c>
      <c r="AH82" s="49">
        <f ca="1">Операции!AH321</f>
        <v>-9454539.3535146341</v>
      </c>
      <c r="AI82" s="49">
        <f ca="1">Операции!AI321</f>
        <v>-9485066.3754432444</v>
      </c>
      <c r="AJ82" s="49">
        <f ca="1">Операции!AJ321</f>
        <v>-9516714.517867282</v>
      </c>
      <c r="AK82" s="49">
        <f ca="1">Операции!AK321</f>
        <v>-9547442.29231642</v>
      </c>
      <c r="AL82" s="49">
        <f ca="1">Операции!AL321</f>
        <v>-9579298.5599999875</v>
      </c>
      <c r="AM82" s="49">
        <f ca="1">Операции!AM321</f>
        <v>-9611261.1202129722</v>
      </c>
      <c r="AN82" s="49">
        <f ca="1">Операции!AN321</f>
        <v>-9640222.1851135287</v>
      </c>
      <c r="AO82" s="49">
        <f ca="1">Операции!AO321</f>
        <v>-9672388.0248280242</v>
      </c>
      <c r="AP82" s="49">
        <f ca="1">Операции!AP321</f>
        <v>-9703618.4412762038</v>
      </c>
      <c r="AQ82" s="49">
        <f ca="1">Операции!AQ321</f>
        <v>-9735995.8107433412</v>
      </c>
      <c r="AR82" s="49">
        <f ca="1">Операции!AR321</f>
        <v>-9767431.6053916514</v>
      </c>
      <c r="AS82" s="49">
        <f ca="1">Операции!AS321</f>
        <v>-9800021.8956783693</v>
      </c>
      <c r="AT82" s="49">
        <f ca="1">Операции!AT321</f>
        <v>-9832720.9276552163</v>
      </c>
      <c r="AU82" s="49">
        <f ca="1">Операции!AU321</f>
        <v>-9864469.0304609723</v>
      </c>
      <c r="AV82" s="49">
        <f ca="1">Операции!AV321</f>
        <v>-9897383.0985819716</v>
      </c>
      <c r="AW82" s="49">
        <f ca="1">Операции!AW321</f>
        <v>-9929339.984009074</v>
      </c>
      <c r="AX82" s="49">
        <f ca="1">Операции!AX321</f>
        <v>-9962470.502399981</v>
      </c>
      <c r="AY82" s="49">
        <f ca="1">Операции!AY321</f>
        <v>-9995711.5650214888</v>
      </c>
      <c r="AZ82" s="49">
        <f ca="1">Операции!AZ321</f>
        <v>-10025831.072518066</v>
      </c>
      <c r="BA82" s="49">
        <f ca="1">Операции!BA321</f>
        <v>-10059283.545821143</v>
      </c>
      <c r="BB82" s="49">
        <f ca="1">Операции!BB321</f>
        <v>-10091763.178927248</v>
      </c>
      <c r="BC82" s="49">
        <f ca="1">Операции!BC321</f>
        <v>-10125435.643173071</v>
      </c>
      <c r="BD82" s="49">
        <f ca="1">Операции!BD321</f>
        <v>-10158128.869607313</v>
      </c>
      <c r="BE82" s="49">
        <f ca="1">Операции!BE321</f>
        <v>-10192022.771505501</v>
      </c>
      <c r="BF82" s="49">
        <f ca="1">Операции!BF321</f>
        <v>-10226029.76476142</v>
      </c>
      <c r="BG82" s="49">
        <f ca="1">Операции!BG321</f>
        <v>-10259047.791679407</v>
      </c>
      <c r="BH82" s="49">
        <f ca="1">Операции!BH321</f>
        <v>-10293278.422525248</v>
      </c>
      <c r="BI82" s="49">
        <f ca="1">Операции!BI321</f>
        <v>-10326513.583369434</v>
      </c>
      <c r="BJ82" s="49">
        <f ca="1">Операции!BJ321</f>
        <v>-10360969.32249598</v>
      </c>
      <c r="BK82" s="49">
        <f ca="1">Операции!BK321</f>
        <v>-10395445.415167961</v>
      </c>
      <c r="BL82" s="49">
        <f ca="1">Операции!BL321</f>
        <v>-10427801.09236276</v>
      </c>
      <c r="BM82" s="49">
        <f ca="1">Операции!BM321</f>
        <v>-10462499.567537729</v>
      </c>
      <c r="BN82" s="49">
        <f ca="1">Операции!BN321</f>
        <v>-10496188.665541738</v>
      </c>
      <c r="BO82" s="49">
        <f ca="1">Операции!BO321</f>
        <v>-10531114.700150304</v>
      </c>
      <c r="BP82" s="49">
        <f ca="1">Операции!BP321</f>
        <v>-10565024.737893641</v>
      </c>
      <c r="BQ82" s="49">
        <f ca="1">Операции!BQ321</f>
        <v>-10600179.824315386</v>
      </c>
      <c r="BR82" s="49">
        <f ca="1">Операции!BR321</f>
        <v>-10635451.88917608</v>
      </c>
      <c r="BS82" s="49">
        <f ca="1">Операции!BS321</f>
        <v>-10669697.891166186</v>
      </c>
      <c r="BT82" s="49">
        <f ca="1">Операции!BT321</f>
        <v>-10705201.277174596</v>
      </c>
      <c r="BU82" s="49">
        <f ca="1">Операции!BU321</f>
        <v>-10739671.871190043</v>
      </c>
      <c r="BV82" s="49">
        <f ca="1">Операции!BV321</f>
        <v>-10775408.095395813</v>
      </c>
      <c r="BW82" s="49">
        <f ca="1">Операции!BW321</f>
        <v>-10811361.628727233</v>
      </c>
      <c r="BX82" s="49">
        <f ca="1">Операции!BX321</f>
        <v>-10843938.88803553</v>
      </c>
      <c r="BY82" s="49">
        <f ca="1">Операции!BY321</f>
        <v>-10880121.083160136</v>
      </c>
      <c r="BZ82" s="49">
        <f ca="1">Операции!BZ321</f>
        <v>-10915251.054327704</v>
      </c>
      <c r="CA82" s="49">
        <f ca="1">Операции!CA321</f>
        <v>-10951671.191655984</v>
      </c>
      <c r="CB82" s="49">
        <f ca="1">Операции!CB321</f>
        <v>-10987032.185367262</v>
      </c>
      <c r="CC82" s="49">
        <f ca="1">Операции!CC321</f>
        <v>-11023691.829660339</v>
      </c>
      <c r="CD82" s="49">
        <f ca="1">Операции!CD321</f>
        <v>-11060473.793565942</v>
      </c>
      <c r="CE82" s="49">
        <f ca="1">Операции!CE321</f>
        <v>-11096186.091480438</v>
      </c>
      <c r="CF82" s="49">
        <f ca="1">Операции!CF321</f>
        <v>-11133209.941803297</v>
      </c>
      <c r="CG82" s="49">
        <f ca="1">Операции!CG321</f>
        <v>-11169157.09177237</v>
      </c>
      <c r="CH82" s="49">
        <f ca="1">Операции!CH321</f>
        <v>-11206424.419211643</v>
      </c>
      <c r="CI82" s="49">
        <f ca="1">Операции!CI321</f>
        <v>-11243816.093876317</v>
      </c>
      <c r="CJ82" s="49">
        <f ca="1">Операции!CJ321</f>
        <v>-11277696.443556949</v>
      </c>
      <c r="CK82" s="49">
        <f ca="1">Операции!CK321</f>
        <v>-11315325.926486537</v>
      </c>
    </row>
    <row r="83" spans="2:89">
      <c r="B83" s="45" t="s">
        <v>302</v>
      </c>
      <c r="C83" s="46"/>
      <c r="D83" s="47">
        <f t="shared" ca="1" si="69"/>
        <v>-936420.61385559302</v>
      </c>
      <c r="E83" s="48"/>
      <c r="F83" s="49">
        <f ca="1">-Инвестиции!F134</f>
        <v>0</v>
      </c>
      <c r="G83" s="49">
        <f ca="1">-Инвестиции!G134</f>
        <v>0</v>
      </c>
      <c r="H83" s="49">
        <f ca="1">-Инвестиции!H134</f>
        <v>0</v>
      </c>
      <c r="I83" s="49">
        <f ca="1">-Инвестиции!I134</f>
        <v>0</v>
      </c>
      <c r="J83" s="49">
        <f ca="1">-Инвестиции!J134</f>
        <v>0</v>
      </c>
      <c r="K83" s="49">
        <f ca="1">-Инвестиции!K134</f>
        <v>0</v>
      </c>
      <c r="L83" s="49">
        <f ca="1">-Инвестиции!L134</f>
        <v>0</v>
      </c>
      <c r="M83" s="49">
        <f ca="1">-Инвестиции!M134</f>
        <v>0</v>
      </c>
      <c r="N83" s="49">
        <f ca="1">-Инвестиции!N134</f>
        <v>0</v>
      </c>
      <c r="O83" s="49">
        <f ca="1">-Инвестиции!O134</f>
        <v>0</v>
      </c>
      <c r="P83" s="49">
        <f ca="1">-Инвестиции!P134</f>
        <v>0</v>
      </c>
      <c r="Q83" s="49">
        <f ca="1">-Инвестиции!Q134</f>
        <v>-936420.61385559302</v>
      </c>
      <c r="R83" s="49">
        <f ca="1">-Инвестиции!R134</f>
        <v>0</v>
      </c>
      <c r="S83" s="49">
        <f ca="1">-Инвестиции!S134</f>
        <v>0</v>
      </c>
      <c r="T83" s="49">
        <f ca="1">-Инвестиции!T134</f>
        <v>0</v>
      </c>
      <c r="U83" s="49">
        <f ca="1">-Инвестиции!U134</f>
        <v>0</v>
      </c>
      <c r="V83" s="49">
        <f ca="1">-Инвестиции!V134</f>
        <v>0</v>
      </c>
      <c r="W83" s="49">
        <f ca="1">-Инвестиции!W134</f>
        <v>0</v>
      </c>
      <c r="X83" s="49">
        <f ca="1">-Инвестиции!X134</f>
        <v>0</v>
      </c>
      <c r="Y83" s="49">
        <f ca="1">-Инвестиции!Y134</f>
        <v>0</v>
      </c>
      <c r="Z83" s="49">
        <f ca="1">-Инвестиции!Z134</f>
        <v>0</v>
      </c>
      <c r="AA83" s="49">
        <f ca="1">-Инвестиции!AA134</f>
        <v>0</v>
      </c>
      <c r="AB83" s="49">
        <f ca="1">-Инвестиции!AB134</f>
        <v>0</v>
      </c>
      <c r="AC83" s="49">
        <f ca="1">-Инвестиции!AC134</f>
        <v>0</v>
      </c>
      <c r="AD83" s="49">
        <f ca="1">-Инвестиции!AD134</f>
        <v>0</v>
      </c>
      <c r="AE83" s="49">
        <f ca="1">-Инвестиции!AE134</f>
        <v>0</v>
      </c>
      <c r="AF83" s="49">
        <f ca="1">-Инвестиции!AF134</f>
        <v>0</v>
      </c>
      <c r="AG83" s="49">
        <f ca="1">-Инвестиции!AG134</f>
        <v>0</v>
      </c>
      <c r="AH83" s="49">
        <f ca="1">-Инвестиции!AH134</f>
        <v>0</v>
      </c>
      <c r="AI83" s="49">
        <f ca="1">-Инвестиции!AI134</f>
        <v>0</v>
      </c>
      <c r="AJ83" s="49">
        <f ca="1">-Инвестиции!AJ134</f>
        <v>0</v>
      </c>
      <c r="AK83" s="49">
        <f ca="1">-Инвестиции!AK134</f>
        <v>0</v>
      </c>
      <c r="AL83" s="49">
        <f ca="1">-Инвестиции!AL134</f>
        <v>0</v>
      </c>
      <c r="AM83" s="49">
        <f ca="1">-Инвестиции!AM134</f>
        <v>0</v>
      </c>
      <c r="AN83" s="49">
        <f ca="1">-Инвестиции!AN134</f>
        <v>0</v>
      </c>
      <c r="AO83" s="49">
        <f ca="1">-Инвестиции!AO134</f>
        <v>0</v>
      </c>
      <c r="AP83" s="49">
        <f ca="1">-Инвестиции!AP134</f>
        <v>0</v>
      </c>
      <c r="AQ83" s="49">
        <f ca="1">-Инвестиции!AQ134</f>
        <v>0</v>
      </c>
      <c r="AR83" s="49">
        <f ca="1">-Инвестиции!AR134</f>
        <v>0</v>
      </c>
      <c r="AS83" s="49">
        <f ca="1">-Инвестиции!AS134</f>
        <v>0</v>
      </c>
      <c r="AT83" s="49">
        <f ca="1">-Инвестиции!AT134</f>
        <v>0</v>
      </c>
      <c r="AU83" s="49">
        <f ca="1">-Инвестиции!AU134</f>
        <v>0</v>
      </c>
      <c r="AV83" s="49">
        <f ca="1">-Инвестиции!AV134</f>
        <v>0</v>
      </c>
      <c r="AW83" s="49">
        <f ca="1">-Инвестиции!AW134</f>
        <v>0</v>
      </c>
      <c r="AX83" s="49">
        <f ca="1">-Инвестиции!AX134</f>
        <v>0</v>
      </c>
      <c r="AY83" s="49">
        <f ca="1">-Инвестиции!AY134</f>
        <v>0</v>
      </c>
      <c r="AZ83" s="49">
        <f ca="1">-Инвестиции!AZ134</f>
        <v>0</v>
      </c>
      <c r="BA83" s="49">
        <f ca="1">-Инвестиции!BA134</f>
        <v>0</v>
      </c>
      <c r="BB83" s="49">
        <f ca="1">-Инвестиции!BB134</f>
        <v>0</v>
      </c>
      <c r="BC83" s="49">
        <f ca="1">-Инвестиции!BC134</f>
        <v>0</v>
      </c>
      <c r="BD83" s="49">
        <f ca="1">-Инвестиции!BD134</f>
        <v>0</v>
      </c>
      <c r="BE83" s="49">
        <f ca="1">-Инвестиции!BE134</f>
        <v>0</v>
      </c>
      <c r="BF83" s="49">
        <f ca="1">-Инвестиции!BF134</f>
        <v>0</v>
      </c>
      <c r="BG83" s="49">
        <f ca="1">-Инвестиции!BG134</f>
        <v>0</v>
      </c>
      <c r="BH83" s="49">
        <f ca="1">-Инвестиции!BH134</f>
        <v>0</v>
      </c>
      <c r="BI83" s="49">
        <f ca="1">-Инвестиции!BI134</f>
        <v>0</v>
      </c>
      <c r="BJ83" s="49">
        <f ca="1">-Инвестиции!BJ134</f>
        <v>0</v>
      </c>
      <c r="BK83" s="49">
        <f ca="1">-Инвестиции!BK134</f>
        <v>0</v>
      </c>
      <c r="BL83" s="49">
        <f ca="1">-Инвестиции!BL134</f>
        <v>0</v>
      </c>
      <c r="BM83" s="49">
        <f ca="1">-Инвестиции!BM134</f>
        <v>0</v>
      </c>
      <c r="BN83" s="49">
        <f ca="1">-Инвестиции!BN134</f>
        <v>0</v>
      </c>
      <c r="BO83" s="49">
        <f ca="1">-Инвестиции!BO134</f>
        <v>0</v>
      </c>
      <c r="BP83" s="49">
        <f ca="1">-Инвестиции!BP134</f>
        <v>0</v>
      </c>
      <c r="BQ83" s="49">
        <f ca="1">-Инвестиции!BQ134</f>
        <v>0</v>
      </c>
      <c r="BR83" s="49">
        <f ca="1">-Инвестиции!BR134</f>
        <v>0</v>
      </c>
      <c r="BS83" s="49">
        <f ca="1">-Инвестиции!BS134</f>
        <v>0</v>
      </c>
      <c r="BT83" s="49">
        <f ca="1">-Инвестиции!BT134</f>
        <v>0</v>
      </c>
      <c r="BU83" s="49">
        <f ca="1">-Инвестиции!BU134</f>
        <v>0</v>
      </c>
      <c r="BV83" s="49">
        <f ca="1">-Инвестиции!BV134</f>
        <v>0</v>
      </c>
      <c r="BW83" s="49">
        <f ca="1">-Инвестиции!BW134</f>
        <v>0</v>
      </c>
      <c r="BX83" s="49">
        <f ca="1">-Инвестиции!BX134</f>
        <v>0</v>
      </c>
      <c r="BY83" s="49">
        <f ca="1">-Инвестиции!BY134</f>
        <v>0</v>
      </c>
      <c r="BZ83" s="49">
        <f ca="1">-Инвестиции!BZ134</f>
        <v>0</v>
      </c>
      <c r="CA83" s="49">
        <f ca="1">-Инвестиции!CA134</f>
        <v>0</v>
      </c>
      <c r="CB83" s="49">
        <f ca="1">-Инвестиции!CB134</f>
        <v>0</v>
      </c>
      <c r="CC83" s="49">
        <f ca="1">-Инвестиции!CC134</f>
        <v>0</v>
      </c>
      <c r="CD83" s="49">
        <f ca="1">-Инвестиции!CD134</f>
        <v>0</v>
      </c>
      <c r="CE83" s="49">
        <f ca="1">-Инвестиции!CE134</f>
        <v>0</v>
      </c>
      <c r="CF83" s="49">
        <f ca="1">-Инвестиции!CF134</f>
        <v>0</v>
      </c>
      <c r="CG83" s="49">
        <f ca="1">-Инвестиции!CG134</f>
        <v>0</v>
      </c>
      <c r="CH83" s="49">
        <f ca="1">-Инвестиции!CH134</f>
        <v>0</v>
      </c>
      <c r="CI83" s="49">
        <f ca="1">-Инвестиции!CI134</f>
        <v>0</v>
      </c>
      <c r="CJ83" s="49">
        <f ca="1">-Инвестиции!CJ134</f>
        <v>0</v>
      </c>
      <c r="CK83" s="49">
        <f ca="1">-Инвестиции!CK134</f>
        <v>0</v>
      </c>
    </row>
    <row r="84" spans="2:89">
      <c r="B84" s="45" t="s">
        <v>303</v>
      </c>
      <c r="C84" s="46"/>
      <c r="D84" s="47">
        <f t="shared" ca="1" si="69"/>
        <v>-93642.061385559384</v>
      </c>
      <c r="E84" s="48"/>
      <c r="F84" s="49">
        <f ca="1">Инвестиции!F134-Инвестиции!F133</f>
        <v>0</v>
      </c>
      <c r="G84" s="49">
        <f ca="1">Инвестиции!G134-Инвестиции!G133</f>
        <v>0</v>
      </c>
      <c r="H84" s="49">
        <f ca="1">Инвестиции!H134-Инвестиции!H133</f>
        <v>0</v>
      </c>
      <c r="I84" s="49">
        <f ca="1">Инвестиции!I134-Инвестиции!I133</f>
        <v>0</v>
      </c>
      <c r="J84" s="49">
        <f ca="1">Инвестиции!J134-Инвестиции!J133</f>
        <v>0</v>
      </c>
      <c r="K84" s="49">
        <f ca="1">Инвестиции!K134-Инвестиции!K133</f>
        <v>0</v>
      </c>
      <c r="L84" s="49">
        <f ca="1">Инвестиции!L134-Инвестиции!L133</f>
        <v>0</v>
      </c>
      <c r="M84" s="49">
        <f ca="1">Инвестиции!M134-Инвестиции!M133</f>
        <v>0</v>
      </c>
      <c r="N84" s="49">
        <f ca="1">Инвестиции!N134-Инвестиции!N133</f>
        <v>0</v>
      </c>
      <c r="O84" s="49">
        <f ca="1">Инвестиции!O134-Инвестиции!O133</f>
        <v>0</v>
      </c>
      <c r="P84" s="49">
        <f ca="1">Инвестиции!P134-Инвестиции!P133</f>
        <v>0</v>
      </c>
      <c r="Q84" s="49">
        <f ca="1">Инвестиции!Q134-Инвестиции!Q133</f>
        <v>-93642.061385559384</v>
      </c>
      <c r="R84" s="49">
        <f ca="1">Инвестиции!R134-Инвестиции!R133</f>
        <v>0</v>
      </c>
      <c r="S84" s="49">
        <f ca="1">Инвестиции!S134-Инвестиции!S133</f>
        <v>0</v>
      </c>
      <c r="T84" s="49">
        <f ca="1">Инвестиции!T134-Инвестиции!T133</f>
        <v>0</v>
      </c>
      <c r="U84" s="49">
        <f ca="1">Инвестиции!U134-Инвестиции!U133</f>
        <v>0</v>
      </c>
      <c r="V84" s="49">
        <f ca="1">Инвестиции!V134-Инвестиции!V133</f>
        <v>0</v>
      </c>
      <c r="W84" s="49">
        <f ca="1">Инвестиции!W134-Инвестиции!W133</f>
        <v>0</v>
      </c>
      <c r="X84" s="49">
        <f ca="1">Инвестиции!X134-Инвестиции!X133</f>
        <v>0</v>
      </c>
      <c r="Y84" s="49">
        <f ca="1">Инвестиции!Y134-Инвестиции!Y133</f>
        <v>0</v>
      </c>
      <c r="Z84" s="49">
        <f ca="1">Инвестиции!Z134-Инвестиции!Z133</f>
        <v>0</v>
      </c>
      <c r="AA84" s="49">
        <f ca="1">Инвестиции!AA134-Инвестиции!AA133</f>
        <v>0</v>
      </c>
      <c r="AB84" s="49">
        <f ca="1">Инвестиции!AB134-Инвестиции!AB133</f>
        <v>0</v>
      </c>
      <c r="AC84" s="49">
        <f ca="1">Инвестиции!AC134-Инвестиции!AC133</f>
        <v>0</v>
      </c>
      <c r="AD84" s="49">
        <f ca="1">Инвестиции!AD134-Инвестиции!AD133</f>
        <v>0</v>
      </c>
      <c r="AE84" s="49">
        <f ca="1">Инвестиции!AE134-Инвестиции!AE133</f>
        <v>0</v>
      </c>
      <c r="AF84" s="49">
        <f ca="1">Инвестиции!AF134-Инвестиции!AF133</f>
        <v>0</v>
      </c>
      <c r="AG84" s="49">
        <f ca="1">Инвестиции!AG134-Инвестиции!AG133</f>
        <v>0</v>
      </c>
      <c r="AH84" s="49">
        <f ca="1">Инвестиции!AH134-Инвестиции!AH133</f>
        <v>0</v>
      </c>
      <c r="AI84" s="49">
        <f ca="1">Инвестиции!AI134-Инвестиции!AI133</f>
        <v>0</v>
      </c>
      <c r="AJ84" s="49">
        <f ca="1">Инвестиции!AJ134-Инвестиции!AJ133</f>
        <v>0</v>
      </c>
      <c r="AK84" s="49">
        <f ca="1">Инвестиции!AK134-Инвестиции!AK133</f>
        <v>0</v>
      </c>
      <c r="AL84" s="49">
        <f ca="1">Инвестиции!AL134-Инвестиции!AL133</f>
        <v>0</v>
      </c>
      <c r="AM84" s="49">
        <f ca="1">Инвестиции!AM134-Инвестиции!AM133</f>
        <v>0</v>
      </c>
      <c r="AN84" s="49">
        <f ca="1">Инвестиции!AN134-Инвестиции!AN133</f>
        <v>0</v>
      </c>
      <c r="AO84" s="49">
        <f ca="1">Инвестиции!AO134-Инвестиции!AO133</f>
        <v>0</v>
      </c>
      <c r="AP84" s="49">
        <f ca="1">Инвестиции!AP134-Инвестиции!AP133</f>
        <v>0</v>
      </c>
      <c r="AQ84" s="49">
        <f ca="1">Инвестиции!AQ134-Инвестиции!AQ133</f>
        <v>0</v>
      </c>
      <c r="AR84" s="49">
        <f ca="1">Инвестиции!AR134-Инвестиции!AR133</f>
        <v>0</v>
      </c>
      <c r="AS84" s="49">
        <f ca="1">Инвестиции!AS134-Инвестиции!AS133</f>
        <v>0</v>
      </c>
      <c r="AT84" s="49">
        <f ca="1">Инвестиции!AT134-Инвестиции!AT133</f>
        <v>0</v>
      </c>
      <c r="AU84" s="49">
        <f ca="1">Инвестиции!AU134-Инвестиции!AU133</f>
        <v>0</v>
      </c>
      <c r="AV84" s="49">
        <f ca="1">Инвестиции!AV134-Инвестиции!AV133</f>
        <v>0</v>
      </c>
      <c r="AW84" s="49">
        <f ca="1">Инвестиции!AW134-Инвестиции!AW133</f>
        <v>0</v>
      </c>
      <c r="AX84" s="49">
        <f ca="1">Инвестиции!AX134-Инвестиции!AX133</f>
        <v>0</v>
      </c>
      <c r="AY84" s="49">
        <f ca="1">Инвестиции!AY134-Инвестиции!AY133</f>
        <v>0</v>
      </c>
      <c r="AZ84" s="49">
        <f ca="1">Инвестиции!AZ134-Инвестиции!AZ133</f>
        <v>0</v>
      </c>
      <c r="BA84" s="49">
        <f ca="1">Инвестиции!BA134-Инвестиции!BA133</f>
        <v>0</v>
      </c>
      <c r="BB84" s="49">
        <f ca="1">Инвестиции!BB134-Инвестиции!BB133</f>
        <v>0</v>
      </c>
      <c r="BC84" s="49">
        <f ca="1">Инвестиции!BC134-Инвестиции!BC133</f>
        <v>0</v>
      </c>
      <c r="BD84" s="49">
        <f ca="1">Инвестиции!BD134-Инвестиции!BD133</f>
        <v>0</v>
      </c>
      <c r="BE84" s="49">
        <f ca="1">Инвестиции!BE134-Инвестиции!BE133</f>
        <v>0</v>
      </c>
      <c r="BF84" s="49">
        <f ca="1">Инвестиции!BF134-Инвестиции!BF133</f>
        <v>0</v>
      </c>
      <c r="BG84" s="49">
        <f ca="1">Инвестиции!BG134-Инвестиции!BG133</f>
        <v>0</v>
      </c>
      <c r="BH84" s="49">
        <f ca="1">Инвестиции!BH134-Инвестиции!BH133</f>
        <v>0</v>
      </c>
      <c r="BI84" s="49">
        <f ca="1">Инвестиции!BI134-Инвестиции!BI133</f>
        <v>0</v>
      </c>
      <c r="BJ84" s="49">
        <f ca="1">Инвестиции!BJ134-Инвестиции!BJ133</f>
        <v>0</v>
      </c>
      <c r="BK84" s="49">
        <f ca="1">Инвестиции!BK134-Инвестиции!BK133</f>
        <v>0</v>
      </c>
      <c r="BL84" s="49">
        <f ca="1">Инвестиции!BL134-Инвестиции!BL133</f>
        <v>0</v>
      </c>
      <c r="BM84" s="49">
        <f ca="1">Инвестиции!BM134-Инвестиции!BM133</f>
        <v>0</v>
      </c>
      <c r="BN84" s="49">
        <f ca="1">Инвестиции!BN134-Инвестиции!BN133</f>
        <v>0</v>
      </c>
      <c r="BO84" s="49">
        <f ca="1">Инвестиции!BO134-Инвестиции!BO133</f>
        <v>0</v>
      </c>
      <c r="BP84" s="49">
        <f ca="1">Инвестиции!BP134-Инвестиции!BP133</f>
        <v>0</v>
      </c>
      <c r="BQ84" s="49">
        <f ca="1">Инвестиции!BQ134-Инвестиции!BQ133</f>
        <v>0</v>
      </c>
      <c r="BR84" s="49">
        <f ca="1">Инвестиции!BR134-Инвестиции!BR133</f>
        <v>0</v>
      </c>
      <c r="BS84" s="49">
        <f ca="1">Инвестиции!BS134-Инвестиции!BS133</f>
        <v>0</v>
      </c>
      <c r="BT84" s="49">
        <f ca="1">Инвестиции!BT134-Инвестиции!BT133</f>
        <v>0</v>
      </c>
      <c r="BU84" s="49">
        <f ca="1">Инвестиции!BU134-Инвестиции!BU133</f>
        <v>0</v>
      </c>
      <c r="BV84" s="49">
        <f ca="1">Инвестиции!BV134-Инвестиции!BV133</f>
        <v>0</v>
      </c>
      <c r="BW84" s="49">
        <f ca="1">Инвестиции!BW134-Инвестиции!BW133</f>
        <v>0</v>
      </c>
      <c r="BX84" s="49">
        <f ca="1">Инвестиции!BX134-Инвестиции!BX133</f>
        <v>0</v>
      </c>
      <c r="BY84" s="49">
        <f ca="1">Инвестиции!BY134-Инвестиции!BY133</f>
        <v>0</v>
      </c>
      <c r="BZ84" s="49">
        <f ca="1">Инвестиции!BZ134-Инвестиции!BZ133</f>
        <v>0</v>
      </c>
      <c r="CA84" s="49">
        <f ca="1">Инвестиции!CA134-Инвестиции!CA133</f>
        <v>0</v>
      </c>
      <c r="CB84" s="49">
        <f ca="1">Инвестиции!CB134-Инвестиции!CB133</f>
        <v>0</v>
      </c>
      <c r="CC84" s="49">
        <f ca="1">Инвестиции!CC134-Инвестиции!CC133</f>
        <v>0</v>
      </c>
      <c r="CD84" s="49">
        <f ca="1">Инвестиции!CD134-Инвестиции!CD133</f>
        <v>0</v>
      </c>
      <c r="CE84" s="49">
        <f ca="1">Инвестиции!CE134-Инвестиции!CE133</f>
        <v>0</v>
      </c>
      <c r="CF84" s="49">
        <f ca="1">Инвестиции!CF134-Инвестиции!CF133</f>
        <v>0</v>
      </c>
      <c r="CG84" s="49">
        <f ca="1">Инвестиции!CG134-Инвестиции!CG133</f>
        <v>0</v>
      </c>
      <c r="CH84" s="49">
        <f ca="1">Инвестиции!CH134-Инвестиции!CH133</f>
        <v>0</v>
      </c>
      <c r="CI84" s="49">
        <f ca="1">Инвестиции!CI134-Инвестиции!CI133</f>
        <v>0</v>
      </c>
      <c r="CJ84" s="49">
        <f ca="1">Инвестиции!CJ134-Инвестиции!CJ133</f>
        <v>0</v>
      </c>
      <c r="CK84" s="49">
        <f ca="1">Инвестиции!CK134-Инвестиции!CK133</f>
        <v>0</v>
      </c>
    </row>
    <row r="85" spans="2:89">
      <c r="B85" s="45" t="s">
        <v>135</v>
      </c>
      <c r="C85" s="46"/>
      <c r="D85" s="47">
        <f t="shared" ca="1" si="69"/>
        <v>-57542226.353291668</v>
      </c>
      <c r="E85" s="48"/>
      <c r="F85" s="49">
        <f ca="1">-Оборотный_капитал!F80</f>
        <v>0</v>
      </c>
      <c r="G85" s="49">
        <f ca="1">-Оборотный_капитал!G80</f>
        <v>0</v>
      </c>
      <c r="H85" s="49">
        <f ca="1">-Оборотный_капитал!H80</f>
        <v>0</v>
      </c>
      <c r="I85" s="49">
        <f ca="1">-Оборотный_капитал!I80</f>
        <v>0</v>
      </c>
      <c r="J85" s="49">
        <f ca="1">-Оборотный_капитал!J80</f>
        <v>0</v>
      </c>
      <c r="K85" s="49">
        <f ca="1">-Оборотный_капитал!K80</f>
        <v>0</v>
      </c>
      <c r="L85" s="49">
        <f ca="1">-Оборотный_капитал!L80</f>
        <v>0</v>
      </c>
      <c r="M85" s="49">
        <f ca="1">-Оборотный_капитал!M80</f>
        <v>0</v>
      </c>
      <c r="N85" s="49">
        <f ca="1">-Оборотный_капитал!N80</f>
        <v>0</v>
      </c>
      <c r="O85" s="49">
        <f ca="1">-Оборотный_капитал!O80</f>
        <v>0</v>
      </c>
      <c r="P85" s="49">
        <f ca="1">-Оборотный_капитал!P80</f>
        <v>0</v>
      </c>
      <c r="Q85" s="49">
        <f ca="1">-Оборотный_капитал!Q80</f>
        <v>0</v>
      </c>
      <c r="R85" s="49">
        <f ca="1">-Оборотный_капитал!R80</f>
        <v>-29767146.483045802</v>
      </c>
      <c r="S85" s="49">
        <f ca="1">-Оборотный_капитал!S80</f>
        <v>862584.72263668478</v>
      </c>
      <c r="T85" s="49">
        <f ca="1">-Оборотный_капитал!T80</f>
        <v>-1123093.579539068</v>
      </c>
      <c r="U85" s="49">
        <f ca="1">-Оборотный_капитал!U80</f>
        <v>869903.44750557095</v>
      </c>
      <c r="V85" s="49">
        <f ca="1">-Оборотный_капитал!V80</f>
        <v>-129492.51968272775</v>
      </c>
      <c r="W85" s="49">
        <f ca="1">-Оборотный_капитал!W80</f>
        <v>-1137496.2028760836</v>
      </c>
      <c r="X85" s="49">
        <f ca="1">-Оборотный_капитал!X80</f>
        <v>881059.14452160895</v>
      </c>
      <c r="Y85" s="49">
        <f ca="1">-Оборотный_капитал!Y80</f>
        <v>-1147147.4539703652</v>
      </c>
      <c r="Z85" s="49">
        <f ca="1">-Оборотный_капитал!Z80</f>
        <v>888534.61829565465</v>
      </c>
      <c r="AA85" s="49">
        <f ca="1">-Оборотный_капитал!AA80</f>
        <v>-132629.08081576973</v>
      </c>
      <c r="AB85" s="49">
        <f ca="1">-Оборотный_капитал!AB80</f>
        <v>-3440817.5732193589</v>
      </c>
      <c r="AC85" s="49">
        <f ca="1">-Оборотный_капитал!AC80</f>
        <v>3186811.4263929054</v>
      </c>
      <c r="AD85" s="49">
        <f ca="1">-Оборотный_капитал!AD80</f>
        <v>-2213738.3966448978</v>
      </c>
      <c r="AE85" s="49">
        <f ca="1">-Оборотный_капитал!AE80</f>
        <v>79137.475583575666</v>
      </c>
      <c r="AF85" s="49">
        <f ca="1">-Оборотный_капитал!AF80</f>
        <v>-2152216.5171727538</v>
      </c>
      <c r="AG85" s="49">
        <f ca="1">-Оборотный_капитал!AG80</f>
        <v>47888.759070798755</v>
      </c>
      <c r="AH85" s="49">
        <f ca="1">-Оборотный_капитал!AH80</f>
        <v>-1150295.8334798515</v>
      </c>
      <c r="AI85" s="49">
        <f ca="1">-Оборотный_капитал!AI80</f>
        <v>-2426942.0740698949</v>
      </c>
      <c r="AJ85" s="49">
        <f ca="1">-Оборотный_капитал!AJ80</f>
        <v>-18186.295636169612</v>
      </c>
      <c r="AK85" s="49">
        <f ca="1">-Оборотный_капитал!AK80</f>
        <v>-2643232.5559304282</v>
      </c>
      <c r="AL85" s="49">
        <f ca="1">-Оборотный_капитал!AL80</f>
        <v>-79166.380155161023</v>
      </c>
      <c r="AM85" s="49">
        <f ca="1">-Оборотный_капитал!AM80</f>
        <v>-1506426.2929022759</v>
      </c>
      <c r="AN85" s="49">
        <f ca="1">-Оборотный_капитал!AN80</f>
        <v>-6222596.2992874756</v>
      </c>
      <c r="AO85" s="49">
        <f ca="1">-Оборотный_капитал!AO80</f>
        <v>3088898.0978796929</v>
      </c>
      <c r="AP85" s="49">
        <f ca="1">-Оборотный_капитал!AP80</f>
        <v>-1830521.624196738</v>
      </c>
      <c r="AQ85" s="49">
        <f ca="1">-Оборотный_капитал!AQ80</f>
        <v>1260096.6854971051</v>
      </c>
      <c r="AR85" s="49">
        <f ca="1">-Оборотный_капитал!AR80</f>
        <v>-1863459.2718958259</v>
      </c>
      <c r="AS85" s="49">
        <f ca="1">-Оборотный_капитал!AS80</f>
        <v>1264842.1709827036</v>
      </c>
      <c r="AT85" s="49">
        <f ca="1">-Оборотный_капитал!AT80</f>
        <v>-316069.46816593409</v>
      </c>
      <c r="AU85" s="49">
        <f ca="1">-Оборотный_капитал!AU80</f>
        <v>-1918115.9431712478</v>
      </c>
      <c r="AV85" s="49">
        <f ca="1">-Оборотный_капитал!AV80</f>
        <v>1270544.576613009</v>
      </c>
      <c r="AW85" s="49">
        <f ca="1">-Оборотный_капитал!AW80</f>
        <v>-1958151.8952807039</v>
      </c>
      <c r="AX85" s="49">
        <f ca="1">-Оборотный_капитал!AX80</f>
        <v>1273192.6506171525</v>
      </c>
      <c r="AY85" s="49">
        <f ca="1">-Оборотный_капитал!AY80</f>
        <v>-363853.51646690071</v>
      </c>
      <c r="AZ85" s="49">
        <f ca="1">-Оборотный_капитал!AZ80</f>
        <v>-5678718.9447934926</v>
      </c>
      <c r="BA85" s="49">
        <f ca="1">-Оборотный_капитал!BA80</f>
        <v>4953954.0565454215</v>
      </c>
      <c r="BB85" s="49">
        <f ca="1">-Оборотный_капитал!BB80</f>
        <v>-1890989.9139418304</v>
      </c>
      <c r="BC85" s="49">
        <f ca="1">-Оборотный_капитал!BC80</f>
        <v>1463646.5052675158</v>
      </c>
      <c r="BD85" s="49">
        <f ca="1">-Оборотный_капитал!BD80</f>
        <v>-1907078.4351001233</v>
      </c>
      <c r="BE85" s="49">
        <f ca="1">-Оборотный_капитал!BE80</f>
        <v>1476099.1934572309</v>
      </c>
      <c r="BF85" s="49">
        <f ca="1">-Оборотный_капитал!BF80</f>
        <v>-220425.49993570149</v>
      </c>
      <c r="BG85" s="49">
        <f ca="1">-Оборотный_капитал!BG80</f>
        <v>-1931602.3630577624</v>
      </c>
      <c r="BH85" s="49">
        <f ca="1">-Оборотный_капитал!BH80</f>
        <v>1495080.9771177471</v>
      </c>
      <c r="BI85" s="49">
        <f ca="1">-Оборотный_капитал!BI80</f>
        <v>-1948036.414481461</v>
      </c>
      <c r="BJ85" s="49">
        <f ca="1">-Оборотный_капитал!BJ80</f>
        <v>1507801.1094443798</v>
      </c>
      <c r="BK85" s="49">
        <f ca="1">-Оборотный_капитал!BK80</f>
        <v>-224543.02696482837</v>
      </c>
      <c r="BL85" s="49">
        <f ca="1">-Оборотный_капитал!BL80</f>
        <v>-3839859.6755882949</v>
      </c>
      <c r="BM85" s="49">
        <f ca="1">-Оборотный_капитал!BM80</f>
        <v>3402511.8466685861</v>
      </c>
      <c r="BN85" s="49">
        <f ca="1">-Оборотный_капитал!BN80</f>
        <v>-1988904.748509407</v>
      </c>
      <c r="BO85" s="49">
        <f ca="1">-Оборотный_капитал!BO80</f>
        <v>1540526.2117148042</v>
      </c>
      <c r="BP85" s="49">
        <f ca="1">-Оборотный_капитал!BP80</f>
        <v>-2005779.898581937</v>
      </c>
      <c r="BQ85" s="49">
        <f ca="1">-Оборотный_капитал!BQ80</f>
        <v>1553597.0292251855</v>
      </c>
      <c r="BR85" s="49">
        <f ca="1">-Оборотный_капитал!BR80</f>
        <v>-231266.11862826347</v>
      </c>
      <c r="BS85" s="49">
        <f ca="1">-Оборотный_капитал!BS80</f>
        <v>-2031502.1472908258</v>
      </c>
      <c r="BT85" s="49">
        <f ca="1">-Оборотный_капитал!BT80</f>
        <v>1573520.4561213404</v>
      </c>
      <c r="BU85" s="49">
        <f ca="1">-Оборотный_капитал!BU80</f>
        <v>-2048738.7211558372</v>
      </c>
      <c r="BV85" s="49">
        <f ca="1">-Оборотный_капитал!BV80</f>
        <v>1586871.2180716544</v>
      </c>
      <c r="BW85" s="49">
        <f ca="1">-Оборотный_капитал!BW80</f>
        <v>-236867.83462591469</v>
      </c>
      <c r="BX85" s="49">
        <f ca="1">-Оборотный_капитал!BX80</f>
        <v>-6145100.3271547258</v>
      </c>
      <c r="BY85" s="49">
        <f ca="1">-Оборотный_капитал!BY80</f>
        <v>5691460.1027756929</v>
      </c>
      <c r="BZ85" s="49">
        <f ca="1">-Оборотный_капитал!BZ80</f>
        <v>-2092766.1017190814</v>
      </c>
      <c r="CA85" s="49">
        <f ca="1">-Оборотный_капитал!CA80</f>
        <v>1619823.4419655651</v>
      </c>
      <c r="CB85" s="49">
        <f ca="1">-Оборотный_капитал!CB80</f>
        <v>-2110571.3324390501</v>
      </c>
      <c r="CC85" s="49">
        <f ca="1">-Оборотный_капитал!CC80</f>
        <v>1633604.8817958981</v>
      </c>
      <c r="CD85" s="49">
        <f ca="1">-Оборотный_капитал!CD80</f>
        <v>-243945.78248083591</v>
      </c>
      <c r="CE85" s="49">
        <f ca="1">-Оборотный_капитал!CE80</f>
        <v>-2137712.0616054982</v>
      </c>
      <c r="CF85" s="49">
        <f ca="1">-Оборотный_капитал!CF80</f>
        <v>1654612.097700119</v>
      </c>
      <c r="CG85" s="49">
        <f ca="1">-Оборотный_капитал!CG80</f>
        <v>-2155899.6920523196</v>
      </c>
      <c r="CH85" s="49">
        <f ca="1">-Оборотный_капитал!CH80</f>
        <v>1668689.5190265477</v>
      </c>
      <c r="CI85" s="49">
        <f ca="1">-Оборотный_капитал!CI80</f>
        <v>-249184.96202646196</v>
      </c>
      <c r="CJ85" s="49">
        <f ca="1">-Оборотный_капитал!CJ80</f>
        <v>-6464645.5441667587</v>
      </c>
      <c r="CK85" s="49">
        <f ca="1">-Оборотный_капитал!CK80</f>
        <v>5987416.028120026</v>
      </c>
    </row>
    <row r="86" spans="2:89">
      <c r="B86" s="45" t="s">
        <v>136</v>
      </c>
      <c r="C86" s="46"/>
      <c r="D86" s="47">
        <f t="shared" ca="1" si="69"/>
        <v>62575696.291515328</v>
      </c>
      <c r="E86" s="48"/>
      <c r="F86" s="49">
        <f ca="1">Оборотный_капитал!F82</f>
        <v>0</v>
      </c>
      <c r="G86" s="49">
        <f ca="1">Оборотный_капитал!G82</f>
        <v>0</v>
      </c>
      <c r="H86" s="49">
        <f ca="1">Оборотный_капитал!H82</f>
        <v>0</v>
      </c>
      <c r="I86" s="49">
        <f ca="1">Оборотный_капитал!I82</f>
        <v>0</v>
      </c>
      <c r="J86" s="49">
        <f ca="1">Оборотный_капитал!J82</f>
        <v>0</v>
      </c>
      <c r="K86" s="49">
        <f ca="1">Оборотный_капитал!K82</f>
        <v>0</v>
      </c>
      <c r="L86" s="49">
        <f ca="1">Оборотный_капитал!L82</f>
        <v>0</v>
      </c>
      <c r="M86" s="49">
        <f ca="1">Оборотный_капитал!M82</f>
        <v>0</v>
      </c>
      <c r="N86" s="49">
        <f ca="1">Оборотный_капитал!N82</f>
        <v>0</v>
      </c>
      <c r="O86" s="49">
        <f ca="1">Оборотный_капитал!O82</f>
        <v>0</v>
      </c>
      <c r="P86" s="49">
        <f ca="1">Оборотный_капитал!P82</f>
        <v>0</v>
      </c>
      <c r="Q86" s="49">
        <f ca="1">Оборотный_капитал!Q82</f>
        <v>0</v>
      </c>
      <c r="R86" s="49">
        <f ca="1">Оборотный_капитал!R82</f>
        <v>33199085.062594414</v>
      </c>
      <c r="S86" s="49">
        <f ca="1">Оборотный_капитал!S82</f>
        <v>-933098.92075853795</v>
      </c>
      <c r="T86" s="49">
        <f ca="1">Оборотный_капитал!T82</f>
        <v>1213954.1415174603</v>
      </c>
      <c r="U86" s="49">
        <f ca="1">Оборотный_капитал!U82</f>
        <v>-940992.36931776255</v>
      </c>
      <c r="V86" s="49">
        <f ca="1">Оборотный_капитал!V82</f>
        <v>139602.24181094021</v>
      </c>
      <c r="W86" s="49">
        <f ca="1">Оборотный_капитал!W82</f>
        <v>1229476.6550727785</v>
      </c>
      <c r="X86" s="49">
        <f ca="1">Оборотный_капитал!X82</f>
        <v>-953023.75575594231</v>
      </c>
      <c r="Y86" s="49">
        <f ca="1">Оборотный_капитал!Y82</f>
        <v>1239878.0594448186</v>
      </c>
      <c r="Z86" s="49">
        <f ca="1">Оборотный_капитал!Z82</f>
        <v>-961085.80266062543</v>
      </c>
      <c r="AA86" s="49">
        <f ca="1">Оборотный_капитал!AA82</f>
        <v>142975.64201768115</v>
      </c>
      <c r="AB86" s="49">
        <f ca="1">Оборотный_капитал!AB82</f>
        <v>3719643.6550080776</v>
      </c>
      <c r="AC86" s="49">
        <f ca="1">Оборотный_капитал!AC82</f>
        <v>-3445826.7053997293</v>
      </c>
      <c r="AD86" s="49">
        <f ca="1">Оборотный_капитал!AD82</f>
        <v>2358000.3280455321</v>
      </c>
      <c r="AE86" s="49">
        <f ca="1">Оборотный_капитал!AE82</f>
        <v>-113714.48367784172</v>
      </c>
      <c r="AF86" s="49">
        <f ca="1">Оборотный_капитал!AF82</f>
        <v>2293848.1550490335</v>
      </c>
      <c r="AG86" s="49">
        <f ca="1">Оборотный_капитал!AG82</f>
        <v>-81215.123097442091</v>
      </c>
      <c r="AH86" s="49">
        <f ca="1">Оборотный_капитал!AH82</f>
        <v>1209211.6935200244</v>
      </c>
      <c r="AI86" s="49">
        <f ca="1">Оборотный_капитал!AI82</f>
        <v>2582111.6824339032</v>
      </c>
      <c r="AJ86" s="49">
        <f ca="1">Оборотный_капитал!AJ82</f>
        <v>-12355.13236220181</v>
      </c>
      <c r="AK86" s="49">
        <f ca="1">Оборотный_капитал!AK82</f>
        <v>2809006.8492881134</v>
      </c>
      <c r="AL86" s="49">
        <f ca="1">Оборотный_капитал!AL82</f>
        <v>51286.761046081781</v>
      </c>
      <c r="AM86" s="49">
        <f ca="1">Оборотный_капитал!AM82</f>
        <v>1582381.2208277285</v>
      </c>
      <c r="AN86" s="49">
        <f ca="1">Оборотный_капитал!AN82</f>
        <v>6639291.9831167907</v>
      </c>
      <c r="AO86" s="49">
        <f ca="1">Оборотный_капитал!AO82</f>
        <v>-3348292.1680687144</v>
      </c>
      <c r="AP86" s="49">
        <f ca="1">Оборотный_капитал!AP82</f>
        <v>1958360.8912736624</v>
      </c>
      <c r="AQ86" s="49">
        <f ca="1">Оборотный_капитал!AQ82</f>
        <v>-1352357.8486175686</v>
      </c>
      <c r="AR86" s="49">
        <f ca="1">Оборотный_капитал!AR82</f>
        <v>1993180.3862006664</v>
      </c>
      <c r="AS86" s="49">
        <f ca="1">Оборотный_капитал!AS82</f>
        <v>-1357577.8569869846</v>
      </c>
      <c r="AT86" s="49">
        <f ca="1">Оборотный_капитал!AT82</f>
        <v>335454.83698573709</v>
      </c>
      <c r="AU86" s="49">
        <f ca="1">Оборотный_капитал!AU82</f>
        <v>2050916.9798721895</v>
      </c>
      <c r="AV86" s="49">
        <f ca="1">Оборотный_капитал!AV82</f>
        <v>-1363930.2911627144</v>
      </c>
      <c r="AW86" s="49">
        <f ca="1">Оборотный_капитал!AW82</f>
        <v>2093178.8856271878</v>
      </c>
      <c r="AX86" s="49">
        <f ca="1">Оборотный_капитал!AX82</f>
        <v>-1366957.8428071588</v>
      </c>
      <c r="AY86" s="49">
        <f ca="1">Оборотный_капитал!AY82</f>
        <v>385598.57304283977</v>
      </c>
      <c r="AZ86" s="49">
        <f ca="1">Оборотный_капитал!AZ82</f>
        <v>6075173.6409741864</v>
      </c>
      <c r="BA86" s="49">
        <f ca="1">Оборотный_капитал!BA82</f>
        <v>-5307438.5884173885</v>
      </c>
      <c r="BB86" s="49">
        <f ca="1">Оборотный_капитал!BB82</f>
        <v>2023620.1872098371</v>
      </c>
      <c r="BC86" s="49">
        <f ca="1">Оборотный_капитал!BC82</f>
        <v>-1567116.5752237737</v>
      </c>
      <c r="BD86" s="49">
        <f ca="1">Оборотный_капитал!BD82</f>
        <v>2040802.9454641789</v>
      </c>
      <c r="BE86" s="49">
        <f ca="1">Оборотный_капитал!BE82</f>
        <v>-1580422.4776769504</v>
      </c>
      <c r="BF86" s="49">
        <f ca="1">Оборотный_капитал!BF82</f>
        <v>235460.11284080148</v>
      </c>
      <c r="BG86" s="49">
        <f ca="1">Оборотный_капитал!BG82</f>
        <v>2066994.3327958882</v>
      </c>
      <c r="BH86" s="49">
        <f ca="1">Оборотный_капитал!BH82</f>
        <v>-1600704.4300324097</v>
      </c>
      <c r="BI86" s="49">
        <f ca="1">Оборотный_капитал!BI82</f>
        <v>2084545.4533800855</v>
      </c>
      <c r="BJ86" s="49">
        <f ca="1">Оборотный_капитал!BJ82</f>
        <v>-1614295.5706315637</v>
      </c>
      <c r="BK86" s="49">
        <f ca="1">Оборотный_капитал!BK82</f>
        <v>239849.26456581801</v>
      </c>
      <c r="BL86" s="49">
        <f ca="1">Оборотный_капитал!BL82</f>
        <v>4109293.340593636</v>
      </c>
      <c r="BM86" s="49">
        <f ca="1">Оборотный_капитал!BM82</f>
        <v>-3642138.5103692412</v>
      </c>
      <c r="BN86" s="49">
        <f ca="1">Оборотный_капитал!BN82</f>
        <v>2128190.4469524324</v>
      </c>
      <c r="BO86" s="49">
        <f ca="1">Оборотный_капитал!BO82</f>
        <v>-1649260.3704125211</v>
      </c>
      <c r="BP86" s="49">
        <f ca="1">Оборотный_капитал!BP82</f>
        <v>2146211.7058819532</v>
      </c>
      <c r="BQ86" s="49">
        <f ca="1">Оборотный_капитал!BQ82</f>
        <v>-1663225.4421025068</v>
      </c>
      <c r="BR86" s="49">
        <f ca="1">Оборотный_капитал!BR82</f>
        <v>247017.48689261079</v>
      </c>
      <c r="BS86" s="49">
        <f ca="1">Оборотный_капитал!BS82</f>
        <v>2173680.4114670008</v>
      </c>
      <c r="BT86" s="49">
        <f ca="1">Оборотный_капитал!BT82</f>
        <v>-1684511.539213188</v>
      </c>
      <c r="BU86" s="49">
        <f ca="1">Оборотный_капитал!BU82</f>
        <v>2192086.9448983595</v>
      </c>
      <c r="BV86" s="49">
        <f ca="1">Оборотный_капитал!BV82</f>
        <v>-1698775.1556203589</v>
      </c>
      <c r="BW86" s="49">
        <f ca="1">Оборотный_капитал!BW82</f>
        <v>252991.07254968584</v>
      </c>
      <c r="BX86" s="49">
        <f ca="1">Оборотный_капитал!BX82</f>
        <v>6575889.7956479415</v>
      </c>
      <c r="BY86" s="49">
        <f ca="1">Оборотный_капитал!BY82</f>
        <v>-6091376.4127556756</v>
      </c>
      <c r="BZ86" s="49">
        <f ca="1">Оборотный_капитал!BZ82</f>
        <v>2239101.6456692293</v>
      </c>
      <c r="CA86" s="49">
        <f ca="1">Оборотный_капитал!CA82</f>
        <v>-1733979.7386476547</v>
      </c>
      <c r="CB86" s="49">
        <f ca="1">Оборотный_капитал!CB82</f>
        <v>2258114.4293719754</v>
      </c>
      <c r="CC86" s="49">
        <f ca="1">Оборотный_капитал!CC82</f>
        <v>-1748702.7030116394</v>
      </c>
      <c r="CD86" s="49">
        <f ca="1">Оборотный_капитал!CD82</f>
        <v>260537.0207266435</v>
      </c>
      <c r="CE86" s="49">
        <f ca="1">Оборотный_капитал!CE82</f>
        <v>2287095.2986363396</v>
      </c>
      <c r="CF86" s="49">
        <f ca="1">Оборотный_капитал!CF82</f>
        <v>-1771144.6619131416</v>
      </c>
      <c r="CG86" s="49">
        <f ca="1">Оборотный_капитал!CG82</f>
        <v>2306515.6834633574</v>
      </c>
      <c r="CH86" s="49">
        <f ca="1">Оборотный_капитал!CH82</f>
        <v>-1786183.2473845109</v>
      </c>
      <c r="CI86" s="49">
        <f ca="1">Оборотный_капитал!CI82</f>
        <v>266122.38923611492</v>
      </c>
      <c r="CJ86" s="49">
        <f ca="1">Оборотный_капитал!CJ82</f>
        <v>6917145.2368046939</v>
      </c>
      <c r="CK86" s="49">
        <f ca="1">Оборотный_капитал!CK82</f>
        <v>-6407483.5142173544</v>
      </c>
    </row>
    <row r="87" spans="2:89" ht="15.75" thickBot="1">
      <c r="B87" s="45" t="s">
        <v>137</v>
      </c>
      <c r="C87" s="46"/>
      <c r="D87" s="47">
        <f t="shared" ca="1" si="69"/>
        <v>-508650334.07239431</v>
      </c>
      <c r="E87" s="48"/>
      <c r="F87" s="49">
        <f ca="1">-Налоги!F45</f>
        <v>0</v>
      </c>
      <c r="G87" s="49">
        <f ca="1">-Налоги!G45</f>
        <v>0</v>
      </c>
      <c r="H87" s="49">
        <f ca="1">-Налоги!H45</f>
        <v>0</v>
      </c>
      <c r="I87" s="49">
        <f ca="1">-Налоги!I45</f>
        <v>0</v>
      </c>
      <c r="J87" s="49">
        <f ca="1">-Налоги!J45</f>
        <v>0</v>
      </c>
      <c r="K87" s="49">
        <f ca="1">-Налоги!K45</f>
        <v>0</v>
      </c>
      <c r="L87" s="49">
        <f ca="1">-Налоги!L45</f>
        <v>0</v>
      </c>
      <c r="M87" s="49">
        <f ca="1">-Налоги!M45</f>
        <v>0</v>
      </c>
      <c r="N87" s="49">
        <f ca="1">-Налоги!N45</f>
        <v>0</v>
      </c>
      <c r="O87" s="49">
        <f ca="1">-Налоги!O45</f>
        <v>0</v>
      </c>
      <c r="P87" s="49">
        <f ca="1">-Налоги!P45</f>
        <v>0</v>
      </c>
      <c r="Q87" s="49">
        <f ca="1">-Налоги!Q45</f>
        <v>0</v>
      </c>
      <c r="R87" s="49">
        <f ca="1">-Налоги!R45</f>
        <v>-4527147.9630810563</v>
      </c>
      <c r="S87" s="49">
        <f ca="1">-Налоги!S45</f>
        <v>-4546570.7745314185</v>
      </c>
      <c r="T87" s="49">
        <f ca="1">-Налоги!T45</f>
        <v>-4565446.4022754552</v>
      </c>
      <c r="U87" s="49">
        <f ca="1">-Налоги!U45</f>
        <v>-4585033.5697050123</v>
      </c>
      <c r="V87" s="49">
        <f ca="1">-Налоги!V45</f>
        <v>-4604704.7946874639</v>
      </c>
      <c r="W87" s="49">
        <f ca="1">-Налоги!W45</f>
        <v>-4623821.8378526308</v>
      </c>
      <c r="X87" s="49">
        <f ca="1">-Налоги!X45</f>
        <v>-4643659.5214093802</v>
      </c>
      <c r="Y87" s="49">
        <f ca="1">-Налоги!Y45</f>
        <v>-4662938.3338102046</v>
      </c>
      <c r="Z87" s="49">
        <f ca="1">-Налоги!Z45</f>
        <v>-4682943.8848653352</v>
      </c>
      <c r="AA87" s="49">
        <f ca="1">-Налоги!AA45</f>
        <v>-4703090.4526041904</v>
      </c>
      <c r="AB87" s="49">
        <f ca="1">-Налоги!AB45</f>
        <v>-4721361.8593238732</v>
      </c>
      <c r="AC87" s="49">
        <f ca="1">-Налоги!AC45</f>
        <v>-4741673.7500490034</v>
      </c>
      <c r="AD87" s="49">
        <f ca="1">-Налоги!AD45</f>
        <v>-4910262.031584423</v>
      </c>
      <c r="AE87" s="49">
        <f ca="1">-Налоги!AE45</f>
        <v>-5057914.0281189959</v>
      </c>
      <c r="AF87" s="49">
        <f ca="1">-Налоги!AF45</f>
        <v>-5207552.9867714038</v>
      </c>
      <c r="AG87" s="49">
        <f ca="1">-Налоги!AG45</f>
        <v>-5369694.1371667199</v>
      </c>
      <c r="AH87" s="49">
        <f ca="1">-Налоги!AH45</f>
        <v>-5540083.0576172685</v>
      </c>
      <c r="AI87" s="49">
        <f ca="1">-Налоги!AI45</f>
        <v>-5713476.8394336514</v>
      </c>
      <c r="AJ87" s="49">
        <f ca="1">-Налоги!AJ45</f>
        <v>-5902185.1169455545</v>
      </c>
      <c r="AK87" s="49">
        <f ca="1">-Налоги!AK45</f>
        <v>-6094838.4371962762</v>
      </c>
      <c r="AL87" s="49">
        <f ca="1">-Налоги!AL45</f>
        <v>-6305226.4893108271</v>
      </c>
      <c r="AM87" s="49">
        <f ca="1">-Налоги!AM45</f>
        <v>-6528198.3886092808</v>
      </c>
      <c r="AN87" s="49">
        <f ca="1">-Налоги!AN45</f>
        <v>-6741438.0520789642</v>
      </c>
      <c r="AO87" s="49">
        <f ca="1">-Налоги!AO45</f>
        <v>-6991930.1807296891</v>
      </c>
      <c r="AP87" s="49">
        <f ca="1">-Налоги!AP45</f>
        <v>-7033433.2583138514</v>
      </c>
      <c r="AQ87" s="49">
        <f ca="1">-Налоги!AQ45</f>
        <v>-7077321.5185585041</v>
      </c>
      <c r="AR87" s="49">
        <f ca="1">-Налоги!AR45</f>
        <v>-7120818.1498024538</v>
      </c>
      <c r="AS87" s="49">
        <f ca="1">-Налоги!AS45</f>
        <v>-7166883.6931295237</v>
      </c>
      <c r="AT87" s="49">
        <f ca="1">-Налоги!AT45</f>
        <v>-7214152.3292502407</v>
      </c>
      <c r="AU87" s="49">
        <f ca="1">-Налоги!AU45</f>
        <v>-7261108.2352394015</v>
      </c>
      <c r="AV87" s="49">
        <f ca="1">-Налоги!AV45</f>
        <v>-7310954.9990229383</v>
      </c>
      <c r="AW87" s="49">
        <f ca="1">-Налоги!AW45</f>
        <v>-7360551.2253936492</v>
      </c>
      <c r="AX87" s="49">
        <f ca="1">-Налоги!AX45</f>
        <v>-7413286.1459657615</v>
      </c>
      <c r="AY87" s="49">
        <f ca="1">-Налоги!AY45</f>
        <v>-7467620.4903490711</v>
      </c>
      <c r="AZ87" s="49">
        <f ca="1">-Налоги!AZ45</f>
        <v>-7518151.4576122975</v>
      </c>
      <c r="BA87" s="49">
        <f ca="1">-Налоги!BA45</f>
        <v>-7575801.338663891</v>
      </c>
      <c r="BB87" s="49">
        <f ca="1">-Налоги!BB45</f>
        <v>-7607368.8576666908</v>
      </c>
      <c r="BC87" s="49">
        <f ca="1">-Налоги!BC45</f>
        <v>-7640126.8476255648</v>
      </c>
      <c r="BD87" s="49">
        <f ca="1">-Налоги!BD45</f>
        <v>-7671962.4536085641</v>
      </c>
      <c r="BE87" s="49">
        <f ca="1">-Налоги!BE45</f>
        <v>-7704998.6408137651</v>
      </c>
      <c r="BF87" s="49">
        <f ca="1">-Налоги!BF45</f>
        <v>-7738177.1112595145</v>
      </c>
      <c r="BG87" s="49">
        <f ca="1">-Налоги!BG45</f>
        <v>-7770421.3583303466</v>
      </c>
      <c r="BH87" s="49">
        <f ca="1">-Налоги!BH45</f>
        <v>-7803881.5975580039</v>
      </c>
      <c r="BI87" s="49">
        <f ca="1">-Налоги!BI45</f>
        <v>-7836399.6796959387</v>
      </c>
      <c r="BJ87" s="49">
        <f ca="1">-Налоги!BJ45</f>
        <v>-7870144.0810362063</v>
      </c>
      <c r="BK87" s="49">
        <f ca="1">-Налоги!BK45</f>
        <v>-7903941.0228613885</v>
      </c>
      <c r="BL87" s="49">
        <f ca="1">-Налоги!BL45</f>
        <v>-7935688.9206817215</v>
      </c>
      <c r="BM87" s="49">
        <f ca="1">-Налоги!BM45</f>
        <v>-7969767.3853020985</v>
      </c>
      <c r="BN87" s="49">
        <f ca="1">-Налоги!BN45</f>
        <v>-8002885.9030292695</v>
      </c>
      <c r="BO87" s="49">
        <f ca="1">-Налоги!BO45</f>
        <v>-8037252.9869963592</v>
      </c>
      <c r="BP87" s="49">
        <f ca="1">-Налоги!BP45</f>
        <v>-8070651.9942296445</v>
      </c>
      <c r="BQ87" s="49">
        <f ca="1">-Налоги!BQ45</f>
        <v>-8105310.1423470993</v>
      </c>
      <c r="BR87" s="49">
        <f ca="1">-Налоги!BR45</f>
        <v>-8140117.1518637836</v>
      </c>
      <c r="BS87" s="49">
        <f ca="1">-Налоги!BS45</f>
        <v>-8173943.6928101601</v>
      </c>
      <c r="BT87" s="49">
        <f ca="1">-Налоги!BT45</f>
        <v>-8209045.4929540949</v>
      </c>
      <c r="BU87" s="49">
        <f ca="1">-Налоги!BU45</f>
        <v>-8243158.5208581388</v>
      </c>
      <c r="BV87" s="49">
        <f ca="1">-Налоги!BV45</f>
        <v>-8278557.6087159961</v>
      </c>
      <c r="BW87" s="49">
        <f ca="1">-Налоги!BW45</f>
        <v>-8314206.3507570866</v>
      </c>
      <c r="BX87" s="49">
        <f ca="1">-Налоги!BX45</f>
        <v>-8346537.1647047028</v>
      </c>
      <c r="BY87" s="49">
        <f ca="1">-Налоги!BY45</f>
        <v>-8382478.691073725</v>
      </c>
      <c r="BZ87" s="49">
        <f ca="1">-Налоги!BZ45</f>
        <v>-8417408.1952432506</v>
      </c>
      <c r="CA87" s="49">
        <f ca="1">-Налоги!CA45</f>
        <v>-8453654.9597903993</v>
      </c>
      <c r="CB87" s="49">
        <f ca="1">-Налоги!CB45</f>
        <v>-8488881.1076147482</v>
      </c>
      <c r="CC87" s="49">
        <f ca="1">-Налоги!CC45</f>
        <v>-8525435.703050267</v>
      </c>
      <c r="CD87" s="49">
        <f ca="1">-Налоги!CD45</f>
        <v>-8562147.7377890199</v>
      </c>
      <c r="CE87" s="49">
        <f ca="1">-Налоги!CE45</f>
        <v>-8597826.0552990232</v>
      </c>
      <c r="CF87" s="49">
        <f ca="1">-Налоги!CF45</f>
        <v>-8634849.872963652</v>
      </c>
      <c r="CG87" s="49">
        <f ca="1">-Налоги!CG45</f>
        <v>-8670831.1946013253</v>
      </c>
      <c r="CH87" s="49">
        <f ca="1">-Налоги!CH45</f>
        <v>-8708169.4435020369</v>
      </c>
      <c r="CI87" s="49">
        <f ca="1">-Налоги!CI45</f>
        <v>-8745668.5074398518</v>
      </c>
      <c r="CJ87" s="49">
        <f ca="1">-Налоги!CJ45</f>
        <v>-8779677.4298205227</v>
      </c>
      <c r="CK87" s="49">
        <f ca="1">-Налоги!CK45</f>
        <v>-8817484.4774407949</v>
      </c>
    </row>
    <row r="88" spans="2:89" ht="15.75" thickTop="1">
      <c r="B88" s="50" t="s">
        <v>90</v>
      </c>
      <c r="C88" s="51"/>
      <c r="D88" s="52">
        <f ca="1">SUM(D80:D87)</f>
        <v>-6304106534.8271942</v>
      </c>
      <c r="E88" s="53"/>
      <c r="F88" s="54">
        <f ca="1">SUM(F80:F87)</f>
        <v>0</v>
      </c>
      <c r="G88" s="54">
        <f t="shared" ref="G88:AG88" ca="1" si="76">SUM(G80:G87)</f>
        <v>0</v>
      </c>
      <c r="H88" s="54">
        <f t="shared" ca="1" si="76"/>
        <v>0</v>
      </c>
      <c r="I88" s="54">
        <f t="shared" ca="1" si="76"/>
        <v>0</v>
      </c>
      <c r="J88" s="54">
        <f t="shared" ca="1" si="76"/>
        <v>0</v>
      </c>
      <c r="K88" s="54">
        <f t="shared" ca="1" si="76"/>
        <v>0</v>
      </c>
      <c r="L88" s="54">
        <f t="shared" ca="1" si="76"/>
        <v>0</v>
      </c>
      <c r="M88" s="54">
        <f t="shared" ca="1" si="76"/>
        <v>0</v>
      </c>
      <c r="N88" s="54">
        <f t="shared" ca="1" si="76"/>
        <v>0</v>
      </c>
      <c r="O88" s="54">
        <f t="shared" ca="1" si="76"/>
        <v>0</v>
      </c>
      <c r="P88" s="54">
        <f t="shared" ca="1" si="76"/>
        <v>0</v>
      </c>
      <c r="Q88" s="54">
        <f t="shared" ca="1" si="76"/>
        <v>-1030062.6752411524</v>
      </c>
      <c r="R88" s="54">
        <f t="shared" ca="1" si="76"/>
        <v>-54175487.491920017</v>
      </c>
      <c r="S88" s="54">
        <f t="shared" ca="1" si="76"/>
        <v>-57917574.947796814</v>
      </c>
      <c r="T88" s="54">
        <f t="shared" ca="1" si="76"/>
        <v>-57989059.978882492</v>
      </c>
      <c r="U88" s="54">
        <f t="shared" ca="1" si="76"/>
        <v>-58392622.463214956</v>
      </c>
      <c r="V88" s="54">
        <f t="shared" ca="1" si="76"/>
        <v>-58554048.480779067</v>
      </c>
      <c r="W88" s="54">
        <f t="shared" ca="1" si="76"/>
        <v>-58707943.057217062</v>
      </c>
      <c r="X88" s="54">
        <f t="shared" ca="1" si="76"/>
        <v>-59116515.921340093</v>
      </c>
      <c r="Y88" s="54">
        <f t="shared" ca="1" si="76"/>
        <v>-59189532.561367758</v>
      </c>
      <c r="Z88" s="54">
        <f t="shared" ca="1" si="76"/>
        <v>-59601461.917883657</v>
      </c>
      <c r="AA88" s="54">
        <f t="shared" ca="1" si="76"/>
        <v>-59766924.592928439</v>
      </c>
      <c r="AB88" s="54">
        <f t="shared" ca="1" si="76"/>
        <v>-59723666.891563706</v>
      </c>
      <c r="AC88" s="54">
        <f t="shared" ca="1" si="76"/>
        <v>-60511857.342223085</v>
      </c>
      <c r="AD88" s="54">
        <f t="shared" ca="1" si="76"/>
        <v>-63199022.763408989</v>
      </c>
      <c r="AE88" s="54">
        <f t="shared" ca="1" si="76"/>
        <v>-65033165.75081028</v>
      </c>
      <c r="AF88" s="54">
        <f t="shared" ca="1" si="76"/>
        <v>-66533212.375639595</v>
      </c>
      <c r="AG88" s="54">
        <f t="shared" ca="1" si="76"/>
        <v>-68523059.849474385</v>
      </c>
      <c r="AH88" s="54">
        <f t="shared" ref="AH88:BM88" ca="1" si="77">SUM(AH80:AH87)</f>
        <v>-70336537.12726441</v>
      </c>
      <c r="AI88" s="54">
        <f t="shared" ca="1" si="77"/>
        <v>-72178142.000849396</v>
      </c>
      <c r="AJ88" s="54">
        <f t="shared" ca="1" si="77"/>
        <v>-74471292.232266754</v>
      </c>
      <c r="AK88" s="54">
        <f t="shared" ca="1" si="77"/>
        <v>-76424890.808117762</v>
      </c>
      <c r="AL88" s="54">
        <f t="shared" ca="1" si="77"/>
        <v>-78964669.561528161</v>
      </c>
      <c r="AM88" s="54">
        <f t="shared" ca="1" si="77"/>
        <v>-81345488.466989592</v>
      </c>
      <c r="AN88" s="54">
        <f t="shared" ca="1" si="77"/>
        <v>-83379345.074152812</v>
      </c>
      <c r="AO88" s="54">
        <f t="shared" ca="1" si="77"/>
        <v>-86843014.083043635</v>
      </c>
      <c r="AP88" s="54">
        <f t="shared" ca="1" si="77"/>
        <v>-86943545.015651628</v>
      </c>
      <c r="AQ88" s="54">
        <f t="shared" ca="1" si="77"/>
        <v>-87678793.678007349</v>
      </c>
      <c r="AR88" s="54">
        <f t="shared" ca="1" si="77"/>
        <v>-87966710.13891381</v>
      </c>
      <c r="AS88" s="54">
        <f t="shared" ca="1" si="77"/>
        <v>-88728478.206107408</v>
      </c>
      <c r="AT88" s="54">
        <f t="shared" ca="1" si="77"/>
        <v>-89169011.180588067</v>
      </c>
      <c r="AU88" s="54">
        <f t="shared" ca="1" si="77"/>
        <v>-89603858.581393436</v>
      </c>
      <c r="AV88" s="54">
        <f t="shared" ca="1" si="77"/>
        <v>-90411273.802383989</v>
      </c>
      <c r="AW88" s="54">
        <f t="shared" ca="1" si="77"/>
        <v>-90760376.472992718</v>
      </c>
      <c r="AX88" s="54">
        <f t="shared" ca="1" si="77"/>
        <v>-91602383.300213352</v>
      </c>
      <c r="AY88" s="54">
        <f t="shared" ca="1" si="77"/>
        <v>-92117791.902285323</v>
      </c>
      <c r="AZ88" s="54">
        <f t="shared" ca="1" si="77"/>
        <v>-92329042.41007264</v>
      </c>
      <c r="BA88" s="54">
        <f t="shared" ca="1" si="77"/>
        <v>-93746582.802995905</v>
      </c>
      <c r="BB88" s="54">
        <f t="shared" ca="1" si="77"/>
        <v>-93640190.339992836</v>
      </c>
      <c r="BC88" s="54">
        <f t="shared" ca="1" si="77"/>
        <v>-94270301.037010536</v>
      </c>
      <c r="BD88" s="54">
        <f t="shared" ca="1" si="77"/>
        <v>-94415991.348937452</v>
      </c>
      <c r="BE88" s="54">
        <f t="shared" ca="1" si="77"/>
        <v>-95051331.104676634</v>
      </c>
      <c r="BF88" s="54">
        <f t="shared" ca="1" si="77"/>
        <v>-95330943.375710979</v>
      </c>
      <c r="BG88" s="54">
        <f t="shared" ca="1" si="77"/>
        <v>-95598290.763575107</v>
      </c>
      <c r="BH88" s="54">
        <f t="shared" ca="1" si="77"/>
        <v>-96241599.448577955</v>
      </c>
      <c r="BI88" s="54">
        <f t="shared" ca="1" si="77"/>
        <v>-96390401.021126121</v>
      </c>
      <c r="BJ88" s="54">
        <f t="shared" ca="1" si="77"/>
        <v>-97039048.675081432</v>
      </c>
      <c r="BK88" s="54">
        <f t="shared" ca="1" si="77"/>
        <v>-97323490.42904225</v>
      </c>
      <c r="BL88" s="54">
        <f t="shared" ca="1" si="77"/>
        <v>-97450945.55485633</v>
      </c>
      <c r="BM88" s="54">
        <f t="shared" ca="1" si="77"/>
        <v>-98369567.469561458</v>
      </c>
      <c r="BN88" s="54">
        <f t="shared" ref="BN88:CK88" ca="1" si="78">SUM(BN80:BN87)</f>
        <v>-98388647.900420666</v>
      </c>
      <c r="BO88" s="54">
        <f t="shared" ca="1" si="78"/>
        <v>-99049631.715807974</v>
      </c>
      <c r="BP88" s="54">
        <f t="shared" ca="1" si="78"/>
        <v>-99201764.867119715</v>
      </c>
      <c r="BQ88" s="54">
        <f t="shared" ca="1" si="78"/>
        <v>-99868219.803010806</v>
      </c>
      <c r="BR88" s="54">
        <f t="shared" ca="1" si="78"/>
        <v>-100160989.19141337</v>
      </c>
      <c r="BS88" s="54">
        <f t="shared" ca="1" si="78"/>
        <v>-100440900.24790175</v>
      </c>
      <c r="BT88" s="54">
        <f t="shared" ca="1" si="78"/>
        <v>-101115692.78276147</v>
      </c>
      <c r="BU88" s="54">
        <f t="shared" ca="1" si="78"/>
        <v>-101271067.37688702</v>
      </c>
      <c r="BV88" s="54">
        <f t="shared" ca="1" si="78"/>
        <v>-101951445.72882049</v>
      </c>
      <c r="BW88" s="54">
        <f t="shared" ca="1" si="78"/>
        <v>-102251508.24913141</v>
      </c>
      <c r="BX88" s="54">
        <f t="shared" ca="1" si="78"/>
        <v>-102225058.23129407</v>
      </c>
      <c r="BY88" s="54">
        <f t="shared" ca="1" si="78"/>
        <v>-103487302.99495108</v>
      </c>
      <c r="BZ88" s="54">
        <f t="shared" ca="1" si="78"/>
        <v>-103360405.65805332</v>
      </c>
      <c r="CA88" s="54">
        <f t="shared" ca="1" si="78"/>
        <v>-104056032.04603246</v>
      </c>
      <c r="CB88" s="54">
        <f t="shared" ca="1" si="78"/>
        <v>-104217181.27219656</v>
      </c>
      <c r="CC88" s="54">
        <f t="shared" ca="1" si="78"/>
        <v>-104918582.38442902</v>
      </c>
      <c r="CD88" s="54">
        <f t="shared" ca="1" si="78"/>
        <v>-105227507.67099936</v>
      </c>
      <c r="CE88" s="54">
        <f t="shared" ca="1" si="78"/>
        <v>-105522889.46273886</v>
      </c>
      <c r="CF88" s="54">
        <f t="shared" ca="1" si="78"/>
        <v>-106233091.1086165</v>
      </c>
      <c r="CG88" s="54">
        <f t="shared" ca="1" si="78"/>
        <v>-106397684.24097592</v>
      </c>
      <c r="CH88" s="54">
        <f t="shared" ca="1" si="78"/>
        <v>-107113782.02609202</v>
      </c>
      <c r="CI88" s="54">
        <f t="shared" ca="1" si="78"/>
        <v>-107429232.24850503</v>
      </c>
      <c r="CJ88" s="54">
        <f t="shared" ca="1" si="78"/>
        <v>-107401648.47894475</v>
      </c>
      <c r="CK88" s="54">
        <f t="shared" ca="1" si="78"/>
        <v>-108727722.6644326</v>
      </c>
    </row>
    <row r="89" spans="2:89">
      <c r="B89" s="148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</row>
    <row r="90" spans="2:89">
      <c r="B90" s="45" t="s">
        <v>60</v>
      </c>
      <c r="C90" s="46"/>
      <c r="D90" s="47">
        <f t="shared" ref="D90:D95" ca="1" si="79">SUM(F90:CK90)</f>
        <v>-500778856.16101265</v>
      </c>
      <c r="E90" s="48"/>
      <c r="F90" s="49">
        <f ca="1">SUM(Налоги!F72:F73)</f>
        <v>0</v>
      </c>
      <c r="G90" s="49">
        <f ca="1">SUM(Налоги!G72:G73)</f>
        <v>0</v>
      </c>
      <c r="H90" s="49">
        <f ca="1">SUM(Налоги!H72:H73)</f>
        <v>0</v>
      </c>
      <c r="I90" s="49">
        <f ca="1">SUM(Налоги!I72:I73)</f>
        <v>0</v>
      </c>
      <c r="J90" s="49">
        <f ca="1">SUM(Налоги!J72:J73)</f>
        <v>0</v>
      </c>
      <c r="K90" s="49">
        <f ca="1">SUM(Налоги!K72:K73)</f>
        <v>0</v>
      </c>
      <c r="L90" s="49">
        <f ca="1">SUM(Налоги!L72:L73)</f>
        <v>0</v>
      </c>
      <c r="M90" s="49">
        <f ca="1">SUM(Налоги!M72:M73)</f>
        <v>0</v>
      </c>
      <c r="N90" s="49">
        <f ca="1">SUM(Налоги!N72:N73)</f>
        <v>0</v>
      </c>
      <c r="O90" s="49">
        <f ca="1">SUM(Налоги!O72:O73)</f>
        <v>0</v>
      </c>
      <c r="P90" s="49">
        <f ca="1">SUM(Налоги!P72:P73)</f>
        <v>0</v>
      </c>
      <c r="Q90" s="49">
        <f ca="1">SUM(Налоги!Q72:Q73)</f>
        <v>0</v>
      </c>
      <c r="R90" s="49">
        <f ca="1">SUM(Налоги!R72:R73)</f>
        <v>105548187.51593101</v>
      </c>
      <c r="S90" s="49">
        <f ca="1">SUM(Налоги!S72:S73)</f>
        <v>0</v>
      </c>
      <c r="T90" s="49">
        <f ca="1">SUM(Налоги!T72:T73)</f>
        <v>0</v>
      </c>
      <c r="U90" s="49">
        <f ca="1">SUM(Налоги!U72:U73)</f>
        <v>-3175451.0163839622</v>
      </c>
      <c r="V90" s="49">
        <f ca="1">SUM(Налоги!V72:V73)</f>
        <v>-3175451.0163839622</v>
      </c>
      <c r="W90" s="49">
        <f ca="1">SUM(Налоги!W72:W73)</f>
        <v>-3175451.0163839622</v>
      </c>
      <c r="X90" s="49">
        <f ca="1">SUM(Налоги!X72:X73)</f>
        <v>-3212604.5714673866</v>
      </c>
      <c r="Y90" s="49">
        <f ca="1">SUM(Налоги!Y72:Y73)</f>
        <v>-3212604.5714673866</v>
      </c>
      <c r="Z90" s="49">
        <f ca="1">SUM(Налоги!Z72:Z73)</f>
        <v>-3212604.5714673866</v>
      </c>
      <c r="AA90" s="49">
        <f ca="1">SUM(Налоги!AA72:AA73)</f>
        <v>-3250053.4591700421</v>
      </c>
      <c r="AB90" s="49">
        <f ca="1">SUM(Налоги!AB72:AB73)</f>
        <v>-3250053.4591700421</v>
      </c>
      <c r="AC90" s="49">
        <f ca="1">SUM(Налоги!AC72:AC73)</f>
        <v>-3250053.4591700421</v>
      </c>
      <c r="AD90" s="49">
        <f ca="1">SUM(Налоги!AD72:AD73)</f>
        <v>-3287588.2017555065</v>
      </c>
      <c r="AE90" s="49">
        <f ca="1">SUM(Налоги!AE72:AE73)</f>
        <v>-3287588.2017555065</v>
      </c>
      <c r="AF90" s="49">
        <f ca="1">SUM(Налоги!AF72:AF73)</f>
        <v>-3287588.2017555065</v>
      </c>
      <c r="AG90" s="49">
        <f ca="1">SUM(Налоги!AG72:AG73)</f>
        <v>-4113747.0852191322</v>
      </c>
      <c r="AH90" s="49">
        <f ca="1">SUM(Налоги!AH72:AH73)</f>
        <v>-4113747.0852191322</v>
      </c>
      <c r="AI90" s="49">
        <f ca="1">SUM(Налоги!AI72:AI73)</f>
        <v>-4113747.0852191322</v>
      </c>
      <c r="AJ90" s="49">
        <f ca="1">SUM(Налоги!AJ72:AJ73)</f>
        <v>-4612256.2916630059</v>
      </c>
      <c r="AK90" s="49">
        <f ca="1">SUM(Налоги!AK72:AK73)</f>
        <v>-4612256.2916630059</v>
      </c>
      <c r="AL90" s="49">
        <f ca="1">SUM(Налоги!AL72:AL73)</f>
        <v>-4612256.2916630059</v>
      </c>
      <c r="AM90" s="49">
        <f ca="1">SUM(Налоги!AM72:AM73)</f>
        <v>-5421620.6090419712</v>
      </c>
      <c r="AN90" s="49">
        <f ca="1">SUM(Налоги!AN72:AN73)</f>
        <v>-5421620.6090419712</v>
      </c>
      <c r="AO90" s="49">
        <f ca="1">SUM(Налоги!AO72:AO73)</f>
        <v>-5421620.6090419712</v>
      </c>
      <c r="AP90" s="49">
        <f ca="1">SUM(Налоги!AP72:AP73)</f>
        <v>-6732095.0342476889</v>
      </c>
      <c r="AQ90" s="49">
        <f ca="1">SUM(Налоги!AQ72:AQ73)</f>
        <v>-6732095.0342476889</v>
      </c>
      <c r="AR90" s="49">
        <f ca="1">SUM(Налоги!AR72:AR73)</f>
        <v>-6732095.0342476889</v>
      </c>
      <c r="AS90" s="49">
        <f ca="1">SUM(Налоги!AS72:AS73)</f>
        <v>-7771728.6632788396</v>
      </c>
      <c r="AT90" s="49">
        <f ca="1">SUM(Налоги!AT72:AT73)</f>
        <v>-7771728.6632788396</v>
      </c>
      <c r="AU90" s="49">
        <f ca="1">SUM(Налоги!AU72:AU73)</f>
        <v>-7771728.6632788396</v>
      </c>
      <c r="AV90" s="49">
        <f ca="1">SUM(Налоги!AV72:AV73)</f>
        <v>-8600083.7381856162</v>
      </c>
      <c r="AW90" s="49">
        <f ca="1">SUM(Налоги!AW72:AW73)</f>
        <v>-8600083.7381856162</v>
      </c>
      <c r="AX90" s="49">
        <f ca="1">SUM(Налоги!AX72:AX73)</f>
        <v>-8600083.7381856162</v>
      </c>
      <c r="AY90" s="49">
        <f ca="1">SUM(Налоги!AY72:AY73)</f>
        <v>-9585921.4676606171</v>
      </c>
      <c r="AZ90" s="49">
        <f ca="1">SUM(Налоги!AZ72:AZ73)</f>
        <v>-9585921.4676606171</v>
      </c>
      <c r="BA90" s="49">
        <f ca="1">SUM(Налоги!BA72:BA73)</f>
        <v>-9585921.4676606171</v>
      </c>
      <c r="BB90" s="49">
        <f ca="1">SUM(Налоги!BB72:BB73)</f>
        <v>-10750114.4440265</v>
      </c>
      <c r="BC90" s="49">
        <f ca="1">SUM(Налоги!BC72:BC73)</f>
        <v>-10750114.4440265</v>
      </c>
      <c r="BD90" s="49">
        <f ca="1">SUM(Налоги!BD72:BD73)</f>
        <v>-10750114.4440265</v>
      </c>
      <c r="BE90" s="49">
        <f ca="1">SUM(Налоги!BE72:BE73)</f>
        <v>-11263606.758456616</v>
      </c>
      <c r="BF90" s="49">
        <f ca="1">SUM(Налоги!BF72:BF73)</f>
        <v>-11263606.758456616</v>
      </c>
      <c r="BG90" s="49">
        <f ca="1">SUM(Налоги!BG72:BG73)</f>
        <v>-11263606.758456616</v>
      </c>
      <c r="BH90" s="49">
        <f ca="1">SUM(Налоги!BH72:BH73)</f>
        <v>-11399466.211798802</v>
      </c>
      <c r="BI90" s="49">
        <f ca="1">SUM(Налоги!BI72:BI73)</f>
        <v>-11399466.211798802</v>
      </c>
      <c r="BJ90" s="49">
        <f ca="1">SUM(Налоги!BJ72:BJ73)</f>
        <v>-11399466.211798802</v>
      </c>
      <c r="BK90" s="49">
        <f ca="1">SUM(Налоги!BK72:BK73)</f>
        <v>-11536460.284777185</v>
      </c>
      <c r="BL90" s="49">
        <f ca="1">SUM(Налоги!BL72:BL73)</f>
        <v>-11536460.284777185</v>
      </c>
      <c r="BM90" s="49">
        <f ca="1">SUM(Налоги!BM72:BM73)</f>
        <v>-11536460.284777185</v>
      </c>
      <c r="BN90" s="49">
        <f ca="1">SUM(Налоги!BN72:BN73)</f>
        <v>-11674336.116613217</v>
      </c>
      <c r="BO90" s="49">
        <f ca="1">SUM(Налоги!BO72:BO73)</f>
        <v>-11674336.116613217</v>
      </c>
      <c r="BP90" s="49">
        <f ca="1">SUM(Налоги!BP72:BP73)</f>
        <v>-11674336.116613217</v>
      </c>
      <c r="BQ90" s="49">
        <f ca="1">SUM(Налоги!BQ72:BQ73)</f>
        <v>-11813220.356154045</v>
      </c>
      <c r="BR90" s="49">
        <f ca="1">SUM(Налоги!BR72:BR73)</f>
        <v>-11813220.356154045</v>
      </c>
      <c r="BS90" s="49">
        <f ca="1">SUM(Налоги!BS72:BS73)</f>
        <v>-11813220.356154045</v>
      </c>
      <c r="BT90" s="49">
        <f ca="1">SUM(Налоги!BT72:BT73)</f>
        <v>-11955305.382532777</v>
      </c>
      <c r="BU90" s="49">
        <f ca="1">SUM(Налоги!BU72:BU73)</f>
        <v>-11955305.382532777</v>
      </c>
      <c r="BV90" s="49">
        <f ca="1">SUM(Налоги!BV72:BV73)</f>
        <v>-11955305.382532777</v>
      </c>
      <c r="BW90" s="49">
        <f ca="1">SUM(Налоги!BW72:BW73)</f>
        <v>-12098572.186310807</v>
      </c>
      <c r="BX90" s="49">
        <f ca="1">SUM(Налоги!BX72:BX73)</f>
        <v>-12098572.186310807</v>
      </c>
      <c r="BY90" s="49">
        <f ca="1">SUM(Налоги!BY72:BY73)</f>
        <v>-12098572.186310807</v>
      </c>
      <c r="BZ90" s="49">
        <f ca="1">SUM(Налоги!BZ72:BZ73)</f>
        <v>-12242219.559207564</v>
      </c>
      <c r="CA90" s="49">
        <f ca="1">SUM(Налоги!CA72:CA73)</f>
        <v>-12242219.559207564</v>
      </c>
      <c r="CB90" s="49">
        <f ca="1">SUM(Налоги!CB72:CB73)</f>
        <v>-12242219.559207564</v>
      </c>
      <c r="CC90" s="49">
        <f ca="1">SUM(Налоги!CC72:CC73)</f>
        <v>-12387712.570378358</v>
      </c>
      <c r="CD90" s="49">
        <f ca="1">SUM(Налоги!CD72:CD73)</f>
        <v>-12387712.570378358</v>
      </c>
      <c r="CE90" s="49">
        <f ca="1">SUM(Налоги!CE72:CE73)</f>
        <v>-12387712.570378358</v>
      </c>
      <c r="CF90" s="49">
        <f ca="1">SUM(Налоги!CF72:CF73)</f>
        <v>-12537105.2712021</v>
      </c>
      <c r="CG90" s="49">
        <f ca="1">SUM(Налоги!CG72:CG73)</f>
        <v>-12537105.2712021</v>
      </c>
      <c r="CH90" s="49">
        <f ca="1">SUM(Налоги!CH72:CH73)</f>
        <v>-12537105.2712021</v>
      </c>
      <c r="CI90" s="49">
        <f ca="1">SUM(Налоги!CI72:CI73)</f>
        <v>-12687745.279449493</v>
      </c>
      <c r="CJ90" s="49">
        <f ca="1">SUM(Налоги!CJ72:CJ73)</f>
        <v>-12687745.279449493</v>
      </c>
      <c r="CK90" s="49">
        <f ca="1">SUM(Налоги!CK72:CK73)</f>
        <v>-12687745.279449493</v>
      </c>
    </row>
    <row r="91" spans="2:89">
      <c r="B91" s="45" t="s">
        <v>29</v>
      </c>
      <c r="C91" s="46"/>
      <c r="D91" s="47">
        <f t="shared" ca="1" si="79"/>
        <v>0</v>
      </c>
      <c r="E91" s="48"/>
      <c r="F91" s="49">
        <f>Налоги!F100</f>
        <v>0</v>
      </c>
      <c r="G91" s="49">
        <f ca="1">Налоги!G100</f>
        <v>0</v>
      </c>
      <c r="H91" s="49">
        <f ca="1">Налоги!H100</f>
        <v>0</v>
      </c>
      <c r="I91" s="49">
        <f ca="1">Налоги!I100</f>
        <v>0</v>
      </c>
      <c r="J91" s="49">
        <f ca="1">Налоги!J100</f>
        <v>0</v>
      </c>
      <c r="K91" s="49">
        <f ca="1">Налоги!K100</f>
        <v>0</v>
      </c>
      <c r="L91" s="49">
        <f ca="1">Налоги!L100</f>
        <v>0</v>
      </c>
      <c r="M91" s="49">
        <f ca="1">Налоги!M100</f>
        <v>0</v>
      </c>
      <c r="N91" s="49">
        <f ca="1">Налоги!N100</f>
        <v>0</v>
      </c>
      <c r="O91" s="49">
        <f ca="1">Налоги!O100</f>
        <v>0</v>
      </c>
      <c r="P91" s="49">
        <f ca="1">Налоги!P100</f>
        <v>0</v>
      </c>
      <c r="Q91" s="49">
        <f ca="1">Налоги!Q100</f>
        <v>0</v>
      </c>
      <c r="R91" s="49">
        <f ca="1">Налоги!R100</f>
        <v>0</v>
      </c>
      <c r="S91" s="49">
        <f ca="1">Налоги!S100</f>
        <v>0</v>
      </c>
      <c r="T91" s="49">
        <f ca="1">Налоги!T100</f>
        <v>0</v>
      </c>
      <c r="U91" s="49">
        <f ca="1">Налоги!U100</f>
        <v>0</v>
      </c>
      <c r="V91" s="49">
        <f ca="1">Налоги!V100</f>
        <v>0</v>
      </c>
      <c r="W91" s="49">
        <f ca="1">Налоги!W100</f>
        <v>0</v>
      </c>
      <c r="X91" s="49">
        <f ca="1">Налоги!X100</f>
        <v>0</v>
      </c>
      <c r="Y91" s="49">
        <f ca="1">Налоги!Y100</f>
        <v>0</v>
      </c>
      <c r="Z91" s="49">
        <f ca="1">Налоги!Z100</f>
        <v>0</v>
      </c>
      <c r="AA91" s="49">
        <f ca="1">Налоги!AA100</f>
        <v>0</v>
      </c>
      <c r="AB91" s="49">
        <f ca="1">Налоги!AB100</f>
        <v>0</v>
      </c>
      <c r="AC91" s="49">
        <f ca="1">Налоги!AC100</f>
        <v>0</v>
      </c>
      <c r="AD91" s="49">
        <f ca="1">Налоги!AD100</f>
        <v>0</v>
      </c>
      <c r="AE91" s="49">
        <f ca="1">Налоги!AE100</f>
        <v>0</v>
      </c>
      <c r="AF91" s="49">
        <f ca="1">Налоги!AF100</f>
        <v>0</v>
      </c>
      <c r="AG91" s="49">
        <f ca="1">Налоги!AG100</f>
        <v>0</v>
      </c>
      <c r="AH91" s="49">
        <f ca="1">Налоги!AH100</f>
        <v>0</v>
      </c>
      <c r="AI91" s="49">
        <f ca="1">Налоги!AI100</f>
        <v>0</v>
      </c>
      <c r="AJ91" s="49">
        <f ca="1">Налоги!AJ100</f>
        <v>0</v>
      </c>
      <c r="AK91" s="49">
        <f ca="1">Налоги!AK100</f>
        <v>0</v>
      </c>
      <c r="AL91" s="49">
        <f ca="1">Налоги!AL100</f>
        <v>0</v>
      </c>
      <c r="AM91" s="49">
        <f ca="1">Налоги!AM100</f>
        <v>0</v>
      </c>
      <c r="AN91" s="49">
        <f ca="1">Налоги!AN100</f>
        <v>0</v>
      </c>
      <c r="AO91" s="49">
        <f ca="1">Налоги!AO100</f>
        <v>0</v>
      </c>
      <c r="AP91" s="49">
        <f ca="1">Налоги!AP100</f>
        <v>0</v>
      </c>
      <c r="AQ91" s="49">
        <f ca="1">Налоги!AQ100</f>
        <v>0</v>
      </c>
      <c r="AR91" s="49">
        <f ca="1">Налоги!AR100</f>
        <v>0</v>
      </c>
      <c r="AS91" s="49">
        <f ca="1">Налоги!AS100</f>
        <v>0</v>
      </c>
      <c r="AT91" s="49">
        <f ca="1">Налоги!AT100</f>
        <v>0</v>
      </c>
      <c r="AU91" s="49">
        <f ca="1">Налоги!AU100</f>
        <v>0</v>
      </c>
      <c r="AV91" s="49">
        <f ca="1">Налоги!AV100</f>
        <v>0</v>
      </c>
      <c r="AW91" s="49">
        <f ca="1">Налоги!AW100</f>
        <v>0</v>
      </c>
      <c r="AX91" s="49">
        <f ca="1">Налоги!AX100</f>
        <v>0</v>
      </c>
      <c r="AY91" s="49">
        <f ca="1">Налоги!AY100</f>
        <v>0</v>
      </c>
      <c r="AZ91" s="49">
        <f ca="1">Налоги!AZ100</f>
        <v>0</v>
      </c>
      <c r="BA91" s="49">
        <f ca="1">Налоги!BA100</f>
        <v>0</v>
      </c>
      <c r="BB91" s="49">
        <f ca="1">Налоги!BB100</f>
        <v>0</v>
      </c>
      <c r="BC91" s="49">
        <f ca="1">Налоги!BC100</f>
        <v>0</v>
      </c>
      <c r="BD91" s="49">
        <f ca="1">Налоги!BD100</f>
        <v>0</v>
      </c>
      <c r="BE91" s="49">
        <f ca="1">Налоги!BE100</f>
        <v>0</v>
      </c>
      <c r="BF91" s="49">
        <f ca="1">Налоги!BF100</f>
        <v>0</v>
      </c>
      <c r="BG91" s="49">
        <f ca="1">Налоги!BG100</f>
        <v>0</v>
      </c>
      <c r="BH91" s="49">
        <f ca="1">Налоги!BH100</f>
        <v>0</v>
      </c>
      <c r="BI91" s="49">
        <f ca="1">Налоги!BI100</f>
        <v>0</v>
      </c>
      <c r="BJ91" s="49">
        <f ca="1">Налоги!BJ100</f>
        <v>0</v>
      </c>
      <c r="BK91" s="49">
        <f ca="1">Налоги!BK100</f>
        <v>0</v>
      </c>
      <c r="BL91" s="49">
        <f ca="1">Налоги!BL100</f>
        <v>0</v>
      </c>
      <c r="BM91" s="49">
        <f ca="1">Налоги!BM100</f>
        <v>0</v>
      </c>
      <c r="BN91" s="49">
        <f ca="1">Налоги!BN100</f>
        <v>0</v>
      </c>
      <c r="BO91" s="49">
        <f ca="1">Налоги!BO100</f>
        <v>0</v>
      </c>
      <c r="BP91" s="49">
        <f ca="1">Налоги!BP100</f>
        <v>0</v>
      </c>
      <c r="BQ91" s="49">
        <f ca="1">Налоги!BQ100</f>
        <v>0</v>
      </c>
      <c r="BR91" s="49">
        <f ca="1">Налоги!BR100</f>
        <v>0</v>
      </c>
      <c r="BS91" s="49">
        <f ca="1">Налоги!BS100</f>
        <v>0</v>
      </c>
      <c r="BT91" s="49">
        <f ca="1">Налоги!BT100</f>
        <v>0</v>
      </c>
      <c r="BU91" s="49">
        <f ca="1">Налоги!BU100</f>
        <v>0</v>
      </c>
      <c r="BV91" s="49">
        <f ca="1">Налоги!BV100</f>
        <v>0</v>
      </c>
      <c r="BW91" s="49">
        <f ca="1">Налоги!BW100</f>
        <v>0</v>
      </c>
      <c r="BX91" s="49">
        <f ca="1">Налоги!BX100</f>
        <v>0</v>
      </c>
      <c r="BY91" s="49">
        <f ca="1">Налоги!BY100</f>
        <v>0</v>
      </c>
      <c r="BZ91" s="49">
        <f ca="1">Налоги!BZ100</f>
        <v>0</v>
      </c>
      <c r="CA91" s="49">
        <f ca="1">Налоги!CA100</f>
        <v>0</v>
      </c>
      <c r="CB91" s="49">
        <f ca="1">Налоги!CB100</f>
        <v>0</v>
      </c>
      <c r="CC91" s="49">
        <f ca="1">Налоги!CC100</f>
        <v>0</v>
      </c>
      <c r="CD91" s="49">
        <f ca="1">Налоги!CD100</f>
        <v>0</v>
      </c>
      <c r="CE91" s="49">
        <f ca="1">Налоги!CE100</f>
        <v>0</v>
      </c>
      <c r="CF91" s="49">
        <f ca="1">Налоги!CF100</f>
        <v>0</v>
      </c>
      <c r="CG91" s="49">
        <f ca="1">Налоги!CG100</f>
        <v>0</v>
      </c>
      <c r="CH91" s="49">
        <f ca="1">Налоги!CH100</f>
        <v>0</v>
      </c>
      <c r="CI91" s="49">
        <f ca="1">Налоги!CI100</f>
        <v>0</v>
      </c>
      <c r="CJ91" s="49">
        <f ca="1">Налоги!CJ100</f>
        <v>0</v>
      </c>
      <c r="CK91" s="49">
        <f ca="1">Налоги!CK100</f>
        <v>0</v>
      </c>
    </row>
    <row r="92" spans="2:89">
      <c r="B92" s="45" t="s">
        <v>717</v>
      </c>
      <c r="C92" s="46"/>
      <c r="D92" s="47">
        <f t="shared" ca="1" si="79"/>
        <v>-216511316.5038369</v>
      </c>
      <c r="E92" s="48"/>
      <c r="F92" s="49">
        <f>Налоги!F134</f>
        <v>0</v>
      </c>
      <c r="G92" s="49">
        <f ca="1">Налоги!G134</f>
        <v>0</v>
      </c>
      <c r="H92" s="49">
        <f ca="1">Налоги!H134</f>
        <v>0</v>
      </c>
      <c r="I92" s="49">
        <f ca="1">Налоги!I134</f>
        <v>0</v>
      </c>
      <c r="J92" s="49">
        <f ca="1">Налоги!J134</f>
        <v>0</v>
      </c>
      <c r="K92" s="49">
        <f ca="1">Налоги!K134</f>
        <v>0</v>
      </c>
      <c r="L92" s="49">
        <f ca="1">Налоги!L134</f>
        <v>0</v>
      </c>
      <c r="M92" s="49">
        <f ca="1">Налоги!M134</f>
        <v>0</v>
      </c>
      <c r="N92" s="49">
        <f ca="1">Налоги!N134</f>
        <v>0</v>
      </c>
      <c r="O92" s="49">
        <f ca="1">Налоги!O134</f>
        <v>0</v>
      </c>
      <c r="P92" s="49">
        <f ca="1">Налоги!P134</f>
        <v>0</v>
      </c>
      <c r="Q92" s="49">
        <f ca="1">Налоги!Q134</f>
        <v>0</v>
      </c>
      <c r="R92" s="49">
        <f ca="1">Налоги!R134</f>
        <v>0</v>
      </c>
      <c r="S92" s="49">
        <f ca="1">Налоги!S134</f>
        <v>0</v>
      </c>
      <c r="T92" s="49">
        <f ca="1">Налоги!T134</f>
        <v>0</v>
      </c>
      <c r="U92" s="49">
        <f ca="1">Налоги!U134</f>
        <v>0</v>
      </c>
      <c r="V92" s="49">
        <f ca="1">Налоги!V134</f>
        <v>0</v>
      </c>
      <c r="W92" s="49">
        <f ca="1">Налоги!W134</f>
        <v>0</v>
      </c>
      <c r="X92" s="49">
        <f ca="1">Налоги!X134</f>
        <v>0</v>
      </c>
      <c r="Y92" s="49">
        <f ca="1">Налоги!Y134</f>
        <v>0</v>
      </c>
      <c r="Z92" s="49">
        <f ca="1">Налоги!Z134</f>
        <v>0</v>
      </c>
      <c r="AA92" s="49">
        <f ca="1">Налоги!AA134</f>
        <v>0</v>
      </c>
      <c r="AB92" s="49">
        <f ca="1">Налоги!AB134</f>
        <v>0</v>
      </c>
      <c r="AC92" s="49">
        <f ca="1">Налоги!AC134</f>
        <v>0</v>
      </c>
      <c r="AD92" s="49">
        <f ca="1">Налоги!AD134</f>
        <v>0</v>
      </c>
      <c r="AE92" s="49">
        <f ca="1">Налоги!AE134</f>
        <v>0</v>
      </c>
      <c r="AF92" s="49">
        <f ca="1">Налоги!AF134</f>
        <v>0</v>
      </c>
      <c r="AG92" s="49">
        <f ca="1">Налоги!AG134</f>
        <v>0</v>
      </c>
      <c r="AH92" s="49">
        <f ca="1">Налоги!AH134</f>
        <v>0</v>
      </c>
      <c r="AI92" s="49">
        <f ca="1">Налоги!AI134</f>
        <v>0</v>
      </c>
      <c r="AJ92" s="49">
        <f ca="1">Налоги!AJ134</f>
        <v>0</v>
      </c>
      <c r="AK92" s="49">
        <f ca="1">Налоги!AK134</f>
        <v>0</v>
      </c>
      <c r="AL92" s="49">
        <f ca="1">Налоги!AL134</f>
        <v>0</v>
      </c>
      <c r="AM92" s="49">
        <f ca="1">Налоги!AM134</f>
        <v>-1003378.756460728</v>
      </c>
      <c r="AN92" s="49">
        <f ca="1">Налоги!AN134</f>
        <v>-1003378.7564607279</v>
      </c>
      <c r="AO92" s="49">
        <f ca="1">Налоги!AO134</f>
        <v>-1003378.7564607279</v>
      </c>
      <c r="AP92" s="49">
        <f ca="1">Налоги!AP134</f>
        <v>-1003378.7564607278</v>
      </c>
      <c r="AQ92" s="49">
        <f ca="1">Налоги!AQ134</f>
        <v>-1003378.7564607279</v>
      </c>
      <c r="AR92" s="49">
        <f ca="1">Налоги!AR134</f>
        <v>-1003378.7564607279</v>
      </c>
      <c r="AS92" s="49">
        <f ca="1">Налоги!AS134</f>
        <v>-2460182.0543331816</v>
      </c>
      <c r="AT92" s="49">
        <f ca="1">Налоги!AT134</f>
        <v>-2460182.0543331811</v>
      </c>
      <c r="AU92" s="49">
        <f ca="1">Налоги!AU134</f>
        <v>-2460182.0543331811</v>
      </c>
      <c r="AV92" s="49">
        <f ca="1">Налоги!AV134</f>
        <v>-2460182.0543331811</v>
      </c>
      <c r="AW92" s="49">
        <f ca="1">Налоги!AW134</f>
        <v>-2460182.0543331811</v>
      </c>
      <c r="AX92" s="49">
        <f ca="1">Налоги!AX134</f>
        <v>-2460182.0543331811</v>
      </c>
      <c r="AY92" s="49">
        <f ca="1">Налоги!AY134</f>
        <v>-3585682.1364198122</v>
      </c>
      <c r="AZ92" s="49">
        <f ca="1">Налоги!AZ134</f>
        <v>-3585682.1364198118</v>
      </c>
      <c r="BA92" s="49">
        <f ca="1">Налоги!BA134</f>
        <v>-3585682.1364198118</v>
      </c>
      <c r="BB92" s="49">
        <f ca="1">Налоги!BB134</f>
        <v>-3585682.1364198118</v>
      </c>
      <c r="BC92" s="49">
        <f ca="1">Налоги!BC134</f>
        <v>-3585682.1364198113</v>
      </c>
      <c r="BD92" s="49">
        <f ca="1">Налоги!BD134</f>
        <v>-3585682.1364198113</v>
      </c>
      <c r="BE92" s="49">
        <f ca="1">Налоги!BE134</f>
        <v>-4762353.552226617</v>
      </c>
      <c r="BF92" s="49">
        <f ca="1">Налоги!BF134</f>
        <v>-4762353.552226617</v>
      </c>
      <c r="BG92" s="49">
        <f ca="1">Налоги!BG134</f>
        <v>-4762353.552226617</v>
      </c>
      <c r="BH92" s="49">
        <f ca="1">Налоги!BH134</f>
        <v>-4762353.552226617</v>
      </c>
      <c r="BI92" s="49">
        <f ca="1">Налоги!BI134</f>
        <v>-4762353.5522266161</v>
      </c>
      <c r="BJ92" s="49">
        <f ca="1">Налоги!BJ134</f>
        <v>-4762353.5522266161</v>
      </c>
      <c r="BK92" s="49">
        <f ca="1">Налоги!BK134</f>
        <v>-5060561.5228217831</v>
      </c>
      <c r="BL92" s="49">
        <f ca="1">Налоги!BL134</f>
        <v>-5060561.5228217822</v>
      </c>
      <c r="BM92" s="49">
        <f ca="1">Налоги!BM134</f>
        <v>-5060561.5228217822</v>
      </c>
      <c r="BN92" s="49">
        <f ca="1">Налоги!BN134</f>
        <v>-5060561.5228217822</v>
      </c>
      <c r="BO92" s="49">
        <f ca="1">Налоги!BO134</f>
        <v>-5060561.5228217822</v>
      </c>
      <c r="BP92" s="49">
        <f ca="1">Налоги!BP134</f>
        <v>-5060561.5228217822</v>
      </c>
      <c r="BQ92" s="49">
        <f ca="1">Налоги!BQ134</f>
        <v>-5251922.4577812245</v>
      </c>
      <c r="BR92" s="49">
        <f ca="1">Налоги!BR134</f>
        <v>-5251922.4577812236</v>
      </c>
      <c r="BS92" s="49">
        <f ca="1">Налоги!BS134</f>
        <v>-5251922.4577812236</v>
      </c>
      <c r="BT92" s="49">
        <f ca="1">Налоги!BT134</f>
        <v>-5251922.4577812236</v>
      </c>
      <c r="BU92" s="49">
        <f ca="1">Налоги!BU134</f>
        <v>-5251922.4577812236</v>
      </c>
      <c r="BV92" s="49">
        <f ca="1">Налоги!BV134</f>
        <v>-5251922.4577812236</v>
      </c>
      <c r="BW92" s="49">
        <f ca="1">Налоги!BW134</f>
        <v>-5442600.736175146</v>
      </c>
      <c r="BX92" s="49">
        <f ca="1">Налоги!BX134</f>
        <v>-5442600.736175146</v>
      </c>
      <c r="BY92" s="49">
        <f ca="1">Налоги!BY134</f>
        <v>-5442600.736175146</v>
      </c>
      <c r="BZ92" s="49">
        <f ca="1">Налоги!BZ134</f>
        <v>-5442600.736175146</v>
      </c>
      <c r="CA92" s="49">
        <f ca="1">Налоги!CA134</f>
        <v>-5442600.736175146</v>
      </c>
      <c r="CB92" s="49">
        <f ca="1">Налоги!CB134</f>
        <v>-5442600.736175146</v>
      </c>
      <c r="CC92" s="49">
        <f ca="1">Налоги!CC134</f>
        <v>-5619934.5018519955</v>
      </c>
      <c r="CD92" s="49">
        <f ca="1">Налоги!CD134</f>
        <v>-5619934.5018519964</v>
      </c>
      <c r="CE92" s="49">
        <f ca="1">Налоги!CE134</f>
        <v>-5619934.5018519964</v>
      </c>
      <c r="CF92" s="49">
        <f ca="1">Налоги!CF134</f>
        <v>-5619934.5018519955</v>
      </c>
      <c r="CG92" s="49">
        <f ca="1">Налоги!CG134</f>
        <v>-5619934.5018519964</v>
      </c>
      <c r="CH92" s="49">
        <f ca="1">Налоги!CH134</f>
        <v>-5619934.5018519964</v>
      </c>
      <c r="CI92" s="49">
        <f ca="1">Налоги!CI134</f>
        <v>-5797207.3984712893</v>
      </c>
      <c r="CJ92" s="49">
        <f ca="1">Налоги!CJ134</f>
        <v>-5797207.3984712902</v>
      </c>
      <c r="CK92" s="49">
        <f ca="1">Налоги!CK134</f>
        <v>-5797207.3984712902</v>
      </c>
    </row>
    <row r="93" spans="2:89">
      <c r="B93" s="45" t="s">
        <v>30</v>
      </c>
      <c r="C93" s="46"/>
      <c r="D93" s="47">
        <f t="shared" ca="1" si="79"/>
        <v>-16467857.142857142</v>
      </c>
      <c r="E93" s="48"/>
      <c r="F93" s="49">
        <f ca="1">Налоги!F164</f>
        <v>0</v>
      </c>
      <c r="G93" s="49">
        <f ca="1">Налоги!G164</f>
        <v>0</v>
      </c>
      <c r="H93" s="49">
        <f ca="1">Налоги!H164</f>
        <v>0</v>
      </c>
      <c r="I93" s="49">
        <f ca="1">Налоги!I164</f>
        <v>0</v>
      </c>
      <c r="J93" s="49">
        <f ca="1">Налоги!J164</f>
        <v>0</v>
      </c>
      <c r="K93" s="49">
        <f ca="1">Налоги!K164</f>
        <v>0</v>
      </c>
      <c r="L93" s="49">
        <f ca="1">Налоги!L164</f>
        <v>0</v>
      </c>
      <c r="M93" s="49">
        <f ca="1">Налоги!M164</f>
        <v>0</v>
      </c>
      <c r="N93" s="49">
        <f ca="1">Налоги!N164</f>
        <v>0</v>
      </c>
      <c r="O93" s="49">
        <f ca="1">Налоги!O164</f>
        <v>0</v>
      </c>
      <c r="P93" s="49">
        <f ca="1">Налоги!P164</f>
        <v>0</v>
      </c>
      <c r="Q93" s="49">
        <f ca="1">Налоги!Q164</f>
        <v>0</v>
      </c>
      <c r="R93" s="49">
        <f ca="1">Налоги!R164</f>
        <v>0</v>
      </c>
      <c r="S93" s="49">
        <f ca="1">Налоги!S164</f>
        <v>0</v>
      </c>
      <c r="T93" s="49">
        <f ca="1">Налоги!T164</f>
        <v>0</v>
      </c>
      <c r="U93" s="49">
        <f ca="1">Налоги!U164</f>
        <v>-1898809.5238095236</v>
      </c>
      <c r="V93" s="49">
        <f ca="1">Налоги!V164</f>
        <v>-1898809.5238095236</v>
      </c>
      <c r="W93" s="49">
        <f ca="1">Налоги!W164</f>
        <v>-1898809.5238095236</v>
      </c>
      <c r="X93" s="49">
        <f ca="1">Налоги!X164</f>
        <v>-1829761.9047619046</v>
      </c>
      <c r="Y93" s="49">
        <f ca="1">Налоги!Y164</f>
        <v>-1829761.9047619046</v>
      </c>
      <c r="Z93" s="49">
        <f ca="1">Налоги!Z164</f>
        <v>-1829761.9047619046</v>
      </c>
      <c r="AA93" s="49">
        <f ca="1">Налоги!AA164</f>
        <v>-1760714.2857142854</v>
      </c>
      <c r="AB93" s="49">
        <f ca="1">Налоги!AB164</f>
        <v>-1760714.2857142854</v>
      </c>
      <c r="AC93" s="49">
        <f ca="1">Налоги!AC164</f>
        <v>-1760714.2857142854</v>
      </c>
      <c r="AD93" s="49">
        <f ca="1">Налоги!AD164</f>
        <v>0</v>
      </c>
      <c r="AE93" s="49">
        <f ca="1">Налоги!AE164</f>
        <v>0</v>
      </c>
      <c r="AF93" s="49">
        <f ca="1">Налоги!AF164</f>
        <v>0</v>
      </c>
      <c r="AG93" s="49">
        <f ca="1">Налоги!AG164</f>
        <v>0</v>
      </c>
      <c r="AH93" s="49">
        <f ca="1">Налоги!AH164</f>
        <v>0</v>
      </c>
      <c r="AI93" s="49">
        <f ca="1">Налоги!AI164</f>
        <v>0</v>
      </c>
      <c r="AJ93" s="49">
        <f ca="1">Налоги!AJ164</f>
        <v>0</v>
      </c>
      <c r="AK93" s="49">
        <f ca="1">Налоги!AK164</f>
        <v>0</v>
      </c>
      <c r="AL93" s="49">
        <f ca="1">Налоги!AL164</f>
        <v>0</v>
      </c>
      <c r="AM93" s="49">
        <f ca="1">Налоги!AM164</f>
        <v>0</v>
      </c>
      <c r="AN93" s="49">
        <f ca="1">Налоги!AN164</f>
        <v>0</v>
      </c>
      <c r="AO93" s="49">
        <f ca="1">Налоги!AO164</f>
        <v>0</v>
      </c>
      <c r="AP93" s="49">
        <f ca="1">Налоги!AP164</f>
        <v>0</v>
      </c>
      <c r="AQ93" s="49">
        <f ca="1">Налоги!AQ164</f>
        <v>0</v>
      </c>
      <c r="AR93" s="49">
        <f ca="1">Налоги!AR164</f>
        <v>0</v>
      </c>
      <c r="AS93" s="49">
        <f ca="1">Налоги!AS164</f>
        <v>0</v>
      </c>
      <c r="AT93" s="49">
        <f ca="1">Налоги!AT164</f>
        <v>0</v>
      </c>
      <c r="AU93" s="49">
        <f ca="1">Налоги!AU164</f>
        <v>0</v>
      </c>
      <c r="AV93" s="49">
        <f ca="1">Налоги!AV164</f>
        <v>0</v>
      </c>
      <c r="AW93" s="49">
        <f ca="1">Налоги!AW164</f>
        <v>0</v>
      </c>
      <c r="AX93" s="49">
        <f ca="1">Налоги!AX164</f>
        <v>0</v>
      </c>
      <c r="AY93" s="49">
        <f ca="1">Налоги!AY164</f>
        <v>0</v>
      </c>
      <c r="AZ93" s="49">
        <f ca="1">Налоги!AZ164</f>
        <v>0</v>
      </c>
      <c r="BA93" s="49">
        <f ca="1">Налоги!BA164</f>
        <v>0</v>
      </c>
      <c r="BB93" s="49">
        <f ca="1">Налоги!BB164</f>
        <v>0</v>
      </c>
      <c r="BC93" s="49">
        <f ca="1">Налоги!BC164</f>
        <v>0</v>
      </c>
      <c r="BD93" s="49">
        <f ca="1">Налоги!BD164</f>
        <v>0</v>
      </c>
      <c r="BE93" s="49">
        <f ca="1">Налоги!BE164</f>
        <v>0</v>
      </c>
      <c r="BF93" s="49">
        <f ca="1">Налоги!BF164</f>
        <v>0</v>
      </c>
      <c r="BG93" s="49">
        <f ca="1">Налоги!BG164</f>
        <v>0</v>
      </c>
      <c r="BH93" s="49">
        <f ca="1">Налоги!BH164</f>
        <v>0</v>
      </c>
      <c r="BI93" s="49">
        <f ca="1">Налоги!BI164</f>
        <v>0</v>
      </c>
      <c r="BJ93" s="49">
        <f ca="1">Налоги!BJ164</f>
        <v>0</v>
      </c>
      <c r="BK93" s="49">
        <f ca="1">Налоги!BK164</f>
        <v>0</v>
      </c>
      <c r="BL93" s="49">
        <f ca="1">Налоги!BL164</f>
        <v>0</v>
      </c>
      <c r="BM93" s="49">
        <f ca="1">Налоги!BM164</f>
        <v>0</v>
      </c>
      <c r="BN93" s="49">
        <f ca="1">Налоги!BN164</f>
        <v>0</v>
      </c>
      <c r="BO93" s="49">
        <f ca="1">Налоги!BO164</f>
        <v>0</v>
      </c>
      <c r="BP93" s="49">
        <f ca="1">Налоги!BP164</f>
        <v>0</v>
      </c>
      <c r="BQ93" s="49">
        <f ca="1">Налоги!BQ164</f>
        <v>0</v>
      </c>
      <c r="BR93" s="49">
        <f ca="1">Налоги!BR164</f>
        <v>0</v>
      </c>
      <c r="BS93" s="49">
        <f ca="1">Налоги!BS164</f>
        <v>0</v>
      </c>
      <c r="BT93" s="49">
        <f ca="1">Налоги!BT164</f>
        <v>0</v>
      </c>
      <c r="BU93" s="49">
        <f ca="1">Налоги!BU164</f>
        <v>0</v>
      </c>
      <c r="BV93" s="49">
        <f ca="1">Налоги!BV164</f>
        <v>0</v>
      </c>
      <c r="BW93" s="49">
        <f ca="1">Налоги!BW164</f>
        <v>0</v>
      </c>
      <c r="BX93" s="49">
        <f ca="1">Налоги!BX164</f>
        <v>0</v>
      </c>
      <c r="BY93" s="49">
        <f ca="1">Налоги!BY164</f>
        <v>0</v>
      </c>
      <c r="BZ93" s="49">
        <f ca="1">Налоги!BZ164</f>
        <v>0</v>
      </c>
      <c r="CA93" s="49">
        <f ca="1">Налоги!CA164</f>
        <v>0</v>
      </c>
      <c r="CB93" s="49">
        <f ca="1">Налоги!CB164</f>
        <v>0</v>
      </c>
      <c r="CC93" s="49">
        <f ca="1">Налоги!CC164</f>
        <v>0</v>
      </c>
      <c r="CD93" s="49">
        <f ca="1">Налоги!CD164</f>
        <v>0</v>
      </c>
      <c r="CE93" s="49">
        <f ca="1">Налоги!CE164</f>
        <v>0</v>
      </c>
      <c r="CF93" s="49">
        <f ca="1">Налоги!CF164</f>
        <v>0</v>
      </c>
      <c r="CG93" s="49">
        <f ca="1">Налоги!CG164</f>
        <v>0</v>
      </c>
      <c r="CH93" s="49">
        <f ca="1">Налоги!CH164</f>
        <v>0</v>
      </c>
      <c r="CI93" s="49">
        <f ca="1">Налоги!CI164</f>
        <v>0</v>
      </c>
      <c r="CJ93" s="49">
        <f ca="1">Налоги!CJ164</f>
        <v>0</v>
      </c>
      <c r="CK93" s="49">
        <f ca="1">Налоги!CK164</f>
        <v>0</v>
      </c>
    </row>
    <row r="94" spans="2:89">
      <c r="B94" s="45" t="s">
        <v>139</v>
      </c>
      <c r="C94" s="46"/>
      <c r="D94" s="47">
        <f t="shared" ca="1" si="79"/>
        <v>-241945152.19563887</v>
      </c>
      <c r="E94" s="48"/>
      <c r="F94" s="49">
        <f ca="1">Операции!F364</f>
        <v>0</v>
      </c>
      <c r="G94" s="49">
        <f ca="1">Операции!G364</f>
        <v>0</v>
      </c>
      <c r="H94" s="49">
        <f ca="1">Операции!H364</f>
        <v>0</v>
      </c>
      <c r="I94" s="49">
        <f ca="1">Операции!I364</f>
        <v>0</v>
      </c>
      <c r="J94" s="49">
        <f ca="1">Операции!J364</f>
        <v>0</v>
      </c>
      <c r="K94" s="49">
        <f ca="1">Операции!K364</f>
        <v>0</v>
      </c>
      <c r="L94" s="49">
        <f ca="1">Операции!L364</f>
        <v>0</v>
      </c>
      <c r="M94" s="49">
        <f ca="1">Операции!M364</f>
        <v>0</v>
      </c>
      <c r="N94" s="49">
        <f ca="1">Операции!N364</f>
        <v>0</v>
      </c>
      <c r="O94" s="49">
        <f ca="1">Операции!O364</f>
        <v>0</v>
      </c>
      <c r="P94" s="49">
        <f ca="1">Операции!P364</f>
        <v>0</v>
      </c>
      <c r="Q94" s="49">
        <f ca="1">Операции!Q364</f>
        <v>0</v>
      </c>
      <c r="R94" s="49">
        <f ca="1">Операции!R364</f>
        <v>0</v>
      </c>
      <c r="S94" s="49">
        <f ca="1">Операции!S364</f>
        <v>-2692689.1301989723</v>
      </c>
      <c r="T94" s="49">
        <f ca="1">Операции!T364</f>
        <v>-2701649.0447687423</v>
      </c>
      <c r="U94" s="49">
        <f ca="1">Операции!U364</f>
        <v>-2710348.31580375</v>
      </c>
      <c r="V94" s="49">
        <f ca="1">Операции!V364</f>
        <v>-2719366.9912578021</v>
      </c>
      <c r="W94" s="49">
        <f ca="1">Операции!W364</f>
        <v>-2728415.6763259228</v>
      </c>
      <c r="X94" s="49">
        <f ca="1">Операции!X364</f>
        <v>-2737201.1355292499</v>
      </c>
      <c r="Y94" s="49">
        <f ca="1">Операции!Y364</f>
        <v>-2746309.1636560634</v>
      </c>
      <c r="Z94" s="49">
        <f ca="1">Операции!Z364</f>
        <v>-2755152.2396310233</v>
      </c>
      <c r="AA94" s="49">
        <f ca="1">Операции!AA364</f>
        <v>-2764319.9999999967</v>
      </c>
      <c r="AB94" s="49">
        <f ca="1">Операции!AB364</f>
        <v>-2773543.5087876758</v>
      </c>
      <c r="AC94" s="49">
        <f ca="1">Операции!AC364</f>
        <v>-2781900.8692378663</v>
      </c>
      <c r="AD94" s="49">
        <f ca="1">Операции!AD364</f>
        <v>-2791183.0388542153</v>
      </c>
      <c r="AE94" s="49">
        <f ca="1">Операции!AE364</f>
        <v>-3217380.1197865405</v>
      </c>
      <c r="AF94" s="49">
        <f ca="1">Операции!AF364</f>
        <v>-3228115.3218645034</v>
      </c>
      <c r="AG94" s="49">
        <f ca="1">Операции!AG364</f>
        <v>-3238538.3307001502</v>
      </c>
      <c r="AH94" s="49">
        <f ca="1">Операции!AH364</f>
        <v>-3249344.1298668338</v>
      </c>
      <c r="AI94" s="49">
        <f ca="1">Операции!AI364</f>
        <v>-3260185.9839705629</v>
      </c>
      <c r="AJ94" s="49">
        <f ca="1">Операции!AJ364</f>
        <v>-3270712.5432562912</v>
      </c>
      <c r="AK94" s="49">
        <f ca="1">Операции!AK364</f>
        <v>-3281625.6958163041</v>
      </c>
      <c r="AL94" s="49">
        <f ca="1">Операции!AL364</f>
        <v>-3292221.4801091105</v>
      </c>
      <c r="AM94" s="49">
        <f ca="1">Операции!AM364</f>
        <v>-3303206.3999999953</v>
      </c>
      <c r="AN94" s="49">
        <f ca="1">Операции!AN364</f>
        <v>-3314227.9724872322</v>
      </c>
      <c r="AO94" s="49">
        <f ca="1">Операции!AO364</f>
        <v>-3324214.5465908721</v>
      </c>
      <c r="AP94" s="49">
        <f ca="1">Операции!AP364</f>
        <v>-3335306.2154579395</v>
      </c>
      <c r="AQ94" s="49">
        <f ca="1">Операции!AQ364</f>
        <v>-3346075.3245780016</v>
      </c>
      <c r="AR94" s="49">
        <f ca="1">Операции!AR364</f>
        <v>-3357239.9347390835</v>
      </c>
      <c r="AS94" s="49">
        <f ca="1">Операции!AS364</f>
        <v>-3368079.8639281555</v>
      </c>
      <c r="AT94" s="49">
        <f ca="1">Операции!AT364</f>
        <v>-3379317.8950615069</v>
      </c>
      <c r="AU94" s="49">
        <f ca="1">Операции!AU364</f>
        <v>-3390593.4233293841</v>
      </c>
      <c r="AV94" s="49">
        <f ca="1">Операции!AV364</f>
        <v>-3401541.0449865423</v>
      </c>
      <c r="AW94" s="49">
        <f ca="1">Операции!AW364</f>
        <v>-3412890.723648956</v>
      </c>
      <c r="AX94" s="49">
        <f ca="1">Операции!AX364</f>
        <v>-3423910.3393134731</v>
      </c>
      <c r="AY94" s="49">
        <f ca="1">Операции!AY364</f>
        <v>-3435334.6559999939</v>
      </c>
      <c r="AZ94" s="49">
        <f ca="1">Операции!AZ364</f>
        <v>-3446797.0913867205</v>
      </c>
      <c r="BA94" s="49">
        <f ca="1">Операции!BA364</f>
        <v>-3457183.1284545055</v>
      </c>
      <c r="BB94" s="49">
        <f ca="1">Операции!BB364</f>
        <v>-3468718.4640762554</v>
      </c>
      <c r="BC94" s="49">
        <f ca="1">Операции!BC364</f>
        <v>-3479918.3375611203</v>
      </c>
      <c r="BD94" s="49">
        <f ca="1">Операции!BD364</f>
        <v>-3491529.5321286451</v>
      </c>
      <c r="BE94" s="49">
        <f ca="1">Операции!BE364</f>
        <v>-3502803.0584852798</v>
      </c>
      <c r="BF94" s="49">
        <f ca="1">Операции!BF364</f>
        <v>-3514490.610863965</v>
      </c>
      <c r="BG94" s="49">
        <f ca="1">Операции!BG364</f>
        <v>-3526217.1602625581</v>
      </c>
      <c r="BH94" s="49">
        <f ca="1">Операции!BH364</f>
        <v>-3537602.686786002</v>
      </c>
      <c r="BI94" s="49">
        <f ca="1">Операции!BI364</f>
        <v>-3549406.3525949134</v>
      </c>
      <c r="BJ94" s="49">
        <f ca="1">Операции!BJ364</f>
        <v>-3560866.7528860113</v>
      </c>
      <c r="BK94" s="49">
        <f ca="1">Операции!BK364</f>
        <v>-3572748.0422399929</v>
      </c>
      <c r="BL94" s="49">
        <f ca="1">Операции!BL364</f>
        <v>-3584636.3500579172</v>
      </c>
      <c r="BM94" s="49">
        <f ca="1">Операции!BM364</f>
        <v>-3595793.4801250892</v>
      </c>
      <c r="BN94" s="49">
        <f ca="1">Операции!BN364</f>
        <v>-3607758.4715647344</v>
      </c>
      <c r="BO94" s="49">
        <f ca="1">Операции!BO364</f>
        <v>-3619375.4019109439</v>
      </c>
      <c r="BP94" s="49">
        <f ca="1">Операции!BP364</f>
        <v>-3631418.8621207951</v>
      </c>
      <c r="BQ94" s="49">
        <f ca="1">Операции!BQ364</f>
        <v>-3643111.9785840139</v>
      </c>
      <c r="BR94" s="49">
        <f ca="1">Операции!BR364</f>
        <v>-3655234.4221777194</v>
      </c>
      <c r="BS94" s="49">
        <f ca="1">Операции!BS364</f>
        <v>-3667397.2031641649</v>
      </c>
      <c r="BT94" s="49">
        <f ca="1">Операции!BT364</f>
        <v>-3679206.1693676501</v>
      </c>
      <c r="BU94" s="49">
        <f ca="1">Операции!BU364</f>
        <v>-3691448.7162671015</v>
      </c>
      <c r="BV94" s="49">
        <f ca="1">Операции!BV364</f>
        <v>-3703335.1279965662</v>
      </c>
      <c r="BW94" s="49">
        <f ca="1">Операции!BW364</f>
        <v>-3715657.9639295898</v>
      </c>
      <c r="BX94" s="49">
        <f ca="1">Операции!BX364</f>
        <v>-3728055.7340438729</v>
      </c>
      <c r="BY94" s="49">
        <f ca="1">Операции!BY364</f>
        <v>-3739289.2717363895</v>
      </c>
      <c r="BZ94" s="49">
        <f ca="1">Операции!BZ364</f>
        <v>-3751765.8907448743</v>
      </c>
      <c r="CA94" s="49">
        <f ca="1">Операции!CA364</f>
        <v>-3763879.6739061046</v>
      </c>
      <c r="CB94" s="49">
        <f ca="1">Операции!CB364</f>
        <v>-3776438.3419503393</v>
      </c>
      <c r="CC94" s="49">
        <f ca="1">Операции!CC364</f>
        <v>-3788631.7880576761</v>
      </c>
      <c r="CD94" s="49">
        <f ca="1">Операции!CD364</f>
        <v>-3801273.044710462</v>
      </c>
      <c r="CE94" s="49">
        <f ca="1">Операции!CE364</f>
        <v>-3813956.4805399794</v>
      </c>
      <c r="CF94" s="49">
        <f ca="1">Операции!CF364</f>
        <v>-3826271.0660277368</v>
      </c>
      <c r="CG94" s="49">
        <f ca="1">Операции!CG364</f>
        <v>-3839037.9109666538</v>
      </c>
      <c r="CH94" s="49">
        <f ca="1">Операции!CH364</f>
        <v>-3851433.4799215063</v>
      </c>
      <c r="CI94" s="49">
        <f ca="1">Операции!CI364</f>
        <v>-3864284.2824867731</v>
      </c>
      <c r="CJ94" s="49">
        <f ca="1">Операции!CJ364</f>
        <v>-3877177.9634056264</v>
      </c>
      <c r="CK94" s="49">
        <f ca="1">Операции!CK364</f>
        <v>-3888860.8426058446</v>
      </c>
    </row>
    <row r="95" spans="2:89" ht="15.75" thickBot="1">
      <c r="B95" s="45" t="s">
        <v>53</v>
      </c>
      <c r="C95" s="46"/>
      <c r="D95" s="47">
        <f t="shared" ca="1" si="79"/>
        <v>-104842899.28477685</v>
      </c>
      <c r="E95" s="48"/>
      <c r="F95" s="49">
        <f ca="1">Операции!F384</f>
        <v>0</v>
      </c>
      <c r="G95" s="49">
        <f ca="1">Операции!G384</f>
        <v>0</v>
      </c>
      <c r="H95" s="49">
        <f ca="1">Операции!H384</f>
        <v>0</v>
      </c>
      <c r="I95" s="49">
        <f ca="1">Операции!I384</f>
        <v>0</v>
      </c>
      <c r="J95" s="49">
        <f ca="1">Операции!J384</f>
        <v>0</v>
      </c>
      <c r="K95" s="49">
        <f ca="1">Операции!K384</f>
        <v>0</v>
      </c>
      <c r="L95" s="49">
        <f ca="1">Операции!L384</f>
        <v>0</v>
      </c>
      <c r="M95" s="49">
        <f ca="1">Операции!M384</f>
        <v>0</v>
      </c>
      <c r="N95" s="49">
        <f ca="1">Операции!N384</f>
        <v>0</v>
      </c>
      <c r="O95" s="49">
        <f ca="1">Операции!O384</f>
        <v>0</v>
      </c>
      <c r="P95" s="49">
        <f ca="1">Операции!P384</f>
        <v>0</v>
      </c>
      <c r="Q95" s="49">
        <f ca="1">Операции!Q384</f>
        <v>0</v>
      </c>
      <c r="R95" s="49">
        <f ca="1">Операции!R384</f>
        <v>0</v>
      </c>
      <c r="S95" s="49">
        <f ca="1">Операции!S384</f>
        <v>-1166831.956419555</v>
      </c>
      <c r="T95" s="49">
        <f ca="1">Операции!T384</f>
        <v>-1170714.5860664551</v>
      </c>
      <c r="U95" s="49">
        <f ca="1">Операции!U384</f>
        <v>-1174484.2701816249</v>
      </c>
      <c r="V95" s="49">
        <f ca="1">Операции!V384</f>
        <v>-1178392.3628783813</v>
      </c>
      <c r="W95" s="49">
        <f ca="1">Операции!W384</f>
        <v>-1182313.4597412334</v>
      </c>
      <c r="X95" s="49">
        <f ca="1">Операции!X384</f>
        <v>-1186120.4920626748</v>
      </c>
      <c r="Y95" s="49">
        <f ca="1">Операции!Y384</f>
        <v>-1190067.3042509607</v>
      </c>
      <c r="Z95" s="49">
        <f ca="1">Операции!Z384</f>
        <v>-1193899.3038401103</v>
      </c>
      <c r="AA95" s="49">
        <f ca="1">Операции!AA384</f>
        <v>-1197871.9999999986</v>
      </c>
      <c r="AB95" s="49">
        <f ca="1">Операции!AB384</f>
        <v>-1201868.8538079928</v>
      </c>
      <c r="AC95" s="49">
        <f ca="1">Операции!AC384</f>
        <v>-1205490.3766697419</v>
      </c>
      <c r="AD95" s="49">
        <f ca="1">Операции!AD384</f>
        <v>-1209512.6501701602</v>
      </c>
      <c r="AE95" s="49">
        <f ca="1">Операции!AE384</f>
        <v>-1394198.051907501</v>
      </c>
      <c r="AF95" s="49">
        <f ca="1">Операции!AF384</f>
        <v>-1398849.9728079515</v>
      </c>
      <c r="AG95" s="49">
        <f ca="1">Операции!AG384</f>
        <v>-1403366.6099700653</v>
      </c>
      <c r="AH95" s="49">
        <f ca="1">Операции!AH384</f>
        <v>-1408049.1229422949</v>
      </c>
      <c r="AI95" s="49">
        <f ca="1">Операции!AI384</f>
        <v>-1412747.2597205774</v>
      </c>
      <c r="AJ95" s="49">
        <f ca="1">Операции!AJ384</f>
        <v>-1417308.768744393</v>
      </c>
      <c r="AK95" s="49">
        <f ca="1">Операции!AK384</f>
        <v>-1422037.8015203988</v>
      </c>
      <c r="AL95" s="49">
        <f ca="1">Операции!AL384</f>
        <v>-1426629.3080472813</v>
      </c>
      <c r="AM95" s="49">
        <f ca="1">Операции!AM384</f>
        <v>-1431389.4399999981</v>
      </c>
      <c r="AN95" s="49">
        <f ca="1">Операции!AN384</f>
        <v>-1436165.4547444673</v>
      </c>
      <c r="AO95" s="49">
        <f ca="1">Операции!AO384</f>
        <v>-1440492.9701893779</v>
      </c>
      <c r="AP95" s="49">
        <f ca="1">Операции!AP384</f>
        <v>-1445299.3600317738</v>
      </c>
      <c r="AQ95" s="49">
        <f ca="1">Операции!AQ384</f>
        <v>-1449965.973983801</v>
      </c>
      <c r="AR95" s="49">
        <f ca="1">Операции!AR384</f>
        <v>-1454803.9717202694</v>
      </c>
      <c r="AS95" s="49">
        <f ca="1">Операции!AS384</f>
        <v>-1459501.2743688675</v>
      </c>
      <c r="AT95" s="49">
        <f ca="1">Операции!AT384</f>
        <v>-1464371.0878599866</v>
      </c>
      <c r="AU95" s="49">
        <f ca="1">Операции!AU384</f>
        <v>-1469257.1501093998</v>
      </c>
      <c r="AV95" s="49">
        <f ca="1">Операции!AV384</f>
        <v>-1474001.1194941683</v>
      </c>
      <c r="AW95" s="49">
        <f ca="1">Операции!AW384</f>
        <v>-1478919.3135812145</v>
      </c>
      <c r="AX95" s="49">
        <f ca="1">Операции!AX384</f>
        <v>-1483694.4803691718</v>
      </c>
      <c r="AY95" s="49">
        <f ca="1">Операции!AY384</f>
        <v>-1488645.0175999973</v>
      </c>
      <c r="AZ95" s="49">
        <f ca="1">Операции!AZ384</f>
        <v>-1493612.0729342455</v>
      </c>
      <c r="BA95" s="49">
        <f ca="1">Операции!BA384</f>
        <v>-1498112.6889969525</v>
      </c>
      <c r="BB95" s="49">
        <f ca="1">Операции!BB384</f>
        <v>-1503111.3344330441</v>
      </c>
      <c r="BC95" s="49">
        <f ca="1">Операции!BC384</f>
        <v>-1507964.6129431522</v>
      </c>
      <c r="BD95" s="49">
        <f ca="1">Операции!BD384</f>
        <v>-1512996.1305890796</v>
      </c>
      <c r="BE95" s="49">
        <f ca="1">Операции!BE384</f>
        <v>-1517881.3253436217</v>
      </c>
      <c r="BF95" s="49">
        <f ca="1">Операции!BF384</f>
        <v>-1522945.931374385</v>
      </c>
      <c r="BG95" s="49">
        <f ca="1">Операции!BG384</f>
        <v>-1528027.4361137752</v>
      </c>
      <c r="BH95" s="49">
        <f ca="1">Операции!BH384</f>
        <v>-1532961.1642739344</v>
      </c>
      <c r="BI95" s="49">
        <f ca="1">Операции!BI384</f>
        <v>-1538076.0861244625</v>
      </c>
      <c r="BJ95" s="49">
        <f ca="1">Операции!BJ384</f>
        <v>-1543042.2595839384</v>
      </c>
      <c r="BK95" s="49">
        <f ca="1">Операции!BK384</f>
        <v>-1548190.8183039972</v>
      </c>
      <c r="BL95" s="49">
        <f ca="1">Операции!BL384</f>
        <v>-1553342.418358431</v>
      </c>
      <c r="BM95" s="49">
        <f ca="1">Операции!BM384</f>
        <v>-1558177.1747208722</v>
      </c>
      <c r="BN95" s="49">
        <f ca="1">Операции!BN384</f>
        <v>-1563362.0043447183</v>
      </c>
      <c r="BO95" s="49">
        <f ca="1">Операции!BO384</f>
        <v>-1568396.0074947427</v>
      </c>
      <c r="BP95" s="49">
        <f ca="1">Операции!BP384</f>
        <v>-1573614.8402523447</v>
      </c>
      <c r="BQ95" s="49">
        <f ca="1">Операции!BQ384</f>
        <v>-1578681.8573864063</v>
      </c>
      <c r="BR95" s="49">
        <f ca="1">Операции!BR384</f>
        <v>-1583934.9162770116</v>
      </c>
      <c r="BS95" s="49">
        <f ca="1">Операции!BS384</f>
        <v>-1589205.4547044716</v>
      </c>
      <c r="BT95" s="49">
        <f ca="1">Операции!BT384</f>
        <v>-1594322.6733926486</v>
      </c>
      <c r="BU95" s="49">
        <f ca="1">Операции!BU384</f>
        <v>-1599627.7770490774</v>
      </c>
      <c r="BV95" s="49">
        <f ca="1">Операции!BV384</f>
        <v>-1604778.5554651788</v>
      </c>
      <c r="BW95" s="49">
        <f ca="1">Операции!BW384</f>
        <v>-1610118.4510361559</v>
      </c>
      <c r="BX95" s="49">
        <f ca="1">Операции!BX384</f>
        <v>-1615490.8180856786</v>
      </c>
      <c r="BY95" s="49">
        <f ca="1">Операции!BY384</f>
        <v>-1620358.6844191025</v>
      </c>
      <c r="BZ95" s="49">
        <f ca="1">Операции!BZ384</f>
        <v>-1625765.2193227792</v>
      </c>
      <c r="CA95" s="49">
        <f ca="1">Операции!CA384</f>
        <v>-1631014.5253593121</v>
      </c>
      <c r="CB95" s="49">
        <f ca="1">Операции!CB384</f>
        <v>-1636456.6148451471</v>
      </c>
      <c r="CC95" s="49">
        <f ca="1">Операции!CC384</f>
        <v>-1641740.4414916597</v>
      </c>
      <c r="CD95" s="49">
        <f ca="1">Операции!CD384</f>
        <v>-1647218.3193745336</v>
      </c>
      <c r="CE95" s="49">
        <f ca="1">Операции!CE384</f>
        <v>-1652714.4749006578</v>
      </c>
      <c r="CF95" s="49">
        <f ca="1">Операции!CF384</f>
        <v>-1658050.7952786859</v>
      </c>
      <c r="CG95" s="49">
        <f ca="1">Операции!CG384</f>
        <v>-1663583.0947522169</v>
      </c>
      <c r="CH95" s="49">
        <f ca="1">Операции!CH384</f>
        <v>-1668954.5079659864</v>
      </c>
      <c r="CI95" s="49">
        <f ca="1">Операции!CI384</f>
        <v>-1674523.1890776015</v>
      </c>
      <c r="CJ95" s="49">
        <f ca="1">Операции!CJ384</f>
        <v>-1680110.4508091048</v>
      </c>
      <c r="CK95" s="49">
        <f ca="1">Операции!CK384</f>
        <v>-1685173.0317958661</v>
      </c>
    </row>
    <row r="96" spans="2:89" ht="15.75" thickTop="1">
      <c r="B96" s="50" t="s">
        <v>91</v>
      </c>
      <c r="C96" s="51"/>
      <c r="D96" s="52">
        <f ca="1">SUM(D90:D95)</f>
        <v>-1080546081.2881224</v>
      </c>
      <c r="E96" s="53"/>
      <c r="F96" s="54">
        <f ca="1">SUM(F90:F95)</f>
        <v>0</v>
      </c>
      <c r="G96" s="54">
        <f t="shared" ref="G96:BM96" ca="1" si="80">SUM(G90:G95)</f>
        <v>0</v>
      </c>
      <c r="H96" s="54">
        <f t="shared" ca="1" si="80"/>
        <v>0</v>
      </c>
      <c r="I96" s="54">
        <f t="shared" ca="1" si="80"/>
        <v>0</v>
      </c>
      <c r="J96" s="54">
        <f t="shared" ca="1" si="80"/>
        <v>0</v>
      </c>
      <c r="K96" s="54">
        <f t="shared" ca="1" si="80"/>
        <v>0</v>
      </c>
      <c r="L96" s="54">
        <f t="shared" ca="1" si="80"/>
        <v>0</v>
      </c>
      <c r="M96" s="54">
        <f t="shared" ca="1" si="80"/>
        <v>0</v>
      </c>
      <c r="N96" s="54">
        <f t="shared" ca="1" si="80"/>
        <v>0</v>
      </c>
      <c r="O96" s="54">
        <f t="shared" ca="1" si="80"/>
        <v>0</v>
      </c>
      <c r="P96" s="54">
        <f t="shared" ca="1" si="80"/>
        <v>0</v>
      </c>
      <c r="Q96" s="54">
        <f t="shared" ca="1" si="80"/>
        <v>0</v>
      </c>
      <c r="R96" s="54">
        <f t="shared" ca="1" si="80"/>
        <v>105548187.51593101</v>
      </c>
      <c r="S96" s="54">
        <f t="shared" ca="1" si="80"/>
        <v>-3859521.0866185273</v>
      </c>
      <c r="T96" s="54">
        <f t="shared" ca="1" si="80"/>
        <v>-3872363.6308351974</v>
      </c>
      <c r="U96" s="54">
        <f t="shared" ca="1" si="80"/>
        <v>-8959093.1261788607</v>
      </c>
      <c r="V96" s="54">
        <f t="shared" ca="1" si="80"/>
        <v>-8972019.8943296708</v>
      </c>
      <c r="W96" s="54">
        <f t="shared" ca="1" si="80"/>
        <v>-8984989.6762606427</v>
      </c>
      <c r="X96" s="54">
        <f t="shared" ca="1" si="80"/>
        <v>-8965688.1038212162</v>
      </c>
      <c r="Y96" s="54">
        <f t="shared" ca="1" si="80"/>
        <v>-8978742.944136316</v>
      </c>
      <c r="Z96" s="54">
        <f t="shared" ca="1" si="80"/>
        <v>-8991418.0197004247</v>
      </c>
      <c r="AA96" s="54">
        <f t="shared" ca="1" si="80"/>
        <v>-8972959.7448843215</v>
      </c>
      <c r="AB96" s="54">
        <f t="shared" ca="1" si="80"/>
        <v>-8986180.1074799951</v>
      </c>
      <c r="AC96" s="54">
        <f t="shared" ca="1" si="80"/>
        <v>-8998158.9907919355</v>
      </c>
      <c r="AD96" s="54">
        <f t="shared" ca="1" si="80"/>
        <v>-7288283.8907798827</v>
      </c>
      <c r="AE96" s="54">
        <f t="shared" ca="1" si="80"/>
        <v>-7899166.3734495481</v>
      </c>
      <c r="AF96" s="54">
        <f t="shared" ca="1" si="80"/>
        <v>-7914553.4964279607</v>
      </c>
      <c r="AG96" s="54">
        <f t="shared" ca="1" si="80"/>
        <v>-8755652.0258893482</v>
      </c>
      <c r="AH96" s="54">
        <f t="shared" ca="1" si="80"/>
        <v>-8771140.3380282614</v>
      </c>
      <c r="AI96" s="54">
        <f t="shared" ca="1" si="80"/>
        <v>-8786680.3289102726</v>
      </c>
      <c r="AJ96" s="54">
        <f t="shared" ca="1" si="80"/>
        <v>-9300277.6036636904</v>
      </c>
      <c r="AK96" s="54">
        <f t="shared" ca="1" si="80"/>
        <v>-9315919.7889997102</v>
      </c>
      <c r="AL96" s="54">
        <f t="shared" ca="1" si="80"/>
        <v>-9331107.079819398</v>
      </c>
      <c r="AM96" s="54">
        <f t="shared" ca="1" si="80"/>
        <v>-11159595.205502693</v>
      </c>
      <c r="AN96" s="54">
        <f t="shared" ca="1" si="80"/>
        <v>-11175392.792734399</v>
      </c>
      <c r="AO96" s="54">
        <f t="shared" ca="1" si="80"/>
        <v>-11189706.88228295</v>
      </c>
      <c r="AP96" s="54">
        <f t="shared" ca="1" si="80"/>
        <v>-12516079.366198132</v>
      </c>
      <c r="AQ96" s="54">
        <f t="shared" ca="1" si="80"/>
        <v>-12531515.089270219</v>
      </c>
      <c r="AR96" s="54">
        <f t="shared" ca="1" si="80"/>
        <v>-12547517.697167769</v>
      </c>
      <c r="AS96" s="54">
        <f t="shared" ca="1" si="80"/>
        <v>-15059491.855909044</v>
      </c>
      <c r="AT96" s="54">
        <f t="shared" ca="1" si="80"/>
        <v>-15075599.700533515</v>
      </c>
      <c r="AU96" s="54">
        <f t="shared" ca="1" si="80"/>
        <v>-15091761.291050803</v>
      </c>
      <c r="AV96" s="54">
        <f t="shared" ca="1" si="80"/>
        <v>-15935807.956999509</v>
      </c>
      <c r="AW96" s="54">
        <f t="shared" ca="1" si="80"/>
        <v>-15952075.82974897</v>
      </c>
      <c r="AX96" s="54">
        <f t="shared" ca="1" si="80"/>
        <v>-15967870.612201443</v>
      </c>
      <c r="AY96" s="54">
        <f t="shared" ca="1" si="80"/>
        <v>-18095583.277680419</v>
      </c>
      <c r="AZ96" s="54">
        <f t="shared" ca="1" si="80"/>
        <v>-18112012.768401396</v>
      </c>
      <c r="BA96" s="54">
        <f t="shared" ca="1" si="80"/>
        <v>-18126899.421531886</v>
      </c>
      <c r="BB96" s="54">
        <f t="shared" ca="1" si="80"/>
        <v>-19307626.378955614</v>
      </c>
      <c r="BC96" s="54">
        <f t="shared" ca="1" si="80"/>
        <v>-19323679.530950584</v>
      </c>
      <c r="BD96" s="54">
        <f t="shared" ca="1" si="80"/>
        <v>-19340322.243164036</v>
      </c>
      <c r="BE96" s="54">
        <f t="shared" ca="1" si="80"/>
        <v>-21046644.694512133</v>
      </c>
      <c r="BF96" s="54">
        <f t="shared" ca="1" si="80"/>
        <v>-21063396.852921583</v>
      </c>
      <c r="BG96" s="54">
        <f t="shared" ca="1" si="80"/>
        <v>-21080204.907059565</v>
      </c>
      <c r="BH96" s="54">
        <f t="shared" ca="1" si="80"/>
        <v>-21232383.615085356</v>
      </c>
      <c r="BI96" s="54">
        <f t="shared" ca="1" si="80"/>
        <v>-21249302.202744793</v>
      </c>
      <c r="BJ96" s="54">
        <f t="shared" ca="1" si="80"/>
        <v>-21265728.776495367</v>
      </c>
      <c r="BK96" s="54">
        <f t="shared" ca="1" si="80"/>
        <v>-21717960.668142959</v>
      </c>
      <c r="BL96" s="54">
        <f t="shared" ca="1" si="80"/>
        <v>-21735000.576015316</v>
      </c>
      <c r="BM96" s="54">
        <f t="shared" ca="1" si="80"/>
        <v>-21750992.462444928</v>
      </c>
      <c r="BN96" s="54">
        <f t="shared" ref="BN96:CK96" ca="1" si="81">SUM(BN90:BN95)</f>
        <v>-21906018.11534445</v>
      </c>
      <c r="BO96" s="54">
        <f t="shared" ca="1" si="81"/>
        <v>-21922669.048840687</v>
      </c>
      <c r="BP96" s="54">
        <f t="shared" ca="1" si="81"/>
        <v>-21939931.341808137</v>
      </c>
      <c r="BQ96" s="54">
        <f t="shared" ca="1" si="81"/>
        <v>-22286936.649905689</v>
      </c>
      <c r="BR96" s="54">
        <f t="shared" ca="1" si="81"/>
        <v>-22304312.152389999</v>
      </c>
      <c r="BS96" s="54">
        <f t="shared" ca="1" si="81"/>
        <v>-22321745.471803904</v>
      </c>
      <c r="BT96" s="54">
        <f t="shared" ca="1" si="81"/>
        <v>-22480756.683074299</v>
      </c>
      <c r="BU96" s="54">
        <f t="shared" ca="1" si="81"/>
        <v>-22498304.333630178</v>
      </c>
      <c r="BV96" s="54">
        <f t="shared" ca="1" si="81"/>
        <v>-22515341.523775749</v>
      </c>
      <c r="BW96" s="54">
        <f t="shared" ca="1" si="81"/>
        <v>-22866949.3374517</v>
      </c>
      <c r="BX96" s="54">
        <f t="shared" ca="1" si="81"/>
        <v>-22884719.474615507</v>
      </c>
      <c r="BY96" s="54">
        <f t="shared" ca="1" si="81"/>
        <v>-22900820.878641449</v>
      </c>
      <c r="BZ96" s="54">
        <f t="shared" ca="1" si="81"/>
        <v>-23062351.405450359</v>
      </c>
      <c r="CA96" s="54">
        <f t="shared" ca="1" si="81"/>
        <v>-23079714.494648121</v>
      </c>
      <c r="CB96" s="54">
        <f t="shared" ca="1" si="81"/>
        <v>-23097715.252178192</v>
      </c>
      <c r="CC96" s="54">
        <f t="shared" ca="1" si="81"/>
        <v>-23438019.301779691</v>
      </c>
      <c r="CD96" s="54">
        <f t="shared" ca="1" si="81"/>
        <v>-23456138.43631535</v>
      </c>
      <c r="CE96" s="54">
        <f t="shared" ca="1" si="81"/>
        <v>-23474318.027670991</v>
      </c>
      <c r="CF96" s="54">
        <f t="shared" ca="1" si="81"/>
        <v>-23641361.634360522</v>
      </c>
      <c r="CG96" s="54">
        <f t="shared" ca="1" si="81"/>
        <v>-23659660.778772969</v>
      </c>
      <c r="CH96" s="54">
        <f t="shared" ca="1" si="81"/>
        <v>-23677427.760941587</v>
      </c>
      <c r="CI96" s="54">
        <f t="shared" ca="1" si="81"/>
        <v>-24023760.149485156</v>
      </c>
      <c r="CJ96" s="54">
        <f t="shared" ca="1" si="81"/>
        <v>-24042241.092135515</v>
      </c>
      <c r="CK96" s="54">
        <f t="shared" ca="1" si="81"/>
        <v>-24058986.552322492</v>
      </c>
    </row>
    <row r="97" spans="2:89" ht="15.75" thickBot="1">
      <c r="B97" s="148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</row>
    <row r="98" spans="2:89" ht="16.5" thickTop="1" thickBot="1">
      <c r="B98" s="105" t="s">
        <v>565</v>
      </c>
      <c r="C98" s="106"/>
      <c r="D98" s="107">
        <f t="shared" ref="D98" ca="1" si="82">SUM(F98:CK98)</f>
        <v>5072703347.3362122</v>
      </c>
      <c r="E98" s="108"/>
      <c r="F98" s="109">
        <f t="shared" ref="F98:AK98" ca="1" si="83">SUM(F76,F88,F96)</f>
        <v>0</v>
      </c>
      <c r="G98" s="109">
        <f t="shared" ca="1" si="83"/>
        <v>0</v>
      </c>
      <c r="H98" s="109">
        <f t="shared" ca="1" si="83"/>
        <v>0</v>
      </c>
      <c r="I98" s="109">
        <f t="shared" ca="1" si="83"/>
        <v>0</v>
      </c>
      <c r="J98" s="109">
        <f t="shared" ca="1" si="83"/>
        <v>0</v>
      </c>
      <c r="K98" s="109">
        <f t="shared" ca="1" si="83"/>
        <v>0</v>
      </c>
      <c r="L98" s="109">
        <f t="shared" ca="1" si="83"/>
        <v>0</v>
      </c>
      <c r="M98" s="109">
        <f t="shared" ca="1" si="83"/>
        <v>0</v>
      </c>
      <c r="N98" s="109">
        <f t="shared" ca="1" si="83"/>
        <v>0</v>
      </c>
      <c r="O98" s="109">
        <f t="shared" ca="1" si="83"/>
        <v>0</v>
      </c>
      <c r="P98" s="109">
        <f t="shared" ca="1" si="83"/>
        <v>0</v>
      </c>
      <c r="Q98" s="109">
        <f t="shared" ca="1" si="83"/>
        <v>-1030062.6752411524</v>
      </c>
      <c r="R98" s="109">
        <f t="shared" ca="1" si="83"/>
        <v>51372700.024010994</v>
      </c>
      <c r="S98" s="109">
        <f t="shared" ca="1" si="83"/>
        <v>25556252.968714036</v>
      </c>
      <c r="T98" s="109">
        <f t="shared" ca="1" si="83"/>
        <v>20342001.908056237</v>
      </c>
      <c r="U98" s="109">
        <f t="shared" ca="1" si="83"/>
        <v>20694696.763543017</v>
      </c>
      <c r="V98" s="109">
        <f t="shared" ca="1" si="83"/>
        <v>18122461.849501472</v>
      </c>
      <c r="W98" s="109">
        <f t="shared" ca="1" si="83"/>
        <v>15524859.04286433</v>
      </c>
      <c r="X98" s="109">
        <f t="shared" ca="1" si="83"/>
        <v>21050675.337103322</v>
      </c>
      <c r="Y98" s="109">
        <f t="shared" ca="1" si="83"/>
        <v>15728976.729470951</v>
      </c>
      <c r="Z98" s="109">
        <f t="shared" ca="1" si="83"/>
        <v>21267755.662836097</v>
      </c>
      <c r="AA98" s="109">
        <f t="shared" ca="1" si="83"/>
        <v>18673492.093337081</v>
      </c>
      <c r="AB98" s="109">
        <f t="shared" ca="1" si="83"/>
        <v>9931227.3595089186</v>
      </c>
      <c r="AC98" s="109">
        <f t="shared" ca="1" si="83"/>
        <v>27729621.951419506</v>
      </c>
      <c r="AD98" s="109">
        <f t="shared" ca="1" si="83"/>
        <v>15118661.995004714</v>
      </c>
      <c r="AE98" s="109">
        <f t="shared" ca="1" si="83"/>
        <v>28202944.478607804</v>
      </c>
      <c r="AF98" s="109">
        <f t="shared" ca="1" si="83"/>
        <v>23130121.000382647</v>
      </c>
      <c r="AG98" s="109">
        <f t="shared" ca="1" si="83"/>
        <v>30164785.601121936</v>
      </c>
      <c r="AH98" s="109">
        <f t="shared" ca="1" si="83"/>
        <v>28591227.518060483</v>
      </c>
      <c r="AI98" s="109">
        <f t="shared" ca="1" si="83"/>
        <v>27013461.656634618</v>
      </c>
      <c r="AJ98" s="109">
        <f t="shared" ca="1" si="83"/>
        <v>36042924.731466047</v>
      </c>
      <c r="AK98" s="109">
        <f t="shared" ca="1" si="83"/>
        <v>31301764.329477888</v>
      </c>
      <c r="AL98" s="109">
        <f t="shared" ref="AL98:BM98" ca="1" si="84">SUM(AL76,AL88,AL96)</f>
        <v>42424514.95293282</v>
      </c>
      <c r="AM98" s="109">
        <f t="shared" ca="1" si="84"/>
        <v>40590790.798295259</v>
      </c>
      <c r="AN98" s="109">
        <f t="shared" ca="1" si="84"/>
        <v>30553883.572735876</v>
      </c>
      <c r="AO98" s="109">
        <f t="shared" ca="1" si="84"/>
        <v>65276165.925659351</v>
      </c>
      <c r="AP98" s="109">
        <f t="shared" ca="1" si="84"/>
        <v>52637306.673793353</v>
      </c>
      <c r="AQ98" s="109">
        <f t="shared" ca="1" si="84"/>
        <v>65167675.698310554</v>
      </c>
      <c r="AR98" s="109">
        <f t="shared" ca="1" si="84"/>
        <v>57533459.600628182</v>
      </c>
      <c r="AS98" s="109">
        <f t="shared" ca="1" si="84"/>
        <v>68289650.701986283</v>
      </c>
      <c r="AT98" s="109">
        <f t="shared" ca="1" si="84"/>
        <v>66034301.561717801</v>
      </c>
      <c r="AU98" s="109">
        <f t="shared" ca="1" si="84"/>
        <v>63621627.204312533</v>
      </c>
      <c r="AV98" s="109">
        <f t="shared" ca="1" si="84"/>
        <v>77304742.391920924</v>
      </c>
      <c r="AW98" s="109">
        <f t="shared" ca="1" si="84"/>
        <v>69404889.546474054</v>
      </c>
      <c r="AX98" s="109">
        <f t="shared" ca="1" si="84"/>
        <v>84880878.720417023</v>
      </c>
      <c r="AY98" s="109">
        <f t="shared" ca="1" si="84"/>
        <v>80937142.223391235</v>
      </c>
      <c r="AZ98" s="109">
        <f t="shared" ca="1" si="84"/>
        <v>64865939.18623969</v>
      </c>
      <c r="BA98" s="109">
        <f t="shared" ca="1" si="84"/>
        <v>109825505.49820565</v>
      </c>
      <c r="BB98" s="109">
        <f t="shared" ca="1" si="84"/>
        <v>86655838.559317887</v>
      </c>
      <c r="BC98" s="109">
        <f t="shared" ca="1" si="84"/>
        <v>100199841.65257075</v>
      </c>
      <c r="BD98" s="109">
        <f t="shared" ca="1" si="84"/>
        <v>87481558.053787678</v>
      </c>
      <c r="BE98" s="109">
        <f t="shared" ca="1" si="84"/>
        <v>99446242.039511412</v>
      </c>
      <c r="BF98" s="109">
        <f t="shared" ca="1" si="84"/>
        <v>93282058.730710268</v>
      </c>
      <c r="BG98" s="109">
        <f t="shared" ca="1" si="84"/>
        <v>87049437.780063286</v>
      </c>
      <c r="BH98" s="109">
        <f t="shared" ca="1" si="84"/>
        <v>100737319.35358956</v>
      </c>
      <c r="BI98" s="109">
        <f t="shared" ca="1" si="84"/>
        <v>87756213.325247511</v>
      </c>
      <c r="BJ98" s="109">
        <f t="shared" ca="1" si="84"/>
        <v>101693087.8495743</v>
      </c>
      <c r="BK98" s="109">
        <f t="shared" ca="1" si="84"/>
        <v>94967273.993581697</v>
      </c>
      <c r="BL98" s="109">
        <f t="shared" ca="1" si="84"/>
        <v>81311249.169512779</v>
      </c>
      <c r="BM98" s="109">
        <f t="shared" ca="1" si="84"/>
        <v>110002649.13935342</v>
      </c>
      <c r="BN98" s="109">
        <f t="shared" ref="BN98:CK98" ca="1" si="85">SUM(BN76,BN88,BN96)</f>
        <v>89310222.924188897</v>
      </c>
      <c r="BO98" s="109">
        <f t="shared" ca="1" si="85"/>
        <v>103531220.42752378</v>
      </c>
      <c r="BP98" s="109">
        <f t="shared" ca="1" si="85"/>
        <v>90174584.380946681</v>
      </c>
      <c r="BQ98" s="109">
        <f t="shared" ca="1" si="85"/>
        <v>104181401.42789978</v>
      </c>
      <c r="BR98" s="109">
        <f t="shared" ca="1" si="85"/>
        <v>97707139.537516743</v>
      </c>
      <c r="BS98" s="109">
        <f t="shared" ca="1" si="85"/>
        <v>91161216.045361325</v>
      </c>
      <c r="BT98" s="109">
        <f t="shared" ca="1" si="85"/>
        <v>105533035.42439212</v>
      </c>
      <c r="BU98" s="109">
        <f t="shared" ca="1" si="85"/>
        <v>91901145.452689767</v>
      </c>
      <c r="BV98" s="109">
        <f t="shared" ca="1" si="85"/>
        <v>106533504.60771182</v>
      </c>
      <c r="BW98" s="109">
        <f t="shared" ca="1" si="85"/>
        <v>99590786.157027274</v>
      </c>
      <c r="BX98" s="109">
        <f t="shared" ca="1" si="85"/>
        <v>77048942.935822695</v>
      </c>
      <c r="BY98" s="109">
        <f t="shared" ca="1" si="85"/>
        <v>123581005.25629458</v>
      </c>
      <c r="BZ98" s="109">
        <f t="shared" ca="1" si="85"/>
        <v>93640272.880785197</v>
      </c>
      <c r="CA98" s="109">
        <f t="shared" ca="1" si="85"/>
        <v>108571942.45745608</v>
      </c>
      <c r="CB98" s="109">
        <f t="shared" ca="1" si="85"/>
        <v>94549856.965218306</v>
      </c>
      <c r="CC98" s="109">
        <f t="shared" ca="1" si="85"/>
        <v>109280898.48095848</v>
      </c>
      <c r="CD98" s="109">
        <f t="shared" ca="1" si="85"/>
        <v>102484583.74536109</v>
      </c>
      <c r="CE98" s="109">
        <f t="shared" ca="1" si="85"/>
        <v>95612839.138984859</v>
      </c>
      <c r="CF98" s="109">
        <f t="shared" ca="1" si="85"/>
        <v>110703508.17204452</v>
      </c>
      <c r="CG98" s="109">
        <f t="shared" ca="1" si="85"/>
        <v>96391652.975654408</v>
      </c>
      <c r="CH98" s="109">
        <f t="shared" ca="1" si="85"/>
        <v>111756436.70748574</v>
      </c>
      <c r="CI98" s="109">
        <f t="shared" ca="1" si="85"/>
        <v>104491713.53280099</v>
      </c>
      <c r="CJ98" s="109">
        <f t="shared" ca="1" si="85"/>
        <v>80822767.102738827</v>
      </c>
      <c r="CK98" s="109">
        <f t="shared" ca="1" si="85"/>
        <v>129680876.3696266</v>
      </c>
    </row>
    <row r="99" spans="2:89" ht="15.75" thickTop="1">
      <c r="B99" s="148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</row>
    <row r="100" spans="2:89" ht="18" thickBot="1">
      <c r="B100" s="100" t="s">
        <v>82</v>
      </c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</row>
    <row r="101" spans="2:89" ht="15.75" thickTop="1">
      <c r="B101" s="148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</row>
    <row r="102" spans="2:89" ht="15.75" thickBot="1">
      <c r="B102" s="96" t="s">
        <v>83</v>
      </c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</row>
    <row r="103" spans="2:89">
      <c r="B103" s="151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</row>
    <row r="104" spans="2:89" ht="15.75" thickBot="1">
      <c r="B104" s="45" t="s">
        <v>54</v>
      </c>
      <c r="C104" s="46"/>
      <c r="D104" s="47">
        <f>SUM(F104:CK104)</f>
        <v>-1160000000</v>
      </c>
      <c r="E104" s="48"/>
      <c r="F104" s="49">
        <f>-Инвестиции!F72</f>
        <v>-65740000.000000007</v>
      </c>
      <c r="G104" s="49">
        <f>-Инвестиции!G72</f>
        <v>-65740000.000000007</v>
      </c>
      <c r="H104" s="49">
        <f>-Инвестиции!H72</f>
        <v>-61270000.000000007</v>
      </c>
      <c r="I104" s="49">
        <f>-Инвестиции!I72</f>
        <v>-148230000</v>
      </c>
      <c r="J104" s="49">
        <f>-Инвестиции!J72</f>
        <v>-148230000</v>
      </c>
      <c r="K104" s="49">
        <f>-Инвестиции!K72</f>
        <v>-143900000</v>
      </c>
      <c r="L104" s="49">
        <f>-Инвестиции!L72</f>
        <v>-94200000</v>
      </c>
      <c r="M104" s="49">
        <f>-Инвестиции!M72</f>
        <v>-99900000</v>
      </c>
      <c r="N104" s="49">
        <f>-Инвестиции!N72</f>
        <v>-104400000</v>
      </c>
      <c r="O104" s="49">
        <f>-Инвестиции!O72</f>
        <v>-67560000</v>
      </c>
      <c r="P104" s="49">
        <f>-Инвестиции!P72</f>
        <v>-74630000</v>
      </c>
      <c r="Q104" s="49">
        <f>-Инвестиции!Q72</f>
        <v>-86200000</v>
      </c>
      <c r="R104" s="49">
        <f>-Инвестиции!R72</f>
        <v>0</v>
      </c>
      <c r="S104" s="49">
        <f>-Инвестиции!S72</f>
        <v>0</v>
      </c>
      <c r="T104" s="49">
        <f>-Инвестиции!T72</f>
        <v>0</v>
      </c>
      <c r="U104" s="49">
        <f>-Инвестиции!U72</f>
        <v>0</v>
      </c>
      <c r="V104" s="49">
        <f>-Инвестиции!V72</f>
        <v>0</v>
      </c>
      <c r="W104" s="49">
        <f>-Инвестиции!W72</f>
        <v>0</v>
      </c>
      <c r="X104" s="49">
        <f>-Инвестиции!X72</f>
        <v>0</v>
      </c>
      <c r="Y104" s="49">
        <f>-Инвестиции!Y72</f>
        <v>0</v>
      </c>
      <c r="Z104" s="49">
        <f>-Инвестиции!Z72</f>
        <v>0</v>
      </c>
      <c r="AA104" s="49">
        <f>-Инвестиции!AA72</f>
        <v>0</v>
      </c>
      <c r="AB104" s="49">
        <f>-Инвестиции!AB72</f>
        <v>0</v>
      </c>
      <c r="AC104" s="49">
        <f>-Инвестиции!AC72</f>
        <v>0</v>
      </c>
      <c r="AD104" s="49">
        <f>-Инвестиции!AD72</f>
        <v>0</v>
      </c>
      <c r="AE104" s="49">
        <f>-Инвестиции!AE72</f>
        <v>0</v>
      </c>
      <c r="AF104" s="49">
        <f>-Инвестиции!AF72</f>
        <v>0</v>
      </c>
      <c r="AG104" s="49">
        <f>-Инвестиции!AG72</f>
        <v>0</v>
      </c>
      <c r="AH104" s="49">
        <f>-Инвестиции!AH72</f>
        <v>0</v>
      </c>
      <c r="AI104" s="49">
        <f>-Инвестиции!AI72</f>
        <v>0</v>
      </c>
      <c r="AJ104" s="49">
        <f>-Инвестиции!AJ72</f>
        <v>0</v>
      </c>
      <c r="AK104" s="49">
        <f>-Инвестиции!AK72</f>
        <v>0</v>
      </c>
      <c r="AL104" s="49">
        <f>-Инвестиции!AL72</f>
        <v>0</v>
      </c>
      <c r="AM104" s="49">
        <f>-Инвестиции!AM72</f>
        <v>0</v>
      </c>
      <c r="AN104" s="49">
        <f>-Инвестиции!AN72</f>
        <v>0</v>
      </c>
      <c r="AO104" s="49">
        <f>-Инвестиции!AO72</f>
        <v>0</v>
      </c>
      <c r="AP104" s="49">
        <f>-Инвестиции!AP72</f>
        <v>0</v>
      </c>
      <c r="AQ104" s="49">
        <f>-Инвестиции!AQ72</f>
        <v>0</v>
      </c>
      <c r="AR104" s="49">
        <f>-Инвестиции!AR72</f>
        <v>0</v>
      </c>
      <c r="AS104" s="49">
        <f>-Инвестиции!AS72</f>
        <v>0</v>
      </c>
      <c r="AT104" s="49">
        <f>-Инвестиции!AT72</f>
        <v>0</v>
      </c>
      <c r="AU104" s="49">
        <f>-Инвестиции!AU72</f>
        <v>0</v>
      </c>
      <c r="AV104" s="49">
        <f>-Инвестиции!AV72</f>
        <v>0</v>
      </c>
      <c r="AW104" s="49">
        <f>-Инвестиции!AW72</f>
        <v>0</v>
      </c>
      <c r="AX104" s="49">
        <f>-Инвестиции!AX72</f>
        <v>0</v>
      </c>
      <c r="AY104" s="49">
        <f>-Инвестиции!AY72</f>
        <v>0</v>
      </c>
      <c r="AZ104" s="49">
        <f>-Инвестиции!AZ72</f>
        <v>0</v>
      </c>
      <c r="BA104" s="49">
        <f>-Инвестиции!BA72</f>
        <v>0</v>
      </c>
      <c r="BB104" s="49">
        <f>-Инвестиции!BB72</f>
        <v>0</v>
      </c>
      <c r="BC104" s="49">
        <f>-Инвестиции!BC72</f>
        <v>0</v>
      </c>
      <c r="BD104" s="49">
        <f>-Инвестиции!BD72</f>
        <v>0</v>
      </c>
      <c r="BE104" s="49">
        <f>-Инвестиции!BE72</f>
        <v>0</v>
      </c>
      <c r="BF104" s="49">
        <f>-Инвестиции!BF72</f>
        <v>0</v>
      </c>
      <c r="BG104" s="49">
        <f>-Инвестиции!BG72</f>
        <v>0</v>
      </c>
      <c r="BH104" s="49">
        <f>-Инвестиции!BH72</f>
        <v>0</v>
      </c>
      <c r="BI104" s="49">
        <f>-Инвестиции!BI72</f>
        <v>0</v>
      </c>
      <c r="BJ104" s="49">
        <f>-Инвестиции!BJ72</f>
        <v>0</v>
      </c>
      <c r="BK104" s="49">
        <f>-Инвестиции!BK72</f>
        <v>0</v>
      </c>
      <c r="BL104" s="49">
        <f>-Инвестиции!BL72</f>
        <v>0</v>
      </c>
      <c r="BM104" s="49">
        <f>-Инвестиции!BM72</f>
        <v>0</v>
      </c>
      <c r="BN104" s="49">
        <f>-Инвестиции!BN72</f>
        <v>0</v>
      </c>
      <c r="BO104" s="49">
        <f>-Инвестиции!BO72</f>
        <v>0</v>
      </c>
      <c r="BP104" s="49">
        <f>-Инвестиции!BP72</f>
        <v>0</v>
      </c>
      <c r="BQ104" s="49">
        <f>-Инвестиции!BQ72</f>
        <v>0</v>
      </c>
      <c r="BR104" s="49">
        <f>-Инвестиции!BR72</f>
        <v>0</v>
      </c>
      <c r="BS104" s="49">
        <f>-Инвестиции!BS72</f>
        <v>0</v>
      </c>
      <c r="BT104" s="49">
        <f>-Инвестиции!BT72</f>
        <v>0</v>
      </c>
      <c r="BU104" s="49">
        <f>-Инвестиции!BU72</f>
        <v>0</v>
      </c>
      <c r="BV104" s="49">
        <f>-Инвестиции!BV72</f>
        <v>0</v>
      </c>
      <c r="BW104" s="49">
        <f>-Инвестиции!BW72</f>
        <v>0</v>
      </c>
      <c r="BX104" s="49">
        <f>-Инвестиции!BX72</f>
        <v>0</v>
      </c>
      <c r="BY104" s="49">
        <f>-Инвестиции!BY72</f>
        <v>0</v>
      </c>
      <c r="BZ104" s="49">
        <f>-Инвестиции!BZ72</f>
        <v>0</v>
      </c>
      <c r="CA104" s="49">
        <f>-Инвестиции!CA72</f>
        <v>0</v>
      </c>
      <c r="CB104" s="49">
        <f>-Инвестиции!CB72</f>
        <v>0</v>
      </c>
      <c r="CC104" s="49">
        <f>-Инвестиции!CC72</f>
        <v>0</v>
      </c>
      <c r="CD104" s="49">
        <f>-Инвестиции!CD72</f>
        <v>0</v>
      </c>
      <c r="CE104" s="49">
        <f>-Инвестиции!CE72</f>
        <v>0</v>
      </c>
      <c r="CF104" s="49">
        <f>-Инвестиции!CF72</f>
        <v>0</v>
      </c>
      <c r="CG104" s="49">
        <f>-Инвестиции!CG72</f>
        <v>0</v>
      </c>
      <c r="CH104" s="49">
        <f>-Инвестиции!CH72</f>
        <v>0</v>
      </c>
      <c r="CI104" s="49">
        <f>-Инвестиции!CI72</f>
        <v>0</v>
      </c>
      <c r="CJ104" s="49">
        <f>-Инвестиции!CJ72</f>
        <v>0</v>
      </c>
      <c r="CK104" s="49">
        <f>-Инвестиции!CK72</f>
        <v>0</v>
      </c>
    </row>
    <row r="105" spans="2:89" ht="15.75" thickTop="1">
      <c r="B105" s="50" t="s">
        <v>91</v>
      </c>
      <c r="C105" s="51"/>
      <c r="D105" s="52">
        <f>SUM(D104)</f>
        <v>-1160000000</v>
      </c>
      <c r="E105" s="53"/>
      <c r="F105" s="54">
        <f>SUM(F104)</f>
        <v>-65740000.000000007</v>
      </c>
      <c r="G105" s="54">
        <f t="shared" ref="G105:AG105" si="86">SUM(G104)</f>
        <v>-65740000.000000007</v>
      </c>
      <c r="H105" s="54">
        <f t="shared" si="86"/>
        <v>-61270000.000000007</v>
      </c>
      <c r="I105" s="54">
        <f t="shared" si="86"/>
        <v>-148230000</v>
      </c>
      <c r="J105" s="54">
        <f t="shared" si="86"/>
        <v>-148230000</v>
      </c>
      <c r="K105" s="54">
        <f t="shared" si="86"/>
        <v>-143900000</v>
      </c>
      <c r="L105" s="54">
        <f t="shared" si="86"/>
        <v>-94200000</v>
      </c>
      <c r="M105" s="54">
        <f t="shared" si="86"/>
        <v>-99900000</v>
      </c>
      <c r="N105" s="54">
        <f t="shared" si="86"/>
        <v>-104400000</v>
      </c>
      <c r="O105" s="54">
        <f t="shared" si="86"/>
        <v>-67560000</v>
      </c>
      <c r="P105" s="54">
        <f t="shared" si="86"/>
        <v>-74630000</v>
      </c>
      <c r="Q105" s="54">
        <f t="shared" si="86"/>
        <v>-86200000</v>
      </c>
      <c r="R105" s="54">
        <f t="shared" si="86"/>
        <v>0</v>
      </c>
      <c r="S105" s="54">
        <f t="shared" si="86"/>
        <v>0</v>
      </c>
      <c r="T105" s="54">
        <f t="shared" si="86"/>
        <v>0</v>
      </c>
      <c r="U105" s="54">
        <f t="shared" si="86"/>
        <v>0</v>
      </c>
      <c r="V105" s="54">
        <f t="shared" si="86"/>
        <v>0</v>
      </c>
      <c r="W105" s="54">
        <f t="shared" si="86"/>
        <v>0</v>
      </c>
      <c r="X105" s="54">
        <f t="shared" si="86"/>
        <v>0</v>
      </c>
      <c r="Y105" s="54">
        <f t="shared" si="86"/>
        <v>0</v>
      </c>
      <c r="Z105" s="54">
        <f t="shared" si="86"/>
        <v>0</v>
      </c>
      <c r="AA105" s="54">
        <f t="shared" si="86"/>
        <v>0</v>
      </c>
      <c r="AB105" s="54">
        <f t="shared" si="86"/>
        <v>0</v>
      </c>
      <c r="AC105" s="54">
        <f t="shared" si="86"/>
        <v>0</v>
      </c>
      <c r="AD105" s="54">
        <f t="shared" si="86"/>
        <v>0</v>
      </c>
      <c r="AE105" s="54">
        <f t="shared" si="86"/>
        <v>0</v>
      </c>
      <c r="AF105" s="54">
        <f t="shared" si="86"/>
        <v>0</v>
      </c>
      <c r="AG105" s="54">
        <f t="shared" si="86"/>
        <v>0</v>
      </c>
      <c r="AH105" s="54">
        <f t="shared" ref="AH105:BM105" si="87">SUM(AH104)</f>
        <v>0</v>
      </c>
      <c r="AI105" s="54">
        <f t="shared" si="87"/>
        <v>0</v>
      </c>
      <c r="AJ105" s="54">
        <f t="shared" si="87"/>
        <v>0</v>
      </c>
      <c r="AK105" s="54">
        <f t="shared" si="87"/>
        <v>0</v>
      </c>
      <c r="AL105" s="54">
        <f t="shared" si="87"/>
        <v>0</v>
      </c>
      <c r="AM105" s="54">
        <f t="shared" si="87"/>
        <v>0</v>
      </c>
      <c r="AN105" s="54">
        <f t="shared" si="87"/>
        <v>0</v>
      </c>
      <c r="AO105" s="54">
        <f t="shared" si="87"/>
        <v>0</v>
      </c>
      <c r="AP105" s="54">
        <f t="shared" si="87"/>
        <v>0</v>
      </c>
      <c r="AQ105" s="54">
        <f t="shared" si="87"/>
        <v>0</v>
      </c>
      <c r="AR105" s="54">
        <f t="shared" si="87"/>
        <v>0</v>
      </c>
      <c r="AS105" s="54">
        <f t="shared" si="87"/>
        <v>0</v>
      </c>
      <c r="AT105" s="54">
        <f t="shared" si="87"/>
        <v>0</v>
      </c>
      <c r="AU105" s="54">
        <f t="shared" si="87"/>
        <v>0</v>
      </c>
      <c r="AV105" s="54">
        <f t="shared" si="87"/>
        <v>0</v>
      </c>
      <c r="AW105" s="54">
        <f t="shared" si="87"/>
        <v>0</v>
      </c>
      <c r="AX105" s="54">
        <f t="shared" si="87"/>
        <v>0</v>
      </c>
      <c r="AY105" s="54">
        <f t="shared" si="87"/>
        <v>0</v>
      </c>
      <c r="AZ105" s="54">
        <f t="shared" si="87"/>
        <v>0</v>
      </c>
      <c r="BA105" s="54">
        <f t="shared" si="87"/>
        <v>0</v>
      </c>
      <c r="BB105" s="54">
        <f t="shared" si="87"/>
        <v>0</v>
      </c>
      <c r="BC105" s="54">
        <f t="shared" si="87"/>
        <v>0</v>
      </c>
      <c r="BD105" s="54">
        <f t="shared" si="87"/>
        <v>0</v>
      </c>
      <c r="BE105" s="54">
        <f t="shared" si="87"/>
        <v>0</v>
      </c>
      <c r="BF105" s="54">
        <f t="shared" si="87"/>
        <v>0</v>
      </c>
      <c r="BG105" s="54">
        <f t="shared" si="87"/>
        <v>0</v>
      </c>
      <c r="BH105" s="54">
        <f t="shared" si="87"/>
        <v>0</v>
      </c>
      <c r="BI105" s="54">
        <f t="shared" si="87"/>
        <v>0</v>
      </c>
      <c r="BJ105" s="54">
        <f t="shared" si="87"/>
        <v>0</v>
      </c>
      <c r="BK105" s="54">
        <f t="shared" si="87"/>
        <v>0</v>
      </c>
      <c r="BL105" s="54">
        <f t="shared" si="87"/>
        <v>0</v>
      </c>
      <c r="BM105" s="54">
        <f t="shared" si="87"/>
        <v>0</v>
      </c>
      <c r="BN105" s="54">
        <f t="shared" ref="BN105:CK105" si="88">SUM(BN104)</f>
        <v>0</v>
      </c>
      <c r="BO105" s="54">
        <f t="shared" si="88"/>
        <v>0</v>
      </c>
      <c r="BP105" s="54">
        <f t="shared" si="88"/>
        <v>0</v>
      </c>
      <c r="BQ105" s="54">
        <f t="shared" si="88"/>
        <v>0</v>
      </c>
      <c r="BR105" s="54">
        <f t="shared" si="88"/>
        <v>0</v>
      </c>
      <c r="BS105" s="54">
        <f t="shared" si="88"/>
        <v>0</v>
      </c>
      <c r="BT105" s="54">
        <f t="shared" si="88"/>
        <v>0</v>
      </c>
      <c r="BU105" s="54">
        <f t="shared" si="88"/>
        <v>0</v>
      </c>
      <c r="BV105" s="54">
        <f t="shared" si="88"/>
        <v>0</v>
      </c>
      <c r="BW105" s="54">
        <f t="shared" si="88"/>
        <v>0</v>
      </c>
      <c r="BX105" s="54">
        <f t="shared" si="88"/>
        <v>0</v>
      </c>
      <c r="BY105" s="54">
        <f t="shared" si="88"/>
        <v>0</v>
      </c>
      <c r="BZ105" s="54">
        <f t="shared" si="88"/>
        <v>0</v>
      </c>
      <c r="CA105" s="54">
        <f t="shared" si="88"/>
        <v>0</v>
      </c>
      <c r="CB105" s="54">
        <f t="shared" si="88"/>
        <v>0</v>
      </c>
      <c r="CC105" s="54">
        <f t="shared" si="88"/>
        <v>0</v>
      </c>
      <c r="CD105" s="54">
        <f t="shared" si="88"/>
        <v>0</v>
      </c>
      <c r="CE105" s="54">
        <f t="shared" si="88"/>
        <v>0</v>
      </c>
      <c r="CF105" s="54">
        <f t="shared" si="88"/>
        <v>0</v>
      </c>
      <c r="CG105" s="54">
        <f t="shared" si="88"/>
        <v>0</v>
      </c>
      <c r="CH105" s="54">
        <f t="shared" si="88"/>
        <v>0</v>
      </c>
      <c r="CI105" s="54">
        <f t="shared" si="88"/>
        <v>0</v>
      </c>
      <c r="CJ105" s="54">
        <f t="shared" si="88"/>
        <v>0</v>
      </c>
      <c r="CK105" s="54">
        <f t="shared" si="88"/>
        <v>0</v>
      </c>
    </row>
    <row r="106" spans="2:89" ht="15.75" thickBot="1">
      <c r="B106" s="148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</row>
    <row r="107" spans="2:89" ht="16.5" thickTop="1" thickBot="1">
      <c r="B107" s="105" t="s">
        <v>566</v>
      </c>
      <c r="C107" s="106"/>
      <c r="D107" s="107">
        <f>SUM(F107:CK107)</f>
        <v>-1160000000</v>
      </c>
      <c r="E107" s="108"/>
      <c r="F107" s="109">
        <f>SUM(F105)</f>
        <v>-65740000.000000007</v>
      </c>
      <c r="G107" s="109">
        <f t="shared" ref="G107:AG107" si="89">SUM(G105)</f>
        <v>-65740000.000000007</v>
      </c>
      <c r="H107" s="109">
        <f t="shared" si="89"/>
        <v>-61270000.000000007</v>
      </c>
      <c r="I107" s="109">
        <f t="shared" si="89"/>
        <v>-148230000</v>
      </c>
      <c r="J107" s="109">
        <f t="shared" si="89"/>
        <v>-148230000</v>
      </c>
      <c r="K107" s="109">
        <f t="shared" si="89"/>
        <v>-143900000</v>
      </c>
      <c r="L107" s="109">
        <f t="shared" si="89"/>
        <v>-94200000</v>
      </c>
      <c r="M107" s="109">
        <f t="shared" si="89"/>
        <v>-99900000</v>
      </c>
      <c r="N107" s="109">
        <f t="shared" si="89"/>
        <v>-104400000</v>
      </c>
      <c r="O107" s="109">
        <f t="shared" si="89"/>
        <v>-67560000</v>
      </c>
      <c r="P107" s="109">
        <f t="shared" si="89"/>
        <v>-74630000</v>
      </c>
      <c r="Q107" s="109">
        <f t="shared" si="89"/>
        <v>-86200000</v>
      </c>
      <c r="R107" s="109">
        <f t="shared" si="89"/>
        <v>0</v>
      </c>
      <c r="S107" s="109">
        <f t="shared" si="89"/>
        <v>0</v>
      </c>
      <c r="T107" s="109">
        <f t="shared" si="89"/>
        <v>0</v>
      </c>
      <c r="U107" s="109">
        <f t="shared" si="89"/>
        <v>0</v>
      </c>
      <c r="V107" s="109">
        <f t="shared" si="89"/>
        <v>0</v>
      </c>
      <c r="W107" s="109">
        <f t="shared" si="89"/>
        <v>0</v>
      </c>
      <c r="X107" s="109">
        <f t="shared" si="89"/>
        <v>0</v>
      </c>
      <c r="Y107" s="109">
        <f t="shared" si="89"/>
        <v>0</v>
      </c>
      <c r="Z107" s="109">
        <f t="shared" si="89"/>
        <v>0</v>
      </c>
      <c r="AA107" s="109">
        <f t="shared" si="89"/>
        <v>0</v>
      </c>
      <c r="AB107" s="109">
        <f t="shared" si="89"/>
        <v>0</v>
      </c>
      <c r="AC107" s="109">
        <f t="shared" si="89"/>
        <v>0</v>
      </c>
      <c r="AD107" s="109">
        <f t="shared" si="89"/>
        <v>0</v>
      </c>
      <c r="AE107" s="109">
        <f t="shared" si="89"/>
        <v>0</v>
      </c>
      <c r="AF107" s="109">
        <f t="shared" si="89"/>
        <v>0</v>
      </c>
      <c r="AG107" s="109">
        <f t="shared" si="89"/>
        <v>0</v>
      </c>
      <c r="AH107" s="109">
        <f t="shared" ref="AH107:BM107" si="90">SUM(AH105)</f>
        <v>0</v>
      </c>
      <c r="AI107" s="109">
        <f t="shared" si="90"/>
        <v>0</v>
      </c>
      <c r="AJ107" s="109">
        <f t="shared" si="90"/>
        <v>0</v>
      </c>
      <c r="AK107" s="109">
        <f t="shared" si="90"/>
        <v>0</v>
      </c>
      <c r="AL107" s="109">
        <f t="shared" si="90"/>
        <v>0</v>
      </c>
      <c r="AM107" s="109">
        <f t="shared" si="90"/>
        <v>0</v>
      </c>
      <c r="AN107" s="109">
        <f t="shared" si="90"/>
        <v>0</v>
      </c>
      <c r="AO107" s="109">
        <f t="shared" si="90"/>
        <v>0</v>
      </c>
      <c r="AP107" s="109">
        <f t="shared" si="90"/>
        <v>0</v>
      </c>
      <c r="AQ107" s="109">
        <f t="shared" si="90"/>
        <v>0</v>
      </c>
      <c r="AR107" s="109">
        <f t="shared" si="90"/>
        <v>0</v>
      </c>
      <c r="AS107" s="109">
        <f t="shared" si="90"/>
        <v>0</v>
      </c>
      <c r="AT107" s="109">
        <f t="shared" si="90"/>
        <v>0</v>
      </c>
      <c r="AU107" s="109">
        <f t="shared" si="90"/>
        <v>0</v>
      </c>
      <c r="AV107" s="109">
        <f t="shared" si="90"/>
        <v>0</v>
      </c>
      <c r="AW107" s="109">
        <f t="shared" si="90"/>
        <v>0</v>
      </c>
      <c r="AX107" s="109">
        <f t="shared" si="90"/>
        <v>0</v>
      </c>
      <c r="AY107" s="109">
        <f t="shared" si="90"/>
        <v>0</v>
      </c>
      <c r="AZ107" s="109">
        <f t="shared" si="90"/>
        <v>0</v>
      </c>
      <c r="BA107" s="109">
        <f t="shared" si="90"/>
        <v>0</v>
      </c>
      <c r="BB107" s="109">
        <f t="shared" si="90"/>
        <v>0</v>
      </c>
      <c r="BC107" s="109">
        <f t="shared" si="90"/>
        <v>0</v>
      </c>
      <c r="BD107" s="109">
        <f t="shared" si="90"/>
        <v>0</v>
      </c>
      <c r="BE107" s="109">
        <f t="shared" si="90"/>
        <v>0</v>
      </c>
      <c r="BF107" s="109">
        <f t="shared" si="90"/>
        <v>0</v>
      </c>
      <c r="BG107" s="109">
        <f t="shared" si="90"/>
        <v>0</v>
      </c>
      <c r="BH107" s="109">
        <f t="shared" si="90"/>
        <v>0</v>
      </c>
      <c r="BI107" s="109">
        <f t="shared" si="90"/>
        <v>0</v>
      </c>
      <c r="BJ107" s="109">
        <f t="shared" si="90"/>
        <v>0</v>
      </c>
      <c r="BK107" s="109">
        <f t="shared" si="90"/>
        <v>0</v>
      </c>
      <c r="BL107" s="109">
        <f t="shared" si="90"/>
        <v>0</v>
      </c>
      <c r="BM107" s="109">
        <f t="shared" si="90"/>
        <v>0</v>
      </c>
      <c r="BN107" s="109">
        <f t="shared" ref="BN107:CK107" si="91">SUM(BN105)</f>
        <v>0</v>
      </c>
      <c r="BO107" s="109">
        <f t="shared" si="91"/>
        <v>0</v>
      </c>
      <c r="BP107" s="109">
        <f t="shared" si="91"/>
        <v>0</v>
      </c>
      <c r="BQ107" s="109">
        <f t="shared" si="91"/>
        <v>0</v>
      </c>
      <c r="BR107" s="109">
        <f t="shared" si="91"/>
        <v>0</v>
      </c>
      <c r="BS107" s="109">
        <f t="shared" si="91"/>
        <v>0</v>
      </c>
      <c r="BT107" s="109">
        <f t="shared" si="91"/>
        <v>0</v>
      </c>
      <c r="BU107" s="109">
        <f t="shared" si="91"/>
        <v>0</v>
      </c>
      <c r="BV107" s="109">
        <f t="shared" si="91"/>
        <v>0</v>
      </c>
      <c r="BW107" s="109">
        <f t="shared" si="91"/>
        <v>0</v>
      </c>
      <c r="BX107" s="109">
        <f t="shared" si="91"/>
        <v>0</v>
      </c>
      <c r="BY107" s="109">
        <f t="shared" si="91"/>
        <v>0</v>
      </c>
      <c r="BZ107" s="109">
        <f t="shared" si="91"/>
        <v>0</v>
      </c>
      <c r="CA107" s="109">
        <f t="shared" si="91"/>
        <v>0</v>
      </c>
      <c r="CB107" s="109">
        <f t="shared" si="91"/>
        <v>0</v>
      </c>
      <c r="CC107" s="109">
        <f t="shared" si="91"/>
        <v>0</v>
      </c>
      <c r="CD107" s="109">
        <f t="shared" si="91"/>
        <v>0</v>
      </c>
      <c r="CE107" s="109">
        <f t="shared" si="91"/>
        <v>0</v>
      </c>
      <c r="CF107" s="109">
        <f t="shared" si="91"/>
        <v>0</v>
      </c>
      <c r="CG107" s="109">
        <f t="shared" si="91"/>
        <v>0</v>
      </c>
      <c r="CH107" s="109">
        <f t="shared" si="91"/>
        <v>0</v>
      </c>
      <c r="CI107" s="109">
        <f t="shared" si="91"/>
        <v>0</v>
      </c>
      <c r="CJ107" s="109">
        <f t="shared" si="91"/>
        <v>0</v>
      </c>
      <c r="CK107" s="109">
        <f t="shared" si="91"/>
        <v>0</v>
      </c>
    </row>
    <row r="108" spans="2:89" ht="15.75" thickTop="1">
      <c r="B108" s="148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</row>
    <row r="109" spans="2:89" ht="18" thickBot="1">
      <c r="B109" s="100" t="s">
        <v>84</v>
      </c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</row>
    <row r="110" spans="2:89" ht="15.75" thickTop="1">
      <c r="B110" s="148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</row>
    <row r="111" spans="2:89" ht="15.75" thickBot="1">
      <c r="B111" s="96" t="s">
        <v>85</v>
      </c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</row>
    <row r="112" spans="2:89">
      <c r="B112" s="151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</row>
    <row r="113" spans="2:89">
      <c r="B113" s="45" t="s">
        <v>544</v>
      </c>
      <c r="C113" s="46"/>
      <c r="D113" s="47">
        <f ca="1">SUM(F113:CK113)</f>
        <v>10000</v>
      </c>
      <c r="E113" s="48"/>
      <c r="F113" s="49">
        <f ca="1">Финансирование!F52</f>
        <v>10000</v>
      </c>
      <c r="G113" s="49">
        <f ca="1">Финансирование!G52</f>
        <v>0</v>
      </c>
      <c r="H113" s="49">
        <f ca="1">Финансирование!H52</f>
        <v>0</v>
      </c>
      <c r="I113" s="49">
        <f ca="1">Финансирование!I52</f>
        <v>0</v>
      </c>
      <c r="J113" s="49">
        <f ca="1">Финансирование!J52</f>
        <v>0</v>
      </c>
      <c r="K113" s="49">
        <f ca="1">Финансирование!K52</f>
        <v>0</v>
      </c>
      <c r="L113" s="49">
        <f ca="1">Финансирование!L52</f>
        <v>0</v>
      </c>
      <c r="M113" s="49">
        <f ca="1">Финансирование!M52</f>
        <v>0</v>
      </c>
      <c r="N113" s="49">
        <f ca="1">Финансирование!N52</f>
        <v>0</v>
      </c>
      <c r="O113" s="49">
        <f ca="1">Финансирование!O52</f>
        <v>0</v>
      </c>
      <c r="P113" s="49">
        <f ca="1">Финансирование!P52</f>
        <v>0</v>
      </c>
      <c r="Q113" s="49">
        <f ca="1">Финансирование!Q52</f>
        <v>0</v>
      </c>
      <c r="R113" s="49">
        <f ca="1">Финансирование!R52</f>
        <v>0</v>
      </c>
      <c r="S113" s="49">
        <f ca="1">Финансирование!S52</f>
        <v>0</v>
      </c>
      <c r="T113" s="49">
        <f ca="1">Финансирование!T52</f>
        <v>0</v>
      </c>
      <c r="U113" s="49">
        <f ca="1">Финансирование!U52</f>
        <v>0</v>
      </c>
      <c r="V113" s="49">
        <f ca="1">Финансирование!V52</f>
        <v>0</v>
      </c>
      <c r="W113" s="49">
        <f ca="1">Финансирование!W52</f>
        <v>0</v>
      </c>
      <c r="X113" s="49">
        <f ca="1">Финансирование!X52</f>
        <v>0</v>
      </c>
      <c r="Y113" s="49">
        <f ca="1">Финансирование!Y52</f>
        <v>0</v>
      </c>
      <c r="Z113" s="49">
        <f ca="1">Финансирование!Z52</f>
        <v>0</v>
      </c>
      <c r="AA113" s="49">
        <f ca="1">Финансирование!AA52</f>
        <v>0</v>
      </c>
      <c r="AB113" s="49">
        <f ca="1">Финансирование!AB52</f>
        <v>0</v>
      </c>
      <c r="AC113" s="49">
        <f ca="1">Финансирование!AC52</f>
        <v>0</v>
      </c>
      <c r="AD113" s="49">
        <f ca="1">Финансирование!AD52</f>
        <v>0</v>
      </c>
      <c r="AE113" s="49">
        <f ca="1">Финансирование!AE52</f>
        <v>0</v>
      </c>
      <c r="AF113" s="49">
        <f ca="1">Финансирование!AF52</f>
        <v>0</v>
      </c>
      <c r="AG113" s="49">
        <f ca="1">Финансирование!AG52</f>
        <v>0</v>
      </c>
      <c r="AH113" s="49">
        <f ca="1">Финансирование!AH52</f>
        <v>0</v>
      </c>
      <c r="AI113" s="49">
        <f ca="1">Финансирование!AI52</f>
        <v>0</v>
      </c>
      <c r="AJ113" s="49">
        <f ca="1">Финансирование!AJ52</f>
        <v>0</v>
      </c>
      <c r="AK113" s="49">
        <f ca="1">Финансирование!AK52</f>
        <v>0</v>
      </c>
      <c r="AL113" s="49">
        <f ca="1">Финансирование!AL52</f>
        <v>0</v>
      </c>
      <c r="AM113" s="49">
        <f ca="1">Финансирование!AM52</f>
        <v>0</v>
      </c>
      <c r="AN113" s="49">
        <f ca="1">Финансирование!AN52</f>
        <v>0</v>
      </c>
      <c r="AO113" s="49">
        <f ca="1">Финансирование!AO52</f>
        <v>0</v>
      </c>
      <c r="AP113" s="49">
        <f ca="1">Финансирование!AP52</f>
        <v>0</v>
      </c>
      <c r="AQ113" s="49">
        <f ca="1">Финансирование!AQ52</f>
        <v>0</v>
      </c>
      <c r="AR113" s="49">
        <f ca="1">Финансирование!AR52</f>
        <v>0</v>
      </c>
      <c r="AS113" s="49">
        <f ca="1">Финансирование!AS52</f>
        <v>0</v>
      </c>
      <c r="AT113" s="49">
        <f ca="1">Финансирование!AT52</f>
        <v>0</v>
      </c>
      <c r="AU113" s="49">
        <f ca="1">Финансирование!AU52</f>
        <v>0</v>
      </c>
      <c r="AV113" s="49">
        <f ca="1">Финансирование!AV52</f>
        <v>0</v>
      </c>
      <c r="AW113" s="49">
        <f ca="1">Финансирование!AW52</f>
        <v>0</v>
      </c>
      <c r="AX113" s="49">
        <f ca="1">Финансирование!AX52</f>
        <v>0</v>
      </c>
      <c r="AY113" s="49">
        <f ca="1">Финансирование!AY52</f>
        <v>0</v>
      </c>
      <c r="AZ113" s="49">
        <f ca="1">Финансирование!AZ52</f>
        <v>0</v>
      </c>
      <c r="BA113" s="49">
        <f ca="1">Финансирование!BA52</f>
        <v>0</v>
      </c>
      <c r="BB113" s="49">
        <f ca="1">Финансирование!BB52</f>
        <v>0</v>
      </c>
      <c r="BC113" s="49">
        <f ca="1">Финансирование!BC52</f>
        <v>0</v>
      </c>
      <c r="BD113" s="49">
        <f ca="1">Финансирование!BD52</f>
        <v>0</v>
      </c>
      <c r="BE113" s="49">
        <f ca="1">Финансирование!BE52</f>
        <v>0</v>
      </c>
      <c r="BF113" s="49">
        <f ca="1">Финансирование!BF52</f>
        <v>0</v>
      </c>
      <c r="BG113" s="49">
        <f ca="1">Финансирование!BG52</f>
        <v>0</v>
      </c>
      <c r="BH113" s="49">
        <f ca="1">Финансирование!BH52</f>
        <v>0</v>
      </c>
      <c r="BI113" s="49">
        <f ca="1">Финансирование!BI52</f>
        <v>0</v>
      </c>
      <c r="BJ113" s="49">
        <f ca="1">Финансирование!BJ52</f>
        <v>0</v>
      </c>
      <c r="BK113" s="49">
        <f ca="1">Финансирование!BK52</f>
        <v>0</v>
      </c>
      <c r="BL113" s="49">
        <f ca="1">Финансирование!BL52</f>
        <v>0</v>
      </c>
      <c r="BM113" s="49">
        <f ca="1">Финансирование!BM52</f>
        <v>0</v>
      </c>
      <c r="BN113" s="49">
        <f ca="1">Финансирование!BN52</f>
        <v>0</v>
      </c>
      <c r="BO113" s="49">
        <f ca="1">Финансирование!BO52</f>
        <v>0</v>
      </c>
      <c r="BP113" s="49">
        <f ca="1">Финансирование!BP52</f>
        <v>0</v>
      </c>
      <c r="BQ113" s="49">
        <f ca="1">Финансирование!BQ52</f>
        <v>0</v>
      </c>
      <c r="BR113" s="49">
        <f ca="1">Финансирование!BR52</f>
        <v>0</v>
      </c>
      <c r="BS113" s="49">
        <f ca="1">Финансирование!BS52</f>
        <v>0</v>
      </c>
      <c r="BT113" s="49">
        <f ca="1">Финансирование!BT52</f>
        <v>0</v>
      </c>
      <c r="BU113" s="49">
        <f ca="1">Финансирование!BU52</f>
        <v>0</v>
      </c>
      <c r="BV113" s="49">
        <f ca="1">Финансирование!BV52</f>
        <v>0</v>
      </c>
      <c r="BW113" s="49">
        <f ca="1">Финансирование!BW52</f>
        <v>0</v>
      </c>
      <c r="BX113" s="49">
        <f ca="1">Финансирование!BX52</f>
        <v>0</v>
      </c>
      <c r="BY113" s="49">
        <f ca="1">Финансирование!BY52</f>
        <v>0</v>
      </c>
      <c r="BZ113" s="49">
        <f ca="1">Финансирование!BZ52</f>
        <v>0</v>
      </c>
      <c r="CA113" s="49">
        <f ca="1">Финансирование!CA52</f>
        <v>0</v>
      </c>
      <c r="CB113" s="49">
        <f ca="1">Финансирование!CB52</f>
        <v>0</v>
      </c>
      <c r="CC113" s="49">
        <f ca="1">Финансирование!CC52</f>
        <v>0</v>
      </c>
      <c r="CD113" s="49">
        <f ca="1">Финансирование!CD52</f>
        <v>0</v>
      </c>
      <c r="CE113" s="49">
        <f ca="1">Финансирование!CE52</f>
        <v>0</v>
      </c>
      <c r="CF113" s="49">
        <f ca="1">Финансирование!CF52</f>
        <v>0</v>
      </c>
      <c r="CG113" s="49">
        <f ca="1">Финансирование!CG52</f>
        <v>0</v>
      </c>
      <c r="CH113" s="49">
        <f ca="1">Финансирование!CH52</f>
        <v>0</v>
      </c>
      <c r="CI113" s="49">
        <f ca="1">Финансирование!CI52</f>
        <v>0</v>
      </c>
      <c r="CJ113" s="49">
        <f ca="1">Финансирование!CJ52</f>
        <v>0</v>
      </c>
      <c r="CK113" s="49">
        <f ca="1">Финансирование!CK52</f>
        <v>0</v>
      </c>
    </row>
    <row r="114" spans="2:89" ht="15.75" thickBot="1">
      <c r="B114" s="45" t="s">
        <v>86</v>
      </c>
      <c r="C114" s="46"/>
      <c r="D114" s="47">
        <f>SUM(F114:CK114)</f>
        <v>1200000000</v>
      </c>
      <c r="E114" s="48"/>
      <c r="F114" s="49">
        <f>Финансирование!F86+Финансирование!F87</f>
        <v>207000000</v>
      </c>
      <c r="G114" s="49">
        <f>Финансирование!G86+Финансирование!G87</f>
        <v>0</v>
      </c>
      <c r="H114" s="49">
        <f>Финансирование!H86+Финансирование!H87</f>
        <v>0</v>
      </c>
      <c r="I114" s="49">
        <f>Финансирование!I86+Финансирование!I87</f>
        <v>450000000</v>
      </c>
      <c r="J114" s="49">
        <f>Финансирование!J86+Финансирование!J87</f>
        <v>0</v>
      </c>
      <c r="K114" s="49">
        <f>Финансирование!K86+Финансирование!K87</f>
        <v>0</v>
      </c>
      <c r="L114" s="49">
        <f>Финансирование!L86+Финансирование!L87</f>
        <v>300000000</v>
      </c>
      <c r="M114" s="49">
        <f>Финансирование!M86+Финансирование!M87</f>
        <v>0</v>
      </c>
      <c r="N114" s="49">
        <f>Финансирование!N86+Финансирование!N87</f>
        <v>0</v>
      </c>
      <c r="O114" s="49">
        <f>Финансирование!O86+Финансирование!O87</f>
        <v>243000000</v>
      </c>
      <c r="P114" s="49">
        <f>Финансирование!P86+Финансирование!P87</f>
        <v>0</v>
      </c>
      <c r="Q114" s="49">
        <f>Финансирование!Q86+Финансирование!Q87</f>
        <v>0</v>
      </c>
      <c r="R114" s="49">
        <f>Финансирование!R86+Финансирование!R87</f>
        <v>0</v>
      </c>
      <c r="S114" s="49">
        <f>Финансирование!S86+Финансирование!S87</f>
        <v>0</v>
      </c>
      <c r="T114" s="49">
        <f>Финансирование!T86+Финансирование!T87</f>
        <v>0</v>
      </c>
      <c r="U114" s="49">
        <f>Финансирование!U86+Финансирование!U87</f>
        <v>0</v>
      </c>
      <c r="V114" s="49">
        <f>Финансирование!V86+Финансирование!V87</f>
        <v>0</v>
      </c>
      <c r="W114" s="49">
        <f>Финансирование!W86+Финансирование!W87</f>
        <v>0</v>
      </c>
      <c r="X114" s="49">
        <f>Финансирование!X86+Финансирование!X87</f>
        <v>0</v>
      </c>
      <c r="Y114" s="49">
        <f>Финансирование!Y86+Финансирование!Y87</f>
        <v>0</v>
      </c>
      <c r="Z114" s="49">
        <f>Финансирование!Z86+Финансирование!Z87</f>
        <v>0</v>
      </c>
      <c r="AA114" s="49">
        <f>Финансирование!AA86+Финансирование!AA87</f>
        <v>0</v>
      </c>
      <c r="AB114" s="49">
        <f>Финансирование!AB86+Финансирование!AB87</f>
        <v>0</v>
      </c>
      <c r="AC114" s="49">
        <f>Финансирование!AC86+Финансирование!AC87</f>
        <v>0</v>
      </c>
      <c r="AD114" s="49">
        <f>Финансирование!AD86+Финансирование!AD87</f>
        <v>0</v>
      </c>
      <c r="AE114" s="49">
        <f>Финансирование!AE86+Финансирование!AE87</f>
        <v>0</v>
      </c>
      <c r="AF114" s="49">
        <f>Финансирование!AF86+Финансирование!AF87</f>
        <v>0</v>
      </c>
      <c r="AG114" s="49">
        <f>Финансирование!AG86+Финансирование!AG87</f>
        <v>0</v>
      </c>
      <c r="AH114" s="49">
        <f>Финансирование!AH86+Финансирование!AH87</f>
        <v>0</v>
      </c>
      <c r="AI114" s="49">
        <f>Финансирование!AI86+Финансирование!AI87</f>
        <v>0</v>
      </c>
      <c r="AJ114" s="49">
        <f>Финансирование!AJ86+Финансирование!AJ87</f>
        <v>0</v>
      </c>
      <c r="AK114" s="49">
        <f>Финансирование!AK86+Финансирование!AK87</f>
        <v>0</v>
      </c>
      <c r="AL114" s="49">
        <f>Финансирование!AL86+Финансирование!AL87</f>
        <v>0</v>
      </c>
      <c r="AM114" s="49">
        <f>Финансирование!AM86+Финансирование!AM87</f>
        <v>0</v>
      </c>
      <c r="AN114" s="49">
        <f>Финансирование!AN86+Финансирование!AN87</f>
        <v>0</v>
      </c>
      <c r="AO114" s="49">
        <f>Финансирование!AO86+Финансирование!AO87</f>
        <v>0</v>
      </c>
      <c r="AP114" s="49">
        <f>Финансирование!AP86+Финансирование!AP87</f>
        <v>0</v>
      </c>
      <c r="AQ114" s="49">
        <f>Финансирование!AQ86+Финансирование!AQ87</f>
        <v>0</v>
      </c>
      <c r="AR114" s="49">
        <f>Финансирование!AR86+Финансирование!AR87</f>
        <v>0</v>
      </c>
      <c r="AS114" s="49">
        <f>Финансирование!AS86+Финансирование!AS87</f>
        <v>0</v>
      </c>
      <c r="AT114" s="49">
        <f>Финансирование!AT86+Финансирование!AT87</f>
        <v>0</v>
      </c>
      <c r="AU114" s="49">
        <f>Финансирование!AU86+Финансирование!AU87</f>
        <v>0</v>
      </c>
      <c r="AV114" s="49">
        <f>Финансирование!AV86+Финансирование!AV87</f>
        <v>0</v>
      </c>
      <c r="AW114" s="49">
        <f>Финансирование!AW86+Финансирование!AW87</f>
        <v>0</v>
      </c>
      <c r="AX114" s="49">
        <f>Финансирование!AX86+Финансирование!AX87</f>
        <v>0</v>
      </c>
      <c r="AY114" s="49">
        <f>Финансирование!AY86+Финансирование!AY87</f>
        <v>0</v>
      </c>
      <c r="AZ114" s="49">
        <f>Финансирование!AZ86+Финансирование!AZ87</f>
        <v>0</v>
      </c>
      <c r="BA114" s="49">
        <f>Финансирование!BA86+Финансирование!BA87</f>
        <v>0</v>
      </c>
      <c r="BB114" s="49">
        <f>Финансирование!BB86+Финансирование!BB87</f>
        <v>0</v>
      </c>
      <c r="BC114" s="49">
        <f>Финансирование!BC86+Финансирование!BC87</f>
        <v>0</v>
      </c>
      <c r="BD114" s="49">
        <f>Финансирование!BD86+Финансирование!BD87</f>
        <v>0</v>
      </c>
      <c r="BE114" s="49">
        <f>Финансирование!BE86+Финансирование!BE87</f>
        <v>0</v>
      </c>
      <c r="BF114" s="49">
        <f>Финансирование!BF86+Финансирование!BF87</f>
        <v>0</v>
      </c>
      <c r="BG114" s="49">
        <f>Финансирование!BG86+Финансирование!BG87</f>
        <v>0</v>
      </c>
      <c r="BH114" s="49">
        <f>Финансирование!BH86+Финансирование!BH87</f>
        <v>0</v>
      </c>
      <c r="BI114" s="49">
        <f>Финансирование!BI86+Финансирование!BI87</f>
        <v>0</v>
      </c>
      <c r="BJ114" s="49">
        <f>Финансирование!BJ86+Финансирование!BJ87</f>
        <v>0</v>
      </c>
      <c r="BK114" s="49">
        <f>Финансирование!BK86+Финансирование!BK87</f>
        <v>0</v>
      </c>
      <c r="BL114" s="49">
        <f>Финансирование!BL86+Финансирование!BL87</f>
        <v>0</v>
      </c>
      <c r="BM114" s="49">
        <f>Финансирование!BM86+Финансирование!BM87</f>
        <v>0</v>
      </c>
      <c r="BN114" s="49">
        <f>Финансирование!BN86+Финансирование!BN87</f>
        <v>0</v>
      </c>
      <c r="BO114" s="49">
        <f>Финансирование!BO86+Финансирование!BO87</f>
        <v>0</v>
      </c>
      <c r="BP114" s="49">
        <f>Финансирование!BP86+Финансирование!BP87</f>
        <v>0</v>
      </c>
      <c r="BQ114" s="49">
        <f>Финансирование!BQ86+Финансирование!BQ87</f>
        <v>0</v>
      </c>
      <c r="BR114" s="49">
        <f>Финансирование!BR86+Финансирование!BR87</f>
        <v>0</v>
      </c>
      <c r="BS114" s="49">
        <f>Финансирование!BS86+Финансирование!BS87</f>
        <v>0</v>
      </c>
      <c r="BT114" s="49">
        <f>Финансирование!BT86+Финансирование!BT87</f>
        <v>0</v>
      </c>
      <c r="BU114" s="49">
        <f>Финансирование!BU86+Финансирование!BU87</f>
        <v>0</v>
      </c>
      <c r="BV114" s="49">
        <f>Финансирование!BV86+Финансирование!BV87</f>
        <v>0</v>
      </c>
      <c r="BW114" s="49">
        <f>Финансирование!BW86+Финансирование!BW87</f>
        <v>0</v>
      </c>
      <c r="BX114" s="49">
        <f>Финансирование!BX86+Финансирование!BX87</f>
        <v>0</v>
      </c>
      <c r="BY114" s="49">
        <f>Финансирование!BY86+Финансирование!BY87</f>
        <v>0</v>
      </c>
      <c r="BZ114" s="49">
        <f>Финансирование!BZ86+Финансирование!BZ87</f>
        <v>0</v>
      </c>
      <c r="CA114" s="49">
        <f>Финансирование!CA86+Финансирование!CA87</f>
        <v>0</v>
      </c>
      <c r="CB114" s="49">
        <f>Финансирование!CB86+Финансирование!CB87</f>
        <v>0</v>
      </c>
      <c r="CC114" s="49">
        <f>Финансирование!CC86+Финансирование!CC87</f>
        <v>0</v>
      </c>
      <c r="CD114" s="49">
        <f>Финансирование!CD86+Финансирование!CD87</f>
        <v>0</v>
      </c>
      <c r="CE114" s="49">
        <f>Финансирование!CE86+Финансирование!CE87</f>
        <v>0</v>
      </c>
      <c r="CF114" s="49">
        <f>Финансирование!CF86+Финансирование!CF87</f>
        <v>0</v>
      </c>
      <c r="CG114" s="49">
        <f>Финансирование!CG86+Финансирование!CG87</f>
        <v>0</v>
      </c>
      <c r="CH114" s="49">
        <f>Финансирование!CH86+Финансирование!CH87</f>
        <v>0</v>
      </c>
      <c r="CI114" s="49">
        <f>Финансирование!CI86+Финансирование!CI87</f>
        <v>0</v>
      </c>
      <c r="CJ114" s="49">
        <f>Финансирование!CJ86+Финансирование!CJ87</f>
        <v>0</v>
      </c>
      <c r="CK114" s="49">
        <f>Финансирование!CK86+Финансирование!CK87</f>
        <v>0</v>
      </c>
    </row>
    <row r="115" spans="2:89" ht="15.75" thickTop="1">
      <c r="B115" s="50" t="s">
        <v>91</v>
      </c>
      <c r="C115" s="51"/>
      <c r="D115" s="52">
        <f ca="1">SUM(D113:D114)</f>
        <v>1200010000</v>
      </c>
      <c r="E115" s="53"/>
      <c r="F115" s="54">
        <f ca="1">SUM(F113:F114)</f>
        <v>207010000</v>
      </c>
      <c r="G115" s="54">
        <f t="shared" ref="G115:AG115" ca="1" si="92">SUM(G113:G114)</f>
        <v>0</v>
      </c>
      <c r="H115" s="54">
        <f t="shared" ca="1" si="92"/>
        <v>0</v>
      </c>
      <c r="I115" s="54">
        <f t="shared" ca="1" si="92"/>
        <v>450000000</v>
      </c>
      <c r="J115" s="54">
        <f t="shared" ca="1" si="92"/>
        <v>0</v>
      </c>
      <c r="K115" s="54">
        <f t="shared" ca="1" si="92"/>
        <v>0</v>
      </c>
      <c r="L115" s="54">
        <f t="shared" ca="1" si="92"/>
        <v>300000000</v>
      </c>
      <c r="M115" s="54">
        <f t="shared" ca="1" si="92"/>
        <v>0</v>
      </c>
      <c r="N115" s="54">
        <f t="shared" ca="1" si="92"/>
        <v>0</v>
      </c>
      <c r="O115" s="54">
        <f t="shared" ca="1" si="92"/>
        <v>243000000</v>
      </c>
      <c r="P115" s="54">
        <f t="shared" ca="1" si="92"/>
        <v>0</v>
      </c>
      <c r="Q115" s="54">
        <f t="shared" ca="1" si="92"/>
        <v>0</v>
      </c>
      <c r="R115" s="54">
        <f t="shared" ca="1" si="92"/>
        <v>0</v>
      </c>
      <c r="S115" s="54">
        <f t="shared" ca="1" si="92"/>
        <v>0</v>
      </c>
      <c r="T115" s="54">
        <f t="shared" ca="1" si="92"/>
        <v>0</v>
      </c>
      <c r="U115" s="54">
        <f t="shared" ca="1" si="92"/>
        <v>0</v>
      </c>
      <c r="V115" s="54">
        <f t="shared" ca="1" si="92"/>
        <v>0</v>
      </c>
      <c r="W115" s="54">
        <f t="shared" ca="1" si="92"/>
        <v>0</v>
      </c>
      <c r="X115" s="54">
        <f t="shared" ca="1" si="92"/>
        <v>0</v>
      </c>
      <c r="Y115" s="54">
        <f t="shared" ca="1" si="92"/>
        <v>0</v>
      </c>
      <c r="Z115" s="54">
        <f t="shared" ca="1" si="92"/>
        <v>0</v>
      </c>
      <c r="AA115" s="54">
        <f t="shared" ca="1" si="92"/>
        <v>0</v>
      </c>
      <c r="AB115" s="54">
        <f t="shared" ca="1" si="92"/>
        <v>0</v>
      </c>
      <c r="AC115" s="54">
        <f t="shared" ca="1" si="92"/>
        <v>0</v>
      </c>
      <c r="AD115" s="54">
        <f t="shared" ca="1" si="92"/>
        <v>0</v>
      </c>
      <c r="AE115" s="54">
        <f t="shared" ca="1" si="92"/>
        <v>0</v>
      </c>
      <c r="AF115" s="54">
        <f t="shared" ca="1" si="92"/>
        <v>0</v>
      </c>
      <c r="AG115" s="54">
        <f t="shared" ca="1" si="92"/>
        <v>0</v>
      </c>
      <c r="AH115" s="54">
        <f t="shared" ref="AH115:BM115" ca="1" si="93">SUM(AH113:AH114)</f>
        <v>0</v>
      </c>
      <c r="AI115" s="54">
        <f t="shared" ca="1" si="93"/>
        <v>0</v>
      </c>
      <c r="AJ115" s="54">
        <f t="shared" ca="1" si="93"/>
        <v>0</v>
      </c>
      <c r="AK115" s="54">
        <f t="shared" ca="1" si="93"/>
        <v>0</v>
      </c>
      <c r="AL115" s="54">
        <f t="shared" ca="1" si="93"/>
        <v>0</v>
      </c>
      <c r="AM115" s="54">
        <f t="shared" ca="1" si="93"/>
        <v>0</v>
      </c>
      <c r="AN115" s="54">
        <f t="shared" ca="1" si="93"/>
        <v>0</v>
      </c>
      <c r="AO115" s="54">
        <f t="shared" ca="1" si="93"/>
        <v>0</v>
      </c>
      <c r="AP115" s="54">
        <f t="shared" ca="1" si="93"/>
        <v>0</v>
      </c>
      <c r="AQ115" s="54">
        <f t="shared" ca="1" si="93"/>
        <v>0</v>
      </c>
      <c r="AR115" s="54">
        <f t="shared" ca="1" si="93"/>
        <v>0</v>
      </c>
      <c r="AS115" s="54">
        <f t="shared" ca="1" si="93"/>
        <v>0</v>
      </c>
      <c r="AT115" s="54">
        <f t="shared" ca="1" si="93"/>
        <v>0</v>
      </c>
      <c r="AU115" s="54">
        <f t="shared" ca="1" si="93"/>
        <v>0</v>
      </c>
      <c r="AV115" s="54">
        <f t="shared" ca="1" si="93"/>
        <v>0</v>
      </c>
      <c r="AW115" s="54">
        <f t="shared" ca="1" si="93"/>
        <v>0</v>
      </c>
      <c r="AX115" s="54">
        <f t="shared" ca="1" si="93"/>
        <v>0</v>
      </c>
      <c r="AY115" s="54">
        <f t="shared" ca="1" si="93"/>
        <v>0</v>
      </c>
      <c r="AZ115" s="54">
        <f t="shared" ca="1" si="93"/>
        <v>0</v>
      </c>
      <c r="BA115" s="54">
        <f t="shared" ca="1" si="93"/>
        <v>0</v>
      </c>
      <c r="BB115" s="54">
        <f t="shared" ca="1" si="93"/>
        <v>0</v>
      </c>
      <c r="BC115" s="54">
        <f t="shared" ca="1" si="93"/>
        <v>0</v>
      </c>
      <c r="BD115" s="54">
        <f t="shared" ca="1" si="93"/>
        <v>0</v>
      </c>
      <c r="BE115" s="54">
        <f t="shared" ca="1" si="93"/>
        <v>0</v>
      </c>
      <c r="BF115" s="54">
        <f t="shared" ca="1" si="93"/>
        <v>0</v>
      </c>
      <c r="BG115" s="54">
        <f t="shared" ca="1" si="93"/>
        <v>0</v>
      </c>
      <c r="BH115" s="54">
        <f t="shared" ca="1" si="93"/>
        <v>0</v>
      </c>
      <c r="BI115" s="54">
        <f t="shared" ca="1" si="93"/>
        <v>0</v>
      </c>
      <c r="BJ115" s="54">
        <f t="shared" ca="1" si="93"/>
        <v>0</v>
      </c>
      <c r="BK115" s="54">
        <f t="shared" ca="1" si="93"/>
        <v>0</v>
      </c>
      <c r="BL115" s="54">
        <f t="shared" ca="1" si="93"/>
        <v>0</v>
      </c>
      <c r="BM115" s="54">
        <f t="shared" ca="1" si="93"/>
        <v>0</v>
      </c>
      <c r="BN115" s="54">
        <f t="shared" ref="BN115:CK115" ca="1" si="94">SUM(BN113:BN114)</f>
        <v>0</v>
      </c>
      <c r="BO115" s="54">
        <f t="shared" ca="1" si="94"/>
        <v>0</v>
      </c>
      <c r="BP115" s="54">
        <f t="shared" ca="1" si="94"/>
        <v>0</v>
      </c>
      <c r="BQ115" s="54">
        <f t="shared" ca="1" si="94"/>
        <v>0</v>
      </c>
      <c r="BR115" s="54">
        <f t="shared" ca="1" si="94"/>
        <v>0</v>
      </c>
      <c r="BS115" s="54">
        <f t="shared" ca="1" si="94"/>
        <v>0</v>
      </c>
      <c r="BT115" s="54">
        <f t="shared" ca="1" si="94"/>
        <v>0</v>
      </c>
      <c r="BU115" s="54">
        <f t="shared" ca="1" si="94"/>
        <v>0</v>
      </c>
      <c r="BV115" s="54">
        <f t="shared" ca="1" si="94"/>
        <v>0</v>
      </c>
      <c r="BW115" s="54">
        <f t="shared" ca="1" si="94"/>
        <v>0</v>
      </c>
      <c r="BX115" s="54">
        <f t="shared" ca="1" si="94"/>
        <v>0</v>
      </c>
      <c r="BY115" s="54">
        <f t="shared" ca="1" si="94"/>
        <v>0</v>
      </c>
      <c r="BZ115" s="54">
        <f t="shared" ca="1" si="94"/>
        <v>0</v>
      </c>
      <c r="CA115" s="54">
        <f t="shared" ca="1" si="94"/>
        <v>0</v>
      </c>
      <c r="CB115" s="54">
        <f t="shared" ca="1" si="94"/>
        <v>0</v>
      </c>
      <c r="CC115" s="54">
        <f t="shared" ca="1" si="94"/>
        <v>0</v>
      </c>
      <c r="CD115" s="54">
        <f t="shared" ca="1" si="94"/>
        <v>0</v>
      </c>
      <c r="CE115" s="54">
        <f t="shared" ca="1" si="94"/>
        <v>0</v>
      </c>
      <c r="CF115" s="54">
        <f t="shared" ca="1" si="94"/>
        <v>0</v>
      </c>
      <c r="CG115" s="54">
        <f t="shared" ca="1" si="94"/>
        <v>0</v>
      </c>
      <c r="CH115" s="54">
        <f t="shared" ca="1" si="94"/>
        <v>0</v>
      </c>
      <c r="CI115" s="54">
        <f t="shared" ca="1" si="94"/>
        <v>0</v>
      </c>
      <c r="CJ115" s="54">
        <f t="shared" ca="1" si="94"/>
        <v>0</v>
      </c>
      <c r="CK115" s="54">
        <f t="shared" ca="1" si="94"/>
        <v>0</v>
      </c>
    </row>
    <row r="116" spans="2:89">
      <c r="B116" s="148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</row>
    <row r="117" spans="2:89" ht="15.75" thickBot="1">
      <c r="B117" s="96" t="s">
        <v>87</v>
      </c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</row>
    <row r="118" spans="2:89">
      <c r="B118" s="151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</row>
    <row r="119" spans="2:89">
      <c r="B119" s="45" t="s">
        <v>88</v>
      </c>
      <c r="C119" s="46"/>
      <c r="D119" s="47">
        <f>SUM(F119:CK119)</f>
        <v>-267718562.89499858</v>
      </c>
      <c r="E119" s="48"/>
      <c r="F119" s="49">
        <f>Финансирование!F122</f>
        <v>0</v>
      </c>
      <c r="G119" s="49">
        <f>Финансирование!G122</f>
        <v>-879041.09589041094</v>
      </c>
      <c r="H119" s="49">
        <f>Финансирование!H122</f>
        <v>-850684.93150684924</v>
      </c>
      <c r="I119" s="49">
        <f>Финансирование!I122</f>
        <v>-879041.09589041094</v>
      </c>
      <c r="J119" s="49">
        <f>Финансирование!J122</f>
        <v>-2790000</v>
      </c>
      <c r="K119" s="49">
        <f>Финансирование!K122</f>
        <v>-2699999.9999999995</v>
      </c>
      <c r="L119" s="49">
        <f>Финансирование!L122</f>
        <v>-2790000</v>
      </c>
      <c r="M119" s="49">
        <f>Финансирование!M122</f>
        <v>-4924109.5890410952</v>
      </c>
      <c r="N119" s="49">
        <f>Финансирование!N122</f>
        <v>-5088246.5753424652</v>
      </c>
      <c r="O119" s="49">
        <f>Финансирование!O122</f>
        <v>-5074344.2622950822</v>
      </c>
      <c r="P119" s="49">
        <f>Финансирование!P122</f>
        <v>-6180327.8688524598</v>
      </c>
      <c r="Q119" s="49">
        <f>Финансирование!Q122</f>
        <v>-6606557.3770491797</v>
      </c>
      <c r="R119" s="49">
        <f>Финансирование!R122</f>
        <v>-6393442.6229508193</v>
      </c>
      <c r="S119" s="49">
        <f>Финансирование!S122</f>
        <v>-6553620.2185792346</v>
      </c>
      <c r="T119" s="49">
        <f>Финансирование!T122</f>
        <v>-6290983.6065573767</v>
      </c>
      <c r="U119" s="49">
        <f>Финансирование!U122</f>
        <v>-6447745.9016393442</v>
      </c>
      <c r="V119" s="49">
        <f>Финансирование!V122</f>
        <v>-6394808.743169399</v>
      </c>
      <c r="W119" s="49">
        <f>Финансирование!W122</f>
        <v>-6137295.0819672123</v>
      </c>
      <c r="X119" s="49">
        <f>Финансирование!X122</f>
        <v>-6288934.4262295077</v>
      </c>
      <c r="Y119" s="49">
        <f>Финансирование!Y122</f>
        <v>-6034836.0655737706</v>
      </c>
      <c r="Z119" s="49">
        <f>Финансирование!Z122</f>
        <v>-6183060.1092896173</v>
      </c>
      <c r="AA119" s="49">
        <f>Финансирование!AA122</f>
        <v>-6146917.8082191776</v>
      </c>
      <c r="AB119" s="49">
        <f>Финансирование!AB122</f>
        <v>-5504109.5890410962</v>
      </c>
      <c r="AC119" s="49">
        <f>Финансирование!AC122</f>
        <v>-6040753.4246575339</v>
      </c>
      <c r="AD119" s="49">
        <f>Финансирование!AD122</f>
        <v>-5794520.5479452051</v>
      </c>
      <c r="AE119" s="49">
        <f>Финансирование!AE122</f>
        <v>-5867857.1428571427</v>
      </c>
      <c r="AF119" s="49">
        <f>Финансирование!AF122</f>
        <v>-5562622.3091976512</v>
      </c>
      <c r="AG119" s="49">
        <f>Финансирование!AG122</f>
        <v>-5628228.9628180042</v>
      </c>
      <c r="AH119" s="49">
        <f>Финансирование!AH122</f>
        <v>-5508414.8727984354</v>
      </c>
      <c r="AI119" s="49">
        <f>Финансирование!AI122</f>
        <v>-5214774.9510763213</v>
      </c>
      <c r="AJ119" s="49">
        <f>Финансирование!AJ122</f>
        <v>-5268786.6927592959</v>
      </c>
      <c r="AK119" s="49">
        <f>Финансирование!AK122</f>
        <v>-4982876.7123287674</v>
      </c>
      <c r="AL119" s="49">
        <f>Финансирование!AL122</f>
        <v>-5029158.5127201574</v>
      </c>
      <c r="AM119" s="49">
        <f>Финансирование!AM122</f>
        <v>-4909344.4227005877</v>
      </c>
      <c r="AN119" s="49">
        <f>Финансирование!AN122</f>
        <v>-4326027.3972602747</v>
      </c>
      <c r="AO119" s="49">
        <f>Финансирование!AO122</f>
        <v>-4669716.2426614482</v>
      </c>
      <c r="AP119" s="49">
        <f>Финансирование!AP122</f>
        <v>-4403131.1154598836</v>
      </c>
      <c r="AQ119" s="49">
        <f>Финансирование!AQ122</f>
        <v>-4430088.0626223106</v>
      </c>
      <c r="AR119" s="49">
        <f>Финансирование!AR122</f>
        <v>-4171232.8767123297</v>
      </c>
      <c r="AS119" s="49">
        <f>Финансирование!AS122</f>
        <v>-4190459.8825831711</v>
      </c>
      <c r="AT119" s="49">
        <f>Финансирование!AT122</f>
        <v>-4070645.7925636023</v>
      </c>
      <c r="AU119" s="49">
        <f>Финансирование!AU122</f>
        <v>-3823385.5185909988</v>
      </c>
      <c r="AV119" s="49">
        <f>Финансирование!AV122</f>
        <v>-3831017.6125244633</v>
      </c>
      <c r="AW119" s="49">
        <f>Финансирование!AW122</f>
        <v>-3591487.2798434459</v>
      </c>
      <c r="AX119" s="49">
        <f>Финансирование!AX122</f>
        <v>-3591389.4324853243</v>
      </c>
      <c r="AY119" s="49">
        <f>Финансирование!AY122</f>
        <v>-3471575.3424657555</v>
      </c>
      <c r="AZ119" s="49">
        <f>Финансирование!AZ122</f>
        <v>-3027397.2602739744</v>
      </c>
      <c r="BA119" s="49">
        <f>Финансирование!BA122</f>
        <v>-3231947.1624266161</v>
      </c>
      <c r="BB119" s="49">
        <f>Финансирование!BB122</f>
        <v>-3011741.6829745611</v>
      </c>
      <c r="BC119" s="49">
        <f>Финансирование!BC122</f>
        <v>-2992318.9823874775</v>
      </c>
      <c r="BD119" s="49">
        <f>Финансирование!BD122</f>
        <v>-2779843.4442270072</v>
      </c>
      <c r="BE119" s="49">
        <f>Финансирование!BE122</f>
        <v>-2752690.8023483381</v>
      </c>
      <c r="BF119" s="49">
        <f>Финансирование!BF122</f>
        <v>-2632876.7123287688</v>
      </c>
      <c r="BG119" s="49">
        <f>Финансирование!BG122</f>
        <v>-2431996.0861056764</v>
      </c>
      <c r="BH119" s="49">
        <f>Финансирование!BH122</f>
        <v>-2393248.5322896298</v>
      </c>
      <c r="BI119" s="49">
        <f>Финансирование!BI122</f>
        <v>-2200097.8473581225</v>
      </c>
      <c r="BJ119" s="49">
        <f>Финансирование!BJ122</f>
        <v>-2153620.3522504903</v>
      </c>
      <c r="BK119" s="49">
        <f>Финансирование!BK122</f>
        <v>-2028249.4145199074</v>
      </c>
      <c r="BL119" s="49">
        <f>Финансирование!BL122</f>
        <v>-1785616.7056986743</v>
      </c>
      <c r="BM119" s="49">
        <f>Финансирование!BM122</f>
        <v>-1789275.9562841542</v>
      </c>
      <c r="BN119" s="49">
        <f>Финансирование!BN122</f>
        <v>-1615925.0585480104</v>
      </c>
      <c r="BO119" s="49">
        <f>Финансирование!BO122</f>
        <v>-1550302.498048401</v>
      </c>
      <c r="BP119" s="49">
        <f>Финансирование!BP122</f>
        <v>-1384660.421545669</v>
      </c>
      <c r="BQ119" s="49">
        <f>Финансирование!BQ122</f>
        <v>-1311329.0398126475</v>
      </c>
      <c r="BR119" s="49">
        <f>Финансирование!BR122</f>
        <v>-1191842.3106947711</v>
      </c>
      <c r="BS119" s="49">
        <f>Финансирование!BS122</f>
        <v>-1037763.4660421559</v>
      </c>
      <c r="BT119" s="49">
        <f>Финансирование!BT122</f>
        <v>-952868.85245901777</v>
      </c>
      <c r="BU119" s="49">
        <f>Финансирование!BU122</f>
        <v>-870901.63934426359</v>
      </c>
      <c r="BV119" s="49">
        <f>Финансирование!BV122</f>
        <v>-846994.53551912704</v>
      </c>
      <c r="BW119" s="49">
        <f>Финансирование!BW122</f>
        <v>-796232.87671233015</v>
      </c>
      <c r="BX119" s="49">
        <f>Финансирование!BX122</f>
        <v>-671232.87671233015</v>
      </c>
      <c r="BY119" s="49">
        <f>Финансирование!BY122</f>
        <v>-690068.49315068638</v>
      </c>
      <c r="BZ119" s="49">
        <f>Финансирование!BZ122</f>
        <v>-616438.35616438475</v>
      </c>
      <c r="CA119" s="49">
        <f>Финансирование!CA122</f>
        <v>-583904.10958904249</v>
      </c>
      <c r="CB119" s="49">
        <f>Финансирование!CB122</f>
        <v>-513698.6301369876</v>
      </c>
      <c r="CC119" s="49">
        <f>Финансирование!CC122</f>
        <v>-477739.72602739866</v>
      </c>
      <c r="CD119" s="49">
        <f>Финансирование!CD122</f>
        <v>-424657.53424657678</v>
      </c>
      <c r="CE119" s="49">
        <f>Финансирование!CE122</f>
        <v>-359589.04109589173</v>
      </c>
      <c r="CF119" s="49">
        <f>Финансирование!CF122</f>
        <v>-318493.15068493289</v>
      </c>
      <c r="CG119" s="49">
        <f>Финансирование!CG122</f>
        <v>-256849.31506849447</v>
      </c>
      <c r="CH119" s="49">
        <f>Финансирование!CH122</f>
        <v>-212328.76712328906</v>
      </c>
      <c r="CI119" s="49">
        <f>Финансирование!CI122</f>
        <v>-159246.57534246711</v>
      </c>
      <c r="CJ119" s="49">
        <f>Финансирование!CJ122</f>
        <v>-95890.410958905355</v>
      </c>
      <c r="CK119" s="49">
        <f>Финансирование!CK122</f>
        <v>-53082.191780823297</v>
      </c>
    </row>
    <row r="120" spans="2:89" ht="15.75" thickBot="1">
      <c r="B120" s="45" t="s">
        <v>154</v>
      </c>
      <c r="C120" s="46"/>
      <c r="D120" s="47">
        <f>SUM(F120:CK120)</f>
        <v>-1200000000.000001</v>
      </c>
      <c r="E120" s="48"/>
      <c r="F120" s="49">
        <f>Финансирование!F88+Финансирование!F89</f>
        <v>0</v>
      </c>
      <c r="G120" s="49">
        <f>Финансирование!G88+Финансирование!G89</f>
        <v>0</v>
      </c>
      <c r="H120" s="49">
        <f>Финансирование!H88+Финансирование!H89</f>
        <v>0</v>
      </c>
      <c r="I120" s="49">
        <f>Финансирование!I88+Финансирование!I89</f>
        <v>0</v>
      </c>
      <c r="J120" s="49">
        <f>Финансирование!J88+Финансирование!J89</f>
        <v>0</v>
      </c>
      <c r="K120" s="49">
        <f>Финансирование!K88+Финансирование!K89</f>
        <v>0</v>
      </c>
      <c r="L120" s="49">
        <f>Финансирование!L88+Финансирование!L89</f>
        <v>0</v>
      </c>
      <c r="M120" s="49">
        <f>Финансирование!M88+Финансирование!M89</f>
        <v>0</v>
      </c>
      <c r="N120" s="49">
        <f>Финансирование!N88+Финансирование!N89</f>
        <v>0</v>
      </c>
      <c r="O120" s="49">
        <f>Финансирование!O88+Финансирование!O89</f>
        <v>0</v>
      </c>
      <c r="P120" s="49">
        <f>Финансирование!P88+Финансирование!P89</f>
        <v>0</v>
      </c>
      <c r="Q120" s="49">
        <f>Финансирование!Q88+Финансирование!Q89</f>
        <v>0</v>
      </c>
      <c r="R120" s="49">
        <f>Финансирование!R88+Финансирование!R89</f>
        <v>-12500000</v>
      </c>
      <c r="S120" s="49">
        <f>Финансирование!S88+Финансирование!S89</f>
        <v>-12500000</v>
      </c>
      <c r="T120" s="49">
        <f>Финансирование!T88+Финансирование!T89</f>
        <v>-12500000</v>
      </c>
      <c r="U120" s="49">
        <f>Финансирование!U88+Финансирование!U89</f>
        <v>-12500000</v>
      </c>
      <c r="V120" s="49">
        <f>Финансирование!V88+Финансирование!V89</f>
        <v>-12500000</v>
      </c>
      <c r="W120" s="49">
        <f>Финансирование!W88+Финансирование!W89</f>
        <v>-12500000</v>
      </c>
      <c r="X120" s="49">
        <f>Финансирование!X88+Финансирование!X89</f>
        <v>-12500000</v>
      </c>
      <c r="Y120" s="49">
        <f>Финансирование!Y88+Финансирование!Y89</f>
        <v>-12500000</v>
      </c>
      <c r="Z120" s="49">
        <f>Финансирование!Z88+Финансирование!Z89</f>
        <v>-12500000</v>
      </c>
      <c r="AA120" s="49">
        <f>Финансирование!AA88+Финансирование!AA89</f>
        <v>-12500000</v>
      </c>
      <c r="AB120" s="49">
        <f>Финансирование!AB88+Финансирование!AB89</f>
        <v>-12500000</v>
      </c>
      <c r="AC120" s="49">
        <f>Финансирование!AC88+Финансирование!AC89</f>
        <v>-12500000</v>
      </c>
      <c r="AD120" s="49">
        <f>Финансирование!AD88+Финансирование!AD89</f>
        <v>-19642857.142857142</v>
      </c>
      <c r="AE120" s="49">
        <f>Финансирование!AE88+Финансирование!AE89</f>
        <v>-19642857.142857142</v>
      </c>
      <c r="AF120" s="49">
        <f>Финансирование!AF88+Финансирование!AF89</f>
        <v>-19642857.142857142</v>
      </c>
      <c r="AG120" s="49">
        <f>Финансирование!AG88+Финансирование!AG89</f>
        <v>-19642857.142857142</v>
      </c>
      <c r="AH120" s="49">
        <f>Финансирование!AH88+Финансирование!AH89</f>
        <v>-19642857.142857142</v>
      </c>
      <c r="AI120" s="49">
        <f>Финансирование!AI88+Финансирование!AI89</f>
        <v>-19642857.142857142</v>
      </c>
      <c r="AJ120" s="49">
        <f>Финансирование!AJ88+Финансирование!AJ89</f>
        <v>-19642857.142857142</v>
      </c>
      <c r="AK120" s="49">
        <f>Финансирование!AK88+Финансирование!AK89</f>
        <v>-19642857.142857142</v>
      </c>
      <c r="AL120" s="49">
        <f>Финансирование!AL88+Финансирование!AL89</f>
        <v>-19642857.142857142</v>
      </c>
      <c r="AM120" s="49">
        <f>Финансирование!AM88+Финансирование!AM89</f>
        <v>-19642857.142857142</v>
      </c>
      <c r="AN120" s="49">
        <f>Финансирование!AN88+Финансирование!AN89</f>
        <v>-19642857.142857142</v>
      </c>
      <c r="AO120" s="49">
        <f>Финансирование!AO88+Финансирование!AO89</f>
        <v>-19642857.142857142</v>
      </c>
      <c r="AP120" s="49">
        <f>Финансирование!AP88+Финансирование!AP89</f>
        <v>-19642857.142857142</v>
      </c>
      <c r="AQ120" s="49">
        <f>Финансирование!AQ88+Финансирование!AQ89</f>
        <v>-19642857.142857142</v>
      </c>
      <c r="AR120" s="49">
        <f>Финансирование!AR88+Финансирование!AR89</f>
        <v>-19642857.142857142</v>
      </c>
      <c r="AS120" s="49">
        <f>Финансирование!AS88+Финансирование!AS89</f>
        <v>-19642857.142857142</v>
      </c>
      <c r="AT120" s="49">
        <f>Финансирование!AT88+Финансирование!AT89</f>
        <v>-19642857.142857142</v>
      </c>
      <c r="AU120" s="49">
        <f>Финансирование!AU88+Финансирование!AU89</f>
        <v>-19642857.142857142</v>
      </c>
      <c r="AV120" s="49">
        <f>Финансирование!AV88+Финансирование!AV89</f>
        <v>-19642857.142857142</v>
      </c>
      <c r="AW120" s="49">
        <f>Финансирование!AW88+Финансирование!AW89</f>
        <v>-19642857.142857142</v>
      </c>
      <c r="AX120" s="49">
        <f>Финансирование!AX88+Финансирование!AX89</f>
        <v>-19642857.142857142</v>
      </c>
      <c r="AY120" s="49">
        <f>Финансирование!AY88+Финансирование!AY89</f>
        <v>-19642857.142857142</v>
      </c>
      <c r="AZ120" s="49">
        <f>Финансирование!AZ88+Финансирование!AZ89</f>
        <v>-19642857.142857142</v>
      </c>
      <c r="BA120" s="49">
        <f>Финансирование!BA88+Финансирование!BA89</f>
        <v>-19642857.142857142</v>
      </c>
      <c r="BB120" s="49">
        <f>Финансирование!BB88+Финансирование!BB89</f>
        <v>-19642857.142857142</v>
      </c>
      <c r="BC120" s="49">
        <f>Финансирование!BC88+Финансирование!BC89</f>
        <v>-19642857.142857142</v>
      </c>
      <c r="BD120" s="49">
        <f>Финансирование!BD88+Финансирование!BD89</f>
        <v>-19642857.142857142</v>
      </c>
      <c r="BE120" s="49">
        <f>Финансирование!BE88+Финансирование!BE89</f>
        <v>-19642857.142857142</v>
      </c>
      <c r="BF120" s="49">
        <f>Финансирование!BF88+Финансирование!BF89</f>
        <v>-19642857.142857142</v>
      </c>
      <c r="BG120" s="49">
        <f>Финансирование!BG88+Финансирование!BG89</f>
        <v>-19642857.142857142</v>
      </c>
      <c r="BH120" s="49">
        <f>Финансирование!BH88+Финансирование!BH89</f>
        <v>-19642857.142857142</v>
      </c>
      <c r="BI120" s="49">
        <f>Финансирование!BI88+Финансирование!BI89</f>
        <v>-19642857.142857142</v>
      </c>
      <c r="BJ120" s="49">
        <f>Финансирование!BJ88+Финансирование!BJ89</f>
        <v>-19642857.142857142</v>
      </c>
      <c r="BK120" s="49">
        <f>Финансирование!BK88+Финансирование!BK89</f>
        <v>-19642857.142857142</v>
      </c>
      <c r="BL120" s="49">
        <f>Финансирование!BL88+Финансирование!BL89</f>
        <v>-19642857.142857142</v>
      </c>
      <c r="BM120" s="49">
        <f>Финансирование!BM88+Финансирование!BM89</f>
        <v>-19642857.142857142</v>
      </c>
      <c r="BN120" s="49">
        <f>Финансирование!BN88+Финансирование!BN89</f>
        <v>-19642857.142857142</v>
      </c>
      <c r="BO120" s="49">
        <f>Финансирование!BO88+Финансирование!BO89</f>
        <v>-19642857.142857142</v>
      </c>
      <c r="BP120" s="49">
        <f>Финансирование!BP88+Финансирование!BP89</f>
        <v>-19642857.142857142</v>
      </c>
      <c r="BQ120" s="49">
        <f>Финансирование!BQ88+Финансирование!BQ89</f>
        <v>-19642857.142857142</v>
      </c>
      <c r="BR120" s="49">
        <f>Финансирование!BR88+Финансирование!BR89</f>
        <v>-19642857.142857142</v>
      </c>
      <c r="BS120" s="49">
        <f>Финансирование!BS88+Финансирование!BS89</f>
        <v>-19642857.142857142</v>
      </c>
      <c r="BT120" s="49">
        <f>Финансирование!BT88+Финансирование!BT89</f>
        <v>-12500000</v>
      </c>
      <c r="BU120" s="49">
        <f>Финансирование!BU88+Финансирование!BU89</f>
        <v>-12500000</v>
      </c>
      <c r="BV120" s="49">
        <f>Финансирование!BV88+Финансирование!BV89</f>
        <v>-12500000</v>
      </c>
      <c r="BW120" s="49">
        <f>Финансирование!BW88+Финансирование!BW89</f>
        <v>-12500000</v>
      </c>
      <c r="BX120" s="49">
        <f>Финансирование!BX88+Финансирование!BX89</f>
        <v>-12500000</v>
      </c>
      <c r="BY120" s="49">
        <f>Финансирование!BY88+Финансирование!BY89</f>
        <v>-12500000</v>
      </c>
      <c r="BZ120" s="49">
        <f>Финансирование!BZ88+Финансирование!BZ89</f>
        <v>-12500000</v>
      </c>
      <c r="CA120" s="49">
        <f>Финансирование!CA88+Финансирование!CA89</f>
        <v>-12500000</v>
      </c>
      <c r="CB120" s="49">
        <f>Финансирование!CB88+Финансирование!CB89</f>
        <v>-12500000</v>
      </c>
      <c r="CC120" s="49">
        <f>Финансирование!CC88+Финансирование!CC89</f>
        <v>-12500000</v>
      </c>
      <c r="CD120" s="49">
        <f>Финансирование!CD88+Финансирование!CD89</f>
        <v>-12500000</v>
      </c>
      <c r="CE120" s="49">
        <f>Финансирование!CE88+Финансирование!CE89</f>
        <v>-12500000</v>
      </c>
      <c r="CF120" s="49">
        <f>Финансирование!CF88+Финансирование!CF89</f>
        <v>-12500000</v>
      </c>
      <c r="CG120" s="49">
        <f>Финансирование!CG88+Финансирование!CG89</f>
        <v>-12500000</v>
      </c>
      <c r="CH120" s="49">
        <f>Финансирование!CH88+Финансирование!CH89</f>
        <v>-12500000</v>
      </c>
      <c r="CI120" s="49">
        <f>Финансирование!CI88+Финансирование!CI89</f>
        <v>-12500000</v>
      </c>
      <c r="CJ120" s="49">
        <f>Финансирование!CJ88+Финансирование!CJ89</f>
        <v>-12500000</v>
      </c>
      <c r="CK120" s="49">
        <f>Финансирование!CK88+Финансирование!CK89</f>
        <v>-12500000</v>
      </c>
    </row>
    <row r="121" spans="2:89" ht="15.75" thickTop="1">
      <c r="B121" s="50" t="s">
        <v>91</v>
      </c>
      <c r="C121" s="51"/>
      <c r="D121" s="52">
        <f>SUM(D119:D120)</f>
        <v>-1467718562.8949995</v>
      </c>
      <c r="E121" s="53"/>
      <c r="F121" s="54">
        <f>SUM(F119:F120)</f>
        <v>0</v>
      </c>
      <c r="G121" s="54">
        <f t="shared" ref="G121:AG121" si="95">SUM(G119:G120)</f>
        <v>-879041.09589041094</v>
      </c>
      <c r="H121" s="54">
        <f t="shared" si="95"/>
        <v>-850684.93150684924</v>
      </c>
      <c r="I121" s="54">
        <f t="shared" si="95"/>
        <v>-879041.09589041094</v>
      </c>
      <c r="J121" s="54">
        <f t="shared" si="95"/>
        <v>-2790000</v>
      </c>
      <c r="K121" s="54">
        <f t="shared" si="95"/>
        <v>-2699999.9999999995</v>
      </c>
      <c r="L121" s="54">
        <f t="shared" si="95"/>
        <v>-2790000</v>
      </c>
      <c r="M121" s="54">
        <f t="shared" si="95"/>
        <v>-4924109.5890410952</v>
      </c>
      <c r="N121" s="54">
        <f t="shared" si="95"/>
        <v>-5088246.5753424652</v>
      </c>
      <c r="O121" s="54">
        <f t="shared" si="95"/>
        <v>-5074344.2622950822</v>
      </c>
      <c r="P121" s="54">
        <f t="shared" si="95"/>
        <v>-6180327.8688524598</v>
      </c>
      <c r="Q121" s="54">
        <f t="shared" si="95"/>
        <v>-6606557.3770491797</v>
      </c>
      <c r="R121" s="54">
        <f t="shared" si="95"/>
        <v>-18893442.622950818</v>
      </c>
      <c r="S121" s="54">
        <f t="shared" si="95"/>
        <v>-19053620.218579233</v>
      </c>
      <c r="T121" s="54">
        <f t="shared" si="95"/>
        <v>-18790983.606557377</v>
      </c>
      <c r="U121" s="54">
        <f t="shared" si="95"/>
        <v>-18947745.901639342</v>
      </c>
      <c r="V121" s="54">
        <f t="shared" si="95"/>
        <v>-18894808.743169397</v>
      </c>
      <c r="W121" s="54">
        <f t="shared" si="95"/>
        <v>-18637295.081967212</v>
      </c>
      <c r="X121" s="54">
        <f t="shared" si="95"/>
        <v>-18788934.426229507</v>
      </c>
      <c r="Y121" s="54">
        <f t="shared" si="95"/>
        <v>-18534836.065573771</v>
      </c>
      <c r="Z121" s="54">
        <f t="shared" si="95"/>
        <v>-18683060.109289616</v>
      </c>
      <c r="AA121" s="54">
        <f t="shared" si="95"/>
        <v>-18646917.80821918</v>
      </c>
      <c r="AB121" s="54">
        <f t="shared" si="95"/>
        <v>-18004109.589041095</v>
      </c>
      <c r="AC121" s="54">
        <f t="shared" si="95"/>
        <v>-18540753.424657535</v>
      </c>
      <c r="AD121" s="54">
        <f t="shared" si="95"/>
        <v>-25437377.690802347</v>
      </c>
      <c r="AE121" s="54">
        <f t="shared" si="95"/>
        <v>-25510714.285714284</v>
      </c>
      <c r="AF121" s="54">
        <f t="shared" si="95"/>
        <v>-25205479.452054791</v>
      </c>
      <c r="AG121" s="54">
        <f t="shared" si="95"/>
        <v>-25271086.105675146</v>
      </c>
      <c r="AH121" s="54">
        <f t="shared" ref="AH121:BM121" si="96">SUM(AH119:AH120)</f>
        <v>-25151272.015655577</v>
      </c>
      <c r="AI121" s="54">
        <f t="shared" si="96"/>
        <v>-24857632.093933463</v>
      </c>
      <c r="AJ121" s="54">
        <f t="shared" si="96"/>
        <v>-24911643.83561644</v>
      </c>
      <c r="AK121" s="54">
        <f t="shared" si="96"/>
        <v>-24625733.855185911</v>
      </c>
      <c r="AL121" s="54">
        <f t="shared" si="96"/>
        <v>-24672015.655577298</v>
      </c>
      <c r="AM121" s="54">
        <f t="shared" si="96"/>
        <v>-24552201.565557729</v>
      </c>
      <c r="AN121" s="54">
        <f t="shared" si="96"/>
        <v>-23968884.540117417</v>
      </c>
      <c r="AO121" s="54">
        <f t="shared" si="96"/>
        <v>-24312573.385518588</v>
      </c>
      <c r="AP121" s="54">
        <f t="shared" si="96"/>
        <v>-24045988.258317024</v>
      </c>
      <c r="AQ121" s="54">
        <f t="shared" si="96"/>
        <v>-24072945.205479451</v>
      </c>
      <c r="AR121" s="54">
        <f t="shared" si="96"/>
        <v>-23814090.019569471</v>
      </c>
      <c r="AS121" s="54">
        <f t="shared" si="96"/>
        <v>-23833317.025440313</v>
      </c>
      <c r="AT121" s="54">
        <f t="shared" si="96"/>
        <v>-23713502.935420744</v>
      </c>
      <c r="AU121" s="54">
        <f t="shared" si="96"/>
        <v>-23466242.66144814</v>
      </c>
      <c r="AV121" s="54">
        <f t="shared" si="96"/>
        <v>-23473874.755381607</v>
      </c>
      <c r="AW121" s="54">
        <f t="shared" si="96"/>
        <v>-23234344.422700588</v>
      </c>
      <c r="AX121" s="54">
        <f t="shared" si="96"/>
        <v>-23234246.575342465</v>
      </c>
      <c r="AY121" s="54">
        <f t="shared" si="96"/>
        <v>-23114432.485322896</v>
      </c>
      <c r="AZ121" s="54">
        <f t="shared" si="96"/>
        <v>-22670254.403131116</v>
      </c>
      <c r="BA121" s="54">
        <f t="shared" si="96"/>
        <v>-22874804.305283759</v>
      </c>
      <c r="BB121" s="54">
        <f t="shared" si="96"/>
        <v>-22654598.825831704</v>
      </c>
      <c r="BC121" s="54">
        <f t="shared" si="96"/>
        <v>-22635176.125244617</v>
      </c>
      <c r="BD121" s="54">
        <f t="shared" si="96"/>
        <v>-22422700.587084148</v>
      </c>
      <c r="BE121" s="54">
        <f t="shared" si="96"/>
        <v>-22395547.94520548</v>
      </c>
      <c r="BF121" s="54">
        <f t="shared" si="96"/>
        <v>-22275733.855185911</v>
      </c>
      <c r="BG121" s="54">
        <f t="shared" si="96"/>
        <v>-22074853.228962816</v>
      </c>
      <c r="BH121" s="54">
        <f t="shared" si="96"/>
        <v>-22036105.675146773</v>
      </c>
      <c r="BI121" s="54">
        <f t="shared" si="96"/>
        <v>-21842954.990215264</v>
      </c>
      <c r="BJ121" s="54">
        <f t="shared" si="96"/>
        <v>-21796477.495107632</v>
      </c>
      <c r="BK121" s="54">
        <f t="shared" si="96"/>
        <v>-21671106.557377048</v>
      </c>
      <c r="BL121" s="54">
        <f t="shared" si="96"/>
        <v>-21428473.848555814</v>
      </c>
      <c r="BM121" s="54">
        <f t="shared" si="96"/>
        <v>-21432133.099141296</v>
      </c>
      <c r="BN121" s="54">
        <f t="shared" ref="BN121:CK121" si="97">SUM(BN119:BN120)</f>
        <v>-21258782.201405153</v>
      </c>
      <c r="BO121" s="54">
        <f t="shared" si="97"/>
        <v>-21193159.640905544</v>
      </c>
      <c r="BP121" s="54">
        <f t="shared" si="97"/>
        <v>-21027517.564402811</v>
      </c>
      <c r="BQ121" s="54">
        <f t="shared" si="97"/>
        <v>-20954186.182669789</v>
      </c>
      <c r="BR121" s="54">
        <f t="shared" si="97"/>
        <v>-20834699.453551915</v>
      </c>
      <c r="BS121" s="54">
        <f t="shared" si="97"/>
        <v>-20680620.608899299</v>
      </c>
      <c r="BT121" s="54">
        <f t="shared" si="97"/>
        <v>-13452868.852459017</v>
      </c>
      <c r="BU121" s="54">
        <f t="shared" si="97"/>
        <v>-13370901.639344264</v>
      </c>
      <c r="BV121" s="54">
        <f t="shared" si="97"/>
        <v>-13346994.535519127</v>
      </c>
      <c r="BW121" s="54">
        <f t="shared" si="97"/>
        <v>-13296232.87671233</v>
      </c>
      <c r="BX121" s="54">
        <f t="shared" si="97"/>
        <v>-13171232.87671233</v>
      </c>
      <c r="BY121" s="54">
        <f t="shared" si="97"/>
        <v>-13190068.493150687</v>
      </c>
      <c r="BZ121" s="54">
        <f t="shared" si="97"/>
        <v>-13116438.356164385</v>
      </c>
      <c r="CA121" s="54">
        <f t="shared" si="97"/>
        <v>-13083904.109589042</v>
      </c>
      <c r="CB121" s="54">
        <f t="shared" si="97"/>
        <v>-13013698.630136987</v>
      </c>
      <c r="CC121" s="54">
        <f t="shared" si="97"/>
        <v>-12977739.726027399</v>
      </c>
      <c r="CD121" s="54">
        <f t="shared" si="97"/>
        <v>-12924657.534246577</v>
      </c>
      <c r="CE121" s="54">
        <f t="shared" si="97"/>
        <v>-12859589.041095892</v>
      </c>
      <c r="CF121" s="54">
        <f t="shared" si="97"/>
        <v>-12818493.150684932</v>
      </c>
      <c r="CG121" s="54">
        <f t="shared" si="97"/>
        <v>-12756849.315068495</v>
      </c>
      <c r="CH121" s="54">
        <f t="shared" si="97"/>
        <v>-12712328.767123289</v>
      </c>
      <c r="CI121" s="54">
        <f t="shared" si="97"/>
        <v>-12659246.575342467</v>
      </c>
      <c r="CJ121" s="54">
        <f t="shared" si="97"/>
        <v>-12595890.410958905</v>
      </c>
      <c r="CK121" s="54">
        <f t="shared" si="97"/>
        <v>-12553082.191780824</v>
      </c>
    </row>
    <row r="122" spans="2:89" ht="15.75" thickBot="1">
      <c r="B122" s="148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</row>
    <row r="123" spans="2:89" ht="16.5" thickTop="1" thickBot="1">
      <c r="B123" s="105" t="s">
        <v>567</v>
      </c>
      <c r="C123" s="106"/>
      <c r="D123" s="107">
        <f ca="1">SUM(F123:CK123)</f>
        <v>-267708562.89499843</v>
      </c>
      <c r="E123" s="108"/>
      <c r="F123" s="109">
        <f t="shared" ref="F123:AK123" ca="1" si="98">SUM(F115,F121)</f>
        <v>207010000</v>
      </c>
      <c r="G123" s="109">
        <f t="shared" ca="1" si="98"/>
        <v>-879041.09589041094</v>
      </c>
      <c r="H123" s="109">
        <f t="shared" ca="1" si="98"/>
        <v>-850684.93150684924</v>
      </c>
      <c r="I123" s="109">
        <f t="shared" ca="1" si="98"/>
        <v>449120958.9041096</v>
      </c>
      <c r="J123" s="109">
        <f t="shared" ca="1" si="98"/>
        <v>-2790000</v>
      </c>
      <c r="K123" s="109">
        <f t="shared" ca="1" si="98"/>
        <v>-2699999.9999999995</v>
      </c>
      <c r="L123" s="109">
        <f t="shared" ca="1" si="98"/>
        <v>297210000</v>
      </c>
      <c r="M123" s="109">
        <f t="shared" ca="1" si="98"/>
        <v>-4924109.5890410952</v>
      </c>
      <c r="N123" s="109">
        <f t="shared" ca="1" si="98"/>
        <v>-5088246.5753424652</v>
      </c>
      <c r="O123" s="109">
        <f t="shared" ca="1" si="98"/>
        <v>237925655.73770493</v>
      </c>
      <c r="P123" s="109">
        <f t="shared" ca="1" si="98"/>
        <v>-6180327.8688524598</v>
      </c>
      <c r="Q123" s="109">
        <f t="shared" ca="1" si="98"/>
        <v>-6606557.3770491797</v>
      </c>
      <c r="R123" s="109">
        <f t="shared" ca="1" si="98"/>
        <v>-18893442.622950818</v>
      </c>
      <c r="S123" s="109">
        <f t="shared" ca="1" si="98"/>
        <v>-19053620.218579233</v>
      </c>
      <c r="T123" s="109">
        <f t="shared" ca="1" si="98"/>
        <v>-18790983.606557377</v>
      </c>
      <c r="U123" s="109">
        <f t="shared" ca="1" si="98"/>
        <v>-18947745.901639342</v>
      </c>
      <c r="V123" s="109">
        <f t="shared" ca="1" si="98"/>
        <v>-18894808.743169397</v>
      </c>
      <c r="W123" s="109">
        <f t="shared" ca="1" si="98"/>
        <v>-18637295.081967212</v>
      </c>
      <c r="X123" s="109">
        <f t="shared" ca="1" si="98"/>
        <v>-18788934.426229507</v>
      </c>
      <c r="Y123" s="109">
        <f t="shared" ca="1" si="98"/>
        <v>-18534836.065573771</v>
      </c>
      <c r="Z123" s="109">
        <f t="shared" ca="1" si="98"/>
        <v>-18683060.109289616</v>
      </c>
      <c r="AA123" s="109">
        <f t="shared" ca="1" si="98"/>
        <v>-18646917.80821918</v>
      </c>
      <c r="AB123" s="109">
        <f t="shared" ca="1" si="98"/>
        <v>-18004109.589041095</v>
      </c>
      <c r="AC123" s="109">
        <f t="shared" ca="1" si="98"/>
        <v>-18540753.424657535</v>
      </c>
      <c r="AD123" s="109">
        <f t="shared" ca="1" si="98"/>
        <v>-25437377.690802347</v>
      </c>
      <c r="AE123" s="109">
        <f t="shared" ca="1" si="98"/>
        <v>-25510714.285714284</v>
      </c>
      <c r="AF123" s="109">
        <f t="shared" ca="1" si="98"/>
        <v>-25205479.452054791</v>
      </c>
      <c r="AG123" s="109">
        <f t="shared" ca="1" si="98"/>
        <v>-25271086.105675146</v>
      </c>
      <c r="AH123" s="109">
        <f t="shared" ca="1" si="98"/>
        <v>-25151272.015655577</v>
      </c>
      <c r="AI123" s="109">
        <f t="shared" ca="1" si="98"/>
        <v>-24857632.093933463</v>
      </c>
      <c r="AJ123" s="109">
        <f t="shared" ca="1" si="98"/>
        <v>-24911643.83561644</v>
      </c>
      <c r="AK123" s="109">
        <f t="shared" ca="1" si="98"/>
        <v>-24625733.855185911</v>
      </c>
      <c r="AL123" s="109">
        <f t="shared" ref="AL123:BM123" ca="1" si="99">SUM(AL115,AL121)</f>
        <v>-24672015.655577298</v>
      </c>
      <c r="AM123" s="109">
        <f t="shared" ca="1" si="99"/>
        <v>-24552201.565557729</v>
      </c>
      <c r="AN123" s="109">
        <f t="shared" ca="1" si="99"/>
        <v>-23968884.540117417</v>
      </c>
      <c r="AO123" s="109">
        <f t="shared" ca="1" si="99"/>
        <v>-24312573.385518588</v>
      </c>
      <c r="AP123" s="109">
        <f t="shared" ca="1" si="99"/>
        <v>-24045988.258317024</v>
      </c>
      <c r="AQ123" s="109">
        <f t="shared" ca="1" si="99"/>
        <v>-24072945.205479451</v>
      </c>
      <c r="AR123" s="109">
        <f t="shared" ca="1" si="99"/>
        <v>-23814090.019569471</v>
      </c>
      <c r="AS123" s="109">
        <f t="shared" ca="1" si="99"/>
        <v>-23833317.025440313</v>
      </c>
      <c r="AT123" s="109">
        <f t="shared" ca="1" si="99"/>
        <v>-23713502.935420744</v>
      </c>
      <c r="AU123" s="109">
        <f t="shared" ca="1" si="99"/>
        <v>-23466242.66144814</v>
      </c>
      <c r="AV123" s="109">
        <f t="shared" ca="1" si="99"/>
        <v>-23473874.755381607</v>
      </c>
      <c r="AW123" s="109">
        <f t="shared" ca="1" si="99"/>
        <v>-23234344.422700588</v>
      </c>
      <c r="AX123" s="109">
        <f t="shared" ca="1" si="99"/>
        <v>-23234246.575342465</v>
      </c>
      <c r="AY123" s="109">
        <f t="shared" ca="1" si="99"/>
        <v>-23114432.485322896</v>
      </c>
      <c r="AZ123" s="109">
        <f t="shared" ca="1" si="99"/>
        <v>-22670254.403131116</v>
      </c>
      <c r="BA123" s="109">
        <f t="shared" ca="1" si="99"/>
        <v>-22874804.305283759</v>
      </c>
      <c r="BB123" s="109">
        <f t="shared" ca="1" si="99"/>
        <v>-22654598.825831704</v>
      </c>
      <c r="BC123" s="109">
        <f t="shared" ca="1" si="99"/>
        <v>-22635176.125244617</v>
      </c>
      <c r="BD123" s="109">
        <f t="shared" ca="1" si="99"/>
        <v>-22422700.587084148</v>
      </c>
      <c r="BE123" s="109">
        <f t="shared" ca="1" si="99"/>
        <v>-22395547.94520548</v>
      </c>
      <c r="BF123" s="109">
        <f t="shared" ca="1" si="99"/>
        <v>-22275733.855185911</v>
      </c>
      <c r="BG123" s="109">
        <f t="shared" ca="1" si="99"/>
        <v>-22074853.228962816</v>
      </c>
      <c r="BH123" s="109">
        <f t="shared" ca="1" si="99"/>
        <v>-22036105.675146773</v>
      </c>
      <c r="BI123" s="109">
        <f t="shared" ca="1" si="99"/>
        <v>-21842954.990215264</v>
      </c>
      <c r="BJ123" s="109">
        <f t="shared" ca="1" si="99"/>
        <v>-21796477.495107632</v>
      </c>
      <c r="BK123" s="109">
        <f t="shared" ca="1" si="99"/>
        <v>-21671106.557377048</v>
      </c>
      <c r="BL123" s="109">
        <f t="shared" ca="1" si="99"/>
        <v>-21428473.848555814</v>
      </c>
      <c r="BM123" s="109">
        <f t="shared" ca="1" si="99"/>
        <v>-21432133.099141296</v>
      </c>
      <c r="BN123" s="109">
        <f t="shared" ref="BN123:CK123" ca="1" si="100">SUM(BN115,BN121)</f>
        <v>-21258782.201405153</v>
      </c>
      <c r="BO123" s="109">
        <f t="shared" ca="1" si="100"/>
        <v>-21193159.640905544</v>
      </c>
      <c r="BP123" s="109">
        <f t="shared" ca="1" si="100"/>
        <v>-21027517.564402811</v>
      </c>
      <c r="BQ123" s="109">
        <f t="shared" ca="1" si="100"/>
        <v>-20954186.182669789</v>
      </c>
      <c r="BR123" s="109">
        <f t="shared" ca="1" si="100"/>
        <v>-20834699.453551915</v>
      </c>
      <c r="BS123" s="109">
        <f t="shared" ca="1" si="100"/>
        <v>-20680620.608899299</v>
      </c>
      <c r="BT123" s="109">
        <f t="shared" ca="1" si="100"/>
        <v>-13452868.852459017</v>
      </c>
      <c r="BU123" s="109">
        <f t="shared" ca="1" si="100"/>
        <v>-13370901.639344264</v>
      </c>
      <c r="BV123" s="109">
        <f t="shared" ca="1" si="100"/>
        <v>-13346994.535519127</v>
      </c>
      <c r="BW123" s="109">
        <f t="shared" ca="1" si="100"/>
        <v>-13296232.87671233</v>
      </c>
      <c r="BX123" s="109">
        <f t="shared" ca="1" si="100"/>
        <v>-13171232.87671233</v>
      </c>
      <c r="BY123" s="109">
        <f t="shared" ca="1" si="100"/>
        <v>-13190068.493150687</v>
      </c>
      <c r="BZ123" s="109">
        <f t="shared" ca="1" si="100"/>
        <v>-13116438.356164385</v>
      </c>
      <c r="CA123" s="109">
        <f t="shared" ca="1" si="100"/>
        <v>-13083904.109589042</v>
      </c>
      <c r="CB123" s="109">
        <f t="shared" ca="1" si="100"/>
        <v>-13013698.630136987</v>
      </c>
      <c r="CC123" s="109">
        <f t="shared" ca="1" si="100"/>
        <v>-12977739.726027399</v>
      </c>
      <c r="CD123" s="109">
        <f t="shared" ca="1" si="100"/>
        <v>-12924657.534246577</v>
      </c>
      <c r="CE123" s="109">
        <f t="shared" ca="1" si="100"/>
        <v>-12859589.041095892</v>
      </c>
      <c r="CF123" s="109">
        <f t="shared" ca="1" si="100"/>
        <v>-12818493.150684932</v>
      </c>
      <c r="CG123" s="109">
        <f t="shared" ca="1" si="100"/>
        <v>-12756849.315068495</v>
      </c>
      <c r="CH123" s="109">
        <f t="shared" ca="1" si="100"/>
        <v>-12712328.767123289</v>
      </c>
      <c r="CI123" s="109">
        <f t="shared" ca="1" si="100"/>
        <v>-12659246.575342467</v>
      </c>
      <c r="CJ123" s="109">
        <f t="shared" ca="1" si="100"/>
        <v>-12595890.410958905</v>
      </c>
      <c r="CK123" s="109">
        <f t="shared" ca="1" si="100"/>
        <v>-12553082.191780824</v>
      </c>
    </row>
    <row r="124" spans="2:89" ht="15.75" thickTop="1">
      <c r="B124" s="148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</row>
    <row r="125" spans="2:89" ht="18" thickBot="1">
      <c r="B125" s="100" t="s">
        <v>568</v>
      </c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</row>
    <row r="126" spans="2:89" ht="16.5" thickTop="1" thickBot="1">
      <c r="B126" s="148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</row>
    <row r="127" spans="2:89" ht="16.5" thickTop="1" thickBot="1">
      <c r="B127" s="105" t="s">
        <v>89</v>
      </c>
      <c r="C127" s="106"/>
      <c r="D127" s="107">
        <f ca="1">SUM(F127:CK127)</f>
        <v>3644994784.4412136</v>
      </c>
      <c r="E127" s="108"/>
      <c r="F127" s="109">
        <f t="shared" ref="F127:AK127" ca="1" si="101">SUM(F98,F107,F123)</f>
        <v>141270000</v>
      </c>
      <c r="G127" s="109">
        <f t="shared" ca="1" si="101"/>
        <v>-66619041.095890418</v>
      </c>
      <c r="H127" s="109">
        <f t="shared" ca="1" si="101"/>
        <v>-62120684.931506857</v>
      </c>
      <c r="I127" s="109">
        <f t="shared" ca="1" si="101"/>
        <v>300890958.9041096</v>
      </c>
      <c r="J127" s="109">
        <f t="shared" ca="1" si="101"/>
        <v>-151020000</v>
      </c>
      <c r="K127" s="109">
        <f t="shared" ca="1" si="101"/>
        <v>-146600000</v>
      </c>
      <c r="L127" s="109">
        <f t="shared" ca="1" si="101"/>
        <v>203010000</v>
      </c>
      <c r="M127" s="109">
        <f t="shared" ca="1" si="101"/>
        <v>-104824109.5890411</v>
      </c>
      <c r="N127" s="109">
        <f t="shared" ca="1" si="101"/>
        <v>-109488246.57534246</v>
      </c>
      <c r="O127" s="109">
        <f t="shared" ca="1" si="101"/>
        <v>170365655.73770493</v>
      </c>
      <c r="P127" s="109">
        <f t="shared" ca="1" si="101"/>
        <v>-80810327.868852466</v>
      </c>
      <c r="Q127" s="109">
        <f t="shared" ca="1" si="101"/>
        <v>-93836620.052290335</v>
      </c>
      <c r="R127" s="109">
        <f t="shared" ca="1" si="101"/>
        <v>32479257.401060175</v>
      </c>
      <c r="S127" s="109">
        <f t="shared" ca="1" si="101"/>
        <v>6502632.7501348034</v>
      </c>
      <c r="T127" s="109">
        <f t="shared" ca="1" si="101"/>
        <v>1551018.3014988601</v>
      </c>
      <c r="U127" s="109">
        <f t="shared" ca="1" si="101"/>
        <v>1746950.8619036749</v>
      </c>
      <c r="V127" s="109">
        <f t="shared" ca="1" si="101"/>
        <v>-772346.89366792515</v>
      </c>
      <c r="W127" s="109">
        <f t="shared" ca="1" si="101"/>
        <v>-3112436.0391028821</v>
      </c>
      <c r="X127" s="109">
        <f t="shared" ca="1" si="101"/>
        <v>2261740.9108738154</v>
      </c>
      <c r="Y127" s="109">
        <f t="shared" ca="1" si="101"/>
        <v>-2805859.3361028191</v>
      </c>
      <c r="Z127" s="109">
        <f t="shared" ca="1" si="101"/>
        <v>2584695.5535464808</v>
      </c>
      <c r="AA127" s="109">
        <f t="shared" ca="1" si="101"/>
        <v>26574.285117901862</v>
      </c>
      <c r="AB127" s="109">
        <f t="shared" ca="1" si="101"/>
        <v>-8072882.2295321766</v>
      </c>
      <c r="AC127" s="109">
        <f t="shared" ca="1" si="101"/>
        <v>9188868.5267619714</v>
      </c>
      <c r="AD127" s="109">
        <f t="shared" ca="1" si="101"/>
        <v>-10318715.695797633</v>
      </c>
      <c r="AE127" s="109">
        <f t="shared" ca="1" si="101"/>
        <v>2692230.19289352</v>
      </c>
      <c r="AF127" s="109">
        <f t="shared" ca="1" si="101"/>
        <v>-2075358.4516721442</v>
      </c>
      <c r="AG127" s="109">
        <f t="shared" ca="1" si="101"/>
        <v>4893699.49544679</v>
      </c>
      <c r="AH127" s="109">
        <f t="shared" ca="1" si="101"/>
        <v>3439955.5024049059</v>
      </c>
      <c r="AI127" s="109">
        <f t="shared" ca="1" si="101"/>
        <v>2155829.5627011545</v>
      </c>
      <c r="AJ127" s="109">
        <f t="shared" ca="1" si="101"/>
        <v>11131280.895849608</v>
      </c>
      <c r="AK127" s="109">
        <f t="shared" ca="1" si="101"/>
        <v>6676030.4742919765</v>
      </c>
      <c r="AL127" s="109">
        <f t="shared" ref="AL127:BM127" ca="1" si="102">SUM(AL98,AL107,AL123)</f>
        <v>17752499.297355521</v>
      </c>
      <c r="AM127" s="109">
        <f t="shared" ca="1" si="102"/>
        <v>16038589.23273753</v>
      </c>
      <c r="AN127" s="109">
        <f t="shared" ca="1" si="102"/>
        <v>6584999.0326184593</v>
      </c>
      <c r="AO127" s="109">
        <f t="shared" ca="1" si="102"/>
        <v>40963592.540140763</v>
      </c>
      <c r="AP127" s="109">
        <f t="shared" ca="1" si="102"/>
        <v>28591318.41547633</v>
      </c>
      <c r="AQ127" s="109">
        <f t="shared" ca="1" si="102"/>
        <v>41094730.492831104</v>
      </c>
      <c r="AR127" s="109">
        <f t="shared" ca="1" si="102"/>
        <v>33719369.581058711</v>
      </c>
      <c r="AS127" s="109">
        <f t="shared" ca="1" si="102"/>
        <v>44456333.67654597</v>
      </c>
      <c r="AT127" s="109">
        <f t="shared" ca="1" si="102"/>
        <v>42320798.626297057</v>
      </c>
      <c r="AU127" s="109">
        <f t="shared" ca="1" si="102"/>
        <v>40155384.542864397</v>
      </c>
      <c r="AV127" s="109">
        <f t="shared" ca="1" si="102"/>
        <v>53830867.636539318</v>
      </c>
      <c r="AW127" s="109">
        <f t="shared" ca="1" si="102"/>
        <v>46170545.123773471</v>
      </c>
      <c r="AX127" s="109">
        <f t="shared" ca="1" si="102"/>
        <v>61646632.145074561</v>
      </c>
      <c r="AY127" s="109">
        <f t="shared" ca="1" si="102"/>
        <v>57822709.738068342</v>
      </c>
      <c r="AZ127" s="109">
        <f t="shared" ca="1" si="102"/>
        <v>42195684.783108577</v>
      </c>
      <c r="BA127" s="109">
        <f t="shared" ca="1" si="102"/>
        <v>86950701.192921892</v>
      </c>
      <c r="BB127" s="109">
        <f t="shared" ca="1" si="102"/>
        <v>64001239.733486183</v>
      </c>
      <c r="BC127" s="109">
        <f t="shared" ca="1" si="102"/>
        <v>77564665.527326137</v>
      </c>
      <c r="BD127" s="109">
        <f t="shared" ca="1" si="102"/>
        <v>65058857.466703534</v>
      </c>
      <c r="BE127" s="109">
        <f t="shared" ca="1" si="102"/>
        <v>77050694.094305933</v>
      </c>
      <c r="BF127" s="109">
        <f t="shared" ca="1" si="102"/>
        <v>71006324.875524357</v>
      </c>
      <c r="BG127" s="109">
        <f t="shared" ca="1" si="102"/>
        <v>64974584.55110047</v>
      </c>
      <c r="BH127" s="109">
        <f t="shared" ca="1" si="102"/>
        <v>78701213.678442791</v>
      </c>
      <c r="BI127" s="109">
        <f t="shared" ca="1" si="102"/>
        <v>65913258.335032247</v>
      </c>
      <c r="BJ127" s="109">
        <f t="shared" ca="1" si="102"/>
        <v>79896610.354466662</v>
      </c>
      <c r="BK127" s="109">
        <f t="shared" ca="1" si="102"/>
        <v>73296167.436204642</v>
      </c>
      <c r="BL127" s="109">
        <f t="shared" ca="1" si="102"/>
        <v>59882775.32095696</v>
      </c>
      <c r="BM127" s="109">
        <f t="shared" ca="1" si="102"/>
        <v>88570516.040212125</v>
      </c>
      <c r="BN127" s="109">
        <f t="shared" ref="BN127:CK127" ca="1" si="103">SUM(BN98,BN107,BN123)</f>
        <v>68051440.722783744</v>
      </c>
      <c r="BO127" s="109">
        <f t="shared" ca="1" si="103"/>
        <v>82338060.786618233</v>
      </c>
      <c r="BP127" s="109">
        <f t="shared" ca="1" si="103"/>
        <v>69147066.816543877</v>
      </c>
      <c r="BQ127" s="109">
        <f t="shared" ca="1" si="103"/>
        <v>83227215.245229989</v>
      </c>
      <c r="BR127" s="109">
        <f t="shared" ca="1" si="103"/>
        <v>76872440.083964825</v>
      </c>
      <c r="BS127" s="109">
        <f t="shared" ca="1" si="103"/>
        <v>70480595.43646203</v>
      </c>
      <c r="BT127" s="109">
        <f t="shared" ca="1" si="103"/>
        <v>92080166.571933106</v>
      </c>
      <c r="BU127" s="109">
        <f t="shared" ca="1" si="103"/>
        <v>78530243.813345507</v>
      </c>
      <c r="BV127" s="109">
        <f t="shared" ca="1" si="103"/>
        <v>93186510.072192699</v>
      </c>
      <c r="BW127" s="109">
        <f t="shared" ca="1" si="103"/>
        <v>86294553.280314952</v>
      </c>
      <c r="BX127" s="109">
        <f t="shared" ca="1" si="103"/>
        <v>63877710.059110366</v>
      </c>
      <c r="BY127" s="109">
        <f t="shared" ca="1" si="103"/>
        <v>110390936.7631439</v>
      </c>
      <c r="BZ127" s="109">
        <f t="shared" ca="1" si="103"/>
        <v>80523834.524620816</v>
      </c>
      <c r="CA127" s="109">
        <f t="shared" ca="1" si="103"/>
        <v>95488038.347867042</v>
      </c>
      <c r="CB127" s="109">
        <f t="shared" ca="1" si="103"/>
        <v>81536158.335081324</v>
      </c>
      <c r="CC127" s="109">
        <f t="shared" ca="1" si="103"/>
        <v>96303158.754931077</v>
      </c>
      <c r="CD127" s="109">
        <f t="shared" ca="1" si="103"/>
        <v>89559926.211114511</v>
      </c>
      <c r="CE127" s="109">
        <f t="shared" ca="1" si="103"/>
        <v>82753250.097888961</v>
      </c>
      <c r="CF127" s="109">
        <f t="shared" ca="1" si="103"/>
        <v>97885015.021359578</v>
      </c>
      <c r="CG127" s="109">
        <f t="shared" ca="1" si="103"/>
        <v>83634803.66058591</v>
      </c>
      <c r="CH127" s="109">
        <f t="shared" ca="1" si="103"/>
        <v>99044107.940362453</v>
      </c>
      <c r="CI127" s="109">
        <f t="shared" ca="1" si="103"/>
        <v>91832466.957458526</v>
      </c>
      <c r="CJ127" s="109">
        <f t="shared" ca="1" si="103"/>
        <v>68226876.691779926</v>
      </c>
      <c r="CK127" s="109">
        <f t="shared" ca="1" si="103"/>
        <v>117127794.17784578</v>
      </c>
    </row>
    <row r="128" spans="2:89" ht="16.5" thickTop="1" thickBot="1">
      <c r="B128" s="148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</row>
    <row r="129" spans="2:89" ht="15.75" thickTop="1">
      <c r="B129" s="50" t="s">
        <v>57</v>
      </c>
      <c r="C129" s="51"/>
      <c r="D129" s="52">
        <v>0</v>
      </c>
      <c r="E129" s="53"/>
      <c r="F129" s="54">
        <f>E130</f>
        <v>0</v>
      </c>
      <c r="G129" s="54">
        <f t="shared" ref="G129:AG129" ca="1" si="104">F130</f>
        <v>141270000</v>
      </c>
      <c r="H129" s="54">
        <f t="shared" ca="1" si="104"/>
        <v>74650958.904109582</v>
      </c>
      <c r="I129" s="54">
        <f t="shared" ca="1" si="104"/>
        <v>12530273.972602725</v>
      </c>
      <c r="J129" s="54">
        <f t="shared" ca="1" si="104"/>
        <v>313421232.87671232</v>
      </c>
      <c r="K129" s="54">
        <f t="shared" ca="1" si="104"/>
        <v>162401232.87671232</v>
      </c>
      <c r="L129" s="54">
        <f t="shared" ca="1" si="104"/>
        <v>15801232.876712322</v>
      </c>
      <c r="M129" s="54">
        <f t="shared" ca="1" si="104"/>
        <v>218811232.87671232</v>
      </c>
      <c r="N129" s="54">
        <f t="shared" ca="1" si="104"/>
        <v>113987123.28767122</v>
      </c>
      <c r="O129" s="54">
        <f t="shared" ca="1" si="104"/>
        <v>4498876.7123287618</v>
      </c>
      <c r="P129" s="54">
        <f t="shared" ca="1" si="104"/>
        <v>174864532.45003369</v>
      </c>
      <c r="Q129" s="54">
        <f t="shared" ca="1" si="104"/>
        <v>94054204.581181228</v>
      </c>
      <c r="R129" s="54">
        <f t="shared" ca="1" si="104"/>
        <v>217584.52889089286</v>
      </c>
      <c r="S129" s="54">
        <f t="shared" ca="1" si="104"/>
        <v>32696841.929951068</v>
      </c>
      <c r="T129" s="54">
        <f t="shared" ca="1" si="104"/>
        <v>39199474.680085868</v>
      </c>
      <c r="U129" s="54">
        <f t="shared" ca="1" si="104"/>
        <v>40750492.981584728</v>
      </c>
      <c r="V129" s="54">
        <f t="shared" ca="1" si="104"/>
        <v>42497443.843488403</v>
      </c>
      <c r="W129" s="54">
        <f t="shared" ca="1" si="104"/>
        <v>41725096.949820474</v>
      </c>
      <c r="X129" s="54">
        <f t="shared" ca="1" si="104"/>
        <v>38612660.910717592</v>
      </c>
      <c r="Y129" s="54">
        <f t="shared" ca="1" si="104"/>
        <v>40874401.821591407</v>
      </c>
      <c r="Z129" s="54">
        <f t="shared" ca="1" si="104"/>
        <v>38068542.485488586</v>
      </c>
      <c r="AA129" s="54">
        <f t="shared" ca="1" si="104"/>
        <v>40653238.039035067</v>
      </c>
      <c r="AB129" s="54">
        <f t="shared" ca="1" si="104"/>
        <v>40679812.324152969</v>
      </c>
      <c r="AC129" s="54">
        <f t="shared" ca="1" si="104"/>
        <v>32606930.094620794</v>
      </c>
      <c r="AD129" s="54">
        <f t="shared" ca="1" si="104"/>
        <v>41795798.621382765</v>
      </c>
      <c r="AE129" s="54">
        <f t="shared" ca="1" si="104"/>
        <v>31477082.925585132</v>
      </c>
      <c r="AF129" s="54">
        <f t="shared" ca="1" si="104"/>
        <v>34169313.118478656</v>
      </c>
      <c r="AG129" s="54">
        <f t="shared" ca="1" si="104"/>
        <v>32093954.666806512</v>
      </c>
      <c r="AH129" s="54">
        <f t="shared" ref="AH129:BM129" ca="1" si="105">AG130</f>
        <v>36987654.162253305</v>
      </c>
      <c r="AI129" s="54">
        <f t="shared" ca="1" si="105"/>
        <v>40427609.664658211</v>
      </c>
      <c r="AJ129" s="54">
        <f t="shared" ca="1" si="105"/>
        <v>42583439.227359369</v>
      </c>
      <c r="AK129" s="54">
        <f t="shared" ca="1" si="105"/>
        <v>53714720.123208977</v>
      </c>
      <c r="AL129" s="54">
        <f t="shared" ca="1" si="105"/>
        <v>60390750.59750095</v>
      </c>
      <c r="AM129" s="54">
        <f t="shared" ca="1" si="105"/>
        <v>78143249.894856468</v>
      </c>
      <c r="AN129" s="54">
        <f t="shared" ca="1" si="105"/>
        <v>94181839.127593994</v>
      </c>
      <c r="AO129" s="54">
        <f t="shared" ca="1" si="105"/>
        <v>100766838.16021246</v>
      </c>
      <c r="AP129" s="54">
        <f t="shared" ca="1" si="105"/>
        <v>141730430.70035321</v>
      </c>
      <c r="AQ129" s="54">
        <f t="shared" ca="1" si="105"/>
        <v>170321749.11582953</v>
      </c>
      <c r="AR129" s="54">
        <f t="shared" ca="1" si="105"/>
        <v>211416479.60866064</v>
      </c>
      <c r="AS129" s="54">
        <f t="shared" ca="1" si="105"/>
        <v>245135849.18971935</v>
      </c>
      <c r="AT129" s="54">
        <f t="shared" ca="1" si="105"/>
        <v>289592182.8662653</v>
      </c>
      <c r="AU129" s="54">
        <f t="shared" ca="1" si="105"/>
        <v>331912981.49256235</v>
      </c>
      <c r="AV129" s="54">
        <f t="shared" ca="1" si="105"/>
        <v>372068366.03542674</v>
      </c>
      <c r="AW129" s="54">
        <f t="shared" ca="1" si="105"/>
        <v>425899233.67196608</v>
      </c>
      <c r="AX129" s="54">
        <f t="shared" ca="1" si="105"/>
        <v>472069778.79573953</v>
      </c>
      <c r="AY129" s="54">
        <f t="shared" ca="1" si="105"/>
        <v>533716410.94081408</v>
      </c>
      <c r="AZ129" s="54">
        <f t="shared" ca="1" si="105"/>
        <v>591539120.67888236</v>
      </c>
      <c r="BA129" s="54">
        <f t="shared" ca="1" si="105"/>
        <v>633734805.46199095</v>
      </c>
      <c r="BB129" s="54">
        <f t="shared" ca="1" si="105"/>
        <v>720685506.65491283</v>
      </c>
      <c r="BC129" s="54">
        <f t="shared" ca="1" si="105"/>
        <v>784686746.388399</v>
      </c>
      <c r="BD129" s="54">
        <f t="shared" ca="1" si="105"/>
        <v>862251411.91572511</v>
      </c>
      <c r="BE129" s="54">
        <f t="shared" ca="1" si="105"/>
        <v>927310269.38242865</v>
      </c>
      <c r="BF129" s="54">
        <f t="shared" ca="1" si="105"/>
        <v>1004360963.4767346</v>
      </c>
      <c r="BG129" s="54">
        <f t="shared" ca="1" si="105"/>
        <v>1075367288.3522589</v>
      </c>
      <c r="BH129" s="54">
        <f t="shared" ca="1" si="105"/>
        <v>1140341872.9033594</v>
      </c>
      <c r="BI129" s="54">
        <f t="shared" ca="1" si="105"/>
        <v>1219043086.5818021</v>
      </c>
      <c r="BJ129" s="54">
        <f t="shared" ca="1" si="105"/>
        <v>1284956344.9168344</v>
      </c>
      <c r="BK129" s="54">
        <f t="shared" ca="1" si="105"/>
        <v>1364852955.271301</v>
      </c>
      <c r="BL129" s="54">
        <f t="shared" ca="1" si="105"/>
        <v>1438149122.7075057</v>
      </c>
      <c r="BM129" s="54">
        <f t="shared" ca="1" si="105"/>
        <v>1498031898.0284626</v>
      </c>
      <c r="BN129" s="54">
        <f t="shared" ref="BN129" ca="1" si="106">BM130</f>
        <v>1586602414.0686748</v>
      </c>
      <c r="BO129" s="54">
        <f t="shared" ref="BO129" ca="1" si="107">BN130</f>
        <v>1654653854.7914586</v>
      </c>
      <c r="BP129" s="54">
        <f t="shared" ref="BP129" ca="1" si="108">BO130</f>
        <v>1736991915.5780768</v>
      </c>
      <c r="BQ129" s="54">
        <f t="shared" ref="BQ129" ca="1" si="109">BP130</f>
        <v>1806138982.3946207</v>
      </c>
      <c r="BR129" s="54">
        <f t="shared" ref="BR129" ca="1" si="110">BQ130</f>
        <v>1889366197.6398506</v>
      </c>
      <c r="BS129" s="54">
        <f t="shared" ref="BS129" ca="1" si="111">BR130</f>
        <v>1966238637.7238154</v>
      </c>
      <c r="BT129" s="54">
        <f t="shared" ref="BT129" ca="1" si="112">BS130</f>
        <v>2036719233.1602774</v>
      </c>
      <c r="BU129" s="54">
        <f t="shared" ref="BU129" ca="1" si="113">BT130</f>
        <v>2128799399.7322104</v>
      </c>
      <c r="BV129" s="54">
        <f t="shared" ref="BV129" ca="1" si="114">BU130</f>
        <v>2207329643.5455561</v>
      </c>
      <c r="BW129" s="54">
        <f t="shared" ref="BW129" ca="1" si="115">BV130</f>
        <v>2300516153.6177487</v>
      </c>
      <c r="BX129" s="54">
        <f t="shared" ref="BX129" ca="1" si="116">BW130</f>
        <v>2386810706.8980637</v>
      </c>
      <c r="BY129" s="54">
        <f t="shared" ref="BY129" ca="1" si="117">BX130</f>
        <v>2450688416.9571738</v>
      </c>
      <c r="BZ129" s="54">
        <f t="shared" ref="BZ129" ca="1" si="118">BY130</f>
        <v>2561079353.7203178</v>
      </c>
      <c r="CA129" s="54">
        <f t="shared" ref="CA129" ca="1" si="119">BZ130</f>
        <v>2641603188.2449389</v>
      </c>
      <c r="CB129" s="54">
        <f t="shared" ref="CB129" ca="1" si="120">CA130</f>
        <v>2737091226.5928059</v>
      </c>
      <c r="CC129" s="54">
        <f t="shared" ref="CC129" ca="1" si="121">CB130</f>
        <v>2818627384.927887</v>
      </c>
      <c r="CD129" s="54">
        <f t="shared" ref="CD129" ca="1" si="122">CC130</f>
        <v>2914930543.6828179</v>
      </c>
      <c r="CE129" s="54">
        <f t="shared" ref="CE129" ca="1" si="123">CD130</f>
        <v>3004490469.8939323</v>
      </c>
      <c r="CF129" s="54">
        <f t="shared" ref="CF129" ca="1" si="124">CE130</f>
        <v>3087243719.9918213</v>
      </c>
      <c r="CG129" s="54">
        <f t="shared" ref="CG129" ca="1" si="125">CF130</f>
        <v>3185128735.0131807</v>
      </c>
      <c r="CH129" s="54">
        <f t="shared" ref="CH129" ca="1" si="126">CG130</f>
        <v>3268763538.6737666</v>
      </c>
      <c r="CI129" s="54">
        <f t="shared" ref="CI129" ca="1" si="127">CH130</f>
        <v>3367807646.6141291</v>
      </c>
      <c r="CJ129" s="54">
        <f t="shared" ref="CJ129" ca="1" si="128">CI130</f>
        <v>3459640113.5715876</v>
      </c>
      <c r="CK129" s="54">
        <f t="shared" ref="CK129" ca="1" si="129">CJ130</f>
        <v>3527866990.2633677</v>
      </c>
    </row>
    <row r="130" spans="2:89" ht="15.75" thickBot="1">
      <c r="B130" s="112" t="s">
        <v>58</v>
      </c>
      <c r="C130" s="113"/>
      <c r="D130" s="114">
        <f ca="1">SUM(D129,D127)</f>
        <v>3644994784.4412136</v>
      </c>
      <c r="E130" s="115"/>
      <c r="F130" s="116">
        <f ca="1">SUM(F127:F129)</f>
        <v>141270000</v>
      </c>
      <c r="G130" s="116">
        <f t="shared" ref="G130:AG130" ca="1" si="130">SUM(G127:G129)</f>
        <v>74650958.904109582</v>
      </c>
      <c r="H130" s="116">
        <f t="shared" ca="1" si="130"/>
        <v>12530273.972602725</v>
      </c>
      <c r="I130" s="116">
        <f t="shared" ca="1" si="130"/>
        <v>313421232.87671232</v>
      </c>
      <c r="J130" s="116">
        <f t="shared" ca="1" si="130"/>
        <v>162401232.87671232</v>
      </c>
      <c r="K130" s="116">
        <f t="shared" ca="1" si="130"/>
        <v>15801232.876712322</v>
      </c>
      <c r="L130" s="116">
        <f t="shared" ca="1" si="130"/>
        <v>218811232.87671232</v>
      </c>
      <c r="M130" s="116">
        <f t="shared" ca="1" si="130"/>
        <v>113987123.28767122</v>
      </c>
      <c r="N130" s="116">
        <f t="shared" ca="1" si="130"/>
        <v>4498876.7123287618</v>
      </c>
      <c r="O130" s="116">
        <f t="shared" ca="1" si="130"/>
        <v>174864532.45003369</v>
      </c>
      <c r="P130" s="116">
        <f t="shared" ca="1" si="130"/>
        <v>94054204.581181228</v>
      </c>
      <c r="Q130" s="116">
        <f t="shared" ca="1" si="130"/>
        <v>217584.52889089286</v>
      </c>
      <c r="R130" s="116">
        <f t="shared" ca="1" si="130"/>
        <v>32696841.929951068</v>
      </c>
      <c r="S130" s="116">
        <f t="shared" ca="1" si="130"/>
        <v>39199474.680085868</v>
      </c>
      <c r="T130" s="116">
        <f t="shared" ca="1" si="130"/>
        <v>40750492.981584728</v>
      </c>
      <c r="U130" s="116">
        <f t="shared" ca="1" si="130"/>
        <v>42497443.843488403</v>
      </c>
      <c r="V130" s="116">
        <f t="shared" ca="1" si="130"/>
        <v>41725096.949820474</v>
      </c>
      <c r="W130" s="116">
        <f t="shared" ca="1" si="130"/>
        <v>38612660.910717592</v>
      </c>
      <c r="X130" s="116">
        <f t="shared" ca="1" si="130"/>
        <v>40874401.821591407</v>
      </c>
      <c r="Y130" s="116">
        <f t="shared" ca="1" si="130"/>
        <v>38068542.485488586</v>
      </c>
      <c r="Z130" s="116">
        <f t="shared" ca="1" si="130"/>
        <v>40653238.039035067</v>
      </c>
      <c r="AA130" s="116">
        <f t="shared" ca="1" si="130"/>
        <v>40679812.324152969</v>
      </c>
      <c r="AB130" s="116">
        <f t="shared" ca="1" si="130"/>
        <v>32606930.094620794</v>
      </c>
      <c r="AC130" s="116">
        <f t="shared" ca="1" si="130"/>
        <v>41795798.621382765</v>
      </c>
      <c r="AD130" s="116">
        <f t="shared" ca="1" si="130"/>
        <v>31477082.925585132</v>
      </c>
      <c r="AE130" s="116">
        <f t="shared" ca="1" si="130"/>
        <v>34169313.118478656</v>
      </c>
      <c r="AF130" s="116">
        <f t="shared" ca="1" si="130"/>
        <v>32093954.666806512</v>
      </c>
      <c r="AG130" s="116">
        <f t="shared" ca="1" si="130"/>
        <v>36987654.162253305</v>
      </c>
      <c r="AH130" s="116">
        <f t="shared" ref="AH130:BM130" ca="1" si="131">SUM(AH127:AH129)</f>
        <v>40427609.664658211</v>
      </c>
      <c r="AI130" s="116">
        <f t="shared" ca="1" si="131"/>
        <v>42583439.227359369</v>
      </c>
      <c r="AJ130" s="116">
        <f t="shared" ca="1" si="131"/>
        <v>53714720.123208977</v>
      </c>
      <c r="AK130" s="116">
        <f t="shared" ca="1" si="131"/>
        <v>60390750.59750095</v>
      </c>
      <c r="AL130" s="116">
        <f t="shared" ca="1" si="131"/>
        <v>78143249.894856468</v>
      </c>
      <c r="AM130" s="116">
        <f t="shared" ca="1" si="131"/>
        <v>94181839.127593994</v>
      </c>
      <c r="AN130" s="116">
        <f t="shared" ca="1" si="131"/>
        <v>100766838.16021246</v>
      </c>
      <c r="AO130" s="116">
        <f t="shared" ca="1" si="131"/>
        <v>141730430.70035321</v>
      </c>
      <c r="AP130" s="116">
        <f t="shared" ca="1" si="131"/>
        <v>170321749.11582953</v>
      </c>
      <c r="AQ130" s="116">
        <f t="shared" ca="1" si="131"/>
        <v>211416479.60866064</v>
      </c>
      <c r="AR130" s="116">
        <f t="shared" ca="1" si="131"/>
        <v>245135849.18971935</v>
      </c>
      <c r="AS130" s="116">
        <f t="shared" ca="1" si="131"/>
        <v>289592182.8662653</v>
      </c>
      <c r="AT130" s="116">
        <f t="shared" ca="1" si="131"/>
        <v>331912981.49256235</v>
      </c>
      <c r="AU130" s="116">
        <f t="shared" ca="1" si="131"/>
        <v>372068366.03542674</v>
      </c>
      <c r="AV130" s="116">
        <f t="shared" ca="1" si="131"/>
        <v>425899233.67196608</v>
      </c>
      <c r="AW130" s="116">
        <f t="shared" ca="1" si="131"/>
        <v>472069778.79573953</v>
      </c>
      <c r="AX130" s="116">
        <f t="shared" ca="1" si="131"/>
        <v>533716410.94081408</v>
      </c>
      <c r="AY130" s="116">
        <f t="shared" ca="1" si="131"/>
        <v>591539120.67888236</v>
      </c>
      <c r="AZ130" s="116">
        <f t="shared" ca="1" si="131"/>
        <v>633734805.46199095</v>
      </c>
      <c r="BA130" s="116">
        <f t="shared" ca="1" si="131"/>
        <v>720685506.65491283</v>
      </c>
      <c r="BB130" s="116">
        <f t="shared" ca="1" si="131"/>
        <v>784686746.388399</v>
      </c>
      <c r="BC130" s="116">
        <f t="shared" ca="1" si="131"/>
        <v>862251411.91572511</v>
      </c>
      <c r="BD130" s="116">
        <f t="shared" ca="1" si="131"/>
        <v>927310269.38242865</v>
      </c>
      <c r="BE130" s="116">
        <f t="shared" ca="1" si="131"/>
        <v>1004360963.4767346</v>
      </c>
      <c r="BF130" s="116">
        <f t="shared" ca="1" si="131"/>
        <v>1075367288.3522589</v>
      </c>
      <c r="BG130" s="116">
        <f t="shared" ca="1" si="131"/>
        <v>1140341872.9033594</v>
      </c>
      <c r="BH130" s="116">
        <f t="shared" ca="1" si="131"/>
        <v>1219043086.5818021</v>
      </c>
      <c r="BI130" s="116">
        <f t="shared" ca="1" si="131"/>
        <v>1284956344.9168344</v>
      </c>
      <c r="BJ130" s="116">
        <f t="shared" ca="1" si="131"/>
        <v>1364852955.271301</v>
      </c>
      <c r="BK130" s="116">
        <f t="shared" ca="1" si="131"/>
        <v>1438149122.7075057</v>
      </c>
      <c r="BL130" s="116">
        <f t="shared" ca="1" si="131"/>
        <v>1498031898.0284626</v>
      </c>
      <c r="BM130" s="116">
        <f t="shared" ca="1" si="131"/>
        <v>1586602414.0686748</v>
      </c>
      <c r="BN130" s="116">
        <f t="shared" ref="BN130:CK130" ca="1" si="132">SUM(BN127:BN129)</f>
        <v>1654653854.7914586</v>
      </c>
      <c r="BO130" s="116">
        <f t="shared" ca="1" si="132"/>
        <v>1736991915.5780768</v>
      </c>
      <c r="BP130" s="116">
        <f t="shared" ca="1" si="132"/>
        <v>1806138982.3946207</v>
      </c>
      <c r="BQ130" s="116">
        <f t="shared" ca="1" si="132"/>
        <v>1889366197.6398506</v>
      </c>
      <c r="BR130" s="116">
        <f t="shared" ca="1" si="132"/>
        <v>1966238637.7238154</v>
      </c>
      <c r="BS130" s="116">
        <f t="shared" ca="1" si="132"/>
        <v>2036719233.1602774</v>
      </c>
      <c r="BT130" s="116">
        <f t="shared" ca="1" si="132"/>
        <v>2128799399.7322104</v>
      </c>
      <c r="BU130" s="116">
        <f t="shared" ca="1" si="132"/>
        <v>2207329643.5455561</v>
      </c>
      <c r="BV130" s="116">
        <f t="shared" ca="1" si="132"/>
        <v>2300516153.6177487</v>
      </c>
      <c r="BW130" s="116">
        <f t="shared" ca="1" si="132"/>
        <v>2386810706.8980637</v>
      </c>
      <c r="BX130" s="116">
        <f t="shared" ca="1" si="132"/>
        <v>2450688416.9571738</v>
      </c>
      <c r="BY130" s="116">
        <f t="shared" ca="1" si="132"/>
        <v>2561079353.7203178</v>
      </c>
      <c r="BZ130" s="116">
        <f t="shared" ca="1" si="132"/>
        <v>2641603188.2449389</v>
      </c>
      <c r="CA130" s="116">
        <f t="shared" ca="1" si="132"/>
        <v>2737091226.5928059</v>
      </c>
      <c r="CB130" s="116">
        <f t="shared" ca="1" si="132"/>
        <v>2818627384.927887</v>
      </c>
      <c r="CC130" s="116">
        <f t="shared" ca="1" si="132"/>
        <v>2914930543.6828179</v>
      </c>
      <c r="CD130" s="116">
        <f t="shared" ca="1" si="132"/>
        <v>3004490469.8939323</v>
      </c>
      <c r="CE130" s="116">
        <f t="shared" ca="1" si="132"/>
        <v>3087243719.9918213</v>
      </c>
      <c r="CF130" s="116">
        <f t="shared" ca="1" si="132"/>
        <v>3185128735.0131807</v>
      </c>
      <c r="CG130" s="116">
        <f t="shared" ca="1" si="132"/>
        <v>3268763538.6737666</v>
      </c>
      <c r="CH130" s="116">
        <f t="shared" ca="1" si="132"/>
        <v>3367807646.6141291</v>
      </c>
      <c r="CI130" s="116">
        <f t="shared" ca="1" si="132"/>
        <v>3459640113.5715876</v>
      </c>
      <c r="CJ130" s="116">
        <f t="shared" ca="1" si="132"/>
        <v>3527866990.2633677</v>
      </c>
      <c r="CK130" s="116">
        <f t="shared" ca="1" si="132"/>
        <v>3644994784.4412136</v>
      </c>
    </row>
    <row r="131" spans="2:89" ht="15.75" thickTop="1"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</row>
    <row r="132" spans="2:89" ht="18" thickBot="1">
      <c r="B132" s="100" t="s">
        <v>572</v>
      </c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</row>
    <row r="133" spans="2:89" ht="15.75" thickTop="1"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</row>
    <row r="134" spans="2:89">
      <c r="B134" s="77" t="s">
        <v>573</v>
      </c>
      <c r="C134" s="124"/>
      <c r="D134" s="152"/>
      <c r="E134" s="153">
        <f ca="1">(COUNTIF(F134:CK134,0)=0)*1</f>
        <v>1</v>
      </c>
      <c r="F134" s="80">
        <f ca="1">NOT((F130&lt;-1))*1</f>
        <v>1</v>
      </c>
      <c r="G134" s="80">
        <f t="shared" ref="G134:BR134" ca="1" si="133">NOT((G130&lt;-1))*1</f>
        <v>1</v>
      </c>
      <c r="H134" s="80">
        <f t="shared" ca="1" si="133"/>
        <v>1</v>
      </c>
      <c r="I134" s="80">
        <f t="shared" ca="1" si="133"/>
        <v>1</v>
      </c>
      <c r="J134" s="80">
        <f t="shared" ca="1" si="133"/>
        <v>1</v>
      </c>
      <c r="K134" s="80">
        <f t="shared" ca="1" si="133"/>
        <v>1</v>
      </c>
      <c r="L134" s="80">
        <f t="shared" ca="1" si="133"/>
        <v>1</v>
      </c>
      <c r="M134" s="80">
        <f t="shared" ca="1" si="133"/>
        <v>1</v>
      </c>
      <c r="N134" s="80">
        <f t="shared" ca="1" si="133"/>
        <v>1</v>
      </c>
      <c r="O134" s="80">
        <f t="shared" ca="1" si="133"/>
        <v>1</v>
      </c>
      <c r="P134" s="80">
        <f t="shared" ca="1" si="133"/>
        <v>1</v>
      </c>
      <c r="Q134" s="80">
        <f t="shared" ca="1" si="133"/>
        <v>1</v>
      </c>
      <c r="R134" s="80">
        <f t="shared" ca="1" si="133"/>
        <v>1</v>
      </c>
      <c r="S134" s="80">
        <f t="shared" ca="1" si="133"/>
        <v>1</v>
      </c>
      <c r="T134" s="80">
        <f t="shared" ca="1" si="133"/>
        <v>1</v>
      </c>
      <c r="U134" s="80">
        <f t="shared" ca="1" si="133"/>
        <v>1</v>
      </c>
      <c r="V134" s="80">
        <f t="shared" ca="1" si="133"/>
        <v>1</v>
      </c>
      <c r="W134" s="80">
        <f t="shared" ca="1" si="133"/>
        <v>1</v>
      </c>
      <c r="X134" s="80">
        <f t="shared" ca="1" si="133"/>
        <v>1</v>
      </c>
      <c r="Y134" s="80">
        <f t="shared" ca="1" si="133"/>
        <v>1</v>
      </c>
      <c r="Z134" s="80">
        <f t="shared" ca="1" si="133"/>
        <v>1</v>
      </c>
      <c r="AA134" s="80">
        <f t="shared" ca="1" si="133"/>
        <v>1</v>
      </c>
      <c r="AB134" s="80">
        <f t="shared" ca="1" si="133"/>
        <v>1</v>
      </c>
      <c r="AC134" s="80">
        <f t="shared" ca="1" si="133"/>
        <v>1</v>
      </c>
      <c r="AD134" s="80">
        <f t="shared" ca="1" si="133"/>
        <v>1</v>
      </c>
      <c r="AE134" s="80">
        <f t="shared" ca="1" si="133"/>
        <v>1</v>
      </c>
      <c r="AF134" s="80">
        <f t="shared" ca="1" si="133"/>
        <v>1</v>
      </c>
      <c r="AG134" s="80">
        <f t="shared" ca="1" si="133"/>
        <v>1</v>
      </c>
      <c r="AH134" s="80">
        <f t="shared" ca="1" si="133"/>
        <v>1</v>
      </c>
      <c r="AI134" s="80">
        <f t="shared" ca="1" si="133"/>
        <v>1</v>
      </c>
      <c r="AJ134" s="80">
        <f t="shared" ca="1" si="133"/>
        <v>1</v>
      </c>
      <c r="AK134" s="80">
        <f t="shared" ca="1" si="133"/>
        <v>1</v>
      </c>
      <c r="AL134" s="80">
        <f t="shared" ca="1" si="133"/>
        <v>1</v>
      </c>
      <c r="AM134" s="80">
        <f t="shared" ca="1" si="133"/>
        <v>1</v>
      </c>
      <c r="AN134" s="80">
        <f t="shared" ca="1" si="133"/>
        <v>1</v>
      </c>
      <c r="AO134" s="80">
        <f t="shared" ca="1" si="133"/>
        <v>1</v>
      </c>
      <c r="AP134" s="80">
        <f t="shared" ca="1" si="133"/>
        <v>1</v>
      </c>
      <c r="AQ134" s="80">
        <f t="shared" ca="1" si="133"/>
        <v>1</v>
      </c>
      <c r="AR134" s="80">
        <f t="shared" ca="1" si="133"/>
        <v>1</v>
      </c>
      <c r="AS134" s="80">
        <f t="shared" ca="1" si="133"/>
        <v>1</v>
      </c>
      <c r="AT134" s="80">
        <f t="shared" ca="1" si="133"/>
        <v>1</v>
      </c>
      <c r="AU134" s="80">
        <f t="shared" ca="1" si="133"/>
        <v>1</v>
      </c>
      <c r="AV134" s="80">
        <f t="shared" ca="1" si="133"/>
        <v>1</v>
      </c>
      <c r="AW134" s="80">
        <f t="shared" ca="1" si="133"/>
        <v>1</v>
      </c>
      <c r="AX134" s="80">
        <f t="shared" ca="1" si="133"/>
        <v>1</v>
      </c>
      <c r="AY134" s="80">
        <f t="shared" ca="1" si="133"/>
        <v>1</v>
      </c>
      <c r="AZ134" s="80">
        <f t="shared" ca="1" si="133"/>
        <v>1</v>
      </c>
      <c r="BA134" s="80">
        <f t="shared" ca="1" si="133"/>
        <v>1</v>
      </c>
      <c r="BB134" s="80">
        <f t="shared" ca="1" si="133"/>
        <v>1</v>
      </c>
      <c r="BC134" s="80">
        <f t="shared" ca="1" si="133"/>
        <v>1</v>
      </c>
      <c r="BD134" s="80">
        <f t="shared" ca="1" si="133"/>
        <v>1</v>
      </c>
      <c r="BE134" s="80">
        <f t="shared" ca="1" si="133"/>
        <v>1</v>
      </c>
      <c r="BF134" s="80">
        <f t="shared" ca="1" si="133"/>
        <v>1</v>
      </c>
      <c r="BG134" s="80">
        <f t="shared" ca="1" si="133"/>
        <v>1</v>
      </c>
      <c r="BH134" s="80">
        <f t="shared" ca="1" si="133"/>
        <v>1</v>
      </c>
      <c r="BI134" s="80">
        <f t="shared" ca="1" si="133"/>
        <v>1</v>
      </c>
      <c r="BJ134" s="80">
        <f t="shared" ca="1" si="133"/>
        <v>1</v>
      </c>
      <c r="BK134" s="80">
        <f t="shared" ca="1" si="133"/>
        <v>1</v>
      </c>
      <c r="BL134" s="80">
        <f t="shared" ca="1" si="133"/>
        <v>1</v>
      </c>
      <c r="BM134" s="80">
        <f t="shared" ca="1" si="133"/>
        <v>1</v>
      </c>
      <c r="BN134" s="80">
        <f t="shared" ca="1" si="133"/>
        <v>1</v>
      </c>
      <c r="BO134" s="80">
        <f t="shared" ca="1" si="133"/>
        <v>1</v>
      </c>
      <c r="BP134" s="80">
        <f t="shared" ca="1" si="133"/>
        <v>1</v>
      </c>
      <c r="BQ134" s="80">
        <f t="shared" ca="1" si="133"/>
        <v>1</v>
      </c>
      <c r="BR134" s="80">
        <f t="shared" ca="1" si="133"/>
        <v>1</v>
      </c>
      <c r="BS134" s="80">
        <f t="shared" ref="BS134:CK134" ca="1" si="134">NOT((BS130&lt;-1))*1</f>
        <v>1</v>
      </c>
      <c r="BT134" s="80">
        <f t="shared" ca="1" si="134"/>
        <v>1</v>
      </c>
      <c r="BU134" s="80">
        <f t="shared" ca="1" si="134"/>
        <v>1</v>
      </c>
      <c r="BV134" s="80">
        <f t="shared" ca="1" si="134"/>
        <v>1</v>
      </c>
      <c r="BW134" s="80">
        <f t="shared" ca="1" si="134"/>
        <v>1</v>
      </c>
      <c r="BX134" s="80">
        <f t="shared" ca="1" si="134"/>
        <v>1</v>
      </c>
      <c r="BY134" s="80">
        <f t="shared" ca="1" si="134"/>
        <v>1</v>
      </c>
      <c r="BZ134" s="80">
        <f t="shared" ca="1" si="134"/>
        <v>1</v>
      </c>
      <c r="CA134" s="80">
        <f t="shared" ca="1" si="134"/>
        <v>1</v>
      </c>
      <c r="CB134" s="80">
        <f t="shared" ca="1" si="134"/>
        <v>1</v>
      </c>
      <c r="CC134" s="80">
        <f t="shared" ca="1" si="134"/>
        <v>1</v>
      </c>
      <c r="CD134" s="80">
        <f t="shared" ca="1" si="134"/>
        <v>1</v>
      </c>
      <c r="CE134" s="80">
        <f t="shared" ca="1" si="134"/>
        <v>1</v>
      </c>
      <c r="CF134" s="80">
        <f t="shared" ca="1" si="134"/>
        <v>1</v>
      </c>
      <c r="CG134" s="80">
        <f t="shared" ca="1" si="134"/>
        <v>1</v>
      </c>
      <c r="CH134" s="80">
        <f t="shared" ca="1" si="134"/>
        <v>1</v>
      </c>
      <c r="CI134" s="80">
        <f t="shared" ca="1" si="134"/>
        <v>1</v>
      </c>
      <c r="CJ134" s="80">
        <f t="shared" ca="1" si="134"/>
        <v>1</v>
      </c>
      <c r="CK134" s="80">
        <f t="shared" ca="1" si="134"/>
        <v>1</v>
      </c>
    </row>
    <row r="135" spans="2:89"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</row>
    <row r="136" spans="2:89" ht="20.25" thickBot="1">
      <c r="B136" s="26" t="str">
        <f>"Баланс, в "&amp;Ед_измерения_денег</f>
        <v>Баланс, в  руб.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</row>
    <row r="137" spans="2:89" ht="15.75" thickTop="1"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</row>
    <row r="138" spans="2:89" ht="18" thickBot="1">
      <c r="B138" s="100" t="s">
        <v>195</v>
      </c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</row>
    <row r="139" spans="2:89" ht="15.75" thickTop="1">
      <c r="B139" s="148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</row>
    <row r="140" spans="2:89" ht="15.75" thickBot="1">
      <c r="B140" s="96" t="s">
        <v>113</v>
      </c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</row>
    <row r="141" spans="2:89">
      <c r="B141" s="148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</row>
    <row r="142" spans="2:89" ht="15.75" thickBot="1">
      <c r="B142" s="45" t="s">
        <v>114</v>
      </c>
      <c r="C142" s="118"/>
      <c r="D142" s="56"/>
      <c r="E142" s="119"/>
      <c r="F142" s="49">
        <f ca="1">Инвестиции!F81</f>
        <v>0</v>
      </c>
      <c r="G142" s="49">
        <f ca="1">Инвестиции!G81</f>
        <v>0</v>
      </c>
      <c r="H142" s="49">
        <f ca="1">Инвестиции!H81</f>
        <v>0</v>
      </c>
      <c r="I142" s="49">
        <f ca="1">Инвестиции!I81</f>
        <v>0</v>
      </c>
      <c r="J142" s="49">
        <f ca="1">Инвестиции!J81</f>
        <v>0</v>
      </c>
      <c r="K142" s="49">
        <f ca="1">Инвестиции!K81</f>
        <v>0</v>
      </c>
      <c r="L142" s="49">
        <f ca="1">Инвестиции!L81</f>
        <v>0</v>
      </c>
      <c r="M142" s="49">
        <f ca="1">Инвестиции!M81</f>
        <v>0</v>
      </c>
      <c r="N142" s="49">
        <f ca="1">Инвестиции!N81</f>
        <v>0</v>
      </c>
      <c r="O142" s="49">
        <f ca="1">Инвестиции!O81</f>
        <v>0</v>
      </c>
      <c r="P142" s="49">
        <f ca="1">Инвестиции!P81</f>
        <v>0</v>
      </c>
      <c r="Q142" s="49">
        <f ca="1">Инвестиции!Q81</f>
        <v>1054545454.5454545</v>
      </c>
      <c r="R142" s="49">
        <f ca="1">Инвестиции!R81</f>
        <v>1041991341.9913419</v>
      </c>
      <c r="S142" s="49">
        <f ca="1">Инвестиции!S81</f>
        <v>1029437229.4372294</v>
      </c>
      <c r="T142" s="49">
        <f ca="1">Инвестиции!T81</f>
        <v>1016883116.8831168</v>
      </c>
      <c r="U142" s="49">
        <f ca="1">Инвестиции!U81</f>
        <v>1004329004.3290043</v>
      </c>
      <c r="V142" s="49">
        <f ca="1">Инвестиции!V81</f>
        <v>991774891.77489173</v>
      </c>
      <c r="W142" s="49">
        <f ca="1">Инвестиции!W81</f>
        <v>979220779.22077918</v>
      </c>
      <c r="X142" s="49">
        <f ca="1">Инвестиции!X81</f>
        <v>966666666.66666663</v>
      </c>
      <c r="Y142" s="49">
        <f ca="1">Инвестиции!Y81</f>
        <v>954112554.11255407</v>
      </c>
      <c r="Z142" s="49">
        <f ca="1">Инвестиции!Z81</f>
        <v>941558441.55844152</v>
      </c>
      <c r="AA142" s="49">
        <f ca="1">Инвестиции!AA81</f>
        <v>929004329.00432897</v>
      </c>
      <c r="AB142" s="49">
        <f ca="1">Инвестиции!AB81</f>
        <v>916450216.45021641</v>
      </c>
      <c r="AC142" s="49">
        <f ca="1">Инвестиции!AC81</f>
        <v>903896103.89610386</v>
      </c>
      <c r="AD142" s="49">
        <f ca="1">Инвестиции!AD81</f>
        <v>891341991.34199131</v>
      </c>
      <c r="AE142" s="49">
        <f ca="1">Инвестиции!AE81</f>
        <v>878787878.78787875</v>
      </c>
      <c r="AF142" s="49">
        <f ca="1">Инвестиции!AF81</f>
        <v>866233766.2337662</v>
      </c>
      <c r="AG142" s="49">
        <f ca="1">Инвестиции!AG81</f>
        <v>853679653.67965364</v>
      </c>
      <c r="AH142" s="49">
        <f ca="1">Инвестиции!AH81</f>
        <v>841125541.12554109</v>
      </c>
      <c r="AI142" s="49">
        <f ca="1">Инвестиции!AI81</f>
        <v>828571428.57142854</v>
      </c>
      <c r="AJ142" s="49">
        <f ca="1">Инвестиции!AJ81</f>
        <v>816017316.01731598</v>
      </c>
      <c r="AK142" s="49">
        <f ca="1">Инвестиции!AK81</f>
        <v>803463203.46320343</v>
      </c>
      <c r="AL142" s="49">
        <f ca="1">Инвестиции!AL81</f>
        <v>790909090.90909088</v>
      </c>
      <c r="AM142" s="49">
        <f ca="1">Инвестиции!AM81</f>
        <v>778354978.35497832</v>
      </c>
      <c r="AN142" s="49">
        <f ca="1">Инвестиции!AN81</f>
        <v>765800865.80086577</v>
      </c>
      <c r="AO142" s="49">
        <f ca="1">Инвестиции!AO81</f>
        <v>753246753.24675322</v>
      </c>
      <c r="AP142" s="49">
        <f ca="1">Инвестиции!AP81</f>
        <v>740692640.69264066</v>
      </c>
      <c r="AQ142" s="49">
        <f ca="1">Инвестиции!AQ81</f>
        <v>728138528.13852811</v>
      </c>
      <c r="AR142" s="49">
        <f ca="1">Инвестиции!AR81</f>
        <v>715584415.58441556</v>
      </c>
      <c r="AS142" s="49">
        <f ca="1">Инвестиции!AS81</f>
        <v>703030303.030303</v>
      </c>
      <c r="AT142" s="49">
        <f ca="1">Инвестиции!AT81</f>
        <v>690476190.47619045</v>
      </c>
      <c r="AU142" s="49">
        <f ca="1">Инвестиции!AU81</f>
        <v>677922077.92207789</v>
      </c>
      <c r="AV142" s="49">
        <f ca="1">Инвестиции!AV81</f>
        <v>665367965.36796534</v>
      </c>
      <c r="AW142" s="49">
        <f ca="1">Инвестиции!AW81</f>
        <v>652813852.81385279</v>
      </c>
      <c r="AX142" s="49">
        <f ca="1">Инвестиции!AX81</f>
        <v>640259740.25974023</v>
      </c>
      <c r="AY142" s="49">
        <f ca="1">Инвестиции!AY81</f>
        <v>627705627.70562768</v>
      </c>
      <c r="AZ142" s="49">
        <f ca="1">Инвестиции!AZ81</f>
        <v>615151515.15151513</v>
      </c>
      <c r="BA142" s="49">
        <f ca="1">Инвестиции!BA81</f>
        <v>602597402.59740257</v>
      </c>
      <c r="BB142" s="49">
        <f ca="1">Инвестиции!BB81</f>
        <v>590043290.04329002</v>
      </c>
      <c r="BC142" s="49">
        <f ca="1">Инвестиции!BC81</f>
        <v>577489177.48917747</v>
      </c>
      <c r="BD142" s="49">
        <f ca="1">Инвестиции!BD81</f>
        <v>564935064.93506491</v>
      </c>
      <c r="BE142" s="49">
        <f ca="1">Инвестиции!BE81</f>
        <v>552380952.38095236</v>
      </c>
      <c r="BF142" s="49">
        <f ca="1">Инвестиции!BF81</f>
        <v>539826839.8268398</v>
      </c>
      <c r="BG142" s="49">
        <f ca="1">Инвестиции!BG81</f>
        <v>527272727.27272725</v>
      </c>
      <c r="BH142" s="49">
        <f ca="1">Инвестиции!BH81</f>
        <v>514718614.7186147</v>
      </c>
      <c r="BI142" s="49">
        <f ca="1">Инвестиции!BI81</f>
        <v>502164502.16450214</v>
      </c>
      <c r="BJ142" s="49">
        <f ca="1">Инвестиции!BJ81</f>
        <v>489610389.61038959</v>
      </c>
      <c r="BK142" s="49">
        <f ca="1">Инвестиции!BK81</f>
        <v>477056277.05627704</v>
      </c>
      <c r="BL142" s="49">
        <f ca="1">Инвестиции!BL81</f>
        <v>464502164.50216448</v>
      </c>
      <c r="BM142" s="49">
        <f ca="1">Инвестиции!BM81</f>
        <v>451948051.94805193</v>
      </c>
      <c r="BN142" s="49">
        <f ca="1">Инвестиции!BN81</f>
        <v>439393939.39393938</v>
      </c>
      <c r="BO142" s="49">
        <f ca="1">Инвестиции!BO81</f>
        <v>426839826.83982682</v>
      </c>
      <c r="BP142" s="49">
        <f ca="1">Инвестиции!BP81</f>
        <v>414285714.28571427</v>
      </c>
      <c r="BQ142" s="49">
        <f ca="1">Инвестиции!BQ81</f>
        <v>401731601.73160172</v>
      </c>
      <c r="BR142" s="49">
        <f ca="1">Инвестиции!BR81</f>
        <v>389177489.17748916</v>
      </c>
      <c r="BS142" s="49">
        <f ca="1">Инвестиции!BS81</f>
        <v>376623376.62337661</v>
      </c>
      <c r="BT142" s="49">
        <f ca="1">Инвестиции!BT81</f>
        <v>364069264.06926405</v>
      </c>
      <c r="BU142" s="49">
        <f ca="1">Инвестиции!BU81</f>
        <v>351515151.5151515</v>
      </c>
      <c r="BV142" s="49">
        <f ca="1">Инвестиции!BV81</f>
        <v>338961038.96103895</v>
      </c>
      <c r="BW142" s="49">
        <f ca="1">Инвестиции!BW81</f>
        <v>326406926.40692639</v>
      </c>
      <c r="BX142" s="49">
        <f ca="1">Инвестиции!BX81</f>
        <v>313852813.85281384</v>
      </c>
      <c r="BY142" s="49">
        <f ca="1">Инвестиции!BY81</f>
        <v>301298701.29870129</v>
      </c>
      <c r="BZ142" s="49">
        <f ca="1">Инвестиции!BZ81</f>
        <v>288744588.74458873</v>
      </c>
      <c r="CA142" s="49">
        <f ca="1">Инвестиции!CA81</f>
        <v>276190476.19047618</v>
      </c>
      <c r="CB142" s="49">
        <f ca="1">Инвестиции!CB81</f>
        <v>263636363.63636363</v>
      </c>
      <c r="CC142" s="49">
        <f ca="1">Инвестиции!CC81</f>
        <v>251082251.08225107</v>
      </c>
      <c r="CD142" s="49">
        <f ca="1">Инвестиции!CD81</f>
        <v>238528138.52813852</v>
      </c>
      <c r="CE142" s="49">
        <f ca="1">Инвестиции!CE81</f>
        <v>225974025.97402596</v>
      </c>
      <c r="CF142" s="49">
        <f ca="1">Инвестиции!CF81</f>
        <v>213419913.41991341</v>
      </c>
      <c r="CG142" s="49">
        <f ca="1">Инвестиции!CG81</f>
        <v>200865800.86580086</v>
      </c>
      <c r="CH142" s="49">
        <f ca="1">Инвестиции!CH81</f>
        <v>188311688.3116883</v>
      </c>
      <c r="CI142" s="49">
        <f ca="1">Инвестиции!CI81</f>
        <v>175757575.75757575</v>
      </c>
      <c r="CJ142" s="49">
        <f ca="1">Инвестиции!CJ81</f>
        <v>163203463.2034632</v>
      </c>
      <c r="CK142" s="49">
        <f ca="1">Инвестиции!CK81</f>
        <v>150649350.64935064</v>
      </c>
    </row>
    <row r="143" spans="2:89" ht="15.75" thickTop="1">
      <c r="B143" s="50" t="s">
        <v>115</v>
      </c>
      <c r="C143" s="58"/>
      <c r="D143" s="59"/>
      <c r="E143" s="60"/>
      <c r="F143" s="54">
        <f ca="1">SUM(F142)</f>
        <v>0</v>
      </c>
      <c r="G143" s="54">
        <f t="shared" ref="G143:AG143" ca="1" si="135">SUM(G142)</f>
        <v>0</v>
      </c>
      <c r="H143" s="54">
        <f t="shared" ca="1" si="135"/>
        <v>0</v>
      </c>
      <c r="I143" s="54">
        <f t="shared" ca="1" si="135"/>
        <v>0</v>
      </c>
      <c r="J143" s="54">
        <f t="shared" ca="1" si="135"/>
        <v>0</v>
      </c>
      <c r="K143" s="54">
        <f t="shared" ca="1" si="135"/>
        <v>0</v>
      </c>
      <c r="L143" s="54">
        <f t="shared" ca="1" si="135"/>
        <v>0</v>
      </c>
      <c r="M143" s="54">
        <f t="shared" ca="1" si="135"/>
        <v>0</v>
      </c>
      <c r="N143" s="54">
        <f t="shared" ca="1" si="135"/>
        <v>0</v>
      </c>
      <c r="O143" s="54">
        <f t="shared" ca="1" si="135"/>
        <v>0</v>
      </c>
      <c r="P143" s="54">
        <f t="shared" ca="1" si="135"/>
        <v>0</v>
      </c>
      <c r="Q143" s="54">
        <f t="shared" ca="1" si="135"/>
        <v>1054545454.5454545</v>
      </c>
      <c r="R143" s="54">
        <f t="shared" ca="1" si="135"/>
        <v>1041991341.9913419</v>
      </c>
      <c r="S143" s="54">
        <f t="shared" ca="1" si="135"/>
        <v>1029437229.4372294</v>
      </c>
      <c r="T143" s="54">
        <f t="shared" ca="1" si="135"/>
        <v>1016883116.8831168</v>
      </c>
      <c r="U143" s="54">
        <f t="shared" ca="1" si="135"/>
        <v>1004329004.3290043</v>
      </c>
      <c r="V143" s="54">
        <f t="shared" ca="1" si="135"/>
        <v>991774891.77489173</v>
      </c>
      <c r="W143" s="54">
        <f t="shared" ca="1" si="135"/>
        <v>979220779.22077918</v>
      </c>
      <c r="X143" s="54">
        <f t="shared" ca="1" si="135"/>
        <v>966666666.66666663</v>
      </c>
      <c r="Y143" s="54">
        <f t="shared" ca="1" si="135"/>
        <v>954112554.11255407</v>
      </c>
      <c r="Z143" s="54">
        <f t="shared" ca="1" si="135"/>
        <v>941558441.55844152</v>
      </c>
      <c r="AA143" s="54">
        <f t="shared" ca="1" si="135"/>
        <v>929004329.00432897</v>
      </c>
      <c r="AB143" s="54">
        <f t="shared" ca="1" si="135"/>
        <v>916450216.45021641</v>
      </c>
      <c r="AC143" s="54">
        <f t="shared" ca="1" si="135"/>
        <v>903896103.89610386</v>
      </c>
      <c r="AD143" s="54">
        <f t="shared" ca="1" si="135"/>
        <v>891341991.34199131</v>
      </c>
      <c r="AE143" s="54">
        <f t="shared" ca="1" si="135"/>
        <v>878787878.78787875</v>
      </c>
      <c r="AF143" s="54">
        <f t="shared" ca="1" si="135"/>
        <v>866233766.2337662</v>
      </c>
      <c r="AG143" s="54">
        <f t="shared" ca="1" si="135"/>
        <v>853679653.67965364</v>
      </c>
      <c r="AH143" s="54">
        <f t="shared" ref="AH143:BM143" ca="1" si="136">SUM(AH142)</f>
        <v>841125541.12554109</v>
      </c>
      <c r="AI143" s="54">
        <f t="shared" ca="1" si="136"/>
        <v>828571428.57142854</v>
      </c>
      <c r="AJ143" s="54">
        <f t="shared" ca="1" si="136"/>
        <v>816017316.01731598</v>
      </c>
      <c r="AK143" s="54">
        <f t="shared" ca="1" si="136"/>
        <v>803463203.46320343</v>
      </c>
      <c r="AL143" s="54">
        <f t="shared" ca="1" si="136"/>
        <v>790909090.90909088</v>
      </c>
      <c r="AM143" s="54">
        <f t="shared" ca="1" si="136"/>
        <v>778354978.35497832</v>
      </c>
      <c r="AN143" s="54">
        <f t="shared" ca="1" si="136"/>
        <v>765800865.80086577</v>
      </c>
      <c r="AO143" s="54">
        <f t="shared" ca="1" si="136"/>
        <v>753246753.24675322</v>
      </c>
      <c r="AP143" s="54">
        <f t="shared" ca="1" si="136"/>
        <v>740692640.69264066</v>
      </c>
      <c r="AQ143" s="54">
        <f t="shared" ca="1" si="136"/>
        <v>728138528.13852811</v>
      </c>
      <c r="AR143" s="54">
        <f t="shared" ca="1" si="136"/>
        <v>715584415.58441556</v>
      </c>
      <c r="AS143" s="54">
        <f t="shared" ca="1" si="136"/>
        <v>703030303.030303</v>
      </c>
      <c r="AT143" s="54">
        <f t="shared" ca="1" si="136"/>
        <v>690476190.47619045</v>
      </c>
      <c r="AU143" s="54">
        <f t="shared" ca="1" si="136"/>
        <v>677922077.92207789</v>
      </c>
      <c r="AV143" s="54">
        <f t="shared" ca="1" si="136"/>
        <v>665367965.36796534</v>
      </c>
      <c r="AW143" s="54">
        <f t="shared" ca="1" si="136"/>
        <v>652813852.81385279</v>
      </c>
      <c r="AX143" s="54">
        <f t="shared" ca="1" si="136"/>
        <v>640259740.25974023</v>
      </c>
      <c r="AY143" s="54">
        <f t="shared" ca="1" si="136"/>
        <v>627705627.70562768</v>
      </c>
      <c r="AZ143" s="54">
        <f t="shared" ca="1" si="136"/>
        <v>615151515.15151513</v>
      </c>
      <c r="BA143" s="54">
        <f t="shared" ca="1" si="136"/>
        <v>602597402.59740257</v>
      </c>
      <c r="BB143" s="54">
        <f t="shared" ca="1" si="136"/>
        <v>590043290.04329002</v>
      </c>
      <c r="BC143" s="54">
        <f t="shared" ca="1" si="136"/>
        <v>577489177.48917747</v>
      </c>
      <c r="BD143" s="54">
        <f t="shared" ca="1" si="136"/>
        <v>564935064.93506491</v>
      </c>
      <c r="BE143" s="54">
        <f t="shared" ca="1" si="136"/>
        <v>552380952.38095236</v>
      </c>
      <c r="BF143" s="54">
        <f t="shared" ca="1" si="136"/>
        <v>539826839.8268398</v>
      </c>
      <c r="BG143" s="54">
        <f t="shared" ca="1" si="136"/>
        <v>527272727.27272725</v>
      </c>
      <c r="BH143" s="54">
        <f t="shared" ca="1" si="136"/>
        <v>514718614.7186147</v>
      </c>
      <c r="BI143" s="54">
        <f t="shared" ca="1" si="136"/>
        <v>502164502.16450214</v>
      </c>
      <c r="BJ143" s="54">
        <f t="shared" ca="1" si="136"/>
        <v>489610389.61038959</v>
      </c>
      <c r="BK143" s="54">
        <f t="shared" ca="1" si="136"/>
        <v>477056277.05627704</v>
      </c>
      <c r="BL143" s="54">
        <f t="shared" ca="1" si="136"/>
        <v>464502164.50216448</v>
      </c>
      <c r="BM143" s="54">
        <f t="shared" ca="1" si="136"/>
        <v>451948051.94805193</v>
      </c>
      <c r="BN143" s="54">
        <f t="shared" ref="BN143:CK143" ca="1" si="137">SUM(BN142)</f>
        <v>439393939.39393938</v>
      </c>
      <c r="BO143" s="54">
        <f t="shared" ca="1" si="137"/>
        <v>426839826.83982682</v>
      </c>
      <c r="BP143" s="54">
        <f t="shared" ca="1" si="137"/>
        <v>414285714.28571427</v>
      </c>
      <c r="BQ143" s="54">
        <f t="shared" ca="1" si="137"/>
        <v>401731601.73160172</v>
      </c>
      <c r="BR143" s="54">
        <f t="shared" ca="1" si="137"/>
        <v>389177489.17748916</v>
      </c>
      <c r="BS143" s="54">
        <f t="shared" ca="1" si="137"/>
        <v>376623376.62337661</v>
      </c>
      <c r="BT143" s="54">
        <f t="shared" ca="1" si="137"/>
        <v>364069264.06926405</v>
      </c>
      <c r="BU143" s="54">
        <f t="shared" ca="1" si="137"/>
        <v>351515151.5151515</v>
      </c>
      <c r="BV143" s="54">
        <f t="shared" ca="1" si="137"/>
        <v>338961038.96103895</v>
      </c>
      <c r="BW143" s="54">
        <f t="shared" ca="1" si="137"/>
        <v>326406926.40692639</v>
      </c>
      <c r="BX143" s="54">
        <f t="shared" ca="1" si="137"/>
        <v>313852813.85281384</v>
      </c>
      <c r="BY143" s="54">
        <f t="shared" ca="1" si="137"/>
        <v>301298701.29870129</v>
      </c>
      <c r="BZ143" s="54">
        <f t="shared" ca="1" si="137"/>
        <v>288744588.74458873</v>
      </c>
      <c r="CA143" s="54">
        <f t="shared" ca="1" si="137"/>
        <v>276190476.19047618</v>
      </c>
      <c r="CB143" s="54">
        <f t="shared" ca="1" si="137"/>
        <v>263636363.63636363</v>
      </c>
      <c r="CC143" s="54">
        <f t="shared" ca="1" si="137"/>
        <v>251082251.08225107</v>
      </c>
      <c r="CD143" s="54">
        <f t="shared" ca="1" si="137"/>
        <v>238528138.52813852</v>
      </c>
      <c r="CE143" s="54">
        <f t="shared" ca="1" si="137"/>
        <v>225974025.97402596</v>
      </c>
      <c r="CF143" s="54">
        <f t="shared" ca="1" si="137"/>
        <v>213419913.41991341</v>
      </c>
      <c r="CG143" s="54">
        <f t="shared" ca="1" si="137"/>
        <v>200865800.86580086</v>
      </c>
      <c r="CH143" s="54">
        <f t="shared" ca="1" si="137"/>
        <v>188311688.3116883</v>
      </c>
      <c r="CI143" s="54">
        <f t="shared" ca="1" si="137"/>
        <v>175757575.75757575</v>
      </c>
      <c r="CJ143" s="54">
        <f t="shared" ca="1" si="137"/>
        <v>163203463.2034632</v>
      </c>
      <c r="CK143" s="54">
        <f t="shared" ca="1" si="137"/>
        <v>150649350.64935064</v>
      </c>
    </row>
    <row r="144" spans="2:89"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</row>
    <row r="145" spans="2:89" ht="15.75" thickBot="1">
      <c r="B145" s="96" t="s">
        <v>108</v>
      </c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  <c r="CF145" s="97"/>
      <c r="CG145" s="97"/>
      <c r="CH145" s="97"/>
      <c r="CI145" s="97"/>
      <c r="CJ145" s="97"/>
      <c r="CK145" s="97"/>
    </row>
    <row r="146" spans="2:89">
      <c r="B146" s="148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</row>
    <row r="147" spans="2:89">
      <c r="B147" s="45" t="s">
        <v>109</v>
      </c>
      <c r="C147" s="118"/>
      <c r="D147" s="56"/>
      <c r="E147" s="119"/>
      <c r="F147" s="49">
        <f ca="1">F130</f>
        <v>141270000</v>
      </c>
      <c r="G147" s="49">
        <f t="shared" ref="G147:AG147" ca="1" si="138">G130</f>
        <v>74650958.904109582</v>
      </c>
      <c r="H147" s="49">
        <f t="shared" ca="1" si="138"/>
        <v>12530273.972602725</v>
      </c>
      <c r="I147" s="49">
        <f t="shared" ca="1" si="138"/>
        <v>313421232.87671232</v>
      </c>
      <c r="J147" s="49">
        <f t="shared" ca="1" si="138"/>
        <v>162401232.87671232</v>
      </c>
      <c r="K147" s="49">
        <f t="shared" ca="1" si="138"/>
        <v>15801232.876712322</v>
      </c>
      <c r="L147" s="49">
        <f t="shared" ca="1" si="138"/>
        <v>218811232.87671232</v>
      </c>
      <c r="M147" s="49">
        <f t="shared" ca="1" si="138"/>
        <v>113987123.28767122</v>
      </c>
      <c r="N147" s="49">
        <f t="shared" ca="1" si="138"/>
        <v>4498876.7123287618</v>
      </c>
      <c r="O147" s="49">
        <f t="shared" ca="1" si="138"/>
        <v>174864532.45003369</v>
      </c>
      <c r="P147" s="49">
        <f t="shared" ca="1" si="138"/>
        <v>94054204.581181228</v>
      </c>
      <c r="Q147" s="49">
        <f t="shared" ca="1" si="138"/>
        <v>217584.52889089286</v>
      </c>
      <c r="R147" s="49">
        <f t="shared" ca="1" si="138"/>
        <v>32696841.929951068</v>
      </c>
      <c r="S147" s="49">
        <f t="shared" ca="1" si="138"/>
        <v>39199474.680085868</v>
      </c>
      <c r="T147" s="49">
        <f t="shared" ca="1" si="138"/>
        <v>40750492.981584728</v>
      </c>
      <c r="U147" s="49">
        <f t="shared" ca="1" si="138"/>
        <v>42497443.843488403</v>
      </c>
      <c r="V147" s="49">
        <f t="shared" ca="1" si="138"/>
        <v>41725096.949820474</v>
      </c>
      <c r="W147" s="49">
        <f t="shared" ca="1" si="138"/>
        <v>38612660.910717592</v>
      </c>
      <c r="X147" s="49">
        <f t="shared" ca="1" si="138"/>
        <v>40874401.821591407</v>
      </c>
      <c r="Y147" s="49">
        <f t="shared" ca="1" si="138"/>
        <v>38068542.485488586</v>
      </c>
      <c r="Z147" s="49">
        <f t="shared" ca="1" si="138"/>
        <v>40653238.039035067</v>
      </c>
      <c r="AA147" s="49">
        <f t="shared" ca="1" si="138"/>
        <v>40679812.324152969</v>
      </c>
      <c r="AB147" s="49">
        <f t="shared" ca="1" si="138"/>
        <v>32606930.094620794</v>
      </c>
      <c r="AC147" s="49">
        <f t="shared" ca="1" si="138"/>
        <v>41795798.621382765</v>
      </c>
      <c r="AD147" s="49">
        <f t="shared" ca="1" si="138"/>
        <v>31477082.925585132</v>
      </c>
      <c r="AE147" s="49">
        <f t="shared" ca="1" si="138"/>
        <v>34169313.118478656</v>
      </c>
      <c r="AF147" s="49">
        <f t="shared" ca="1" si="138"/>
        <v>32093954.666806512</v>
      </c>
      <c r="AG147" s="49">
        <f t="shared" ca="1" si="138"/>
        <v>36987654.162253305</v>
      </c>
      <c r="AH147" s="49">
        <f t="shared" ref="AH147:BM147" ca="1" si="139">AH130</f>
        <v>40427609.664658211</v>
      </c>
      <c r="AI147" s="49">
        <f t="shared" ca="1" si="139"/>
        <v>42583439.227359369</v>
      </c>
      <c r="AJ147" s="49">
        <f t="shared" ca="1" si="139"/>
        <v>53714720.123208977</v>
      </c>
      <c r="AK147" s="49">
        <f t="shared" ca="1" si="139"/>
        <v>60390750.59750095</v>
      </c>
      <c r="AL147" s="49">
        <f t="shared" ca="1" si="139"/>
        <v>78143249.894856468</v>
      </c>
      <c r="AM147" s="49">
        <f t="shared" ca="1" si="139"/>
        <v>94181839.127593994</v>
      </c>
      <c r="AN147" s="49">
        <f t="shared" ca="1" si="139"/>
        <v>100766838.16021246</v>
      </c>
      <c r="AO147" s="49">
        <f t="shared" ca="1" si="139"/>
        <v>141730430.70035321</v>
      </c>
      <c r="AP147" s="49">
        <f t="shared" ca="1" si="139"/>
        <v>170321749.11582953</v>
      </c>
      <c r="AQ147" s="49">
        <f t="shared" ca="1" si="139"/>
        <v>211416479.60866064</v>
      </c>
      <c r="AR147" s="49">
        <f t="shared" ca="1" si="139"/>
        <v>245135849.18971935</v>
      </c>
      <c r="AS147" s="49">
        <f t="shared" ca="1" si="139"/>
        <v>289592182.8662653</v>
      </c>
      <c r="AT147" s="49">
        <f t="shared" ca="1" si="139"/>
        <v>331912981.49256235</v>
      </c>
      <c r="AU147" s="49">
        <f t="shared" ca="1" si="139"/>
        <v>372068366.03542674</v>
      </c>
      <c r="AV147" s="49">
        <f t="shared" ca="1" si="139"/>
        <v>425899233.67196608</v>
      </c>
      <c r="AW147" s="49">
        <f t="shared" ca="1" si="139"/>
        <v>472069778.79573953</v>
      </c>
      <c r="AX147" s="49">
        <f t="shared" ca="1" si="139"/>
        <v>533716410.94081408</v>
      </c>
      <c r="AY147" s="49">
        <f t="shared" ca="1" si="139"/>
        <v>591539120.67888236</v>
      </c>
      <c r="AZ147" s="49">
        <f t="shared" ca="1" si="139"/>
        <v>633734805.46199095</v>
      </c>
      <c r="BA147" s="49">
        <f t="shared" ca="1" si="139"/>
        <v>720685506.65491283</v>
      </c>
      <c r="BB147" s="49">
        <f t="shared" ca="1" si="139"/>
        <v>784686746.388399</v>
      </c>
      <c r="BC147" s="49">
        <f t="shared" ca="1" si="139"/>
        <v>862251411.91572511</v>
      </c>
      <c r="BD147" s="49">
        <f t="shared" ca="1" si="139"/>
        <v>927310269.38242865</v>
      </c>
      <c r="BE147" s="49">
        <f t="shared" ca="1" si="139"/>
        <v>1004360963.4767346</v>
      </c>
      <c r="BF147" s="49">
        <f t="shared" ca="1" si="139"/>
        <v>1075367288.3522589</v>
      </c>
      <c r="BG147" s="49">
        <f t="shared" ca="1" si="139"/>
        <v>1140341872.9033594</v>
      </c>
      <c r="BH147" s="49">
        <f t="shared" ca="1" si="139"/>
        <v>1219043086.5818021</v>
      </c>
      <c r="BI147" s="49">
        <f t="shared" ca="1" si="139"/>
        <v>1284956344.9168344</v>
      </c>
      <c r="BJ147" s="49">
        <f t="shared" ca="1" si="139"/>
        <v>1364852955.271301</v>
      </c>
      <c r="BK147" s="49">
        <f t="shared" ca="1" si="139"/>
        <v>1438149122.7075057</v>
      </c>
      <c r="BL147" s="49">
        <f t="shared" ca="1" si="139"/>
        <v>1498031898.0284626</v>
      </c>
      <c r="BM147" s="49">
        <f t="shared" ca="1" si="139"/>
        <v>1586602414.0686748</v>
      </c>
      <c r="BN147" s="49">
        <f t="shared" ref="BN147:CK147" ca="1" si="140">BN130</f>
        <v>1654653854.7914586</v>
      </c>
      <c r="BO147" s="49">
        <f t="shared" ca="1" si="140"/>
        <v>1736991915.5780768</v>
      </c>
      <c r="BP147" s="49">
        <f t="shared" ca="1" si="140"/>
        <v>1806138982.3946207</v>
      </c>
      <c r="BQ147" s="49">
        <f t="shared" ca="1" si="140"/>
        <v>1889366197.6398506</v>
      </c>
      <c r="BR147" s="49">
        <f t="shared" ca="1" si="140"/>
        <v>1966238637.7238154</v>
      </c>
      <c r="BS147" s="49">
        <f t="shared" ca="1" si="140"/>
        <v>2036719233.1602774</v>
      </c>
      <c r="BT147" s="49">
        <f t="shared" ca="1" si="140"/>
        <v>2128799399.7322104</v>
      </c>
      <c r="BU147" s="49">
        <f t="shared" ca="1" si="140"/>
        <v>2207329643.5455561</v>
      </c>
      <c r="BV147" s="49">
        <f t="shared" ca="1" si="140"/>
        <v>2300516153.6177487</v>
      </c>
      <c r="BW147" s="49">
        <f t="shared" ca="1" si="140"/>
        <v>2386810706.8980637</v>
      </c>
      <c r="BX147" s="49">
        <f t="shared" ca="1" si="140"/>
        <v>2450688416.9571738</v>
      </c>
      <c r="BY147" s="49">
        <f t="shared" ca="1" si="140"/>
        <v>2561079353.7203178</v>
      </c>
      <c r="BZ147" s="49">
        <f t="shared" ca="1" si="140"/>
        <v>2641603188.2449389</v>
      </c>
      <c r="CA147" s="49">
        <f t="shared" ca="1" si="140"/>
        <v>2737091226.5928059</v>
      </c>
      <c r="CB147" s="49">
        <f t="shared" ca="1" si="140"/>
        <v>2818627384.927887</v>
      </c>
      <c r="CC147" s="49">
        <f t="shared" ca="1" si="140"/>
        <v>2914930543.6828179</v>
      </c>
      <c r="CD147" s="49">
        <f t="shared" ca="1" si="140"/>
        <v>3004490469.8939323</v>
      </c>
      <c r="CE147" s="49">
        <f t="shared" ca="1" si="140"/>
        <v>3087243719.9918213</v>
      </c>
      <c r="CF147" s="49">
        <f t="shared" ca="1" si="140"/>
        <v>3185128735.0131807</v>
      </c>
      <c r="CG147" s="49">
        <f t="shared" ca="1" si="140"/>
        <v>3268763538.6737666</v>
      </c>
      <c r="CH147" s="49">
        <f t="shared" ca="1" si="140"/>
        <v>3367807646.6141291</v>
      </c>
      <c r="CI147" s="49">
        <f t="shared" ca="1" si="140"/>
        <v>3459640113.5715876</v>
      </c>
      <c r="CJ147" s="49">
        <f t="shared" ca="1" si="140"/>
        <v>3527866990.2633677</v>
      </c>
      <c r="CK147" s="49">
        <f t="shared" ca="1" si="140"/>
        <v>3644994784.4412136</v>
      </c>
    </row>
    <row r="148" spans="2:89">
      <c r="B148" s="45" t="s">
        <v>110</v>
      </c>
      <c r="C148" s="118"/>
      <c r="D148" s="56"/>
      <c r="E148" s="119"/>
      <c r="F148" s="49">
        <f ca="1">Инвестиции!F90+Инвестиции!F147+Оборотный_капитал!F70</f>
        <v>65740000.000000007</v>
      </c>
      <c r="G148" s="49">
        <f ca="1">Инвестиции!G90+Инвестиции!G147+Оборотный_капитал!G70</f>
        <v>131480000.00000001</v>
      </c>
      <c r="H148" s="49">
        <f ca="1">Инвестиции!H90+Инвестиции!H147+Оборотный_капитал!H70</f>
        <v>192750000.00000003</v>
      </c>
      <c r="I148" s="49">
        <f ca="1">Инвестиции!I90+Инвестиции!I147+Оборотный_капитал!I70</f>
        <v>340980000</v>
      </c>
      <c r="J148" s="49">
        <f ca="1">Инвестиции!J90+Инвестиции!J147+Оборотный_капитал!J70</f>
        <v>489210000</v>
      </c>
      <c r="K148" s="49">
        <f ca="1">Инвестиции!K90+Инвестиции!K147+Оборотный_капитал!K70</f>
        <v>633110000</v>
      </c>
      <c r="L148" s="49">
        <f ca="1">Инвестиции!L90+Инвестиции!L147+Оборотный_капитал!L70</f>
        <v>727310000</v>
      </c>
      <c r="M148" s="49">
        <f ca="1">Инвестиции!M90+Инвестиции!M147+Оборотный_капитал!M70</f>
        <v>827210000</v>
      </c>
      <c r="N148" s="49">
        <f ca="1">Инвестиции!N90+Инвестиции!N147+Оборотный_капитал!N70</f>
        <v>931610000</v>
      </c>
      <c r="O148" s="49">
        <f ca="1">Инвестиции!O90+Инвестиции!O147+Оборотный_капитал!O70</f>
        <v>999170000</v>
      </c>
      <c r="P148" s="49">
        <f ca="1">Инвестиции!P90+Инвестиции!P147+Оборотный_капитал!P70</f>
        <v>1073800000</v>
      </c>
      <c r="Q148" s="49">
        <f ca="1">Инвестиции!Q90+Инвестиции!Q147+Оборотный_капитал!Q70</f>
        <v>0</v>
      </c>
      <c r="R148" s="49">
        <f ca="1">Инвестиции!R90+Инвестиции!R147+Оборотный_капитал!R70</f>
        <v>84593234.819203585</v>
      </c>
      <c r="S148" s="49">
        <f ca="1">Инвестиции!S90+Инвестиции!S147+Оборотный_капитал!S70</f>
        <v>82203425.517773941</v>
      </c>
      <c r="T148" s="49">
        <f ca="1">Инвестиции!T90+Инвестиции!T147+Оборотный_капитал!T70</f>
        <v>85283925.558534667</v>
      </c>
      <c r="U148" s="49">
        <f ca="1">Инвестиции!U90+Инвестиции!U147+Оборотный_капитал!U70</f>
        <v>82874603.832065463</v>
      </c>
      <c r="V148" s="49">
        <f ca="1">Инвестиции!V90+Инвестиции!V147+Оборотный_капитал!V70</f>
        <v>83217791.776342049</v>
      </c>
      <c r="W148" s="49">
        <f ca="1">Инвестиции!W90+Инвестиции!W147+Оборотный_капитал!W70</f>
        <v>86336304.287765473</v>
      </c>
      <c r="X148" s="49">
        <f ca="1">Инвестиции!X90+Инвестиции!X147+Оборотный_капитал!X70</f>
        <v>83897252.23497504</v>
      </c>
      <c r="Y148" s="49">
        <f ca="1">Инвестиции!Y90+Инвестиции!Y147+Оборотный_капитал!Y70</f>
        <v>87041226.92096515</v>
      </c>
      <c r="Z148" s="49">
        <f ca="1">Инвестиции!Z90+Инвестиции!Z147+Оборотный_капитал!Z70</f>
        <v>84582260.383651137</v>
      </c>
      <c r="AA148" s="49">
        <f ca="1">Инвестиции!AA90+Инвестиции!AA147+Оборотный_капитал!AA70</f>
        <v>84933481.424961179</v>
      </c>
      <c r="AB148" s="49">
        <f ca="1">Инвестиции!AB90+Инвестиции!AB147+Оборотный_капитал!AB70</f>
        <v>94386105.996128097</v>
      </c>
      <c r="AC148" s="49">
        <f ca="1">Инвестиции!AC90+Инвестиции!AC147+Оборотный_капитал!AC70</f>
        <v>85605968.649193585</v>
      </c>
      <c r="AD148" s="49">
        <f ca="1">Инвестиции!AD90+Инвестиции!AD147+Оборотный_капитал!AD70</f>
        <v>97882680.373785973</v>
      </c>
      <c r="AE148" s="49">
        <f ca="1">Инвестиции!AE90+Инвестиции!AE147+Оборотный_капитал!AE70</f>
        <v>97577886.872450233</v>
      </c>
      <c r="AF148" s="49">
        <f ca="1">Инвестиции!AF90+Инвестиции!AF147+Оборотный_капитал!AF70</f>
        <v>103973509.84813656</v>
      </c>
      <c r="AG148" s="49">
        <f ca="1">Инвестиции!AG90+Инвестиции!AG147+Оборотный_капитал!AG70</f>
        <v>104099628.85047336</v>
      </c>
      <c r="AH148" s="49">
        <f ca="1">Инвестиции!AH90+Инвестиции!AH147+Оборотный_капитал!AH70</f>
        <v>107978283.98639429</v>
      </c>
      <c r="AI148" s="49">
        <f ca="1">Инвестиции!AI90+Инвестиции!AI147+Оборотный_капитал!AI70</f>
        <v>115913075.40317665</v>
      </c>
      <c r="AJ148" s="49">
        <f ca="1">Инвестиции!AJ90+Инвестиции!AJ147+Оборотный_капитал!AJ70</f>
        <v>117042574.92659537</v>
      </c>
      <c r="AK148" s="49">
        <f ca="1">Инвестиции!AK90+Инвестиции!AK147+Оборотный_капитал!AK70</f>
        <v>126434493.4312381</v>
      </c>
      <c r="AL148" s="49">
        <f ca="1">Инвестиции!AL90+Инвестиции!AL147+Оборотный_капитал!AL70</f>
        <v>128573944.8912687</v>
      </c>
      <c r="AM148" s="49">
        <f ca="1">Инвестиции!AM90+Инвестиции!AM147+Оборотный_капитал!AM70</f>
        <v>135657887.38556522</v>
      </c>
      <c r="AN148" s="49">
        <f ca="1">Инвестиции!AN90+Инвестиции!AN147+Оборотный_капитал!AN70</f>
        <v>158238989.1891312</v>
      </c>
      <c r="AO148" s="49">
        <f ca="1">Инвестиции!AO90+Инвестиции!AO147+Оборотный_капитал!AO70</f>
        <v>152096931.05564311</v>
      </c>
      <c r="AP148" s="49">
        <f ca="1">Инвестиции!AP90+Инвестиции!AP147+Оборотный_капитал!AP70</f>
        <v>160109728.21769783</v>
      </c>
      <c r="AQ148" s="49">
        <f ca="1">Инвестиции!AQ90+Инвестиции!AQ147+Оборотный_капитал!AQ70</f>
        <v>158047687.43670976</v>
      </c>
      <c r="AR148" s="49">
        <f ca="1">Инвестиции!AR90+Инвестиции!AR147+Оборотный_капитал!AR70</f>
        <v>166588676.17932671</v>
      </c>
      <c r="AS148" s="49">
        <f ca="1">Инвестиции!AS90+Инвестиции!AS147+Оборотный_капитал!AS70</f>
        <v>164668337.54028085</v>
      </c>
      <c r="AT148" s="49">
        <f ca="1">Инвестиции!AT90+Инвестиции!AT147+Оборотный_капитал!AT70</f>
        <v>168317247.07675678</v>
      </c>
      <c r="AU148" s="49">
        <f ca="1">Инвестиции!AU90+Инвестиции!AU147+Оборотный_капитал!AU70</f>
        <v>177781246.08966392</v>
      </c>
      <c r="AV148" s="49">
        <f ca="1">Инвестиции!AV90+Инвестиции!AV147+Оборотный_капитал!AV70</f>
        <v>176117341.84921578</v>
      </c>
      <c r="AW148" s="49">
        <f ca="1">Инвестиции!AW90+Инвестиции!AW147+Оборотный_капитал!AW70</f>
        <v>186290163.56738788</v>
      </c>
      <c r="AX148" s="49">
        <f ca="1">Инвестиции!AX90+Инвестиции!AX147+Оборотный_капитал!AX70</f>
        <v>184829071.96331811</v>
      </c>
      <c r="AY148" s="49">
        <f ca="1">Инвестиции!AY90+Инвестиции!AY147+Оборотный_капитал!AY70</f>
        <v>189643363.20116648</v>
      </c>
      <c r="AZ148" s="49">
        <f ca="1">Инвестиции!AZ90+Инвестиции!AZ147+Оборотный_капитал!AZ70</f>
        <v>215045532.54679123</v>
      </c>
      <c r="BA148" s="49">
        <f ca="1">Инвестиции!BA90+Инвестиции!BA147+Оборотный_капитал!BA70</f>
        <v>199603655.27826634</v>
      </c>
      <c r="BB148" s="49">
        <f ca="1">Инвестиции!BB90+Инвестиции!BB147+Оборотный_капитал!BB70</f>
        <v>207085893.1656689</v>
      </c>
      <c r="BC148" s="49">
        <f ca="1">Инвестиции!BC90+Инвестиции!BC147+Оборотный_капитал!BC70</f>
        <v>201237871.64588916</v>
      </c>
      <c r="BD148" s="49">
        <f ca="1">Инвестиции!BD90+Инвестиции!BD147+Оборотный_капитал!BD70</f>
        <v>208781368.9105562</v>
      </c>
      <c r="BE148" s="49">
        <f ca="1">Инвестиции!BE90+Инвестиции!BE147+Оборотный_капитал!BE70</f>
        <v>202885467.84431961</v>
      </c>
      <c r="BF148" s="49">
        <f ca="1">Инвестиции!BF90+Инвестиции!BF147+Оборотный_капитал!BF70</f>
        <v>203727933.45069796</v>
      </c>
      <c r="BG148" s="49">
        <f ca="1">Инвестиции!BG90+Инвестиции!BG147+Оборотный_капитал!BG70</f>
        <v>211364771.86561558</v>
      </c>
      <c r="BH148" s="49">
        <f ca="1">Инвестиции!BH90+Инвестиции!BH147+Оборотный_капитал!BH70</f>
        <v>205395916.54911846</v>
      </c>
      <c r="BI148" s="49">
        <f ca="1">Инвестиции!BI90+Инвестиции!BI147+Оборотный_капитал!BI70</f>
        <v>213095280.10325339</v>
      </c>
      <c r="BJ148" s="49">
        <f ca="1">Инвестиции!BJ90+Инвестиции!BJ147+Оборотный_капитал!BJ70</f>
        <v>207077555.93693185</v>
      </c>
      <c r="BK148" s="49">
        <f ca="1">Инвестиции!BK90+Инвестиции!BK147+Оборотный_капитал!BK70</f>
        <v>207935074.61505204</v>
      </c>
      <c r="BL148" s="49">
        <f ca="1">Инвестиции!BL90+Инвестиции!BL147+Оборотный_капитал!BL70</f>
        <v>223136379.44002801</v>
      </c>
      <c r="BM148" s="49">
        <f ca="1">Инвестиции!BM90+Инвестиции!BM147+Оборотный_капитал!BM70</f>
        <v>209604888.93995404</v>
      </c>
      <c r="BN148" s="49">
        <f ca="1">Инвестиции!BN90+Инвестиции!BN147+Оборотный_капитал!BN70</f>
        <v>217459645.17250997</v>
      </c>
      <c r="BO148" s="49">
        <f ca="1">Инвестиции!BO90+Инвестиции!BO147+Оборотный_капитал!BO70</f>
        <v>211316280.58987457</v>
      </c>
      <c r="BP148" s="49">
        <f ca="1">Инвестиции!BP90+Инвестиции!BP147+Оборотный_капитал!BP70</f>
        <v>219235169.69784456</v>
      </c>
      <c r="BQ148" s="49">
        <f ca="1">Инвестиции!BQ90+Инвестиции!BQ147+Оборотный_капитал!BQ70</f>
        <v>213041645.48915124</v>
      </c>
      <c r="BR148" s="49">
        <f ca="1">Инвестиции!BR90+Инвестиции!BR147+Оборотный_капитал!BR70</f>
        <v>213923861.76506701</v>
      </c>
      <c r="BS148" s="49">
        <f ca="1">Инвестиции!BS90+Инвестиции!BS147+Оборотный_капитал!BS70</f>
        <v>221940467.65145433</v>
      </c>
      <c r="BT148" s="49">
        <f ca="1">Инвестиции!BT90+Инвестиции!BT147+Оборотный_капитал!BT70</f>
        <v>215670517.16320696</v>
      </c>
      <c r="BU148" s="49">
        <f ca="1">Инвестиции!BU90+Инвестиции!BU147+Оборотный_капитал!BU70</f>
        <v>223752577.40251541</v>
      </c>
      <c r="BV148" s="49">
        <f ca="1">Инвестиции!BV90+Инвестиции!BV147+Оборотный_капитал!BV70</f>
        <v>217431433.73377845</v>
      </c>
      <c r="BW148" s="49">
        <f ca="1">Инвестиции!BW90+Инвестиции!BW147+Оборотный_капитал!BW70</f>
        <v>218334300.29495966</v>
      </c>
      <c r="BX148" s="49">
        <f ca="1">Инвестиции!BX90+Инвестиции!BX147+Оборотный_капитал!BX70</f>
        <v>242633694.79841083</v>
      </c>
      <c r="BY148" s="49">
        <f ca="1">Инвестиции!BY90+Инвестиции!BY147+Оборотный_капитал!BY70</f>
        <v>220063029.94428888</v>
      </c>
      <c r="BZ148" s="49">
        <f ca="1">Инвестиции!BZ90+Инвестиции!BZ147+Оборотный_капитал!BZ70</f>
        <v>228312197.21515024</v>
      </c>
      <c r="CA148" s="49">
        <f ca="1">Инвестиции!CA90+Инвестиции!CA147+Оборотный_капитал!CA70</f>
        <v>221864753.48959306</v>
      </c>
      <c r="CB148" s="49">
        <f ca="1">Инвестиции!CB90+Инвестиции!CB147+Оборотный_капитал!CB70</f>
        <v>230181459.22388843</v>
      </c>
      <c r="CC148" s="49">
        <f ca="1">Инвестиции!CC90+Инвестиции!CC147+Оборотный_капитал!CC70</f>
        <v>223681228.29836264</v>
      </c>
      <c r="CD148" s="49">
        <f ca="1">Инвестиции!CD90+Инвестиции!CD147+Оборотный_капитал!CD70</f>
        <v>224610046.62939474</v>
      </c>
      <c r="CE148" s="49">
        <f ca="1">Инвестиции!CE90+Инвестиции!CE147+Оборотный_капитал!CE70</f>
        <v>233029660.98184144</v>
      </c>
      <c r="CF148" s="49">
        <f ca="1">Инвестиции!CF90+Инвестиции!CF147+Оборотный_капитал!CF70</f>
        <v>226448997.99540329</v>
      </c>
      <c r="CG148" s="49">
        <f ca="1">Инвестиции!CG90+Инвестиции!CG147+Оборотный_капитал!CG70</f>
        <v>234937546.31383711</v>
      </c>
      <c r="CH148" s="49">
        <f ca="1">Инвестиции!CH90+Инвестиции!CH147+Оборотный_капитал!CH70</f>
        <v>228303005.42046759</v>
      </c>
      <c r="CI148" s="49">
        <f ca="1">Инвестиции!CI90+Инвестиции!CI147+Оборотный_капитал!CI70</f>
        <v>229251015.30970785</v>
      </c>
      <c r="CJ148" s="49">
        <f ca="1">Инвестиции!CJ90+Инвестиции!CJ147+Оборотный_капитал!CJ70</f>
        <v>254765379.5383316</v>
      </c>
      <c r="CK148" s="49">
        <f ca="1">Инвестиции!CK90+Инвестиции!CK147+Оборотный_капитал!CK70</f>
        <v>231066181.44150352</v>
      </c>
    </row>
    <row r="149" spans="2:89">
      <c r="B149" s="45" t="s">
        <v>111</v>
      </c>
      <c r="C149" s="118"/>
      <c r="D149" s="56"/>
      <c r="E149" s="119"/>
      <c r="F149" s="49">
        <f ca="1">-MIN(Налоги!F74,0)</f>
        <v>0</v>
      </c>
      <c r="G149" s="49">
        <f ca="1">-MIN(Налоги!G74,0)</f>
        <v>0</v>
      </c>
      <c r="H149" s="49">
        <f ca="1">-MIN(Налоги!H74,0)</f>
        <v>17522727.272727273</v>
      </c>
      <c r="I149" s="49">
        <f ca="1">-MIN(Налоги!I74,0)</f>
        <v>17522727.272727273</v>
      </c>
      <c r="J149" s="49">
        <f ca="1">-MIN(Налоги!J74,0)</f>
        <v>17522727.272727273</v>
      </c>
      <c r="K149" s="49">
        <f ca="1">-MIN(Налоги!K74,0)</f>
        <v>57555454.545454547</v>
      </c>
      <c r="L149" s="49">
        <f ca="1">-MIN(Налоги!L74,0)</f>
        <v>57555454.545454547</v>
      </c>
      <c r="M149" s="49">
        <f ca="1">-MIN(Налоги!M74,0)</f>
        <v>57555454.545454547</v>
      </c>
      <c r="N149" s="49">
        <f ca="1">-MIN(Налоги!N74,0)</f>
        <v>84691818.181818187</v>
      </c>
      <c r="O149" s="49">
        <f ca="1">-MIN(Налоги!O74,0)</f>
        <v>84691818.181818187</v>
      </c>
      <c r="P149" s="49">
        <f ca="1">-MIN(Налоги!P74,0)</f>
        <v>84691818.181818187</v>
      </c>
      <c r="Q149" s="49">
        <f ca="1">-MIN(Налоги!Q74,0)</f>
        <v>105548187.51593101</v>
      </c>
      <c r="R149" s="49">
        <f ca="1">-MIN(Налоги!R74,0)</f>
        <v>0</v>
      </c>
      <c r="S149" s="49">
        <f ca="1">-MIN(Налоги!S74,0)</f>
        <v>0</v>
      </c>
      <c r="T149" s="49">
        <f ca="1">-MIN(Налоги!T74,0)</f>
        <v>0</v>
      </c>
      <c r="U149" s="49">
        <f ca="1">-MIN(Налоги!U74,0)</f>
        <v>0</v>
      </c>
      <c r="V149" s="49">
        <f ca="1">-MIN(Налоги!V74,0)</f>
        <v>0</v>
      </c>
      <c r="W149" s="49">
        <f ca="1">-MIN(Налоги!W74,0)</f>
        <v>0</v>
      </c>
      <c r="X149" s="49">
        <f ca="1">-MIN(Налоги!X74,0)</f>
        <v>0</v>
      </c>
      <c r="Y149" s="49">
        <f ca="1">-MIN(Налоги!Y74,0)</f>
        <v>0</v>
      </c>
      <c r="Z149" s="49">
        <f ca="1">-MIN(Налоги!Z74,0)</f>
        <v>0</v>
      </c>
      <c r="AA149" s="49">
        <f ca="1">-MIN(Налоги!AA74,0)</f>
        <v>0</v>
      </c>
      <c r="AB149" s="49">
        <f ca="1">-MIN(Налоги!AB74,0)</f>
        <v>0</v>
      </c>
      <c r="AC149" s="49">
        <f ca="1">-MIN(Налоги!AC74,0)</f>
        <v>0</v>
      </c>
      <c r="AD149" s="49">
        <f ca="1">-MIN(Налоги!AD74,0)</f>
        <v>0</v>
      </c>
      <c r="AE149" s="49">
        <f ca="1">-MIN(Налоги!AE74,0)</f>
        <v>0</v>
      </c>
      <c r="AF149" s="49">
        <f ca="1">-MIN(Налоги!AF74,0)</f>
        <v>0</v>
      </c>
      <c r="AG149" s="49">
        <f ca="1">-MIN(Налоги!AG74,0)</f>
        <v>0</v>
      </c>
      <c r="AH149" s="49">
        <f ca="1">-MIN(Налоги!AH74,0)</f>
        <v>0</v>
      </c>
      <c r="AI149" s="49">
        <f ca="1">-MIN(Налоги!AI74,0)</f>
        <v>0</v>
      </c>
      <c r="AJ149" s="49">
        <f ca="1">-MIN(Налоги!AJ74,0)</f>
        <v>0</v>
      </c>
      <c r="AK149" s="49">
        <f ca="1">-MIN(Налоги!AK74,0)</f>
        <v>0</v>
      </c>
      <c r="AL149" s="49">
        <f ca="1">-MIN(Налоги!AL74,0)</f>
        <v>0</v>
      </c>
      <c r="AM149" s="49">
        <f ca="1">-MIN(Налоги!AM74,0)</f>
        <v>0</v>
      </c>
      <c r="AN149" s="49">
        <f ca="1">-MIN(Налоги!AN74,0)</f>
        <v>0</v>
      </c>
      <c r="AO149" s="49">
        <f ca="1">-MIN(Налоги!AO74,0)</f>
        <v>0</v>
      </c>
      <c r="AP149" s="49">
        <f ca="1">-MIN(Налоги!AP74,0)</f>
        <v>0</v>
      </c>
      <c r="AQ149" s="49">
        <f ca="1">-MIN(Налоги!AQ74,0)</f>
        <v>0</v>
      </c>
      <c r="AR149" s="49">
        <f ca="1">-MIN(Налоги!AR74,0)</f>
        <v>0</v>
      </c>
      <c r="AS149" s="49">
        <f ca="1">-MIN(Налоги!AS74,0)</f>
        <v>0</v>
      </c>
      <c r="AT149" s="49">
        <f ca="1">-MIN(Налоги!AT74,0)</f>
        <v>0</v>
      </c>
      <c r="AU149" s="49">
        <f ca="1">-MIN(Налоги!AU74,0)</f>
        <v>0</v>
      </c>
      <c r="AV149" s="49">
        <f ca="1">-MIN(Налоги!AV74,0)</f>
        <v>0</v>
      </c>
      <c r="AW149" s="49">
        <f ca="1">-MIN(Налоги!AW74,0)</f>
        <v>0</v>
      </c>
      <c r="AX149" s="49">
        <f ca="1">-MIN(Налоги!AX74,0)</f>
        <v>0</v>
      </c>
      <c r="AY149" s="49">
        <f ca="1">-MIN(Налоги!AY74,0)</f>
        <v>0</v>
      </c>
      <c r="AZ149" s="49">
        <f ca="1">-MIN(Налоги!AZ74,0)</f>
        <v>0</v>
      </c>
      <c r="BA149" s="49">
        <f ca="1">-MIN(Налоги!BA74,0)</f>
        <v>0</v>
      </c>
      <c r="BB149" s="49">
        <f ca="1">-MIN(Налоги!BB74,0)</f>
        <v>0</v>
      </c>
      <c r="BC149" s="49">
        <f ca="1">-MIN(Налоги!BC74,0)</f>
        <v>0</v>
      </c>
      <c r="BD149" s="49">
        <f ca="1">-MIN(Налоги!BD74,0)</f>
        <v>0</v>
      </c>
      <c r="BE149" s="49">
        <f ca="1">-MIN(Налоги!BE74,0)</f>
        <v>0</v>
      </c>
      <c r="BF149" s="49">
        <f ca="1">-MIN(Налоги!BF74,0)</f>
        <v>0</v>
      </c>
      <c r="BG149" s="49">
        <f ca="1">-MIN(Налоги!BG74,0)</f>
        <v>0</v>
      </c>
      <c r="BH149" s="49">
        <f ca="1">-MIN(Налоги!BH74,0)</f>
        <v>0</v>
      </c>
      <c r="BI149" s="49">
        <f ca="1">-MIN(Налоги!BI74,0)</f>
        <v>0</v>
      </c>
      <c r="BJ149" s="49">
        <f ca="1">-MIN(Налоги!BJ74,0)</f>
        <v>0</v>
      </c>
      <c r="BK149" s="49">
        <f ca="1">-MIN(Налоги!BK74,0)</f>
        <v>0</v>
      </c>
      <c r="BL149" s="49">
        <f ca="1">-MIN(Налоги!BL74,0)</f>
        <v>0</v>
      </c>
      <c r="BM149" s="49">
        <f ca="1">-MIN(Налоги!BM74,0)</f>
        <v>0</v>
      </c>
      <c r="BN149" s="49">
        <f ca="1">-MIN(Налоги!BN74,0)</f>
        <v>0</v>
      </c>
      <c r="BO149" s="49">
        <f ca="1">-MIN(Налоги!BO74,0)</f>
        <v>0</v>
      </c>
      <c r="BP149" s="49">
        <f ca="1">-MIN(Налоги!BP74,0)</f>
        <v>0</v>
      </c>
      <c r="BQ149" s="49">
        <f ca="1">-MIN(Налоги!BQ74,0)</f>
        <v>0</v>
      </c>
      <c r="BR149" s="49">
        <f ca="1">-MIN(Налоги!BR74,0)</f>
        <v>0</v>
      </c>
      <c r="BS149" s="49">
        <f ca="1">-MIN(Налоги!BS74,0)</f>
        <v>0</v>
      </c>
      <c r="BT149" s="49">
        <f ca="1">-MIN(Налоги!BT74,0)</f>
        <v>0</v>
      </c>
      <c r="BU149" s="49">
        <f ca="1">-MIN(Налоги!BU74,0)</f>
        <v>0</v>
      </c>
      <c r="BV149" s="49">
        <f ca="1">-MIN(Налоги!BV74,0)</f>
        <v>0</v>
      </c>
      <c r="BW149" s="49">
        <f ca="1">-MIN(Налоги!BW74,0)</f>
        <v>0</v>
      </c>
      <c r="BX149" s="49">
        <f ca="1">-MIN(Налоги!BX74,0)</f>
        <v>0</v>
      </c>
      <c r="BY149" s="49">
        <f ca="1">-MIN(Налоги!BY74,0)</f>
        <v>0</v>
      </c>
      <c r="BZ149" s="49">
        <f ca="1">-MIN(Налоги!BZ74,0)</f>
        <v>0</v>
      </c>
      <c r="CA149" s="49">
        <f ca="1">-MIN(Налоги!CA74,0)</f>
        <v>0</v>
      </c>
      <c r="CB149" s="49">
        <f ca="1">-MIN(Налоги!CB74,0)</f>
        <v>0</v>
      </c>
      <c r="CC149" s="49">
        <f ca="1">-MIN(Налоги!CC74,0)</f>
        <v>0</v>
      </c>
      <c r="CD149" s="49">
        <f ca="1">-MIN(Налоги!CD74,0)</f>
        <v>0</v>
      </c>
      <c r="CE149" s="49">
        <f ca="1">-MIN(Налоги!CE74,0)</f>
        <v>0</v>
      </c>
      <c r="CF149" s="49">
        <f ca="1">-MIN(Налоги!CF74,0)</f>
        <v>0</v>
      </c>
      <c r="CG149" s="49">
        <f ca="1">-MIN(Налоги!CG74,0)</f>
        <v>0</v>
      </c>
      <c r="CH149" s="49">
        <f ca="1">-MIN(Налоги!CH74,0)</f>
        <v>0</v>
      </c>
      <c r="CI149" s="49">
        <f ca="1">-MIN(Налоги!CI74,0)</f>
        <v>0</v>
      </c>
      <c r="CJ149" s="49">
        <f ca="1">-MIN(Налоги!CJ74,0)</f>
        <v>0</v>
      </c>
      <c r="CK149" s="49">
        <f ca="1">-MIN(Налоги!CK74,0)</f>
        <v>0</v>
      </c>
    </row>
    <row r="150" spans="2:89">
      <c r="B150" s="45" t="s">
        <v>228</v>
      </c>
      <c r="C150" s="118"/>
      <c r="D150" s="56"/>
      <c r="E150" s="119"/>
      <c r="F150" s="49">
        <f ca="1">-MIN(Налоги!F60,0)</f>
        <v>5976363.6363636367</v>
      </c>
      <c r="G150" s="49">
        <f ca="1">-MIN(Налоги!G60,0)</f>
        <v>11952727.272727273</v>
      </c>
      <c r="H150" s="49">
        <f ca="1">-MIN(Налоги!H60,0)</f>
        <v>0</v>
      </c>
      <c r="I150" s="49">
        <f ca="1">-MIN(Налоги!I60,0)</f>
        <v>13475454.545454545</v>
      </c>
      <c r="J150" s="49">
        <f ca="1">-MIN(Налоги!J60,0)</f>
        <v>26950909.09090909</v>
      </c>
      <c r="K150" s="49">
        <f ca="1">-MIN(Налоги!K60,0)</f>
        <v>0</v>
      </c>
      <c r="L150" s="49">
        <f ca="1">-MIN(Налоги!L60,0)</f>
        <v>8563636.3636363633</v>
      </c>
      <c r="M150" s="49">
        <f ca="1">-MIN(Налоги!M60,0)</f>
        <v>17645454.545454547</v>
      </c>
      <c r="N150" s="49">
        <f ca="1">-MIN(Налоги!N60,0)</f>
        <v>0</v>
      </c>
      <c r="O150" s="49">
        <f ca="1">-MIN(Налоги!O60,0)</f>
        <v>6141818.1818181816</v>
      </c>
      <c r="P150" s="49">
        <f ca="1">-MIN(Налоги!P60,0)</f>
        <v>12926363.636363637</v>
      </c>
      <c r="Q150" s="49">
        <f ca="1">-MIN(Налоги!Q60,0)</f>
        <v>0</v>
      </c>
      <c r="R150" s="49">
        <f ca="1">-MIN(Налоги!R60,0)</f>
        <v>0</v>
      </c>
      <c r="S150" s="49">
        <f ca="1">-MIN(Налоги!S60,0)</f>
        <v>0</v>
      </c>
      <c r="T150" s="49">
        <f ca="1">-MIN(Налоги!T60,0)</f>
        <v>0</v>
      </c>
      <c r="U150" s="49">
        <f ca="1">-MIN(Налоги!U60,0)</f>
        <v>0</v>
      </c>
      <c r="V150" s="49">
        <f ca="1">-MIN(Налоги!V60,0)</f>
        <v>0</v>
      </c>
      <c r="W150" s="49">
        <f ca="1">-MIN(Налоги!W60,0)</f>
        <v>0</v>
      </c>
      <c r="X150" s="49">
        <f ca="1">-MIN(Налоги!X60,0)</f>
        <v>0</v>
      </c>
      <c r="Y150" s="49">
        <f ca="1">-MIN(Налоги!Y60,0)</f>
        <v>0</v>
      </c>
      <c r="Z150" s="49">
        <f ca="1">-MIN(Налоги!Z60,0)</f>
        <v>0</v>
      </c>
      <c r="AA150" s="49">
        <f ca="1">-MIN(Налоги!AA60,0)</f>
        <v>0</v>
      </c>
      <c r="AB150" s="49">
        <f ca="1">-MIN(Налоги!AB60,0)</f>
        <v>0</v>
      </c>
      <c r="AC150" s="49">
        <f ca="1">-MIN(Налоги!AC60,0)</f>
        <v>0</v>
      </c>
      <c r="AD150" s="49">
        <f ca="1">-MIN(Налоги!AD60,0)</f>
        <v>0</v>
      </c>
      <c r="AE150" s="49">
        <f ca="1">-MIN(Налоги!AE60,0)</f>
        <v>0</v>
      </c>
      <c r="AF150" s="49">
        <f ca="1">-MIN(Налоги!AF60,0)</f>
        <v>0</v>
      </c>
      <c r="AG150" s="49">
        <f ca="1">-MIN(Налоги!AG60,0)</f>
        <v>0</v>
      </c>
      <c r="AH150" s="49">
        <f ca="1">-MIN(Налоги!AH60,0)</f>
        <v>0</v>
      </c>
      <c r="AI150" s="49">
        <f ca="1">-MIN(Налоги!AI60,0)</f>
        <v>0</v>
      </c>
      <c r="AJ150" s="49">
        <f ca="1">-MIN(Налоги!AJ60,0)</f>
        <v>0</v>
      </c>
      <c r="AK150" s="49">
        <f ca="1">-MIN(Налоги!AK60,0)</f>
        <v>0</v>
      </c>
      <c r="AL150" s="49">
        <f ca="1">-MIN(Налоги!AL60,0)</f>
        <v>0</v>
      </c>
      <c r="AM150" s="49">
        <f ca="1">-MIN(Налоги!AM60,0)</f>
        <v>0</v>
      </c>
      <c r="AN150" s="49">
        <f ca="1">-MIN(Налоги!AN60,0)</f>
        <v>0</v>
      </c>
      <c r="AO150" s="49">
        <f ca="1">-MIN(Налоги!AO60,0)</f>
        <v>0</v>
      </c>
      <c r="AP150" s="49">
        <f ca="1">-MIN(Налоги!AP60,0)</f>
        <v>0</v>
      </c>
      <c r="AQ150" s="49">
        <f ca="1">-MIN(Налоги!AQ60,0)</f>
        <v>0</v>
      </c>
      <c r="AR150" s="49">
        <f ca="1">-MIN(Налоги!AR60,0)</f>
        <v>0</v>
      </c>
      <c r="AS150" s="49">
        <f ca="1">-MIN(Налоги!AS60,0)</f>
        <v>0</v>
      </c>
      <c r="AT150" s="49">
        <f ca="1">-MIN(Налоги!AT60,0)</f>
        <v>0</v>
      </c>
      <c r="AU150" s="49">
        <f ca="1">-MIN(Налоги!AU60,0)</f>
        <v>0</v>
      </c>
      <c r="AV150" s="49">
        <f ca="1">-MIN(Налоги!AV60,0)</f>
        <v>0</v>
      </c>
      <c r="AW150" s="49">
        <f ca="1">-MIN(Налоги!AW60,0)</f>
        <v>0</v>
      </c>
      <c r="AX150" s="49">
        <f ca="1">-MIN(Налоги!AX60,0)</f>
        <v>0</v>
      </c>
      <c r="AY150" s="49">
        <f ca="1">-MIN(Налоги!AY60,0)</f>
        <v>0</v>
      </c>
      <c r="AZ150" s="49">
        <f ca="1">-MIN(Налоги!AZ60,0)</f>
        <v>0</v>
      </c>
      <c r="BA150" s="49">
        <f ca="1">-MIN(Налоги!BA60,0)</f>
        <v>0</v>
      </c>
      <c r="BB150" s="49">
        <f ca="1">-MIN(Налоги!BB60,0)</f>
        <v>0</v>
      </c>
      <c r="BC150" s="49">
        <f ca="1">-MIN(Налоги!BC60,0)</f>
        <v>0</v>
      </c>
      <c r="BD150" s="49">
        <f ca="1">-MIN(Налоги!BD60,0)</f>
        <v>0</v>
      </c>
      <c r="BE150" s="49">
        <f ca="1">-MIN(Налоги!BE60,0)</f>
        <v>0</v>
      </c>
      <c r="BF150" s="49">
        <f ca="1">-MIN(Налоги!BF60,0)</f>
        <v>0</v>
      </c>
      <c r="BG150" s="49">
        <f ca="1">-MIN(Налоги!BG60,0)</f>
        <v>0</v>
      </c>
      <c r="BH150" s="49">
        <f ca="1">-MIN(Налоги!BH60,0)</f>
        <v>0</v>
      </c>
      <c r="BI150" s="49">
        <f ca="1">-MIN(Налоги!BI60,0)</f>
        <v>0</v>
      </c>
      <c r="BJ150" s="49">
        <f ca="1">-MIN(Налоги!BJ60,0)</f>
        <v>0</v>
      </c>
      <c r="BK150" s="49">
        <f ca="1">-MIN(Налоги!BK60,0)</f>
        <v>0</v>
      </c>
      <c r="BL150" s="49">
        <f ca="1">-MIN(Налоги!BL60,0)</f>
        <v>0</v>
      </c>
      <c r="BM150" s="49">
        <f ca="1">-MIN(Налоги!BM60,0)</f>
        <v>0</v>
      </c>
      <c r="BN150" s="49">
        <f ca="1">-MIN(Налоги!BN60,0)</f>
        <v>0</v>
      </c>
      <c r="BO150" s="49">
        <f ca="1">-MIN(Налоги!BO60,0)</f>
        <v>0</v>
      </c>
      <c r="BP150" s="49">
        <f ca="1">-MIN(Налоги!BP60,0)</f>
        <v>0</v>
      </c>
      <c r="BQ150" s="49">
        <f ca="1">-MIN(Налоги!BQ60,0)</f>
        <v>0</v>
      </c>
      <c r="BR150" s="49">
        <f ca="1">-MIN(Налоги!BR60,0)</f>
        <v>0</v>
      </c>
      <c r="BS150" s="49">
        <f ca="1">-MIN(Налоги!BS60,0)</f>
        <v>0</v>
      </c>
      <c r="BT150" s="49">
        <f ca="1">-MIN(Налоги!BT60,0)</f>
        <v>0</v>
      </c>
      <c r="BU150" s="49">
        <f ca="1">-MIN(Налоги!BU60,0)</f>
        <v>0</v>
      </c>
      <c r="BV150" s="49">
        <f ca="1">-MIN(Налоги!BV60,0)</f>
        <v>0</v>
      </c>
      <c r="BW150" s="49">
        <f ca="1">-MIN(Налоги!BW60,0)</f>
        <v>0</v>
      </c>
      <c r="BX150" s="49">
        <f ca="1">-MIN(Налоги!BX60,0)</f>
        <v>0</v>
      </c>
      <c r="BY150" s="49">
        <f ca="1">-MIN(Налоги!BY60,0)</f>
        <v>0</v>
      </c>
      <c r="BZ150" s="49">
        <f ca="1">-MIN(Налоги!BZ60,0)</f>
        <v>0</v>
      </c>
      <c r="CA150" s="49">
        <f ca="1">-MIN(Налоги!CA60,0)</f>
        <v>0</v>
      </c>
      <c r="CB150" s="49">
        <f ca="1">-MIN(Налоги!CB60,0)</f>
        <v>0</v>
      </c>
      <c r="CC150" s="49">
        <f ca="1">-MIN(Налоги!CC60,0)</f>
        <v>0</v>
      </c>
      <c r="CD150" s="49">
        <f ca="1">-MIN(Налоги!CD60,0)</f>
        <v>0</v>
      </c>
      <c r="CE150" s="49">
        <f ca="1">-MIN(Налоги!CE60,0)</f>
        <v>0</v>
      </c>
      <c r="CF150" s="49">
        <f ca="1">-MIN(Налоги!CF60,0)</f>
        <v>0</v>
      </c>
      <c r="CG150" s="49">
        <f ca="1">-MIN(Налоги!CG60,0)</f>
        <v>0</v>
      </c>
      <c r="CH150" s="49">
        <f ca="1">-MIN(Налоги!CH60,0)</f>
        <v>0</v>
      </c>
      <c r="CI150" s="49">
        <f ca="1">-MIN(Налоги!CI60,0)</f>
        <v>0</v>
      </c>
      <c r="CJ150" s="49">
        <f ca="1">-MIN(Налоги!CJ60,0)</f>
        <v>0</v>
      </c>
      <c r="CK150" s="49">
        <f ca="1">-MIN(Налоги!CK60,0)</f>
        <v>0</v>
      </c>
    </row>
    <row r="151" spans="2:89" ht="15.75" thickBot="1">
      <c r="B151" s="45" t="s">
        <v>33</v>
      </c>
      <c r="C151" s="118"/>
      <c r="D151" s="56"/>
      <c r="E151" s="119"/>
      <c r="F151" s="49">
        <f ca="1">Оборотный_капитал!F60</f>
        <v>0</v>
      </c>
      <c r="G151" s="49">
        <f ca="1">Оборотный_капитал!G60</f>
        <v>0</v>
      </c>
      <c r="H151" s="49">
        <f ca="1">Оборотный_капитал!H60</f>
        <v>0</v>
      </c>
      <c r="I151" s="49">
        <f ca="1">Оборотный_капитал!I60</f>
        <v>0</v>
      </c>
      <c r="J151" s="49">
        <f ca="1">Оборотный_капитал!J60</f>
        <v>0</v>
      </c>
      <c r="K151" s="49">
        <f ca="1">Оборотный_капитал!K60</f>
        <v>0</v>
      </c>
      <c r="L151" s="49">
        <f ca="1">Оборотный_капитал!L60</f>
        <v>0</v>
      </c>
      <c r="M151" s="49">
        <f ca="1">Оборотный_капитал!M60</f>
        <v>0</v>
      </c>
      <c r="N151" s="49">
        <f ca="1">Оборотный_капитал!N60</f>
        <v>0</v>
      </c>
      <c r="O151" s="49">
        <f ca="1">Оборотный_капитал!O60</f>
        <v>0</v>
      </c>
      <c r="P151" s="49">
        <f ca="1">Оборотный_капитал!P60</f>
        <v>0</v>
      </c>
      <c r="Q151" s="49">
        <f ca="1">Оборотный_капитал!Q60</f>
        <v>936420.61385559302</v>
      </c>
      <c r="R151" s="49">
        <f ca="1">Оборотный_капитал!R60</f>
        <v>30703567.096901394</v>
      </c>
      <c r="S151" s="49">
        <f ca="1">Оборотный_капитал!S60</f>
        <v>29840982.37426471</v>
      </c>
      <c r="T151" s="49">
        <f ca="1">Оборотный_капитал!T60</f>
        <v>30964075.953803778</v>
      </c>
      <c r="U151" s="49">
        <f ca="1">Оборотный_капитал!U60</f>
        <v>30094172.506298207</v>
      </c>
      <c r="V151" s="49">
        <f ca="1">Оборотный_капитал!V60</f>
        <v>30223665.025980935</v>
      </c>
      <c r="W151" s="49">
        <f ca="1">Оборотный_капитал!W60</f>
        <v>31361161.228857018</v>
      </c>
      <c r="X151" s="49">
        <f ca="1">Оборотный_капитал!X60</f>
        <v>30480102.084335409</v>
      </c>
      <c r="Y151" s="49">
        <f ca="1">Оборотный_капитал!Y60</f>
        <v>31627249.538305774</v>
      </c>
      <c r="Z151" s="49">
        <f ca="1">Оборотный_капитал!Z60</f>
        <v>30738714.92001012</v>
      </c>
      <c r="AA151" s="49">
        <f ca="1">Оборотный_капитал!AA60</f>
        <v>30871344.000825889</v>
      </c>
      <c r="AB151" s="49">
        <f ca="1">Оборотный_капитал!AB60</f>
        <v>34312161.574045248</v>
      </c>
      <c r="AC151" s="49">
        <f ca="1">Оборотный_капитал!AC60</f>
        <v>31125350.147652343</v>
      </c>
      <c r="AD151" s="49">
        <f ca="1">Оборотный_капитал!AD60</f>
        <v>33339088.544297241</v>
      </c>
      <c r="AE151" s="49">
        <f ca="1">Оборотный_капитал!AE60</f>
        <v>33259951.068713665</v>
      </c>
      <c r="AF151" s="49">
        <f ca="1">Оборотный_капитал!AF60</f>
        <v>35412167.585886419</v>
      </c>
      <c r="AG151" s="49">
        <f ca="1">Оборотный_капитал!AG60</f>
        <v>35364278.82681562</v>
      </c>
      <c r="AH151" s="49">
        <f ca="1">Оборотный_капитал!AH60</f>
        <v>36514574.660295472</v>
      </c>
      <c r="AI151" s="49">
        <f ca="1">Оборотный_капитал!AI60</f>
        <v>38941516.734365366</v>
      </c>
      <c r="AJ151" s="49">
        <f ca="1">Оборотный_капитал!AJ60</f>
        <v>38959703.030001536</v>
      </c>
      <c r="AK151" s="49">
        <f ca="1">Оборотный_капитал!AK60</f>
        <v>41602935.585931964</v>
      </c>
      <c r="AL151" s="49">
        <f ca="1">Оборотный_капитал!AL60</f>
        <v>41682101.966087125</v>
      </c>
      <c r="AM151" s="49">
        <f ca="1">Оборотный_капитал!AM60</f>
        <v>43188528.258989401</v>
      </c>
      <c r="AN151" s="49">
        <f ca="1">Оборотный_капитал!AN60</f>
        <v>49411124.558276877</v>
      </c>
      <c r="AO151" s="49">
        <f ca="1">Оборотный_капитал!AO60</f>
        <v>46322226.460397184</v>
      </c>
      <c r="AP151" s="49">
        <f ca="1">Оборотный_капитал!AP60</f>
        <v>48152748.084593922</v>
      </c>
      <c r="AQ151" s="49">
        <f ca="1">Оборотный_капитал!AQ60</f>
        <v>46892651.399096817</v>
      </c>
      <c r="AR151" s="49">
        <f ca="1">Оборотный_капитал!AR60</f>
        <v>48756110.670992643</v>
      </c>
      <c r="AS151" s="49">
        <f ca="1">Оборотный_капитал!AS60</f>
        <v>47491268.500009939</v>
      </c>
      <c r="AT151" s="49">
        <f ca="1">Оборотный_капитал!AT60</f>
        <v>47807337.968175873</v>
      </c>
      <c r="AU151" s="49">
        <f ca="1">Оборотный_капитал!AU60</f>
        <v>49725453.911347121</v>
      </c>
      <c r="AV151" s="49">
        <f ca="1">Оборотный_капитал!AV60</f>
        <v>48454909.334734112</v>
      </c>
      <c r="AW151" s="49">
        <f ca="1">Оборотный_капитал!AW60</f>
        <v>50413061.230014816</v>
      </c>
      <c r="AX151" s="49">
        <f ca="1">Оборотный_капитал!AX60</f>
        <v>49139868.579397663</v>
      </c>
      <c r="AY151" s="49">
        <f ca="1">Оборотный_капитал!AY60</f>
        <v>49503722.095864564</v>
      </c>
      <c r="AZ151" s="49">
        <f ca="1">Оборотный_капитал!AZ60</f>
        <v>55182441.040658057</v>
      </c>
      <c r="BA151" s="49">
        <f ca="1">Оборотный_капитал!BA60</f>
        <v>50228486.984112635</v>
      </c>
      <c r="BB151" s="49">
        <f ca="1">Оборотный_капитал!BB60</f>
        <v>52119476.898054466</v>
      </c>
      <c r="BC151" s="49">
        <f ca="1">Оборотный_капитал!BC60</f>
        <v>50655830.39278695</v>
      </c>
      <c r="BD151" s="49">
        <f ca="1">Оборотный_капитал!BD60</f>
        <v>52562908.827887073</v>
      </c>
      <c r="BE151" s="49">
        <f ca="1">Оборотный_капитал!BE60</f>
        <v>51086809.634429842</v>
      </c>
      <c r="BF151" s="49">
        <f ca="1">Оборотный_капитал!BF60</f>
        <v>51307235.134365544</v>
      </c>
      <c r="BG151" s="49">
        <f ca="1">Оборотный_капитал!BG60</f>
        <v>53238837.497423306</v>
      </c>
      <c r="BH151" s="49">
        <f ca="1">Оборотный_капитал!BH60</f>
        <v>51743756.520305559</v>
      </c>
      <c r="BI151" s="49">
        <f ca="1">Оборотный_капитал!BI60</f>
        <v>53691792.93478702</v>
      </c>
      <c r="BJ151" s="49">
        <f ca="1">Оборотный_капитал!BJ60</f>
        <v>52183991.82534264</v>
      </c>
      <c r="BK151" s="49">
        <f ca="1">Оборотный_капитал!BK60</f>
        <v>52408534.852307469</v>
      </c>
      <c r="BL151" s="49">
        <f ca="1">Оборотный_капитал!BL60</f>
        <v>56248394.527895764</v>
      </c>
      <c r="BM151" s="49">
        <f ca="1">Оборотный_капитал!BM60</f>
        <v>52845882.681227177</v>
      </c>
      <c r="BN151" s="49">
        <f ca="1">Оборотный_капитал!BN60</f>
        <v>54834787.429736584</v>
      </c>
      <c r="BO151" s="49">
        <f ca="1">Оборотный_капитал!BO60</f>
        <v>53294261.21802178</v>
      </c>
      <c r="BP151" s="49">
        <f ca="1">Оборотный_капитал!BP60</f>
        <v>55300041.116603717</v>
      </c>
      <c r="BQ151" s="49">
        <f ca="1">Оборотный_капитал!BQ60</f>
        <v>53746444.087378532</v>
      </c>
      <c r="BR151" s="49">
        <f ca="1">Оборотный_капитал!BR60</f>
        <v>53977710.206006795</v>
      </c>
      <c r="BS151" s="49">
        <f ca="1">Оборотный_капитал!BS60</f>
        <v>56009212.353297621</v>
      </c>
      <c r="BT151" s="49">
        <f ca="1">Оборотный_капитал!BT60</f>
        <v>54435691.897176281</v>
      </c>
      <c r="BU151" s="49">
        <f ca="1">Оборотный_капитал!BU60</f>
        <v>56484430.618332118</v>
      </c>
      <c r="BV151" s="49">
        <f ca="1">Оборотный_капитал!BV60</f>
        <v>54897559.400260463</v>
      </c>
      <c r="BW151" s="49">
        <f ca="1">Оборотный_капитал!BW60</f>
        <v>55134427.234886378</v>
      </c>
      <c r="BX151" s="49">
        <f ca="1">Оборотный_капитал!BX60</f>
        <v>61279527.562041104</v>
      </c>
      <c r="BY151" s="49">
        <f ca="1">Оборотный_капитал!BY60</f>
        <v>55588067.459265411</v>
      </c>
      <c r="BZ151" s="49">
        <f ca="1">Оборотный_капитал!BZ60</f>
        <v>57680833.560984492</v>
      </c>
      <c r="CA151" s="49">
        <f ca="1">Оборотный_капитал!CA60</f>
        <v>56061010.119018927</v>
      </c>
      <c r="CB151" s="49">
        <f ca="1">Оборотный_капитал!CB60</f>
        <v>58171581.451457977</v>
      </c>
      <c r="CC151" s="49">
        <f ca="1">Оборотный_капитал!CC60</f>
        <v>56537976.569662079</v>
      </c>
      <c r="CD151" s="49">
        <f ca="1">Оборотный_капитал!CD60</f>
        <v>56781922.352142915</v>
      </c>
      <c r="CE151" s="49">
        <f ca="1">Оборотный_капитал!CE60</f>
        <v>58919634.413748413</v>
      </c>
      <c r="CF151" s="49">
        <f ca="1">Оборотный_капитал!CF60</f>
        <v>57265022.316048294</v>
      </c>
      <c r="CG151" s="49">
        <f ca="1">Оборотный_капитал!CG60</f>
        <v>59420922.008100614</v>
      </c>
      <c r="CH151" s="49">
        <f ca="1">Оборотный_капитал!CH60</f>
        <v>57752232.489074066</v>
      </c>
      <c r="CI151" s="49">
        <f ca="1">Оборотный_капитал!CI60</f>
        <v>58001417.451100528</v>
      </c>
      <c r="CJ151" s="49">
        <f ca="1">Оборотный_капитал!CJ60</f>
        <v>64466062.995267287</v>
      </c>
      <c r="CK151" s="49">
        <f ca="1">Оборотный_капитал!CK60</f>
        <v>58478646.967147261</v>
      </c>
    </row>
    <row r="152" spans="2:89" ht="15.75" thickTop="1">
      <c r="B152" s="50" t="s">
        <v>112</v>
      </c>
      <c r="C152" s="58"/>
      <c r="D152" s="59"/>
      <c r="E152" s="60"/>
      <c r="F152" s="54">
        <f ca="1">SUM(F147:F151)</f>
        <v>212986363.63636363</v>
      </c>
      <c r="G152" s="54">
        <f t="shared" ref="G152:AG152" ca="1" si="141">SUM(G147:G151)</f>
        <v>218083686.17683688</v>
      </c>
      <c r="H152" s="54">
        <f t="shared" ca="1" si="141"/>
        <v>222803001.24533004</v>
      </c>
      <c r="I152" s="54">
        <f t="shared" ca="1" si="141"/>
        <v>685399414.69489408</v>
      </c>
      <c r="J152" s="54">
        <f t="shared" ca="1" si="141"/>
        <v>696084869.2403487</v>
      </c>
      <c r="K152" s="54">
        <f t="shared" ca="1" si="141"/>
        <v>706466687.42216682</v>
      </c>
      <c r="L152" s="54">
        <f t="shared" ca="1" si="141"/>
        <v>1012240323.7858032</v>
      </c>
      <c r="M152" s="54">
        <f t="shared" ca="1" si="141"/>
        <v>1016398032.3785802</v>
      </c>
      <c r="N152" s="54">
        <f t="shared" ca="1" si="141"/>
        <v>1020800694.8941469</v>
      </c>
      <c r="O152" s="54">
        <f t="shared" ca="1" si="141"/>
        <v>1264868168.8136702</v>
      </c>
      <c r="P152" s="54">
        <f t="shared" ca="1" si="141"/>
        <v>1265472386.3993633</v>
      </c>
      <c r="Q152" s="54">
        <f t="shared" ca="1" si="141"/>
        <v>106702192.6586775</v>
      </c>
      <c r="R152" s="54">
        <f t="shared" ca="1" si="141"/>
        <v>147993643.84605604</v>
      </c>
      <c r="S152" s="54">
        <f t="shared" ca="1" si="141"/>
        <v>151243882.57212451</v>
      </c>
      <c r="T152" s="54">
        <f t="shared" ca="1" si="141"/>
        <v>156998494.49392319</v>
      </c>
      <c r="U152" s="54">
        <f t="shared" ca="1" si="141"/>
        <v>155466220.18185207</v>
      </c>
      <c r="V152" s="54">
        <f t="shared" ca="1" si="141"/>
        <v>155166553.75214344</v>
      </c>
      <c r="W152" s="54">
        <f t="shared" ca="1" si="141"/>
        <v>156310126.42734009</v>
      </c>
      <c r="X152" s="54">
        <f t="shared" ca="1" si="141"/>
        <v>155251756.14090186</v>
      </c>
      <c r="Y152" s="54">
        <f t="shared" ca="1" si="141"/>
        <v>156737018.94475949</v>
      </c>
      <c r="Z152" s="54">
        <f t="shared" ca="1" si="141"/>
        <v>155974213.34269631</v>
      </c>
      <c r="AA152" s="54">
        <f t="shared" ca="1" si="141"/>
        <v>156484637.74994004</v>
      </c>
      <c r="AB152" s="54">
        <f t="shared" ca="1" si="141"/>
        <v>161305197.66479415</v>
      </c>
      <c r="AC152" s="54">
        <f t="shared" ca="1" si="141"/>
        <v>158527117.41822869</v>
      </c>
      <c r="AD152" s="54">
        <f t="shared" ca="1" si="141"/>
        <v>162698851.84366834</v>
      </c>
      <c r="AE152" s="54">
        <f t="shared" ca="1" si="141"/>
        <v>165007151.05964255</v>
      </c>
      <c r="AF152" s="54">
        <f t="shared" ca="1" si="141"/>
        <v>171479632.10082948</v>
      </c>
      <c r="AG152" s="54">
        <f t="shared" ca="1" si="141"/>
        <v>176451561.83954227</v>
      </c>
      <c r="AH152" s="54">
        <f t="shared" ref="AH152:BM152" ca="1" si="142">SUM(AH147:AH151)</f>
        <v>184920468.31134796</v>
      </c>
      <c r="AI152" s="54">
        <f t="shared" ca="1" si="142"/>
        <v>197438031.36490139</v>
      </c>
      <c r="AJ152" s="54">
        <f t="shared" ca="1" si="142"/>
        <v>209716998.07980591</v>
      </c>
      <c r="AK152" s="54">
        <f t="shared" ca="1" si="142"/>
        <v>228428179.61467099</v>
      </c>
      <c r="AL152" s="54">
        <f t="shared" ca="1" si="142"/>
        <v>248399296.75221232</v>
      </c>
      <c r="AM152" s="54">
        <f t="shared" ca="1" si="142"/>
        <v>273028254.77214861</v>
      </c>
      <c r="AN152" s="54">
        <f t="shared" ca="1" si="142"/>
        <v>308416951.90762055</v>
      </c>
      <c r="AO152" s="54">
        <f t="shared" ca="1" si="142"/>
        <v>340149588.21639353</v>
      </c>
      <c r="AP152" s="54">
        <f t="shared" ca="1" si="142"/>
        <v>378584225.41812122</v>
      </c>
      <c r="AQ152" s="54">
        <f t="shared" ca="1" si="142"/>
        <v>416356818.44446719</v>
      </c>
      <c r="AR152" s="54">
        <f t="shared" ca="1" si="142"/>
        <v>460480636.0400387</v>
      </c>
      <c r="AS152" s="54">
        <f t="shared" ca="1" si="142"/>
        <v>501751788.90655607</v>
      </c>
      <c r="AT152" s="54">
        <f t="shared" ca="1" si="142"/>
        <v>548037566.53749502</v>
      </c>
      <c r="AU152" s="54">
        <f t="shared" ca="1" si="142"/>
        <v>599575066.03643775</v>
      </c>
      <c r="AV152" s="54">
        <f t="shared" ca="1" si="142"/>
        <v>650471484.8559159</v>
      </c>
      <c r="AW152" s="54">
        <f t="shared" ca="1" si="142"/>
        <v>708773003.59314227</v>
      </c>
      <c r="AX152" s="54">
        <f t="shared" ca="1" si="142"/>
        <v>767685351.48352981</v>
      </c>
      <c r="AY152" s="54">
        <f t="shared" ca="1" si="142"/>
        <v>830686205.97591341</v>
      </c>
      <c r="AZ152" s="54">
        <f t="shared" ca="1" si="142"/>
        <v>903962779.04944015</v>
      </c>
      <c r="BA152" s="54">
        <f t="shared" ca="1" si="142"/>
        <v>970517648.91729176</v>
      </c>
      <c r="BB152" s="54">
        <f t="shared" ca="1" si="142"/>
        <v>1043892116.4521223</v>
      </c>
      <c r="BC152" s="54">
        <f t="shared" ca="1" si="142"/>
        <v>1114145113.9544013</v>
      </c>
      <c r="BD152" s="54">
        <f t="shared" ca="1" si="142"/>
        <v>1188654547.120872</v>
      </c>
      <c r="BE152" s="54">
        <f t="shared" ca="1" si="142"/>
        <v>1258333240.9554842</v>
      </c>
      <c r="BF152" s="54">
        <f t="shared" ca="1" si="142"/>
        <v>1330402456.9373224</v>
      </c>
      <c r="BG152" s="54">
        <f t="shared" ca="1" si="142"/>
        <v>1404945482.2663984</v>
      </c>
      <c r="BH152" s="54">
        <f t="shared" ca="1" si="142"/>
        <v>1476182759.6512263</v>
      </c>
      <c r="BI152" s="54">
        <f t="shared" ca="1" si="142"/>
        <v>1551743417.9548748</v>
      </c>
      <c r="BJ152" s="54">
        <f t="shared" ca="1" si="142"/>
        <v>1624114503.0335755</v>
      </c>
      <c r="BK152" s="54">
        <f t="shared" ca="1" si="142"/>
        <v>1698492732.1748652</v>
      </c>
      <c r="BL152" s="54">
        <f t="shared" ca="1" si="142"/>
        <v>1777416671.9963863</v>
      </c>
      <c r="BM152" s="54">
        <f t="shared" ca="1" si="142"/>
        <v>1849053185.6898561</v>
      </c>
      <c r="BN152" s="54">
        <f t="shared" ref="BN152:CK152" ca="1" si="143">SUM(BN147:BN151)</f>
        <v>1926948287.3937051</v>
      </c>
      <c r="BO152" s="54">
        <f t="shared" ca="1" si="143"/>
        <v>2001602457.3859732</v>
      </c>
      <c r="BP152" s="54">
        <f t="shared" ca="1" si="143"/>
        <v>2080674193.2090688</v>
      </c>
      <c r="BQ152" s="54">
        <f t="shared" ca="1" si="143"/>
        <v>2156154287.2163806</v>
      </c>
      <c r="BR152" s="54">
        <f t="shared" ca="1" si="143"/>
        <v>2234140209.6948895</v>
      </c>
      <c r="BS152" s="54">
        <f t="shared" ca="1" si="143"/>
        <v>2314668913.1650295</v>
      </c>
      <c r="BT152" s="54">
        <f t="shared" ca="1" si="143"/>
        <v>2398905608.7925935</v>
      </c>
      <c r="BU152" s="54">
        <f t="shared" ca="1" si="143"/>
        <v>2487566651.5664034</v>
      </c>
      <c r="BV152" s="54">
        <f t="shared" ca="1" si="143"/>
        <v>2572845146.7517877</v>
      </c>
      <c r="BW152" s="54">
        <f t="shared" ca="1" si="143"/>
        <v>2660279434.4279094</v>
      </c>
      <c r="BX152" s="54">
        <f t="shared" ca="1" si="143"/>
        <v>2754601639.317626</v>
      </c>
      <c r="BY152" s="54">
        <f t="shared" ca="1" si="143"/>
        <v>2836730451.1238718</v>
      </c>
      <c r="BZ152" s="54">
        <f t="shared" ca="1" si="143"/>
        <v>2927596219.0210738</v>
      </c>
      <c r="CA152" s="54">
        <f t="shared" ca="1" si="143"/>
        <v>3015016990.2014179</v>
      </c>
      <c r="CB152" s="54">
        <f t="shared" ca="1" si="143"/>
        <v>3106980425.6032333</v>
      </c>
      <c r="CC152" s="54">
        <f t="shared" ca="1" si="143"/>
        <v>3195149748.5508428</v>
      </c>
      <c r="CD152" s="54">
        <f t="shared" ca="1" si="143"/>
        <v>3285882438.8754697</v>
      </c>
      <c r="CE152" s="54">
        <f t="shared" ca="1" si="143"/>
        <v>3379193015.3874111</v>
      </c>
      <c r="CF152" s="54">
        <f t="shared" ca="1" si="143"/>
        <v>3468842755.3246322</v>
      </c>
      <c r="CG152" s="54">
        <f t="shared" ca="1" si="143"/>
        <v>3563122006.9957042</v>
      </c>
      <c r="CH152" s="54">
        <f t="shared" ca="1" si="143"/>
        <v>3653862884.5236707</v>
      </c>
      <c r="CI152" s="54">
        <f t="shared" ca="1" si="143"/>
        <v>3746892546.3323956</v>
      </c>
      <c r="CJ152" s="54">
        <f t="shared" ca="1" si="143"/>
        <v>3847098432.7969666</v>
      </c>
      <c r="CK152" s="54">
        <f t="shared" ca="1" si="143"/>
        <v>3934539612.8498645</v>
      </c>
    </row>
    <row r="153" spans="2:89" ht="15.75" thickBot="1"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</row>
    <row r="154" spans="2:89" ht="16.5" thickTop="1" thickBot="1">
      <c r="B154" s="105" t="s">
        <v>116</v>
      </c>
      <c r="C154" s="121"/>
      <c r="D154" s="122"/>
      <c r="E154" s="123"/>
      <c r="F154" s="109">
        <f t="shared" ref="F154:AK154" ca="1" si="144">SUM(F152,F143)</f>
        <v>212986363.63636363</v>
      </c>
      <c r="G154" s="109">
        <f t="shared" ca="1" si="144"/>
        <v>218083686.17683688</v>
      </c>
      <c r="H154" s="109">
        <f t="shared" ca="1" si="144"/>
        <v>222803001.24533004</v>
      </c>
      <c r="I154" s="109">
        <f t="shared" ca="1" si="144"/>
        <v>685399414.69489408</v>
      </c>
      <c r="J154" s="109">
        <f t="shared" ca="1" si="144"/>
        <v>696084869.2403487</v>
      </c>
      <c r="K154" s="109">
        <f t="shared" ca="1" si="144"/>
        <v>706466687.42216682</v>
      </c>
      <c r="L154" s="109">
        <f t="shared" ca="1" si="144"/>
        <v>1012240323.7858032</v>
      </c>
      <c r="M154" s="109">
        <f t="shared" ca="1" si="144"/>
        <v>1016398032.3785802</v>
      </c>
      <c r="N154" s="109">
        <f t="shared" ca="1" si="144"/>
        <v>1020800694.8941469</v>
      </c>
      <c r="O154" s="109">
        <f t="shared" ca="1" si="144"/>
        <v>1264868168.8136702</v>
      </c>
      <c r="P154" s="109">
        <f t="shared" ca="1" si="144"/>
        <v>1265472386.3993633</v>
      </c>
      <c r="Q154" s="109">
        <f t="shared" ca="1" si="144"/>
        <v>1161247647.2041321</v>
      </c>
      <c r="R154" s="109">
        <f t="shared" ca="1" si="144"/>
        <v>1189984985.8373981</v>
      </c>
      <c r="S154" s="109">
        <f t="shared" ca="1" si="144"/>
        <v>1180681112.0093539</v>
      </c>
      <c r="T154" s="109">
        <f t="shared" ca="1" si="144"/>
        <v>1173881611.3770399</v>
      </c>
      <c r="U154" s="109">
        <f t="shared" ca="1" si="144"/>
        <v>1159795224.5108564</v>
      </c>
      <c r="V154" s="109">
        <f t="shared" ca="1" si="144"/>
        <v>1146941445.5270352</v>
      </c>
      <c r="W154" s="109">
        <f t="shared" ca="1" si="144"/>
        <v>1135530905.6481192</v>
      </c>
      <c r="X154" s="109">
        <f t="shared" ca="1" si="144"/>
        <v>1121918422.8075686</v>
      </c>
      <c r="Y154" s="109">
        <f t="shared" ca="1" si="144"/>
        <v>1110849573.0573134</v>
      </c>
      <c r="Z154" s="109">
        <f t="shared" ca="1" si="144"/>
        <v>1097532654.9011378</v>
      </c>
      <c r="AA154" s="109">
        <f t="shared" ca="1" si="144"/>
        <v>1085488966.7542691</v>
      </c>
      <c r="AB154" s="109">
        <f t="shared" ca="1" si="144"/>
        <v>1077755414.1150105</v>
      </c>
      <c r="AC154" s="109">
        <f t="shared" ca="1" si="144"/>
        <v>1062423221.3143325</v>
      </c>
      <c r="AD154" s="109">
        <f t="shared" ca="1" si="144"/>
        <v>1054040843.1856596</v>
      </c>
      <c r="AE154" s="109">
        <f t="shared" ca="1" si="144"/>
        <v>1043795029.8475213</v>
      </c>
      <c r="AF154" s="109">
        <f t="shared" ca="1" si="144"/>
        <v>1037713398.3345957</v>
      </c>
      <c r="AG154" s="109">
        <f t="shared" ca="1" si="144"/>
        <v>1030131215.5191959</v>
      </c>
      <c r="AH154" s="109">
        <f t="shared" ca="1" si="144"/>
        <v>1026046009.4368891</v>
      </c>
      <c r="AI154" s="109">
        <f t="shared" ca="1" si="144"/>
        <v>1026009459.93633</v>
      </c>
      <c r="AJ154" s="109">
        <f t="shared" ca="1" si="144"/>
        <v>1025734314.097122</v>
      </c>
      <c r="AK154" s="109">
        <f t="shared" ca="1" si="144"/>
        <v>1031891383.0778744</v>
      </c>
      <c r="AL154" s="109">
        <f t="shared" ref="AL154:CK154" ca="1" si="145">SUM(AL152,AL143)</f>
        <v>1039308387.6613032</v>
      </c>
      <c r="AM154" s="109">
        <f t="shared" ca="1" si="145"/>
        <v>1051383233.1271269</v>
      </c>
      <c r="AN154" s="109">
        <f t="shared" ca="1" si="145"/>
        <v>1074217817.7084863</v>
      </c>
      <c r="AO154" s="109">
        <f t="shared" ca="1" si="145"/>
        <v>1093396341.4631467</v>
      </c>
      <c r="AP154" s="109">
        <f t="shared" ca="1" si="145"/>
        <v>1119276866.1107619</v>
      </c>
      <c r="AQ154" s="109">
        <f t="shared" ca="1" si="145"/>
        <v>1144495346.5829954</v>
      </c>
      <c r="AR154" s="109">
        <f t="shared" ca="1" si="145"/>
        <v>1176065051.6244543</v>
      </c>
      <c r="AS154" s="109">
        <f t="shared" ca="1" si="145"/>
        <v>1204782091.9368591</v>
      </c>
      <c r="AT154" s="109">
        <f t="shared" ca="1" si="145"/>
        <v>1238513757.0136855</v>
      </c>
      <c r="AU154" s="109">
        <f t="shared" ca="1" si="145"/>
        <v>1277497143.9585156</v>
      </c>
      <c r="AV154" s="109">
        <f t="shared" ca="1" si="145"/>
        <v>1315839450.2238812</v>
      </c>
      <c r="AW154" s="109">
        <f t="shared" ca="1" si="145"/>
        <v>1361586856.4069951</v>
      </c>
      <c r="AX154" s="109">
        <f t="shared" ca="1" si="145"/>
        <v>1407945091.7432699</v>
      </c>
      <c r="AY154" s="109">
        <f t="shared" ca="1" si="145"/>
        <v>1458391833.681541</v>
      </c>
      <c r="AZ154" s="109">
        <f t="shared" ca="1" si="145"/>
        <v>1519114294.2009554</v>
      </c>
      <c r="BA154" s="109">
        <f t="shared" ca="1" si="145"/>
        <v>1573115051.5146942</v>
      </c>
      <c r="BB154" s="109">
        <f t="shared" ca="1" si="145"/>
        <v>1633935406.4954123</v>
      </c>
      <c r="BC154" s="109">
        <f t="shared" ca="1" si="145"/>
        <v>1691634291.4435787</v>
      </c>
      <c r="BD154" s="109">
        <f t="shared" ca="1" si="145"/>
        <v>1753589612.0559368</v>
      </c>
      <c r="BE154" s="109">
        <f t="shared" ca="1" si="145"/>
        <v>1810714193.3364365</v>
      </c>
      <c r="BF154" s="109">
        <f t="shared" ca="1" si="145"/>
        <v>1870229296.7641621</v>
      </c>
      <c r="BG154" s="109">
        <f t="shared" ca="1" si="145"/>
        <v>1932218209.5391257</v>
      </c>
      <c r="BH154" s="109">
        <f t="shared" ca="1" si="145"/>
        <v>1990901374.3698411</v>
      </c>
      <c r="BI154" s="109">
        <f t="shared" ca="1" si="145"/>
        <v>2053907920.1193769</v>
      </c>
      <c r="BJ154" s="109">
        <f t="shared" ca="1" si="145"/>
        <v>2113724892.6439652</v>
      </c>
      <c r="BK154" s="109">
        <f t="shared" ca="1" si="145"/>
        <v>2175549009.231142</v>
      </c>
      <c r="BL154" s="109">
        <f t="shared" ca="1" si="145"/>
        <v>2241918836.4985509</v>
      </c>
      <c r="BM154" s="109">
        <f t="shared" ca="1" si="145"/>
        <v>2301001237.637908</v>
      </c>
      <c r="BN154" s="109">
        <f t="shared" ca="1" si="145"/>
        <v>2366342226.7876444</v>
      </c>
      <c r="BO154" s="109">
        <f t="shared" ca="1" si="145"/>
        <v>2428442284.2258</v>
      </c>
      <c r="BP154" s="109">
        <f t="shared" ca="1" si="145"/>
        <v>2494959907.4947829</v>
      </c>
      <c r="BQ154" s="109">
        <f t="shared" ca="1" si="145"/>
        <v>2557885888.9479823</v>
      </c>
      <c r="BR154" s="109">
        <f t="shared" ca="1" si="145"/>
        <v>2623317698.8723788</v>
      </c>
      <c r="BS154" s="109">
        <f t="shared" ca="1" si="145"/>
        <v>2691292289.7884064</v>
      </c>
      <c r="BT154" s="109">
        <f t="shared" ca="1" si="145"/>
        <v>2762974872.8618574</v>
      </c>
      <c r="BU154" s="109">
        <f t="shared" ca="1" si="145"/>
        <v>2839081803.0815549</v>
      </c>
      <c r="BV154" s="109">
        <f t="shared" ca="1" si="145"/>
        <v>2911806185.7128267</v>
      </c>
      <c r="BW154" s="109">
        <f t="shared" ca="1" si="145"/>
        <v>2986686360.834836</v>
      </c>
      <c r="BX154" s="109">
        <f t="shared" ca="1" si="145"/>
        <v>3068454453.1704397</v>
      </c>
      <c r="BY154" s="109">
        <f t="shared" ca="1" si="145"/>
        <v>3138029152.4225731</v>
      </c>
      <c r="BZ154" s="109">
        <f t="shared" ca="1" si="145"/>
        <v>3216340807.7656627</v>
      </c>
      <c r="CA154" s="109">
        <f t="shared" ca="1" si="145"/>
        <v>3291207466.3918943</v>
      </c>
      <c r="CB154" s="109">
        <f t="shared" ca="1" si="145"/>
        <v>3370616789.2395968</v>
      </c>
      <c r="CC154" s="109">
        <f t="shared" ca="1" si="145"/>
        <v>3446231999.6330938</v>
      </c>
      <c r="CD154" s="109">
        <f t="shared" ca="1" si="145"/>
        <v>3524410577.4036083</v>
      </c>
      <c r="CE154" s="109">
        <f t="shared" ca="1" si="145"/>
        <v>3605167041.3614368</v>
      </c>
      <c r="CF154" s="109">
        <f t="shared" ca="1" si="145"/>
        <v>3682262668.7445455</v>
      </c>
      <c r="CG154" s="109">
        <f t="shared" ca="1" si="145"/>
        <v>3763987807.861505</v>
      </c>
      <c r="CH154" s="109">
        <f t="shared" ca="1" si="145"/>
        <v>3842174572.8353591</v>
      </c>
      <c r="CI154" s="109">
        <f t="shared" ca="1" si="145"/>
        <v>3922650122.0899715</v>
      </c>
      <c r="CJ154" s="109">
        <f t="shared" ca="1" si="145"/>
        <v>4010301896.0004296</v>
      </c>
      <c r="CK154" s="109">
        <f t="shared" ca="1" si="145"/>
        <v>4085188963.4992151</v>
      </c>
    </row>
    <row r="155" spans="2:89" ht="15.75" thickTop="1"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</row>
    <row r="156" spans="2:89" ht="18" thickBot="1">
      <c r="B156" s="100" t="s">
        <v>571</v>
      </c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</row>
    <row r="157" spans="2:89" ht="15.75" thickTop="1">
      <c r="B157" s="148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</row>
    <row r="158" spans="2:89" ht="15.75" thickBot="1">
      <c r="B158" s="96" t="s">
        <v>124</v>
      </c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</row>
    <row r="159" spans="2:89">
      <c r="B159" s="148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</row>
    <row r="160" spans="2:89">
      <c r="B160" s="45" t="s">
        <v>538</v>
      </c>
      <c r="C160" s="118"/>
      <c r="D160" s="56"/>
      <c r="E160" s="119"/>
      <c r="F160" s="49">
        <f ca="1">Финансирование!F53</f>
        <v>10000</v>
      </c>
      <c r="G160" s="49">
        <f ca="1">Финансирование!G53</f>
        <v>10000</v>
      </c>
      <c r="H160" s="49">
        <f ca="1">Финансирование!H53</f>
        <v>10000</v>
      </c>
      <c r="I160" s="49">
        <f ca="1">Финансирование!I53</f>
        <v>10000</v>
      </c>
      <c r="J160" s="49">
        <f ca="1">Финансирование!J53</f>
        <v>10000</v>
      </c>
      <c r="K160" s="49">
        <f ca="1">Финансирование!K53</f>
        <v>10000</v>
      </c>
      <c r="L160" s="49">
        <f ca="1">Финансирование!L53</f>
        <v>10000</v>
      </c>
      <c r="M160" s="49">
        <f ca="1">Финансирование!M53</f>
        <v>10000</v>
      </c>
      <c r="N160" s="49">
        <f ca="1">Финансирование!N53</f>
        <v>10000</v>
      </c>
      <c r="O160" s="49">
        <f ca="1">Финансирование!O53</f>
        <v>10000</v>
      </c>
      <c r="P160" s="49">
        <f ca="1">Финансирование!P53</f>
        <v>10000</v>
      </c>
      <c r="Q160" s="49">
        <f ca="1">Финансирование!Q53</f>
        <v>10000</v>
      </c>
      <c r="R160" s="49">
        <f ca="1">Финансирование!R53</f>
        <v>10000</v>
      </c>
      <c r="S160" s="49">
        <f ca="1">Финансирование!S53</f>
        <v>10000</v>
      </c>
      <c r="T160" s="49">
        <f ca="1">Финансирование!T53</f>
        <v>10000</v>
      </c>
      <c r="U160" s="49">
        <f ca="1">Финансирование!U53</f>
        <v>10000</v>
      </c>
      <c r="V160" s="49">
        <f ca="1">Финансирование!V53</f>
        <v>10000</v>
      </c>
      <c r="W160" s="49">
        <f ca="1">Финансирование!W53</f>
        <v>10000</v>
      </c>
      <c r="X160" s="49">
        <f ca="1">Финансирование!X53</f>
        <v>10000</v>
      </c>
      <c r="Y160" s="49">
        <f ca="1">Финансирование!Y53</f>
        <v>10000</v>
      </c>
      <c r="Z160" s="49">
        <f ca="1">Финансирование!Z53</f>
        <v>10000</v>
      </c>
      <c r="AA160" s="49">
        <f ca="1">Финансирование!AA53</f>
        <v>10000</v>
      </c>
      <c r="AB160" s="49">
        <f ca="1">Финансирование!AB53</f>
        <v>10000</v>
      </c>
      <c r="AC160" s="49">
        <f ca="1">Финансирование!AC53</f>
        <v>10000</v>
      </c>
      <c r="AD160" s="49">
        <f ca="1">Финансирование!AD53</f>
        <v>10000</v>
      </c>
      <c r="AE160" s="49">
        <f ca="1">Финансирование!AE53</f>
        <v>10000</v>
      </c>
      <c r="AF160" s="49">
        <f ca="1">Финансирование!AF53</f>
        <v>10000</v>
      </c>
      <c r="AG160" s="49">
        <f ca="1">Финансирование!AG53</f>
        <v>10000</v>
      </c>
      <c r="AH160" s="49">
        <f ca="1">Финансирование!AH53</f>
        <v>10000</v>
      </c>
      <c r="AI160" s="49">
        <f ca="1">Финансирование!AI53</f>
        <v>10000</v>
      </c>
      <c r="AJ160" s="49">
        <f ca="1">Финансирование!AJ53</f>
        <v>10000</v>
      </c>
      <c r="AK160" s="49">
        <f ca="1">Финансирование!AK53</f>
        <v>10000</v>
      </c>
      <c r="AL160" s="49">
        <f ca="1">Финансирование!AL53</f>
        <v>10000</v>
      </c>
      <c r="AM160" s="49">
        <f ca="1">Финансирование!AM53</f>
        <v>10000</v>
      </c>
      <c r="AN160" s="49">
        <f ca="1">Финансирование!AN53</f>
        <v>10000</v>
      </c>
      <c r="AO160" s="49">
        <f ca="1">Финансирование!AO53</f>
        <v>10000</v>
      </c>
      <c r="AP160" s="49">
        <f ca="1">Финансирование!AP53</f>
        <v>10000</v>
      </c>
      <c r="AQ160" s="49">
        <f ca="1">Финансирование!AQ53</f>
        <v>10000</v>
      </c>
      <c r="AR160" s="49">
        <f ca="1">Финансирование!AR53</f>
        <v>10000</v>
      </c>
      <c r="AS160" s="49">
        <f ca="1">Финансирование!AS53</f>
        <v>10000</v>
      </c>
      <c r="AT160" s="49">
        <f ca="1">Финансирование!AT53</f>
        <v>10000</v>
      </c>
      <c r="AU160" s="49">
        <f ca="1">Финансирование!AU53</f>
        <v>10000</v>
      </c>
      <c r="AV160" s="49">
        <f ca="1">Финансирование!AV53</f>
        <v>10000</v>
      </c>
      <c r="AW160" s="49">
        <f ca="1">Финансирование!AW53</f>
        <v>10000</v>
      </c>
      <c r="AX160" s="49">
        <f ca="1">Финансирование!AX53</f>
        <v>10000</v>
      </c>
      <c r="AY160" s="49">
        <f ca="1">Финансирование!AY53</f>
        <v>10000</v>
      </c>
      <c r="AZ160" s="49">
        <f ca="1">Финансирование!AZ53</f>
        <v>10000</v>
      </c>
      <c r="BA160" s="49">
        <f ca="1">Финансирование!BA53</f>
        <v>10000</v>
      </c>
      <c r="BB160" s="49">
        <f ca="1">Финансирование!BB53</f>
        <v>10000</v>
      </c>
      <c r="BC160" s="49">
        <f ca="1">Финансирование!BC53</f>
        <v>10000</v>
      </c>
      <c r="BD160" s="49">
        <f ca="1">Финансирование!BD53</f>
        <v>10000</v>
      </c>
      <c r="BE160" s="49">
        <f ca="1">Финансирование!BE53</f>
        <v>10000</v>
      </c>
      <c r="BF160" s="49">
        <f ca="1">Финансирование!BF53</f>
        <v>10000</v>
      </c>
      <c r="BG160" s="49">
        <f ca="1">Финансирование!BG53</f>
        <v>10000</v>
      </c>
      <c r="BH160" s="49">
        <f ca="1">Финансирование!BH53</f>
        <v>10000</v>
      </c>
      <c r="BI160" s="49">
        <f ca="1">Финансирование!BI53</f>
        <v>10000</v>
      </c>
      <c r="BJ160" s="49">
        <f ca="1">Финансирование!BJ53</f>
        <v>10000</v>
      </c>
      <c r="BK160" s="49">
        <f ca="1">Финансирование!BK53</f>
        <v>10000</v>
      </c>
      <c r="BL160" s="49">
        <f ca="1">Финансирование!BL53</f>
        <v>10000</v>
      </c>
      <c r="BM160" s="49">
        <f ca="1">Финансирование!BM53</f>
        <v>10000</v>
      </c>
      <c r="BN160" s="49">
        <f ca="1">Финансирование!BN53</f>
        <v>10000</v>
      </c>
      <c r="BO160" s="49">
        <f ca="1">Финансирование!BO53</f>
        <v>10000</v>
      </c>
      <c r="BP160" s="49">
        <f ca="1">Финансирование!BP53</f>
        <v>10000</v>
      </c>
      <c r="BQ160" s="49">
        <f ca="1">Финансирование!BQ53</f>
        <v>10000</v>
      </c>
      <c r="BR160" s="49">
        <f ca="1">Финансирование!BR53</f>
        <v>10000</v>
      </c>
      <c r="BS160" s="49">
        <f ca="1">Финансирование!BS53</f>
        <v>10000</v>
      </c>
      <c r="BT160" s="49">
        <f ca="1">Финансирование!BT53</f>
        <v>10000</v>
      </c>
      <c r="BU160" s="49">
        <f ca="1">Финансирование!BU53</f>
        <v>10000</v>
      </c>
      <c r="BV160" s="49">
        <f ca="1">Финансирование!BV53</f>
        <v>10000</v>
      </c>
      <c r="BW160" s="49">
        <f ca="1">Финансирование!BW53</f>
        <v>10000</v>
      </c>
      <c r="BX160" s="49">
        <f ca="1">Финансирование!BX53</f>
        <v>10000</v>
      </c>
      <c r="BY160" s="49">
        <f ca="1">Финансирование!BY53</f>
        <v>10000</v>
      </c>
      <c r="BZ160" s="49">
        <f ca="1">Финансирование!BZ53</f>
        <v>10000</v>
      </c>
      <c r="CA160" s="49">
        <f ca="1">Финансирование!CA53</f>
        <v>10000</v>
      </c>
      <c r="CB160" s="49">
        <f ca="1">Финансирование!CB53</f>
        <v>10000</v>
      </c>
      <c r="CC160" s="49">
        <f ca="1">Финансирование!CC53</f>
        <v>10000</v>
      </c>
      <c r="CD160" s="49">
        <f ca="1">Финансирование!CD53</f>
        <v>10000</v>
      </c>
      <c r="CE160" s="49">
        <f ca="1">Финансирование!CE53</f>
        <v>10000</v>
      </c>
      <c r="CF160" s="49">
        <f ca="1">Финансирование!CF53</f>
        <v>10000</v>
      </c>
      <c r="CG160" s="49">
        <f ca="1">Финансирование!CG53</f>
        <v>10000</v>
      </c>
      <c r="CH160" s="49">
        <f ca="1">Финансирование!CH53</f>
        <v>10000</v>
      </c>
      <c r="CI160" s="49">
        <f ca="1">Финансирование!CI53</f>
        <v>10000</v>
      </c>
      <c r="CJ160" s="49">
        <f ca="1">Финансирование!CJ53</f>
        <v>10000</v>
      </c>
      <c r="CK160" s="49">
        <f ca="1">Финансирование!CK53</f>
        <v>10000</v>
      </c>
    </row>
    <row r="161" spans="2:89" ht="15.75" thickBot="1">
      <c r="B161" s="45" t="s">
        <v>125</v>
      </c>
      <c r="C161" s="118"/>
      <c r="D161" s="56"/>
      <c r="E161" s="119"/>
      <c r="F161" s="49">
        <f t="shared" ref="F161:AK161" ca="1" si="146">F65</f>
        <v>0</v>
      </c>
      <c r="G161" s="49">
        <f t="shared" ca="1" si="146"/>
        <v>-879041.09589041094</v>
      </c>
      <c r="H161" s="49">
        <f t="shared" ca="1" si="146"/>
        <v>-1729726.0273972601</v>
      </c>
      <c r="I161" s="49">
        <f t="shared" ca="1" si="146"/>
        <v>-2608767.1232876712</v>
      </c>
      <c r="J161" s="49">
        <f t="shared" ca="1" si="146"/>
        <v>-5398767.1232876712</v>
      </c>
      <c r="K161" s="49">
        <f t="shared" ca="1" si="146"/>
        <v>-8098767.1232876703</v>
      </c>
      <c r="L161" s="49">
        <f t="shared" ca="1" si="146"/>
        <v>-10888767.12328767</v>
      </c>
      <c r="M161" s="49">
        <f t="shared" ca="1" si="146"/>
        <v>-15812876.712328766</v>
      </c>
      <c r="N161" s="49">
        <f t="shared" ca="1" si="146"/>
        <v>-20901123.287671231</v>
      </c>
      <c r="O161" s="49">
        <f t="shared" ca="1" si="146"/>
        <v>-25975467.549966313</v>
      </c>
      <c r="P161" s="49">
        <f t="shared" ca="1" si="146"/>
        <v>-32155795.418818772</v>
      </c>
      <c r="Q161" s="49">
        <f t="shared" ca="1" si="146"/>
        <v>-38762352.79586795</v>
      </c>
      <c r="R161" s="49">
        <f t="shared" ca="1" si="146"/>
        <v>-37746766.423206896</v>
      </c>
      <c r="S161" s="49">
        <f t="shared" ca="1" si="146"/>
        <v>-36805953.073059477</v>
      </c>
      <c r="T161" s="49">
        <f t="shared" ca="1" si="146"/>
        <v>-41215943.11287909</v>
      </c>
      <c r="U161" s="49">
        <f t="shared" ca="1" si="146"/>
        <v>-40000160.324948892</v>
      </c>
      <c r="V161" s="49">
        <f t="shared" ca="1" si="146"/>
        <v>-38644974.922075272</v>
      </c>
      <c r="W161" s="49">
        <f t="shared" ca="1" si="146"/>
        <v>-42437542.219079748</v>
      </c>
      <c r="X161" s="49">
        <f t="shared" ca="1" si="146"/>
        <v>-40805287.174685039</v>
      </c>
      <c r="Y161" s="49">
        <f t="shared" ca="1" si="146"/>
        <v>-38834224.060906202</v>
      </c>
      <c r="Z161" s="49">
        <f t="shared" ca="1" si="146"/>
        <v>-42205635.645462602</v>
      </c>
      <c r="AA161" s="49">
        <f t="shared" ca="1" si="146"/>
        <v>-40170261.36967992</v>
      </c>
      <c r="AB161" s="49">
        <f t="shared" ca="1" si="146"/>
        <v>-37411825.027570143</v>
      </c>
      <c r="AC161" s="49">
        <f t="shared" ca="1" si="146"/>
        <v>-35100826.883531854</v>
      </c>
      <c r="AD161" s="49">
        <f t="shared" ca="1" si="146"/>
        <v>-27509805.935248889</v>
      </c>
      <c r="AE161" s="49">
        <f t="shared" ca="1" si="146"/>
        <v>-18835340.094640877</v>
      </c>
      <c r="AF161" s="49">
        <f t="shared" ca="1" si="146"/>
        <v>-8539898.3361507412</v>
      </c>
      <c r="AG161" s="49">
        <f t="shared" ca="1" si="146"/>
        <v>3290887.9811217096</v>
      </c>
      <c r="AH161" s="49">
        <f t="shared" ca="1" si="146"/>
        <v>17134202.94380869</v>
      </c>
      <c r="AI161" s="49">
        <f t="shared" ca="1" si="146"/>
        <v>33432982.450636335</v>
      </c>
      <c r="AJ161" s="49">
        <f t="shared" ca="1" si="146"/>
        <v>52316939.556209698</v>
      </c>
      <c r="AK161" s="49">
        <f t="shared" ca="1" si="146"/>
        <v>74505721.411185622</v>
      </c>
      <c r="AL161" s="49">
        <f t="shared" ref="AL161:BM161" ca="1" si="147">AL65</f>
        <v>94317603.107308447</v>
      </c>
      <c r="AM161" s="49">
        <f t="shared" ca="1" si="147"/>
        <v>124646704.93794335</v>
      </c>
      <c r="AN161" s="49">
        <f t="shared" ca="1" si="147"/>
        <v>160210639.53042263</v>
      </c>
      <c r="AO161" s="49">
        <f t="shared" ca="1" si="147"/>
        <v>201493450.56012297</v>
      </c>
      <c r="AP161" s="49">
        <f t="shared" ca="1" si="147"/>
        <v>245256512.94729933</v>
      </c>
      <c r="AQ161" s="49">
        <f t="shared" ca="1" si="147"/>
        <v>291420097.1410495</v>
      </c>
      <c r="AR161" s="49">
        <f t="shared" ca="1" si="147"/>
        <v>325574716.2146275</v>
      </c>
      <c r="AS161" s="49">
        <f t="shared" ca="1" si="147"/>
        <v>377206034.26345205</v>
      </c>
      <c r="AT161" s="49">
        <f t="shared" ca="1" si="147"/>
        <v>431863382.92255706</v>
      </c>
      <c r="AU161" s="49">
        <f t="shared" ca="1" si="147"/>
        <v>489754105.92948496</v>
      </c>
      <c r="AV161" s="49">
        <f t="shared" ca="1" si="147"/>
        <v>550913796.19213033</v>
      </c>
      <c r="AW161" s="49">
        <f t="shared" ca="1" si="147"/>
        <v>615680433.45271683</v>
      </c>
      <c r="AX161" s="49">
        <f t="shared" ca="1" si="147"/>
        <v>662628837.03808975</v>
      </c>
      <c r="AY161" s="49">
        <f t="shared" ca="1" si="147"/>
        <v>735140649.54613769</v>
      </c>
      <c r="AZ161" s="49">
        <f t="shared" ca="1" si="147"/>
        <v>811859374.36596632</v>
      </c>
      <c r="BA161" s="49">
        <f t="shared" ca="1" si="147"/>
        <v>892790651.96773827</v>
      </c>
      <c r="BB161" s="49">
        <f t="shared" ca="1" si="147"/>
        <v>974331365.90243351</v>
      </c>
      <c r="BC161" s="49">
        <f t="shared" ca="1" si="147"/>
        <v>1056295341.5844707</v>
      </c>
      <c r="BD161" s="49">
        <f t="shared" ca="1" si="147"/>
        <v>1110290070.9473915</v>
      </c>
      <c r="BE161" s="49">
        <f t="shared" ca="1" si="147"/>
        <v>1193293200.7531068</v>
      </c>
      <c r="BF161" s="49">
        <f t="shared" ca="1" si="147"/>
        <v>1276824951.98177</v>
      </c>
      <c r="BG161" s="49">
        <f t="shared" ca="1" si="147"/>
        <v>1360954810.720614</v>
      </c>
      <c r="BH161" s="49">
        <f t="shared" ca="1" si="147"/>
        <v>1445535551.9798923</v>
      </c>
      <c r="BI161" s="49">
        <f t="shared" ca="1" si="147"/>
        <v>1530709904.0976713</v>
      </c>
      <c r="BJ161" s="49">
        <f t="shared" ca="1" si="147"/>
        <v>1585982854.0926387</v>
      </c>
      <c r="BK161" s="49">
        <f t="shared" ca="1" si="147"/>
        <v>1672160606.5926147</v>
      </c>
      <c r="BL161" s="49">
        <f t="shared" ca="1" si="147"/>
        <v>1758971761.9472871</v>
      </c>
      <c r="BM161" s="49">
        <f t="shared" ca="1" si="147"/>
        <v>1846198641.8779547</v>
      </c>
      <c r="BN161" s="49">
        <f t="shared" ref="BN161:CK161" ca="1" si="148">BN65</f>
        <v>1934006371.6805177</v>
      </c>
      <c r="BO161" s="49">
        <f t="shared" ca="1" si="148"/>
        <v>2022302511.6372671</v>
      </c>
      <c r="BP161" s="49">
        <f t="shared" ca="1" si="148"/>
        <v>2079663565.1240742</v>
      </c>
      <c r="BQ161" s="49">
        <f t="shared" ca="1" si="148"/>
        <v>2169035703.5549288</v>
      </c>
      <c r="BR161" s="49">
        <f t="shared" ca="1" si="148"/>
        <v>2258955301.8582897</v>
      </c>
      <c r="BS161" s="49">
        <f t="shared" ca="1" si="148"/>
        <v>2349444823.6774292</v>
      </c>
      <c r="BT161" s="49">
        <f t="shared" ca="1" si="148"/>
        <v>2440450686.2998991</v>
      </c>
      <c r="BU161" s="49">
        <f t="shared" ca="1" si="148"/>
        <v>2531957735.3454957</v>
      </c>
      <c r="BV161" s="49">
        <f t="shared" ca="1" si="148"/>
        <v>2591268034.3245382</v>
      </c>
      <c r="BW161" s="49">
        <f t="shared" ca="1" si="148"/>
        <v>2683722635.664187</v>
      </c>
      <c r="BX161" s="49">
        <f t="shared" ca="1" si="148"/>
        <v>2776699345.5104728</v>
      </c>
      <c r="BY161" s="49">
        <f t="shared" ca="1" si="148"/>
        <v>2870098601.9735765</v>
      </c>
      <c r="BZ161" s="49">
        <f t="shared" ca="1" si="148"/>
        <v>2964000366.780138</v>
      </c>
      <c r="CA161" s="49">
        <f t="shared" ca="1" si="148"/>
        <v>3058379639.1633348</v>
      </c>
      <c r="CB161" s="49">
        <f t="shared" ca="1" si="148"/>
        <v>3119541877.4986262</v>
      </c>
      <c r="CC161" s="49">
        <f t="shared" ca="1" si="148"/>
        <v>3214908275.2139125</v>
      </c>
      <c r="CD161" s="49">
        <f t="shared" ca="1" si="148"/>
        <v>3310778199.5293002</v>
      </c>
      <c r="CE161" s="49">
        <f t="shared" ca="1" si="148"/>
        <v>3407150875.7754431</v>
      </c>
      <c r="CF161" s="49">
        <f t="shared" ca="1" si="148"/>
        <v>3504018756.6921992</v>
      </c>
      <c r="CG161" s="49">
        <f t="shared" ca="1" si="148"/>
        <v>3601389525.3553786</v>
      </c>
      <c r="CH161" s="49">
        <f t="shared" ca="1" si="148"/>
        <v>3664479372.9549274</v>
      </c>
      <c r="CI161" s="49">
        <f t="shared" ca="1" si="148"/>
        <v>3762865238.6248298</v>
      </c>
      <c r="CJ161" s="49">
        <f t="shared" ca="1" si="148"/>
        <v>3861731295.5003605</v>
      </c>
      <c r="CK161" s="49">
        <f t="shared" ca="1" si="148"/>
        <v>3961103468.1441512</v>
      </c>
    </row>
    <row r="162" spans="2:89" ht="15.75" thickTop="1">
      <c r="B162" s="50" t="s">
        <v>126</v>
      </c>
      <c r="C162" s="58"/>
      <c r="D162" s="59"/>
      <c r="E162" s="60"/>
      <c r="F162" s="54">
        <f ca="1">SUM(F160:F161)</f>
        <v>10000</v>
      </c>
      <c r="G162" s="54">
        <f t="shared" ref="G162:AG162" ca="1" si="149">SUM(G160:G161)</f>
        <v>-869041.09589041094</v>
      </c>
      <c r="H162" s="54">
        <f t="shared" ca="1" si="149"/>
        <v>-1719726.0273972601</v>
      </c>
      <c r="I162" s="54">
        <f t="shared" ca="1" si="149"/>
        <v>-2598767.1232876712</v>
      </c>
      <c r="J162" s="54">
        <f t="shared" ca="1" si="149"/>
        <v>-5388767.1232876712</v>
      </c>
      <c r="K162" s="54">
        <f t="shared" ca="1" si="149"/>
        <v>-8088767.1232876703</v>
      </c>
      <c r="L162" s="54">
        <f t="shared" ca="1" si="149"/>
        <v>-10878767.12328767</v>
      </c>
      <c r="M162" s="54">
        <f t="shared" ca="1" si="149"/>
        <v>-15802876.712328766</v>
      </c>
      <c r="N162" s="54">
        <f t="shared" ca="1" si="149"/>
        <v>-20891123.287671231</v>
      </c>
      <c r="O162" s="54">
        <f t="shared" ca="1" si="149"/>
        <v>-25965467.549966313</v>
      </c>
      <c r="P162" s="54">
        <f t="shared" ca="1" si="149"/>
        <v>-32145795.418818772</v>
      </c>
      <c r="Q162" s="54">
        <f t="shared" ca="1" si="149"/>
        <v>-38752352.79586795</v>
      </c>
      <c r="R162" s="54">
        <f t="shared" ca="1" si="149"/>
        <v>-37736766.423206896</v>
      </c>
      <c r="S162" s="54">
        <f t="shared" ca="1" si="149"/>
        <v>-36795953.073059477</v>
      </c>
      <c r="T162" s="54">
        <f t="shared" ca="1" si="149"/>
        <v>-41205943.11287909</v>
      </c>
      <c r="U162" s="54">
        <f t="shared" ca="1" si="149"/>
        <v>-39990160.324948892</v>
      </c>
      <c r="V162" s="54">
        <f t="shared" ca="1" si="149"/>
        <v>-38634974.922075272</v>
      </c>
      <c r="W162" s="54">
        <f t="shared" ca="1" si="149"/>
        <v>-42427542.219079748</v>
      </c>
      <c r="X162" s="54">
        <f t="shared" ca="1" si="149"/>
        <v>-40795287.174685039</v>
      </c>
      <c r="Y162" s="54">
        <f t="shared" ca="1" si="149"/>
        <v>-38824224.060906202</v>
      </c>
      <c r="Z162" s="54">
        <f t="shared" ca="1" si="149"/>
        <v>-42195635.645462602</v>
      </c>
      <c r="AA162" s="54">
        <f t="shared" ca="1" si="149"/>
        <v>-40160261.36967992</v>
      </c>
      <c r="AB162" s="54">
        <f t="shared" ca="1" si="149"/>
        <v>-37401825.027570143</v>
      </c>
      <c r="AC162" s="54">
        <f t="shared" ca="1" si="149"/>
        <v>-35090826.883531854</v>
      </c>
      <c r="AD162" s="54">
        <f t="shared" ca="1" si="149"/>
        <v>-27499805.935248889</v>
      </c>
      <c r="AE162" s="54">
        <f t="shared" ca="1" si="149"/>
        <v>-18825340.094640877</v>
      </c>
      <c r="AF162" s="54">
        <f t="shared" ca="1" si="149"/>
        <v>-8529898.3361507412</v>
      </c>
      <c r="AG162" s="54">
        <f t="shared" ca="1" si="149"/>
        <v>3300887.9811217096</v>
      </c>
      <c r="AH162" s="54">
        <f t="shared" ref="AH162:BM162" ca="1" si="150">SUM(AH160:AH161)</f>
        <v>17144202.94380869</v>
      </c>
      <c r="AI162" s="54">
        <f t="shared" ca="1" si="150"/>
        <v>33442982.450636335</v>
      </c>
      <c r="AJ162" s="54">
        <f t="shared" ca="1" si="150"/>
        <v>52326939.556209698</v>
      </c>
      <c r="AK162" s="54">
        <f t="shared" ca="1" si="150"/>
        <v>74515721.411185622</v>
      </c>
      <c r="AL162" s="54">
        <f t="shared" ca="1" si="150"/>
        <v>94327603.107308447</v>
      </c>
      <c r="AM162" s="54">
        <f t="shared" ca="1" si="150"/>
        <v>124656704.93794335</v>
      </c>
      <c r="AN162" s="54">
        <f t="shared" ca="1" si="150"/>
        <v>160220639.53042263</v>
      </c>
      <c r="AO162" s="54">
        <f t="shared" ca="1" si="150"/>
        <v>201503450.56012297</v>
      </c>
      <c r="AP162" s="54">
        <f t="shared" ca="1" si="150"/>
        <v>245266512.94729933</v>
      </c>
      <c r="AQ162" s="54">
        <f t="shared" ca="1" si="150"/>
        <v>291430097.1410495</v>
      </c>
      <c r="AR162" s="54">
        <f t="shared" ca="1" si="150"/>
        <v>325584716.2146275</v>
      </c>
      <c r="AS162" s="54">
        <f t="shared" ca="1" si="150"/>
        <v>377216034.26345205</v>
      </c>
      <c r="AT162" s="54">
        <f t="shared" ca="1" si="150"/>
        <v>431873382.92255706</v>
      </c>
      <c r="AU162" s="54">
        <f t="shared" ca="1" si="150"/>
        <v>489764105.92948496</v>
      </c>
      <c r="AV162" s="54">
        <f t="shared" ca="1" si="150"/>
        <v>550923796.19213033</v>
      </c>
      <c r="AW162" s="54">
        <f t="shared" ca="1" si="150"/>
        <v>615690433.45271683</v>
      </c>
      <c r="AX162" s="54">
        <f t="shared" ca="1" si="150"/>
        <v>662638837.03808975</v>
      </c>
      <c r="AY162" s="54">
        <f t="shared" ca="1" si="150"/>
        <v>735150649.54613769</v>
      </c>
      <c r="AZ162" s="54">
        <f t="shared" ca="1" si="150"/>
        <v>811869374.36596632</v>
      </c>
      <c r="BA162" s="54">
        <f t="shared" ca="1" si="150"/>
        <v>892800651.96773827</v>
      </c>
      <c r="BB162" s="54">
        <f t="shared" ca="1" si="150"/>
        <v>974341365.90243351</v>
      </c>
      <c r="BC162" s="54">
        <f t="shared" ca="1" si="150"/>
        <v>1056305341.5844707</v>
      </c>
      <c r="BD162" s="54">
        <f t="shared" ca="1" si="150"/>
        <v>1110300070.9473915</v>
      </c>
      <c r="BE162" s="54">
        <f t="shared" ca="1" si="150"/>
        <v>1193303200.7531068</v>
      </c>
      <c r="BF162" s="54">
        <f t="shared" ca="1" si="150"/>
        <v>1276834951.98177</v>
      </c>
      <c r="BG162" s="54">
        <f t="shared" ca="1" si="150"/>
        <v>1360964810.720614</v>
      </c>
      <c r="BH162" s="54">
        <f t="shared" ca="1" si="150"/>
        <v>1445545551.9798923</v>
      </c>
      <c r="BI162" s="54">
        <f t="shared" ca="1" si="150"/>
        <v>1530719904.0976713</v>
      </c>
      <c r="BJ162" s="54">
        <f t="shared" ca="1" si="150"/>
        <v>1585992854.0926387</v>
      </c>
      <c r="BK162" s="54">
        <f t="shared" ca="1" si="150"/>
        <v>1672170606.5926147</v>
      </c>
      <c r="BL162" s="54">
        <f t="shared" ca="1" si="150"/>
        <v>1758981761.9472871</v>
      </c>
      <c r="BM162" s="54">
        <f t="shared" ca="1" si="150"/>
        <v>1846208641.8779547</v>
      </c>
      <c r="BN162" s="54">
        <f t="shared" ref="BN162:CK162" ca="1" si="151">SUM(BN160:BN161)</f>
        <v>1934016371.6805177</v>
      </c>
      <c r="BO162" s="54">
        <f t="shared" ca="1" si="151"/>
        <v>2022312511.6372671</v>
      </c>
      <c r="BP162" s="54">
        <f t="shared" ca="1" si="151"/>
        <v>2079673565.1240742</v>
      </c>
      <c r="BQ162" s="54">
        <f t="shared" ca="1" si="151"/>
        <v>2169045703.5549288</v>
      </c>
      <c r="BR162" s="54">
        <f t="shared" ca="1" si="151"/>
        <v>2258965301.8582897</v>
      </c>
      <c r="BS162" s="54">
        <f t="shared" ca="1" si="151"/>
        <v>2349454823.6774292</v>
      </c>
      <c r="BT162" s="54">
        <f t="shared" ca="1" si="151"/>
        <v>2440460686.2998991</v>
      </c>
      <c r="BU162" s="54">
        <f t="shared" ca="1" si="151"/>
        <v>2531967735.3454957</v>
      </c>
      <c r="BV162" s="54">
        <f t="shared" ca="1" si="151"/>
        <v>2591278034.3245382</v>
      </c>
      <c r="BW162" s="54">
        <f t="shared" ca="1" si="151"/>
        <v>2683732635.664187</v>
      </c>
      <c r="BX162" s="54">
        <f t="shared" ca="1" si="151"/>
        <v>2776709345.5104728</v>
      </c>
      <c r="BY162" s="54">
        <f t="shared" ca="1" si="151"/>
        <v>2870108601.9735765</v>
      </c>
      <c r="BZ162" s="54">
        <f t="shared" ca="1" si="151"/>
        <v>2964010366.780138</v>
      </c>
      <c r="CA162" s="54">
        <f t="shared" ca="1" si="151"/>
        <v>3058389639.1633348</v>
      </c>
      <c r="CB162" s="54">
        <f t="shared" ca="1" si="151"/>
        <v>3119551877.4986262</v>
      </c>
      <c r="CC162" s="54">
        <f t="shared" ca="1" si="151"/>
        <v>3214918275.2139125</v>
      </c>
      <c r="CD162" s="54">
        <f t="shared" ca="1" si="151"/>
        <v>3310788199.5293002</v>
      </c>
      <c r="CE162" s="54">
        <f t="shared" ca="1" si="151"/>
        <v>3407160875.7754431</v>
      </c>
      <c r="CF162" s="54">
        <f t="shared" ca="1" si="151"/>
        <v>3504028756.6921992</v>
      </c>
      <c r="CG162" s="54">
        <f t="shared" ca="1" si="151"/>
        <v>3601399525.3553786</v>
      </c>
      <c r="CH162" s="54">
        <f t="shared" ca="1" si="151"/>
        <v>3664489372.9549274</v>
      </c>
      <c r="CI162" s="54">
        <f t="shared" ca="1" si="151"/>
        <v>3762875238.6248298</v>
      </c>
      <c r="CJ162" s="54">
        <f t="shared" ca="1" si="151"/>
        <v>3861741295.5003605</v>
      </c>
      <c r="CK162" s="54">
        <f t="shared" ca="1" si="151"/>
        <v>3961113468.1441512</v>
      </c>
    </row>
    <row r="163" spans="2:89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</row>
    <row r="164" spans="2:89" ht="15.75" thickBot="1">
      <c r="B164" s="96" t="s">
        <v>121</v>
      </c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</row>
    <row r="165" spans="2:89">
      <c r="B165" s="148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</row>
    <row r="166" spans="2:89">
      <c r="B166" s="45" t="s">
        <v>122</v>
      </c>
      <c r="C166" s="118"/>
      <c r="D166" s="56"/>
      <c r="E166" s="119"/>
      <c r="F166" s="49">
        <f>Финансирование!F90</f>
        <v>207000000</v>
      </c>
      <c r="G166" s="49">
        <f>Финансирование!G90</f>
        <v>207000000</v>
      </c>
      <c r="H166" s="49">
        <f>Финансирование!H90</f>
        <v>207000000</v>
      </c>
      <c r="I166" s="49">
        <f>Финансирование!I90</f>
        <v>657000000</v>
      </c>
      <c r="J166" s="49">
        <f>Финансирование!J90</f>
        <v>657000000</v>
      </c>
      <c r="K166" s="49">
        <f>Финансирование!K90</f>
        <v>657000000</v>
      </c>
      <c r="L166" s="49">
        <f>Финансирование!L90</f>
        <v>957000000</v>
      </c>
      <c r="M166" s="49">
        <f>Финансирование!M90</f>
        <v>957000000</v>
      </c>
      <c r="N166" s="49">
        <f>Финансирование!N90</f>
        <v>957000000</v>
      </c>
      <c r="O166" s="49">
        <f>Финансирование!O90</f>
        <v>1200000000</v>
      </c>
      <c r="P166" s="49">
        <f>Финансирование!P90</f>
        <v>1200000000</v>
      </c>
      <c r="Q166" s="49">
        <f>Финансирование!Q90</f>
        <v>1200000000</v>
      </c>
      <c r="R166" s="49">
        <f>Финансирование!R90</f>
        <v>1187500000</v>
      </c>
      <c r="S166" s="49">
        <f>Финансирование!S90</f>
        <v>1175000000</v>
      </c>
      <c r="T166" s="49">
        <f>Финансирование!T90</f>
        <v>1162500000</v>
      </c>
      <c r="U166" s="49">
        <f>Финансирование!U90</f>
        <v>1150000000</v>
      </c>
      <c r="V166" s="49">
        <f>Финансирование!V90</f>
        <v>1137500000</v>
      </c>
      <c r="W166" s="49">
        <f>Финансирование!W90</f>
        <v>1125000000</v>
      </c>
      <c r="X166" s="49">
        <f>Финансирование!X90</f>
        <v>1112500000</v>
      </c>
      <c r="Y166" s="49">
        <f>Финансирование!Y90</f>
        <v>1100000000</v>
      </c>
      <c r="Z166" s="49">
        <f>Финансирование!Z90</f>
        <v>1087500000</v>
      </c>
      <c r="AA166" s="49">
        <f>Финансирование!AA90</f>
        <v>1075000000</v>
      </c>
      <c r="AB166" s="49">
        <f>Финансирование!AB90</f>
        <v>1062500000</v>
      </c>
      <c r="AC166" s="49">
        <f>Финансирование!AC90</f>
        <v>1050000000</v>
      </c>
      <c r="AD166" s="49">
        <f>Финансирование!AD90</f>
        <v>1030357142.8571428</v>
      </c>
      <c r="AE166" s="49">
        <f>Финансирование!AE90</f>
        <v>1010714285.7142856</v>
      </c>
      <c r="AF166" s="49">
        <f>Финансирование!AF90</f>
        <v>991071428.57142842</v>
      </c>
      <c r="AG166" s="49">
        <f>Финансирование!AG90</f>
        <v>971428571.42857122</v>
      </c>
      <c r="AH166" s="49">
        <f>Финансирование!AH90</f>
        <v>951785714.28571403</v>
      </c>
      <c r="AI166" s="49">
        <f>Финансирование!AI90</f>
        <v>932142857.14285684</v>
      </c>
      <c r="AJ166" s="49">
        <f>Финансирование!AJ90</f>
        <v>912499999.99999964</v>
      </c>
      <c r="AK166" s="49">
        <f>Финансирование!AK90</f>
        <v>892857142.85714245</v>
      </c>
      <c r="AL166" s="49">
        <f>Финансирование!AL90</f>
        <v>873214285.71428525</v>
      </c>
      <c r="AM166" s="49">
        <f>Финансирование!AM90</f>
        <v>853571428.57142806</v>
      </c>
      <c r="AN166" s="49">
        <f>Финансирование!AN90</f>
        <v>833928571.42857087</v>
      </c>
      <c r="AO166" s="49">
        <f>Финансирование!AO90</f>
        <v>814285714.28571367</v>
      </c>
      <c r="AP166" s="49">
        <f>Финансирование!AP90</f>
        <v>794642857.14285648</v>
      </c>
      <c r="AQ166" s="49">
        <f>Финансирование!AQ90</f>
        <v>774999999.99999928</v>
      </c>
      <c r="AR166" s="49">
        <f>Финансирование!AR90</f>
        <v>755357142.85714209</v>
      </c>
      <c r="AS166" s="49">
        <f>Финансирование!AS90</f>
        <v>735714285.7142849</v>
      </c>
      <c r="AT166" s="49">
        <f>Финансирование!AT90</f>
        <v>716071428.5714277</v>
      </c>
      <c r="AU166" s="49">
        <f>Финансирование!AU90</f>
        <v>696428571.42857051</v>
      </c>
      <c r="AV166" s="49">
        <f>Финансирование!AV90</f>
        <v>676785714.28571332</v>
      </c>
      <c r="AW166" s="49">
        <f>Финансирование!AW90</f>
        <v>657142857.14285612</v>
      </c>
      <c r="AX166" s="49">
        <f>Финансирование!AX90</f>
        <v>637499999.99999893</v>
      </c>
      <c r="AY166" s="49">
        <f>Финансирование!AY90</f>
        <v>617857142.85714173</v>
      </c>
      <c r="AZ166" s="49">
        <f>Финансирование!AZ90</f>
        <v>598214285.71428454</v>
      </c>
      <c r="BA166" s="49">
        <f>Финансирование!BA90</f>
        <v>578571428.57142735</v>
      </c>
      <c r="BB166" s="49">
        <f>Финансирование!BB90</f>
        <v>558928571.42857015</v>
      </c>
      <c r="BC166" s="49">
        <f>Финансирование!BC90</f>
        <v>539285714.28571296</v>
      </c>
      <c r="BD166" s="49">
        <f>Финансирование!BD90</f>
        <v>519642857.14285582</v>
      </c>
      <c r="BE166" s="49">
        <f>Финансирование!BE90</f>
        <v>499999999.99999869</v>
      </c>
      <c r="BF166" s="49">
        <f>Финансирование!BF90</f>
        <v>480357142.85714155</v>
      </c>
      <c r="BG166" s="49">
        <f>Финансирование!BG90</f>
        <v>460714285.71428442</v>
      </c>
      <c r="BH166" s="49">
        <f>Финансирование!BH90</f>
        <v>441071428.57142729</v>
      </c>
      <c r="BI166" s="49">
        <f>Финансирование!BI90</f>
        <v>421428571.42857015</v>
      </c>
      <c r="BJ166" s="49">
        <f>Финансирование!BJ90</f>
        <v>401785714.28571302</v>
      </c>
      <c r="BK166" s="49">
        <f>Финансирование!BK90</f>
        <v>382142857.14285588</v>
      </c>
      <c r="BL166" s="49">
        <f>Финансирование!BL90</f>
        <v>362499999.99999875</v>
      </c>
      <c r="BM166" s="49">
        <f>Финансирование!BM90</f>
        <v>342857142.85714161</v>
      </c>
      <c r="BN166" s="49">
        <f>Финансирование!BN90</f>
        <v>323214285.71428448</v>
      </c>
      <c r="BO166" s="49">
        <f>Финансирование!BO90</f>
        <v>303571428.57142735</v>
      </c>
      <c r="BP166" s="49">
        <f>Финансирование!BP90</f>
        <v>283928571.42857021</v>
      </c>
      <c r="BQ166" s="49">
        <f>Финансирование!BQ90</f>
        <v>264285714.28571308</v>
      </c>
      <c r="BR166" s="49">
        <f>Финансирование!BR90</f>
        <v>244642857.14285594</v>
      </c>
      <c r="BS166" s="49">
        <f>Финансирование!BS90</f>
        <v>224999999.99999881</v>
      </c>
      <c r="BT166" s="49">
        <f>Финансирование!BT90</f>
        <v>212499999.99999881</v>
      </c>
      <c r="BU166" s="49">
        <f>Финансирование!BU90</f>
        <v>199999999.99999881</v>
      </c>
      <c r="BV166" s="49">
        <f>Финансирование!BV90</f>
        <v>187499999.99999881</v>
      </c>
      <c r="BW166" s="49">
        <f>Финансирование!BW90</f>
        <v>174999999.99999881</v>
      </c>
      <c r="BX166" s="49">
        <f>Финансирование!BX90</f>
        <v>162499999.99999881</v>
      </c>
      <c r="BY166" s="49">
        <f>Финансирование!BY90</f>
        <v>149999999.99999881</v>
      </c>
      <c r="BZ166" s="49">
        <f>Финансирование!BZ90</f>
        <v>137499999.99999881</v>
      </c>
      <c r="CA166" s="49">
        <f>Финансирование!CA90</f>
        <v>124999999.99999881</v>
      </c>
      <c r="CB166" s="49">
        <f>Финансирование!CB90</f>
        <v>112499999.99999881</v>
      </c>
      <c r="CC166" s="49">
        <f>Финансирование!CC90</f>
        <v>99999999.999998808</v>
      </c>
      <c r="CD166" s="49">
        <f>Финансирование!CD90</f>
        <v>87499999.999998808</v>
      </c>
      <c r="CE166" s="49">
        <f>Финансирование!CE90</f>
        <v>74999999.999998808</v>
      </c>
      <c r="CF166" s="49">
        <f>Финансирование!CF90</f>
        <v>62499999.999998808</v>
      </c>
      <c r="CG166" s="49">
        <f>Финансирование!CG90</f>
        <v>49999999.999998808</v>
      </c>
      <c r="CH166" s="49">
        <f>Финансирование!CH90</f>
        <v>37499999.999998808</v>
      </c>
      <c r="CI166" s="49">
        <f>Финансирование!CI90</f>
        <v>24999999.999998808</v>
      </c>
      <c r="CJ166" s="49">
        <f>Финансирование!CJ90</f>
        <v>12499999.999998808</v>
      </c>
      <c r="CK166" s="49">
        <f>Финансирование!CK90</f>
        <v>-1.1920928955078125E-6</v>
      </c>
    </row>
    <row r="167" spans="2:89" ht="15.75" thickBot="1">
      <c r="B167" s="45" t="s">
        <v>118</v>
      </c>
      <c r="C167" s="118"/>
      <c r="D167" s="56"/>
      <c r="E167" s="119"/>
      <c r="F167" s="49">
        <f>Финансирование!F123</f>
        <v>0</v>
      </c>
      <c r="G167" s="49">
        <f>Финансирование!G123</f>
        <v>0</v>
      </c>
      <c r="H167" s="49">
        <f>Финансирование!H123</f>
        <v>0</v>
      </c>
      <c r="I167" s="49">
        <f>Финансирование!I123</f>
        <v>0</v>
      </c>
      <c r="J167" s="49">
        <f>Финансирование!J123</f>
        <v>0</v>
      </c>
      <c r="K167" s="49">
        <f>Финансирование!K123</f>
        <v>0</v>
      </c>
      <c r="L167" s="49">
        <f>Финансирование!L123</f>
        <v>0</v>
      </c>
      <c r="M167" s="49">
        <f>Финансирование!M123</f>
        <v>0</v>
      </c>
      <c r="N167" s="49">
        <f>Финансирование!N123</f>
        <v>0</v>
      </c>
      <c r="O167" s="49">
        <f>Финансирование!O123</f>
        <v>0</v>
      </c>
      <c r="P167" s="49">
        <f>Финансирование!P123</f>
        <v>0</v>
      </c>
      <c r="Q167" s="49">
        <f>Финансирование!Q123</f>
        <v>0</v>
      </c>
      <c r="R167" s="49">
        <f>Финансирование!R123</f>
        <v>0</v>
      </c>
      <c r="S167" s="49">
        <f>Финансирование!S123</f>
        <v>0</v>
      </c>
      <c r="T167" s="49">
        <f>Финансирование!T123</f>
        <v>0</v>
      </c>
      <c r="U167" s="49">
        <f>Финансирование!U123</f>
        <v>0</v>
      </c>
      <c r="V167" s="49">
        <f>Финансирование!V123</f>
        <v>0</v>
      </c>
      <c r="W167" s="49">
        <f>Финансирование!W123</f>
        <v>0</v>
      </c>
      <c r="X167" s="49">
        <f>Финансирование!X123</f>
        <v>0</v>
      </c>
      <c r="Y167" s="49">
        <f>Финансирование!Y123</f>
        <v>0</v>
      </c>
      <c r="Z167" s="49">
        <f>Финансирование!Z123</f>
        <v>0</v>
      </c>
      <c r="AA167" s="49">
        <f>Финансирование!AA123</f>
        <v>0</v>
      </c>
      <c r="AB167" s="49">
        <f>Финансирование!AB123</f>
        <v>0</v>
      </c>
      <c r="AC167" s="49">
        <f>Финансирование!AC123</f>
        <v>0</v>
      </c>
      <c r="AD167" s="49">
        <f>Финансирование!AD123</f>
        <v>0</v>
      </c>
      <c r="AE167" s="49">
        <f>Финансирование!AE123</f>
        <v>0</v>
      </c>
      <c r="AF167" s="49">
        <f>Финансирование!AF123</f>
        <v>0</v>
      </c>
      <c r="AG167" s="49">
        <f>Финансирование!AG123</f>
        <v>0</v>
      </c>
      <c r="AH167" s="49">
        <f>Финансирование!AH123</f>
        <v>0</v>
      </c>
      <c r="AI167" s="49">
        <f>Финансирование!AI123</f>
        <v>0</v>
      </c>
      <c r="AJ167" s="49">
        <f>Финансирование!AJ123</f>
        <v>0</v>
      </c>
      <c r="AK167" s="49">
        <f>Финансирование!AK123</f>
        <v>0</v>
      </c>
      <c r="AL167" s="49">
        <f>Финансирование!AL123</f>
        <v>0</v>
      </c>
      <c r="AM167" s="49">
        <f>Финансирование!AM123</f>
        <v>0</v>
      </c>
      <c r="AN167" s="49">
        <f>Финансирование!AN123</f>
        <v>0</v>
      </c>
      <c r="AO167" s="49">
        <f>Финансирование!AO123</f>
        <v>0</v>
      </c>
      <c r="AP167" s="49">
        <f>Финансирование!AP123</f>
        <v>0</v>
      </c>
      <c r="AQ167" s="49">
        <f>Финансирование!AQ123</f>
        <v>0</v>
      </c>
      <c r="AR167" s="49">
        <f>Финансирование!AR123</f>
        <v>0</v>
      </c>
      <c r="AS167" s="49">
        <f>Финансирование!AS123</f>
        <v>0</v>
      </c>
      <c r="AT167" s="49">
        <f>Финансирование!AT123</f>
        <v>0</v>
      </c>
      <c r="AU167" s="49">
        <f>Финансирование!AU123</f>
        <v>0</v>
      </c>
      <c r="AV167" s="49">
        <f>Финансирование!AV123</f>
        <v>0</v>
      </c>
      <c r="AW167" s="49">
        <f>Финансирование!AW123</f>
        <v>0</v>
      </c>
      <c r="AX167" s="49">
        <f>Финансирование!AX123</f>
        <v>0</v>
      </c>
      <c r="AY167" s="49">
        <f>Финансирование!AY123</f>
        <v>0</v>
      </c>
      <c r="AZ167" s="49">
        <f>Финансирование!AZ123</f>
        <v>0</v>
      </c>
      <c r="BA167" s="49">
        <f>Финансирование!BA123</f>
        <v>0</v>
      </c>
      <c r="BB167" s="49">
        <f>Финансирование!BB123</f>
        <v>0</v>
      </c>
      <c r="BC167" s="49">
        <f>Финансирование!BC123</f>
        <v>0</v>
      </c>
      <c r="BD167" s="49">
        <f>Финансирование!BD123</f>
        <v>0</v>
      </c>
      <c r="BE167" s="49">
        <f>Финансирование!BE123</f>
        <v>0</v>
      </c>
      <c r="BF167" s="49">
        <f>Финансирование!BF123</f>
        <v>0</v>
      </c>
      <c r="BG167" s="49">
        <f>Финансирование!BG123</f>
        <v>0</v>
      </c>
      <c r="BH167" s="49">
        <f>Финансирование!BH123</f>
        <v>0</v>
      </c>
      <c r="BI167" s="49">
        <f>Финансирование!BI123</f>
        <v>0</v>
      </c>
      <c r="BJ167" s="49">
        <f>Финансирование!BJ123</f>
        <v>0</v>
      </c>
      <c r="BK167" s="49">
        <f>Финансирование!BK123</f>
        <v>0</v>
      </c>
      <c r="BL167" s="49">
        <f>Финансирование!BL123</f>
        <v>0</v>
      </c>
      <c r="BM167" s="49">
        <f>Финансирование!BM123</f>
        <v>0</v>
      </c>
      <c r="BN167" s="49">
        <f>Финансирование!BN123</f>
        <v>0</v>
      </c>
      <c r="BO167" s="49">
        <f>Финансирование!BO123</f>
        <v>0</v>
      </c>
      <c r="BP167" s="49">
        <f>Финансирование!BP123</f>
        <v>0</v>
      </c>
      <c r="BQ167" s="49">
        <f>Финансирование!BQ123</f>
        <v>0</v>
      </c>
      <c r="BR167" s="49">
        <f>Финансирование!BR123</f>
        <v>0</v>
      </c>
      <c r="BS167" s="49">
        <f>Финансирование!BS123</f>
        <v>0</v>
      </c>
      <c r="BT167" s="49">
        <f>Финансирование!BT123</f>
        <v>0</v>
      </c>
      <c r="BU167" s="49">
        <f>Финансирование!BU123</f>
        <v>0</v>
      </c>
      <c r="BV167" s="49">
        <f>Финансирование!BV123</f>
        <v>0</v>
      </c>
      <c r="BW167" s="49">
        <f>Финансирование!BW123</f>
        <v>0</v>
      </c>
      <c r="BX167" s="49">
        <f>Финансирование!BX123</f>
        <v>0</v>
      </c>
      <c r="BY167" s="49">
        <f>Финансирование!BY123</f>
        <v>0</v>
      </c>
      <c r="BZ167" s="49">
        <f>Финансирование!BZ123</f>
        <v>0</v>
      </c>
      <c r="CA167" s="49">
        <f>Финансирование!CA123</f>
        <v>0</v>
      </c>
      <c r="CB167" s="49">
        <f>Финансирование!CB123</f>
        <v>0</v>
      </c>
      <c r="CC167" s="49">
        <f>Финансирование!CC123</f>
        <v>0</v>
      </c>
      <c r="CD167" s="49">
        <f>Финансирование!CD123</f>
        <v>0</v>
      </c>
      <c r="CE167" s="49">
        <f>Финансирование!CE123</f>
        <v>0</v>
      </c>
      <c r="CF167" s="49">
        <f>Финансирование!CF123</f>
        <v>0</v>
      </c>
      <c r="CG167" s="49">
        <f>Финансирование!CG123</f>
        <v>0</v>
      </c>
      <c r="CH167" s="49">
        <f>Финансирование!CH123</f>
        <v>0</v>
      </c>
      <c r="CI167" s="49">
        <f>Финансирование!CI123</f>
        <v>0</v>
      </c>
      <c r="CJ167" s="49">
        <f>Финансирование!CJ123</f>
        <v>0</v>
      </c>
      <c r="CK167" s="49">
        <f>Финансирование!CK123</f>
        <v>0</v>
      </c>
    </row>
    <row r="168" spans="2:89" ht="15.75" thickTop="1">
      <c r="B168" s="50" t="s">
        <v>123</v>
      </c>
      <c r="C168" s="58"/>
      <c r="D168" s="59"/>
      <c r="E168" s="60"/>
      <c r="F168" s="54">
        <f>SUM(F166:F167)</f>
        <v>207000000</v>
      </c>
      <c r="G168" s="54">
        <f t="shared" ref="G168:AG168" si="152">SUM(G166:G167)</f>
        <v>207000000</v>
      </c>
      <c r="H168" s="54">
        <f t="shared" si="152"/>
        <v>207000000</v>
      </c>
      <c r="I168" s="54">
        <f t="shared" si="152"/>
        <v>657000000</v>
      </c>
      <c r="J168" s="54">
        <f t="shared" si="152"/>
        <v>657000000</v>
      </c>
      <c r="K168" s="54">
        <f t="shared" si="152"/>
        <v>657000000</v>
      </c>
      <c r="L168" s="54">
        <f t="shared" si="152"/>
        <v>957000000</v>
      </c>
      <c r="M168" s="54">
        <f t="shared" si="152"/>
        <v>957000000</v>
      </c>
      <c r="N168" s="54">
        <f t="shared" si="152"/>
        <v>957000000</v>
      </c>
      <c r="O168" s="54">
        <f t="shared" si="152"/>
        <v>1200000000</v>
      </c>
      <c r="P168" s="54">
        <f t="shared" si="152"/>
        <v>1200000000</v>
      </c>
      <c r="Q168" s="54">
        <f t="shared" si="152"/>
        <v>1200000000</v>
      </c>
      <c r="R168" s="54">
        <f t="shared" si="152"/>
        <v>1187500000</v>
      </c>
      <c r="S168" s="54">
        <f t="shared" si="152"/>
        <v>1175000000</v>
      </c>
      <c r="T168" s="54">
        <f t="shared" si="152"/>
        <v>1162500000</v>
      </c>
      <c r="U168" s="54">
        <f t="shared" si="152"/>
        <v>1150000000</v>
      </c>
      <c r="V168" s="54">
        <f t="shared" si="152"/>
        <v>1137500000</v>
      </c>
      <c r="W168" s="54">
        <f t="shared" si="152"/>
        <v>1125000000</v>
      </c>
      <c r="X168" s="54">
        <f t="shared" si="152"/>
        <v>1112500000</v>
      </c>
      <c r="Y168" s="54">
        <f t="shared" si="152"/>
        <v>1100000000</v>
      </c>
      <c r="Z168" s="54">
        <f t="shared" si="152"/>
        <v>1087500000</v>
      </c>
      <c r="AA168" s="54">
        <f t="shared" si="152"/>
        <v>1075000000</v>
      </c>
      <c r="AB168" s="54">
        <f t="shared" si="152"/>
        <v>1062500000</v>
      </c>
      <c r="AC168" s="54">
        <f t="shared" si="152"/>
        <v>1050000000</v>
      </c>
      <c r="AD168" s="54">
        <f t="shared" si="152"/>
        <v>1030357142.8571428</v>
      </c>
      <c r="AE168" s="54">
        <f t="shared" si="152"/>
        <v>1010714285.7142856</v>
      </c>
      <c r="AF168" s="54">
        <f t="shared" si="152"/>
        <v>991071428.57142842</v>
      </c>
      <c r="AG168" s="54">
        <f t="shared" si="152"/>
        <v>971428571.42857122</v>
      </c>
      <c r="AH168" s="54">
        <f t="shared" ref="AH168:BM168" si="153">SUM(AH166:AH167)</f>
        <v>951785714.28571403</v>
      </c>
      <c r="AI168" s="54">
        <f t="shared" si="153"/>
        <v>932142857.14285684</v>
      </c>
      <c r="AJ168" s="54">
        <f t="shared" si="153"/>
        <v>912499999.99999964</v>
      </c>
      <c r="AK168" s="54">
        <f t="shared" si="153"/>
        <v>892857142.85714245</v>
      </c>
      <c r="AL168" s="54">
        <f t="shared" si="153"/>
        <v>873214285.71428525</v>
      </c>
      <c r="AM168" s="54">
        <f t="shared" si="153"/>
        <v>853571428.57142806</v>
      </c>
      <c r="AN168" s="54">
        <f t="shared" si="153"/>
        <v>833928571.42857087</v>
      </c>
      <c r="AO168" s="54">
        <f t="shared" si="153"/>
        <v>814285714.28571367</v>
      </c>
      <c r="AP168" s="54">
        <f t="shared" si="153"/>
        <v>794642857.14285648</v>
      </c>
      <c r="AQ168" s="54">
        <f t="shared" si="153"/>
        <v>774999999.99999928</v>
      </c>
      <c r="AR168" s="54">
        <f t="shared" si="153"/>
        <v>755357142.85714209</v>
      </c>
      <c r="AS168" s="54">
        <f t="shared" si="153"/>
        <v>735714285.7142849</v>
      </c>
      <c r="AT168" s="54">
        <f t="shared" si="153"/>
        <v>716071428.5714277</v>
      </c>
      <c r="AU168" s="54">
        <f t="shared" si="153"/>
        <v>696428571.42857051</v>
      </c>
      <c r="AV168" s="54">
        <f t="shared" si="153"/>
        <v>676785714.28571332</v>
      </c>
      <c r="AW168" s="54">
        <f t="shared" si="153"/>
        <v>657142857.14285612</v>
      </c>
      <c r="AX168" s="54">
        <f t="shared" si="153"/>
        <v>637499999.99999893</v>
      </c>
      <c r="AY168" s="54">
        <f t="shared" si="153"/>
        <v>617857142.85714173</v>
      </c>
      <c r="AZ168" s="54">
        <f t="shared" si="153"/>
        <v>598214285.71428454</v>
      </c>
      <c r="BA168" s="54">
        <f t="shared" si="153"/>
        <v>578571428.57142735</v>
      </c>
      <c r="BB168" s="54">
        <f t="shared" si="153"/>
        <v>558928571.42857015</v>
      </c>
      <c r="BC168" s="54">
        <f t="shared" si="153"/>
        <v>539285714.28571296</v>
      </c>
      <c r="BD168" s="54">
        <f t="shared" si="153"/>
        <v>519642857.14285582</v>
      </c>
      <c r="BE168" s="54">
        <f t="shared" si="153"/>
        <v>499999999.99999869</v>
      </c>
      <c r="BF168" s="54">
        <f t="shared" si="153"/>
        <v>480357142.85714155</v>
      </c>
      <c r="BG168" s="54">
        <f t="shared" si="153"/>
        <v>460714285.71428442</v>
      </c>
      <c r="BH168" s="54">
        <f t="shared" si="153"/>
        <v>441071428.57142729</v>
      </c>
      <c r="BI168" s="54">
        <f t="shared" si="153"/>
        <v>421428571.42857015</v>
      </c>
      <c r="BJ168" s="54">
        <f t="shared" si="153"/>
        <v>401785714.28571302</v>
      </c>
      <c r="BK168" s="54">
        <f t="shared" si="153"/>
        <v>382142857.14285588</v>
      </c>
      <c r="BL168" s="54">
        <f t="shared" si="153"/>
        <v>362499999.99999875</v>
      </c>
      <c r="BM168" s="54">
        <f t="shared" si="153"/>
        <v>342857142.85714161</v>
      </c>
      <c r="BN168" s="54">
        <f t="shared" ref="BN168:CK168" si="154">SUM(BN166:BN167)</f>
        <v>323214285.71428448</v>
      </c>
      <c r="BO168" s="54">
        <f t="shared" si="154"/>
        <v>303571428.57142735</v>
      </c>
      <c r="BP168" s="54">
        <f t="shared" si="154"/>
        <v>283928571.42857021</v>
      </c>
      <c r="BQ168" s="54">
        <f t="shared" si="154"/>
        <v>264285714.28571308</v>
      </c>
      <c r="BR168" s="54">
        <f t="shared" si="154"/>
        <v>244642857.14285594</v>
      </c>
      <c r="BS168" s="54">
        <f t="shared" si="154"/>
        <v>224999999.99999881</v>
      </c>
      <c r="BT168" s="54">
        <f t="shared" si="154"/>
        <v>212499999.99999881</v>
      </c>
      <c r="BU168" s="54">
        <f t="shared" si="154"/>
        <v>199999999.99999881</v>
      </c>
      <c r="BV168" s="54">
        <f t="shared" si="154"/>
        <v>187499999.99999881</v>
      </c>
      <c r="BW168" s="54">
        <f t="shared" si="154"/>
        <v>174999999.99999881</v>
      </c>
      <c r="BX168" s="54">
        <f t="shared" si="154"/>
        <v>162499999.99999881</v>
      </c>
      <c r="BY168" s="54">
        <f t="shared" si="154"/>
        <v>149999999.99999881</v>
      </c>
      <c r="BZ168" s="54">
        <f t="shared" si="154"/>
        <v>137499999.99999881</v>
      </c>
      <c r="CA168" s="54">
        <f t="shared" si="154"/>
        <v>124999999.99999881</v>
      </c>
      <c r="CB168" s="54">
        <f t="shared" si="154"/>
        <v>112499999.99999881</v>
      </c>
      <c r="CC168" s="54">
        <f t="shared" si="154"/>
        <v>99999999.999998808</v>
      </c>
      <c r="CD168" s="54">
        <f t="shared" si="154"/>
        <v>87499999.999998808</v>
      </c>
      <c r="CE168" s="54">
        <f t="shared" si="154"/>
        <v>74999999.999998808</v>
      </c>
      <c r="CF168" s="54">
        <f t="shared" si="154"/>
        <v>62499999.999998808</v>
      </c>
      <c r="CG168" s="54">
        <f t="shared" si="154"/>
        <v>49999999.999998808</v>
      </c>
      <c r="CH168" s="54">
        <f t="shared" si="154"/>
        <v>37499999.999998808</v>
      </c>
      <c r="CI168" s="54">
        <f t="shared" si="154"/>
        <v>24999999.999998808</v>
      </c>
      <c r="CJ168" s="54">
        <f t="shared" si="154"/>
        <v>12499999.999998808</v>
      </c>
      <c r="CK168" s="54">
        <f t="shared" si="154"/>
        <v>-1.1920928955078125E-6</v>
      </c>
    </row>
    <row r="169" spans="2:89"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</row>
    <row r="170" spans="2:89" ht="15.75" thickBot="1">
      <c r="B170" s="96" t="s">
        <v>117</v>
      </c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</row>
    <row r="171" spans="2:89">
      <c r="B171" s="148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</row>
    <row r="172" spans="2:89">
      <c r="B172" s="45" t="s">
        <v>35</v>
      </c>
      <c r="C172" s="118"/>
      <c r="D172" s="56"/>
      <c r="E172" s="119"/>
      <c r="F172" s="49">
        <f ca="1">Инвестиции!F91+Инвестиции!F148+Оборотный_капитал!F76</f>
        <v>0</v>
      </c>
      <c r="G172" s="49">
        <f ca="1">Инвестиции!G91+Инвестиции!G148+Оборотный_капитал!G76</f>
        <v>0</v>
      </c>
      <c r="H172" s="49">
        <f ca="1">Инвестиции!H91+Инвестиции!H148+Оборотный_капитал!H76</f>
        <v>0</v>
      </c>
      <c r="I172" s="49">
        <f ca="1">Инвестиции!I91+Инвестиции!I148+Оборотный_капитал!I76</f>
        <v>0</v>
      </c>
      <c r="J172" s="49">
        <f ca="1">Инвестиции!J91+Инвестиции!J148+Оборотный_капитал!J76</f>
        <v>0</v>
      </c>
      <c r="K172" s="49">
        <f ca="1">Инвестиции!K91+Инвестиции!K148+Оборотный_капитал!K76</f>
        <v>0</v>
      </c>
      <c r="L172" s="49">
        <f ca="1">Инвестиции!L91+Инвестиции!L148+Оборотный_капитал!L76</f>
        <v>0</v>
      </c>
      <c r="M172" s="49">
        <f ca="1">Инвестиции!M91+Инвестиции!M148+Оборотный_капитал!M76</f>
        <v>0</v>
      </c>
      <c r="N172" s="49">
        <f ca="1">Инвестиции!N91+Инвестиции!N148+Оборотный_капитал!N76</f>
        <v>0</v>
      </c>
      <c r="O172" s="49">
        <f ca="1">Инвестиции!O91+Инвестиции!O148+Оборотный_капитал!O76</f>
        <v>0</v>
      </c>
      <c r="P172" s="49">
        <f ca="1">Инвестиции!P91+Инвестиции!P148+Оборотный_капитал!P76</f>
        <v>0</v>
      </c>
      <c r="Q172" s="49">
        <f ca="1">Инвестиции!Q91+Инвестиции!Q148+Оборотный_капитал!Q76</f>
        <v>0</v>
      </c>
      <c r="R172" s="49">
        <f ca="1">Инвестиции!R91+Инвестиции!R148+Оборотный_капитал!R76</f>
        <v>33199085.062594414</v>
      </c>
      <c r="S172" s="49">
        <f ca="1">Инвестиции!S91+Инвестиции!S148+Оборотный_капитал!S76</f>
        <v>32265986.141835876</v>
      </c>
      <c r="T172" s="49">
        <f ca="1">Инвестиции!T91+Инвестиции!T148+Оборотный_капитал!T76</f>
        <v>33479940.283353336</v>
      </c>
      <c r="U172" s="49">
        <f ca="1">Инвестиции!U91+Инвестиции!U148+Оборотный_капитал!U76</f>
        <v>32538947.914035574</v>
      </c>
      <c r="V172" s="49">
        <f ca="1">Инвестиции!V91+Инвестиции!V148+Оборотный_капитал!V76</f>
        <v>32678550.155846514</v>
      </c>
      <c r="W172" s="49">
        <f ca="1">Инвестиции!W91+Инвестиции!W148+Оборотный_капитал!W76</f>
        <v>33908026.810919292</v>
      </c>
      <c r="X172" s="49">
        <f ca="1">Инвестиции!X91+Инвестиции!X148+Оборотный_капитал!X76</f>
        <v>32955003.05516335</v>
      </c>
      <c r="Y172" s="49">
        <f ca="1">Инвестиции!Y91+Инвестиции!Y148+Оборотный_капитал!Y76</f>
        <v>34194881.114608169</v>
      </c>
      <c r="Z172" s="49">
        <f ca="1">Инвестиции!Z91+Инвестиции!Z148+Оборотный_капитал!Z76</f>
        <v>33233795.311947543</v>
      </c>
      <c r="AA172" s="49">
        <f ca="1">Инвестиции!AA91+Инвестиции!AA148+Оборотный_капитал!AA76</f>
        <v>33376770.953965224</v>
      </c>
      <c r="AB172" s="49">
        <f ca="1">Инвестиции!AB91+Инвестиции!AB148+Оборотный_капитал!AB76</f>
        <v>37096414.608973302</v>
      </c>
      <c r="AC172" s="49">
        <f ca="1">Инвестиции!AC91+Инвестиции!AC148+Оборотный_капитал!AC76</f>
        <v>33650587.903573573</v>
      </c>
      <c r="AD172" s="49">
        <f ca="1">Инвестиции!AD91+Инвестиции!AD148+Оборотный_капитал!AD76</f>
        <v>36008588.231619105</v>
      </c>
      <c r="AE172" s="49">
        <f ca="1">Инвестиции!AE91+Инвестиции!AE148+Оборотный_капитал!AE76</f>
        <v>35894873.747941263</v>
      </c>
      <c r="AF172" s="49">
        <f ca="1">Инвестиции!AF91+Инвестиции!AF148+Оборотный_капитал!AF76</f>
        <v>38188721.902990296</v>
      </c>
      <c r="AG172" s="49">
        <f ca="1">Инвестиции!AG91+Инвестиции!AG148+Оборотный_капитал!AG76</f>
        <v>38107506.779892854</v>
      </c>
      <c r="AH172" s="49">
        <f ca="1">Инвестиции!AH91+Инвестиции!AH148+Оборотный_капитал!AH76</f>
        <v>39316718.473412879</v>
      </c>
      <c r="AI172" s="49">
        <f ca="1">Инвестиции!AI91+Инвестиции!AI148+Оборотный_капитал!AI76</f>
        <v>41898830.155846782</v>
      </c>
      <c r="AJ172" s="49">
        <f ca="1">Инвестиции!AJ91+Инвестиции!AJ148+Оборотный_капитал!AJ76</f>
        <v>41886475.02348458</v>
      </c>
      <c r="AK172" s="49">
        <f ca="1">Инвестиции!AK91+Инвестиции!AK148+Оборотный_капитал!AK76</f>
        <v>44695481.872772694</v>
      </c>
      <c r="AL172" s="49">
        <f ca="1">Инвестиции!AL91+Инвестиции!AL148+Оборотный_капитал!AL76</f>
        <v>44746768.633818775</v>
      </c>
      <c r="AM172" s="49">
        <f ca="1">Инвестиции!AM91+Инвестиции!AM148+Оборотный_капитал!AM76</f>
        <v>46329149.854646504</v>
      </c>
      <c r="AN172" s="49">
        <f ca="1">Инвестиции!AN91+Инвестиции!AN148+Оборотный_капитал!AN76</f>
        <v>52968441.837763295</v>
      </c>
      <c r="AO172" s="49">
        <f ca="1">Инвестиции!AO91+Инвестиции!AO148+Оборотный_капитал!AO76</f>
        <v>49620149.66969458</v>
      </c>
      <c r="AP172" s="49">
        <f ca="1">Инвестиции!AP91+Инвестиции!AP148+Оборотный_капитал!AP76</f>
        <v>51578510.560968243</v>
      </c>
      <c r="AQ172" s="49">
        <f ca="1">Инвестиции!AQ91+Инвестиции!AQ148+Оборотный_капитал!AQ76</f>
        <v>50226152.712350674</v>
      </c>
      <c r="AR172" s="49">
        <f ca="1">Инвестиции!AR91+Инвестиции!AR148+Оборотный_капитал!AR76</f>
        <v>52219333.09855134</v>
      </c>
      <c r="AS172" s="49">
        <f ca="1">Инвестиции!AS91+Инвестиции!AS148+Оборотный_капитал!AS76</f>
        <v>50861755.241564356</v>
      </c>
      <c r="AT172" s="49">
        <f ca="1">Инвестиции!AT91+Инвестиции!AT148+Оборотный_капитал!AT76</f>
        <v>51197210.078550093</v>
      </c>
      <c r="AU172" s="49">
        <f ca="1">Инвестиции!AU91+Инвестиции!AU148+Оборотный_капитал!AU76</f>
        <v>53248127.058422282</v>
      </c>
      <c r="AV172" s="49">
        <f ca="1">Инвестиции!AV91+Инвестиции!AV148+Оборотный_капитал!AV76</f>
        <v>51884196.767259568</v>
      </c>
      <c r="AW172" s="49">
        <f ca="1">Инвестиции!AW91+Инвестиции!AW148+Оборотный_капитал!AW76</f>
        <v>53977375.652886756</v>
      </c>
      <c r="AX172" s="49">
        <f ca="1">Инвестиции!AX91+Инвестиции!AX148+Оборотный_капитал!AX76</f>
        <v>52610417.810079597</v>
      </c>
      <c r="AY172" s="49">
        <f ca="1">Инвестиции!AY91+Инвестиции!AY148+Оборотный_капитал!AY76</f>
        <v>52996016.383122437</v>
      </c>
      <c r="AZ172" s="49">
        <f ca="1">Инвестиции!AZ91+Инвестиции!AZ148+Оборотный_капитал!AZ76</f>
        <v>59071190.024096623</v>
      </c>
      <c r="BA172" s="49">
        <f ca="1">Инвестиции!BA91+Инвестиции!BA148+Оборотный_капитал!BA76</f>
        <v>53763751.435679235</v>
      </c>
      <c r="BB172" s="49">
        <f ca="1">Инвестиции!BB91+Инвестиции!BB148+Оборотный_капитал!BB76</f>
        <v>55787371.622889072</v>
      </c>
      <c r="BC172" s="49">
        <f ca="1">Инвестиции!BC91+Инвестиции!BC148+Оборотный_капитал!BC76</f>
        <v>54220255.047665298</v>
      </c>
      <c r="BD172" s="49">
        <f ca="1">Инвестиции!BD91+Инвестиции!BD148+Оборотный_капитал!BD76</f>
        <v>56261057.993129477</v>
      </c>
      <c r="BE172" s="49">
        <f ca="1">Инвестиции!BE91+Инвестиции!BE148+Оборотный_капитал!BE76</f>
        <v>54680635.515452527</v>
      </c>
      <c r="BF172" s="49">
        <f ca="1">Инвестиции!BF91+Инвестиции!BF148+Оборотный_капитал!BF76</f>
        <v>54916095.628293328</v>
      </c>
      <c r="BG172" s="49">
        <f ca="1">Инвестиции!BG91+Инвестиции!BG148+Оборотный_капитал!BG76</f>
        <v>56983089.961089216</v>
      </c>
      <c r="BH172" s="49">
        <f ca="1">Инвестиции!BH91+Инвестиции!BH148+Оборотный_капитал!BH76</f>
        <v>55382385.531056806</v>
      </c>
      <c r="BI172" s="49">
        <f ca="1">Инвестиции!BI91+Инвестиции!BI148+Оборотный_капитал!BI76</f>
        <v>57466930.984436892</v>
      </c>
      <c r="BJ172" s="49">
        <f ca="1">Инвестиции!BJ91+Инвестиции!BJ148+Оборотный_капитал!BJ76</f>
        <v>55852635.413805328</v>
      </c>
      <c r="BK172" s="49">
        <f ca="1">Инвестиции!BK91+Инвестиции!BK148+Оборотный_капитал!BK76</f>
        <v>56092484.678371146</v>
      </c>
      <c r="BL172" s="49">
        <f ca="1">Инвестиции!BL91+Инвестиции!BL148+Оборотный_капитал!BL76</f>
        <v>60201778.018964782</v>
      </c>
      <c r="BM172" s="49">
        <f ca="1">Инвестиции!BM91+Инвестиции!BM148+Оборотный_капитал!BM76</f>
        <v>56559639.508595541</v>
      </c>
      <c r="BN172" s="49">
        <f ca="1">Инвестиции!BN91+Инвестиции!BN148+Оборотный_капитал!BN76</f>
        <v>58687829.955547974</v>
      </c>
      <c r="BO172" s="49">
        <f ca="1">Инвестиции!BO91+Инвестиции!BO148+Оборотный_капитал!BO76</f>
        <v>57038569.585135452</v>
      </c>
      <c r="BP172" s="49">
        <f ca="1">Инвестиции!BP91+Инвестиции!BP148+Оборотный_капитал!BP76</f>
        <v>59184781.291017406</v>
      </c>
      <c r="BQ172" s="49">
        <f ca="1">Инвестиции!BQ91+Инвестиции!BQ148+Оборотный_капитал!BQ76</f>
        <v>57521555.848914899</v>
      </c>
      <c r="BR172" s="49">
        <f ca="1">Инвестиции!BR91+Инвестиции!BR148+Оборотный_капитал!BR76</f>
        <v>57768573.33580751</v>
      </c>
      <c r="BS172" s="49">
        <f ca="1">Инвестиции!BS91+Инвестиции!BS148+Оборотный_капитал!BS76</f>
        <v>59942253.747274511</v>
      </c>
      <c r="BT172" s="49">
        <f ca="1">Инвестиции!BT91+Инвестиции!BT148+Оборотный_капитал!BT76</f>
        <v>58257742.208061323</v>
      </c>
      <c r="BU172" s="49">
        <f ca="1">Инвестиции!BU91+Инвестиции!BU148+Оборотный_капитал!BU76</f>
        <v>60449829.152959682</v>
      </c>
      <c r="BV172" s="49">
        <f ca="1">Инвестиции!BV91+Инвестиции!BV148+Оборотный_капитал!BV76</f>
        <v>58751053.997339323</v>
      </c>
      <c r="BW172" s="49">
        <f ca="1">Инвестиции!BW91+Инвестиции!BW148+Оборотный_капитал!BW76</f>
        <v>59004045.069889009</v>
      </c>
      <c r="BX172" s="49">
        <f ca="1">Инвестиции!BX91+Инвестиции!BX148+Оборотный_капитал!BX76</f>
        <v>65579934.865536951</v>
      </c>
      <c r="BY172" s="49">
        <f ca="1">Инвестиции!BY91+Инвестиции!BY148+Оборотный_капитал!BY76</f>
        <v>59488558.452781275</v>
      </c>
      <c r="BZ172" s="49">
        <f ca="1">Инвестиции!BZ91+Инвестиции!BZ148+Оборотный_капитал!BZ76</f>
        <v>61727660.098450504</v>
      </c>
      <c r="CA172" s="49">
        <f ca="1">Инвестиции!CA91+Инвестиции!CA148+Оборотный_капитал!CA76</f>
        <v>59993680.35980285</v>
      </c>
      <c r="CB172" s="49">
        <f ca="1">Инвестиции!CB91+Инвестиции!CB148+Оборотный_капитал!CB76</f>
        <v>62251794.789174825</v>
      </c>
      <c r="CC172" s="49">
        <f ca="1">Инвестиции!CC91+Инвестиции!CC148+Оборотный_капитал!CC76</f>
        <v>60503092.086163186</v>
      </c>
      <c r="CD172" s="49">
        <f ca="1">Инвестиции!CD91+Инвестиции!CD148+Оборотный_капитал!CD76</f>
        <v>60763629.106889829</v>
      </c>
      <c r="CE172" s="49">
        <f ca="1">Инвестиции!CE91+Инвестиции!CE148+Оборотный_капитал!CE76</f>
        <v>63050724.405526169</v>
      </c>
      <c r="CF172" s="49">
        <f ca="1">Инвестиции!CF91+Инвестиции!CF148+Оборотный_капитал!CF76</f>
        <v>61279579.743613027</v>
      </c>
      <c r="CG172" s="49">
        <f ca="1">Инвестиции!CG91+Инвестиции!CG148+Оборотный_капитал!CG76</f>
        <v>63586095.427076384</v>
      </c>
      <c r="CH172" s="49">
        <f ca="1">Инвестиции!CH91+Инвестиции!CH148+Оборотный_капитал!CH76</f>
        <v>61799912.179691873</v>
      </c>
      <c r="CI172" s="49">
        <f ca="1">Инвестиции!CI91+Инвестиции!CI148+Оборотный_капитал!CI76</f>
        <v>62066034.568927988</v>
      </c>
      <c r="CJ172" s="49">
        <f ca="1">Инвестиции!CJ91+Инвестиции!CJ148+Оборотный_капитал!CJ76</f>
        <v>68983179.805732682</v>
      </c>
      <c r="CK172" s="49">
        <f ca="1">Инвестиции!CK91+Инвестиции!CK148+Оборотный_капитал!CK76</f>
        <v>62575696.291515328</v>
      </c>
    </row>
    <row r="173" spans="2:89">
      <c r="B173" s="45" t="s">
        <v>533</v>
      </c>
      <c r="C173" s="118"/>
      <c r="D173" s="56"/>
      <c r="E173" s="119"/>
      <c r="F173" s="49">
        <f ca="1">Операции!F322</f>
        <v>0</v>
      </c>
      <c r="G173" s="49">
        <f ca="1">Операции!G322</f>
        <v>0</v>
      </c>
      <c r="H173" s="49">
        <f ca="1">Операции!H322</f>
        <v>0</v>
      </c>
      <c r="I173" s="49">
        <f ca="1">Операции!I322</f>
        <v>0</v>
      </c>
      <c r="J173" s="49">
        <f ca="1">Операции!J322</f>
        <v>0</v>
      </c>
      <c r="K173" s="49">
        <f ca="1">Операции!K322</f>
        <v>0</v>
      </c>
      <c r="L173" s="49">
        <f ca="1">Операции!L322</f>
        <v>0</v>
      </c>
      <c r="M173" s="49">
        <f ca="1">Операции!M322</f>
        <v>0</v>
      </c>
      <c r="N173" s="49">
        <f ca="1">Операции!N322</f>
        <v>0</v>
      </c>
      <c r="O173" s="49">
        <f ca="1">Операции!O322</f>
        <v>0</v>
      </c>
      <c r="P173" s="49">
        <f ca="1">Операции!P322</f>
        <v>0</v>
      </c>
      <c r="Q173" s="49">
        <f ca="1">Операции!Q322</f>
        <v>0</v>
      </c>
      <c r="R173" s="49">
        <f ca="1">Операции!R322</f>
        <v>0</v>
      </c>
      <c r="S173" s="49">
        <f ca="1">Операции!S322</f>
        <v>0</v>
      </c>
      <c r="T173" s="49">
        <f ca="1">Операции!T322</f>
        <v>0</v>
      </c>
      <c r="U173" s="49">
        <f ca="1">Операции!U322</f>
        <v>0</v>
      </c>
      <c r="V173" s="49">
        <f ca="1">Операции!V322</f>
        <v>0</v>
      </c>
      <c r="W173" s="49">
        <f ca="1">Операции!W322</f>
        <v>0</v>
      </c>
      <c r="X173" s="49">
        <f ca="1">Операции!X322</f>
        <v>0</v>
      </c>
      <c r="Y173" s="49">
        <f ca="1">Операции!Y322</f>
        <v>0</v>
      </c>
      <c r="Z173" s="49">
        <f ca="1">Операции!Z322</f>
        <v>0</v>
      </c>
      <c r="AA173" s="49">
        <f ca="1">Операции!AA322</f>
        <v>0</v>
      </c>
      <c r="AB173" s="49">
        <f ca="1">Операции!AB322</f>
        <v>0</v>
      </c>
      <c r="AC173" s="49">
        <f ca="1">Операции!AC322</f>
        <v>0</v>
      </c>
      <c r="AD173" s="49">
        <f ca="1">Операции!AD322</f>
        <v>0</v>
      </c>
      <c r="AE173" s="49">
        <f ca="1">Операции!AE322</f>
        <v>0</v>
      </c>
      <c r="AF173" s="49">
        <f ca="1">Операции!AF322</f>
        <v>0</v>
      </c>
      <c r="AG173" s="49">
        <f ca="1">Операции!AG322</f>
        <v>0</v>
      </c>
      <c r="AH173" s="49">
        <f ca="1">Операции!AH322</f>
        <v>0</v>
      </c>
      <c r="AI173" s="49">
        <f ca="1">Операции!AI322</f>
        <v>0</v>
      </c>
      <c r="AJ173" s="49">
        <f ca="1">Операции!AJ322</f>
        <v>0</v>
      </c>
      <c r="AK173" s="49">
        <f ca="1">Операции!AK322</f>
        <v>0</v>
      </c>
      <c r="AL173" s="49">
        <f ca="1">Операции!AL322</f>
        <v>0</v>
      </c>
      <c r="AM173" s="49">
        <f ca="1">Операции!AM322</f>
        <v>0</v>
      </c>
      <c r="AN173" s="49">
        <f ca="1">Операции!AN322</f>
        <v>0</v>
      </c>
      <c r="AO173" s="49">
        <f ca="1">Операции!AO322</f>
        <v>0</v>
      </c>
      <c r="AP173" s="49">
        <f ca="1">Операции!AP322</f>
        <v>0</v>
      </c>
      <c r="AQ173" s="49">
        <f ca="1">Операции!AQ322</f>
        <v>0</v>
      </c>
      <c r="AR173" s="49">
        <f ca="1">Операции!AR322</f>
        <v>0</v>
      </c>
      <c r="AS173" s="49">
        <f ca="1">Операции!AS322</f>
        <v>0</v>
      </c>
      <c r="AT173" s="49">
        <f ca="1">Операции!AT322</f>
        <v>0</v>
      </c>
      <c r="AU173" s="49">
        <f ca="1">Операции!AU322</f>
        <v>0</v>
      </c>
      <c r="AV173" s="49">
        <f ca="1">Операции!AV322</f>
        <v>0</v>
      </c>
      <c r="AW173" s="49">
        <f ca="1">Операции!AW322</f>
        <v>0</v>
      </c>
      <c r="AX173" s="49">
        <f ca="1">Операции!AX322</f>
        <v>0</v>
      </c>
      <c r="AY173" s="49">
        <f ca="1">Операции!AY322</f>
        <v>0</v>
      </c>
      <c r="AZ173" s="49">
        <f ca="1">Операции!AZ322</f>
        <v>0</v>
      </c>
      <c r="BA173" s="49">
        <f ca="1">Операции!BA322</f>
        <v>0</v>
      </c>
      <c r="BB173" s="49">
        <f ca="1">Операции!BB322</f>
        <v>0</v>
      </c>
      <c r="BC173" s="49">
        <f ca="1">Операции!BC322</f>
        <v>0</v>
      </c>
      <c r="BD173" s="49">
        <f ca="1">Операции!BD322</f>
        <v>0</v>
      </c>
      <c r="BE173" s="49">
        <f ca="1">Операции!BE322</f>
        <v>0</v>
      </c>
      <c r="BF173" s="49">
        <f ca="1">Операции!BF322</f>
        <v>0</v>
      </c>
      <c r="BG173" s="49">
        <f ca="1">Операции!BG322</f>
        <v>0</v>
      </c>
      <c r="BH173" s="49">
        <f ca="1">Операции!BH322</f>
        <v>0</v>
      </c>
      <c r="BI173" s="49">
        <f ca="1">Операции!BI322</f>
        <v>0</v>
      </c>
      <c r="BJ173" s="49">
        <f ca="1">Операции!BJ322</f>
        <v>0</v>
      </c>
      <c r="BK173" s="49">
        <f ca="1">Операции!BK322</f>
        <v>0</v>
      </c>
      <c r="BL173" s="49">
        <f ca="1">Операции!BL322</f>
        <v>0</v>
      </c>
      <c r="BM173" s="49">
        <f ca="1">Операции!BM322</f>
        <v>0</v>
      </c>
      <c r="BN173" s="49">
        <f ca="1">Операции!BN322</f>
        <v>0</v>
      </c>
      <c r="BO173" s="49">
        <f ca="1">Операции!BO322</f>
        <v>0</v>
      </c>
      <c r="BP173" s="49">
        <f ca="1">Операции!BP322</f>
        <v>0</v>
      </c>
      <c r="BQ173" s="49">
        <f ca="1">Операции!BQ322</f>
        <v>0</v>
      </c>
      <c r="BR173" s="49">
        <f ca="1">Операции!BR322</f>
        <v>0</v>
      </c>
      <c r="BS173" s="49">
        <f ca="1">Операции!BS322</f>
        <v>0</v>
      </c>
      <c r="BT173" s="49">
        <f ca="1">Операции!BT322</f>
        <v>0</v>
      </c>
      <c r="BU173" s="49">
        <f ca="1">Операции!BU322</f>
        <v>0</v>
      </c>
      <c r="BV173" s="49">
        <f ca="1">Операции!BV322</f>
        <v>0</v>
      </c>
      <c r="BW173" s="49">
        <f ca="1">Операции!BW322</f>
        <v>0</v>
      </c>
      <c r="BX173" s="49">
        <f ca="1">Операции!BX322</f>
        <v>0</v>
      </c>
      <c r="BY173" s="49">
        <f ca="1">Операции!BY322</f>
        <v>0</v>
      </c>
      <c r="BZ173" s="49">
        <f ca="1">Операции!BZ322</f>
        <v>0</v>
      </c>
      <c r="CA173" s="49">
        <f ca="1">Операции!CA322</f>
        <v>0</v>
      </c>
      <c r="CB173" s="49">
        <f ca="1">Операции!CB322</f>
        <v>0</v>
      </c>
      <c r="CC173" s="49">
        <f ca="1">Операции!CC322</f>
        <v>0</v>
      </c>
      <c r="CD173" s="49">
        <f ca="1">Операции!CD322</f>
        <v>0</v>
      </c>
      <c r="CE173" s="49">
        <f ca="1">Операции!CE322</f>
        <v>0</v>
      </c>
      <c r="CF173" s="49">
        <f ca="1">Операции!CF322</f>
        <v>0</v>
      </c>
      <c r="CG173" s="49">
        <f ca="1">Операции!CG322</f>
        <v>0</v>
      </c>
      <c r="CH173" s="49">
        <f ca="1">Операции!CH322</f>
        <v>0</v>
      </c>
      <c r="CI173" s="49">
        <f ca="1">Операции!CI322</f>
        <v>0</v>
      </c>
      <c r="CJ173" s="49">
        <f ca="1">Операции!CJ322</f>
        <v>0</v>
      </c>
      <c r="CK173" s="49">
        <f ca="1">Операции!CK322</f>
        <v>0</v>
      </c>
    </row>
    <row r="174" spans="2:89">
      <c r="B174" s="45" t="s">
        <v>119</v>
      </c>
      <c r="C174" s="118"/>
      <c r="D174" s="56"/>
      <c r="E174" s="119"/>
      <c r="F174" s="49">
        <f ca="1">MAX(Налоги!F74,0)</f>
        <v>0</v>
      </c>
      <c r="G174" s="49">
        <f ca="1">MAX(Налоги!G74,0)</f>
        <v>0</v>
      </c>
      <c r="H174" s="49">
        <f ca="1">MAX(Налоги!H74,0)</f>
        <v>0</v>
      </c>
      <c r="I174" s="49">
        <f ca="1">MAX(Налоги!I74,0)</f>
        <v>0</v>
      </c>
      <c r="J174" s="49">
        <f ca="1">MAX(Налоги!J74,0)</f>
        <v>0</v>
      </c>
      <c r="K174" s="49">
        <f ca="1">MAX(Налоги!K74,0)</f>
        <v>0</v>
      </c>
      <c r="L174" s="49">
        <f ca="1">MAX(Налоги!L74,0)</f>
        <v>0</v>
      </c>
      <c r="M174" s="49">
        <f ca="1">MAX(Налоги!M74,0)</f>
        <v>0</v>
      </c>
      <c r="N174" s="49">
        <f ca="1">MAX(Налоги!N74,0)</f>
        <v>0</v>
      </c>
      <c r="O174" s="49">
        <f ca="1">MAX(Налоги!O74,0)</f>
        <v>0</v>
      </c>
      <c r="P174" s="49">
        <f ca="1">MAX(Налоги!P74,0)</f>
        <v>0</v>
      </c>
      <c r="Q174" s="49">
        <f ca="1">MAX(Налоги!Q74,0)</f>
        <v>0</v>
      </c>
      <c r="R174" s="49">
        <f ca="1">MAX(Налоги!R74,0)</f>
        <v>0</v>
      </c>
      <c r="S174" s="49">
        <f ca="1">MAX(Налоги!S74,0)</f>
        <v>0</v>
      </c>
      <c r="T174" s="49">
        <f ca="1">MAX(Налоги!T74,0)</f>
        <v>9526353.0491518863</v>
      </c>
      <c r="U174" s="49">
        <f ca="1">MAX(Налоги!U74,0)</f>
        <v>6350902.0327679235</v>
      </c>
      <c r="V174" s="49">
        <f ca="1">MAX(Налоги!V74,0)</f>
        <v>3175451.0163839613</v>
      </c>
      <c r="W174" s="49">
        <f ca="1">MAX(Налоги!W74,0)</f>
        <v>9637813.7144021578</v>
      </c>
      <c r="X174" s="49">
        <f ca="1">MAX(Налоги!X74,0)</f>
        <v>6425209.1429347713</v>
      </c>
      <c r="Y174" s="49">
        <f ca="1">MAX(Налоги!Y74,0)</f>
        <v>3212604.5714673847</v>
      </c>
      <c r="Z174" s="49">
        <f ca="1">MAX(Налоги!Z74,0)</f>
        <v>9750160.3775101248</v>
      </c>
      <c r="AA174" s="49">
        <f ca="1">MAX(Налоги!AA74,0)</f>
        <v>6500106.9183400832</v>
      </c>
      <c r="AB174" s="49">
        <f ca="1">MAX(Налоги!AB74,0)</f>
        <v>3250053.4591700411</v>
      </c>
      <c r="AC174" s="49">
        <f ca="1">MAX(Налоги!AC74,0)</f>
        <v>9862764.6052665189</v>
      </c>
      <c r="AD174" s="49">
        <f ca="1">MAX(Налоги!AD74,0)</f>
        <v>6575176.403511012</v>
      </c>
      <c r="AE174" s="49">
        <f ca="1">MAX(Налоги!AE74,0)</f>
        <v>3287588.2017555055</v>
      </c>
      <c r="AF174" s="49">
        <f ca="1">MAX(Налоги!AF74,0)</f>
        <v>12341241.255657395</v>
      </c>
      <c r="AG174" s="49">
        <f ca="1">MAX(Налоги!AG74,0)</f>
        <v>8227494.1704382636</v>
      </c>
      <c r="AH174" s="49">
        <f ca="1">MAX(Налоги!AH74,0)</f>
        <v>4113747.0852191313</v>
      </c>
      <c r="AI174" s="49">
        <f ca="1">MAX(Налоги!AI74,0)</f>
        <v>13836768.874989016</v>
      </c>
      <c r="AJ174" s="49">
        <f ca="1">MAX(Налоги!AJ74,0)</f>
        <v>9224512.58332601</v>
      </c>
      <c r="AK174" s="49">
        <f ca="1">MAX(Налоги!AK74,0)</f>
        <v>4612256.2916630041</v>
      </c>
      <c r="AL174" s="49">
        <f ca="1">MAX(Налоги!AL74,0)</f>
        <v>16264861.827125914</v>
      </c>
      <c r="AM174" s="49">
        <f ca="1">MAX(Налоги!AM74,0)</f>
        <v>10843241.218083944</v>
      </c>
      <c r="AN174" s="49">
        <f ca="1">MAX(Налоги!AN74,0)</f>
        <v>5421620.609041973</v>
      </c>
      <c r="AO174" s="49">
        <f ca="1">MAX(Налоги!AO74,0)</f>
        <v>20196285.102743071</v>
      </c>
      <c r="AP174" s="49">
        <f ca="1">MAX(Налоги!AP74,0)</f>
        <v>13464190.068495382</v>
      </c>
      <c r="AQ174" s="49">
        <f ca="1">MAX(Налоги!AQ74,0)</f>
        <v>6732095.0342476927</v>
      </c>
      <c r="AR174" s="49">
        <f ca="1">MAX(Налоги!AR74,0)</f>
        <v>23315185.989836521</v>
      </c>
      <c r="AS174" s="49">
        <f ca="1">MAX(Налоги!AS74,0)</f>
        <v>15543457.326557681</v>
      </c>
      <c r="AT174" s="49">
        <f ca="1">MAX(Налоги!AT74,0)</f>
        <v>7771728.6632788414</v>
      </c>
      <c r="AU174" s="49">
        <f ca="1">MAX(Налоги!AU74,0)</f>
        <v>25800251.21455685</v>
      </c>
      <c r="AV174" s="49">
        <f ca="1">MAX(Налоги!AV74,0)</f>
        <v>17200167.476371236</v>
      </c>
      <c r="AW174" s="49">
        <f ca="1">MAX(Налоги!AW74,0)</f>
        <v>8600083.7381856199</v>
      </c>
      <c r="AX174" s="49">
        <f ca="1">MAX(Налоги!AX74,0)</f>
        <v>28757764.402981855</v>
      </c>
      <c r="AY174" s="49">
        <f ca="1">MAX(Налоги!AY74,0)</f>
        <v>19171842.935321238</v>
      </c>
      <c r="AZ174" s="49">
        <f ca="1">MAX(Налоги!AZ74,0)</f>
        <v>9585921.4676606208</v>
      </c>
      <c r="BA174" s="49">
        <f ca="1">MAX(Налоги!BA74,0)</f>
        <v>32250343.332079504</v>
      </c>
      <c r="BB174" s="49">
        <f ca="1">MAX(Налоги!BB74,0)</f>
        <v>21500228.888053004</v>
      </c>
      <c r="BC174" s="49">
        <f ca="1">MAX(Налоги!BC74,0)</f>
        <v>10750114.444026504</v>
      </c>
      <c r="BD174" s="49">
        <f ca="1">MAX(Налоги!BD74,0)</f>
        <v>33790820.275369853</v>
      </c>
      <c r="BE174" s="49">
        <f ca="1">MAX(Налоги!BE74,0)</f>
        <v>22527213.516913235</v>
      </c>
      <c r="BF174" s="49">
        <f ca="1">MAX(Налоги!BF74,0)</f>
        <v>11263606.758456619</v>
      </c>
      <c r="BG174" s="49">
        <f ca="1">MAX(Налоги!BG74,0)</f>
        <v>34198398.635396406</v>
      </c>
      <c r="BH174" s="49">
        <f ca="1">MAX(Налоги!BH74,0)</f>
        <v>22798932.423597604</v>
      </c>
      <c r="BI174" s="49">
        <f ca="1">MAX(Налоги!BI74,0)</f>
        <v>11399466.211798802</v>
      </c>
      <c r="BJ174" s="49">
        <f ca="1">MAX(Налоги!BJ74,0)</f>
        <v>34609380.854331553</v>
      </c>
      <c r="BK174" s="49">
        <f ca="1">MAX(Налоги!BK74,0)</f>
        <v>23072920.569554366</v>
      </c>
      <c r="BL174" s="49">
        <f ca="1">MAX(Налоги!BL74,0)</f>
        <v>11536460.284777181</v>
      </c>
      <c r="BM174" s="49">
        <f ca="1">MAX(Налоги!BM74,0)</f>
        <v>35023008.349839643</v>
      </c>
      <c r="BN174" s="49">
        <f ca="1">MAX(Налоги!BN74,0)</f>
        <v>23348672.233226426</v>
      </c>
      <c r="BO174" s="49">
        <f ca="1">MAX(Налоги!BO74,0)</f>
        <v>11674336.116613209</v>
      </c>
      <c r="BP174" s="49">
        <f ca="1">MAX(Налоги!BP74,0)</f>
        <v>35439661.068462126</v>
      </c>
      <c r="BQ174" s="49">
        <f ca="1">MAX(Налоги!BQ74,0)</f>
        <v>23626440.712308079</v>
      </c>
      <c r="BR174" s="49">
        <f ca="1">MAX(Налоги!BR74,0)</f>
        <v>11813220.356154034</v>
      </c>
      <c r="BS174" s="49">
        <f ca="1">MAX(Налоги!BS74,0)</f>
        <v>35865916.147598319</v>
      </c>
      <c r="BT174" s="49">
        <f ca="1">MAX(Налоги!BT74,0)</f>
        <v>23910610.765065543</v>
      </c>
      <c r="BU174" s="49">
        <f ca="1">MAX(Налоги!BU74,0)</f>
        <v>11955305.382532766</v>
      </c>
      <c r="BV174" s="49">
        <f ca="1">MAX(Налоги!BV74,0)</f>
        <v>36295716.558932416</v>
      </c>
      <c r="BW174" s="49">
        <f ca="1">MAX(Налоги!BW74,0)</f>
        <v>24197144.372621611</v>
      </c>
      <c r="BX174" s="49">
        <f ca="1">MAX(Налоги!BX74,0)</f>
        <v>12098572.186310804</v>
      </c>
      <c r="BY174" s="49">
        <f ca="1">MAX(Налоги!BY74,0)</f>
        <v>36726658.677622691</v>
      </c>
      <c r="BZ174" s="49">
        <f ca="1">MAX(Налоги!BZ74,0)</f>
        <v>24484439.118415125</v>
      </c>
      <c r="CA174" s="49">
        <f ca="1">MAX(Налоги!CA74,0)</f>
        <v>12242219.55920756</v>
      </c>
      <c r="CB174" s="49">
        <f ca="1">MAX(Налоги!CB74,0)</f>
        <v>37163137.711135067</v>
      </c>
      <c r="CC174" s="49">
        <f ca="1">MAX(Налоги!CC74,0)</f>
        <v>24775425.140756711</v>
      </c>
      <c r="CD174" s="49">
        <f ca="1">MAX(Налоги!CD74,0)</f>
        <v>12387712.570378354</v>
      </c>
      <c r="CE174" s="49">
        <f ca="1">MAX(Налоги!CE74,0)</f>
        <v>37611315.813606299</v>
      </c>
      <c r="CF174" s="49">
        <f ca="1">MAX(Налоги!CF74,0)</f>
        <v>25074210.542404197</v>
      </c>
      <c r="CG174" s="49">
        <f ca="1">MAX(Налоги!CG74,0)</f>
        <v>12537105.271202097</v>
      </c>
      <c r="CH174" s="49">
        <f ca="1">MAX(Налоги!CH74,0)</f>
        <v>38063235.838348471</v>
      </c>
      <c r="CI174" s="49">
        <f ca="1">MAX(Налоги!CI74,0)</f>
        <v>25375490.558898978</v>
      </c>
      <c r="CJ174" s="49">
        <f ca="1">MAX(Налоги!CJ74,0)</f>
        <v>12687745.279449485</v>
      </c>
      <c r="CK174" s="49">
        <f ca="1">MAX(Налоги!CK74,0)</f>
        <v>38515544.513665006</v>
      </c>
    </row>
    <row r="175" spans="2:89">
      <c r="B175" s="45" t="s">
        <v>229</v>
      </c>
      <c r="C175" s="118"/>
      <c r="D175" s="56"/>
      <c r="E175" s="119"/>
      <c r="F175" s="49">
        <f ca="1">MAX(Налоги!F60,0)</f>
        <v>0</v>
      </c>
      <c r="G175" s="49">
        <f ca="1">MAX(Налоги!G60,0)</f>
        <v>0</v>
      </c>
      <c r="H175" s="49">
        <f ca="1">MAX(Налоги!H60,0)</f>
        <v>0</v>
      </c>
      <c r="I175" s="49">
        <f ca="1">MAX(Налоги!I60,0)</f>
        <v>0</v>
      </c>
      <c r="J175" s="49">
        <f ca="1">MAX(Налоги!J60,0)</f>
        <v>0</v>
      </c>
      <c r="K175" s="49">
        <f ca="1">MAX(Налоги!K60,0)</f>
        <v>0</v>
      </c>
      <c r="L175" s="49">
        <f ca="1">MAX(Налоги!L60,0)</f>
        <v>0</v>
      </c>
      <c r="M175" s="49">
        <f ca="1">MAX(Налоги!M60,0)</f>
        <v>0</v>
      </c>
      <c r="N175" s="49">
        <f ca="1">MAX(Налоги!N60,0)</f>
        <v>0</v>
      </c>
      <c r="O175" s="49">
        <f ca="1">MAX(Налоги!O60,0)</f>
        <v>0</v>
      </c>
      <c r="P175" s="49">
        <f ca="1">MAX(Налоги!P60,0)</f>
        <v>0</v>
      </c>
      <c r="Q175" s="49">
        <f ca="1">MAX(Налоги!Q60,0)</f>
        <v>0</v>
      </c>
      <c r="R175" s="49">
        <f ca="1">MAX(Налоги!R60,0)</f>
        <v>3163146.111391997</v>
      </c>
      <c r="S175" s="49">
        <f ca="1">MAX(Налоги!S60,0)</f>
        <v>6338715.3097423725</v>
      </c>
      <c r="T175" s="49">
        <f ca="1">MAX(Налоги!T60,0)</f>
        <v>0</v>
      </c>
      <c r="U175" s="49">
        <f ca="1">MAX(Налоги!U60,0)</f>
        <v>3200156.4872465916</v>
      </c>
      <c r="V175" s="49">
        <f ca="1">MAX(Налоги!V60,0)</f>
        <v>6412880.6170033822</v>
      </c>
      <c r="W175" s="49">
        <f ca="1">MAX(Налоги!W60,0)</f>
        <v>0</v>
      </c>
      <c r="X175" s="49">
        <f ca="1">MAX(Налоги!X60,0)</f>
        <v>3237597.5067246379</v>
      </c>
      <c r="Y175" s="49">
        <f ca="1">MAX(Налоги!Y60,0)</f>
        <v>6487497.9839112638</v>
      </c>
      <c r="Z175" s="49">
        <f ca="1">MAX(Налоги!Z60,0)</f>
        <v>0</v>
      </c>
      <c r="AA175" s="49">
        <f ca="1">MAX(Налоги!AA60,0)</f>
        <v>3275509.3176194346</v>
      </c>
      <c r="AB175" s="49">
        <f ca="1">MAX(Налоги!AB60,0)</f>
        <v>6562665.5428155204</v>
      </c>
      <c r="AC175" s="49">
        <f ca="1">MAX(Налоги!AC60,0)</f>
        <v>0</v>
      </c>
      <c r="AD175" s="49">
        <f ca="1">MAX(Налоги!AD60,0)</f>
        <v>3988163.4569415748</v>
      </c>
      <c r="AE175" s="49">
        <f ca="1">MAX(Налоги!AE60,0)</f>
        <v>8096656.9835072979</v>
      </c>
      <c r="AF175" s="49">
        <f ca="1">MAX(Налоги!AF60,0)</f>
        <v>0</v>
      </c>
      <c r="AG175" s="49">
        <f ca="1">MAX(Налоги!AG60,0)</f>
        <v>4409361.906362595</v>
      </c>
      <c r="AH175" s="49">
        <f ca="1">MAX(Налоги!AH60,0)</f>
        <v>9012693.4050429724</v>
      </c>
      <c r="AI175" s="49">
        <f ca="1">MAX(Налоги!AI60,0)</f>
        <v>0</v>
      </c>
      <c r="AJ175" s="49">
        <f ca="1">MAX(Налоги!AJ60,0)</f>
        <v>5092723.4367649211</v>
      </c>
      <c r="AK175" s="49">
        <f ca="1">MAX(Налоги!AK60,0)</f>
        <v>10491929.856953926</v>
      </c>
      <c r="AL175" s="49">
        <f ca="1">MAX(Налоги!AL60,0)</f>
        <v>0</v>
      </c>
      <c r="AM175" s="49">
        <f ca="1">MAX(Налоги!AM60,0)</f>
        <v>6215421.3354892712</v>
      </c>
      <c r="AN175" s="49">
        <f ca="1">MAX(Налоги!AN60,0)</f>
        <v>12900321.760063861</v>
      </c>
      <c r="AO175" s="49">
        <f ca="1">MAX(Налоги!AO60,0)</f>
        <v>0</v>
      </c>
      <c r="AP175" s="49">
        <f ca="1">MAX(Налоги!AP60,0)</f>
        <v>7521996.5796586797</v>
      </c>
      <c r="AQ175" s="49">
        <f ca="1">MAX(Налоги!AQ60,0)</f>
        <v>15291579.032427454</v>
      </c>
      <c r="AR175" s="49">
        <f ca="1">MAX(Налоги!AR60,0)</f>
        <v>0</v>
      </c>
      <c r="AS175" s="49">
        <f ca="1">MAX(Налоги!AS60,0)</f>
        <v>8301960.1364120105</v>
      </c>
      <c r="AT175" s="49">
        <f ca="1">MAX(Налоги!AT60,0)</f>
        <v>16899427.987099528</v>
      </c>
      <c r="AU175" s="49">
        <f ca="1">MAX(Налоги!AU60,0)</f>
        <v>0</v>
      </c>
      <c r="AV175" s="49">
        <f ca="1">MAX(Налоги!AV60,0)</f>
        <v>9233401.3565094527</v>
      </c>
      <c r="AW175" s="49">
        <f ca="1">MAX(Налоги!AW60,0)</f>
        <v>18808319.546332881</v>
      </c>
      <c r="AX175" s="49">
        <f ca="1">MAX(Налоги!AX60,0)</f>
        <v>0</v>
      </c>
      <c r="AY175" s="49">
        <f ca="1">MAX(Налоги!AY60,0)</f>
        <v>10347362.11339687</v>
      </c>
      <c r="AZ175" s="49">
        <f ca="1">MAX(Налоги!AZ60,0)</f>
        <v>21075498.26581534</v>
      </c>
      <c r="BA175" s="49">
        <f ca="1">MAX(Налоги!BA60,0)</f>
        <v>0</v>
      </c>
      <c r="BB175" s="49">
        <f ca="1">MAX(Налоги!BB60,0)</f>
        <v>11218621.430121392</v>
      </c>
      <c r="BC175" s="49">
        <f ca="1">MAX(Налоги!BC60,0)</f>
        <v>22482658.282564204</v>
      </c>
      <c r="BD175" s="49">
        <f ca="1">MAX(Налоги!BD60,0)</f>
        <v>0</v>
      </c>
      <c r="BE175" s="49">
        <f ca="1">MAX(Налоги!BE60,0)</f>
        <v>11353939.247592017</v>
      </c>
      <c r="BF175" s="49">
        <f ca="1">MAX(Налоги!BF60,0)</f>
        <v>22753840.733216248</v>
      </c>
      <c r="BG175" s="49">
        <f ca="1">MAX(Налоги!BG60,0)</f>
        <v>0</v>
      </c>
      <c r="BH175" s="49">
        <f ca="1">MAX(Налоги!BH60,0)</f>
        <v>11490886.320692521</v>
      </c>
      <c r="BI175" s="49">
        <f ca="1">MAX(Налоги!BI60,0)</f>
        <v>23026784.832201436</v>
      </c>
      <c r="BJ175" s="49">
        <f ca="1">MAX(Налоги!BJ60,0)</f>
        <v>0</v>
      </c>
      <c r="BK175" s="49">
        <f ca="1">MAX(Налоги!BK60,0)</f>
        <v>11629353.865219258</v>
      </c>
      <c r="BL175" s="49">
        <f ca="1">MAX(Налоги!BL60,0)</f>
        <v>23302619.501388483</v>
      </c>
      <c r="BM175" s="49">
        <f ca="1">MAX(Налоги!BM60,0)</f>
        <v>0</v>
      </c>
      <c r="BN175" s="49">
        <f ca="1">MAX(Налоги!BN60,0)</f>
        <v>11766172.74901709</v>
      </c>
      <c r="BO175" s="49">
        <f ca="1">MAX(Налоги!BO60,0)</f>
        <v>23579843.090160463</v>
      </c>
      <c r="BP175" s="49">
        <f ca="1">MAX(Налоги!BP60,0)</f>
        <v>0</v>
      </c>
      <c r="BQ175" s="49">
        <f ca="1">MAX(Налоги!BQ60,0)</f>
        <v>11907692.918754989</v>
      </c>
      <c r="BR175" s="49">
        <f ca="1">MAX(Налоги!BR60,0)</f>
        <v>23863453.690276287</v>
      </c>
      <c r="BS175" s="49">
        <f ca="1">MAX(Налоги!BS60,0)</f>
        <v>0</v>
      </c>
      <c r="BT175" s="49">
        <f ca="1">MAX(Налоги!BT60,0)</f>
        <v>12050912.179953229</v>
      </c>
      <c r="BU175" s="49">
        <f ca="1">MAX(Налоги!BU60,0)</f>
        <v>24148897.059323765</v>
      </c>
      <c r="BV175" s="49">
        <f ca="1">MAX(Налоги!BV60,0)</f>
        <v>0</v>
      </c>
      <c r="BW175" s="49">
        <f ca="1">MAX(Налоги!BW60,0)</f>
        <v>12195985.495133063</v>
      </c>
      <c r="BX175" s="49">
        <f ca="1">MAX(Налоги!BX60,0)</f>
        <v>24436549.707263216</v>
      </c>
      <c r="BY175" s="49">
        <f ca="1">MAX(Налоги!BY60,0)</f>
        <v>0</v>
      </c>
      <c r="BZ175" s="49">
        <f ca="1">MAX(Налоги!BZ60,0)</f>
        <v>12338246.097043134</v>
      </c>
      <c r="CA175" s="49">
        <f ca="1">MAX(Налоги!CA60,0)</f>
        <v>24726431.616578147</v>
      </c>
      <c r="CB175" s="49">
        <f ca="1">MAX(Налоги!CB60,0)</f>
        <v>0</v>
      </c>
      <c r="CC175" s="49">
        <f ca="1">MAX(Налоги!CC60,0)</f>
        <v>12487043.318917133</v>
      </c>
      <c r="CD175" s="49">
        <f ca="1">MAX(Налоги!CD60,0)</f>
        <v>25024627.234192468</v>
      </c>
      <c r="CE175" s="49">
        <f ca="1">MAX(Налоги!CE60,0)</f>
        <v>0</v>
      </c>
      <c r="CF175" s="49">
        <f ca="1">MAX(Налоги!CF60,0)</f>
        <v>12637631.756907567</v>
      </c>
      <c r="CG175" s="49">
        <f ca="1">MAX(Налоги!CG60,0)</f>
        <v>25324759.318109617</v>
      </c>
      <c r="CH175" s="49">
        <f ca="1">MAX(Налоги!CH60,0)</f>
        <v>0</v>
      </c>
      <c r="CI175" s="49">
        <f ca="1">MAX(Налоги!CI60,0)</f>
        <v>12790032.930744827</v>
      </c>
      <c r="CJ175" s="49">
        <f ca="1">MAX(Налоги!CJ60,0)</f>
        <v>25626811.946600929</v>
      </c>
      <c r="CK175" s="49">
        <f ca="1">MAX(Налоги!CK60,0)</f>
        <v>0</v>
      </c>
    </row>
    <row r="176" spans="2:89">
      <c r="B176" s="45" t="s">
        <v>128</v>
      </c>
      <c r="C176" s="118"/>
      <c r="D176" s="56"/>
      <c r="E176" s="119"/>
      <c r="F176" s="49">
        <f ca="1">SUM(Налоги!F101,Налоги!F135,Налоги!F165,Операции!F365,Операции!F385)</f>
        <v>0</v>
      </c>
      <c r="G176" s="49">
        <f ca="1">SUM(Налоги!G101,Налоги!G135,Налоги!G165,Операции!G365,Операции!G385)</f>
        <v>0</v>
      </c>
      <c r="H176" s="49">
        <f ca="1">SUM(Налоги!H101,Налоги!H135,Налоги!H165,Операции!H365,Операции!H385)</f>
        <v>0</v>
      </c>
      <c r="I176" s="49">
        <f ca="1">SUM(Налоги!I101,Налоги!I135,Налоги!I165,Операции!I365,Операции!I385)</f>
        <v>0</v>
      </c>
      <c r="J176" s="49">
        <f ca="1">SUM(Налоги!J101,Налоги!J135,Налоги!J165,Операции!J365,Операции!J385)</f>
        <v>0</v>
      </c>
      <c r="K176" s="49">
        <f ca="1">SUM(Налоги!K101,Налоги!K135,Налоги!K165,Операции!K365,Операции!K385)</f>
        <v>0</v>
      </c>
      <c r="L176" s="49">
        <f ca="1">SUM(Налоги!L101,Налоги!L135,Налоги!L165,Операции!L365,Операции!L385)</f>
        <v>0</v>
      </c>
      <c r="M176" s="49">
        <f ca="1">SUM(Налоги!M101,Налоги!M135,Налоги!M165,Операции!M365,Операции!M385)</f>
        <v>0</v>
      </c>
      <c r="N176" s="49">
        <f ca="1">SUM(Налоги!N101,Налоги!N135,Налоги!N165,Операции!N365,Операции!N385)</f>
        <v>0</v>
      </c>
      <c r="O176" s="49">
        <f ca="1">SUM(Налоги!O101,Налоги!O135,Налоги!O165,Операции!O365,Операции!O385)</f>
        <v>0</v>
      </c>
      <c r="P176" s="49">
        <f ca="1">SUM(Налоги!P101,Налоги!P135,Налоги!P165,Операции!P365,Операции!P385)</f>
        <v>0</v>
      </c>
      <c r="Q176" s="49">
        <f ca="1">SUM(Налоги!Q101,Налоги!Q135,Налоги!Q165,Операции!Q365,Операции!Q385)</f>
        <v>0</v>
      </c>
      <c r="R176" s="49">
        <f ca="1">SUM(Налоги!R101,Налоги!R135,Налоги!R165,Операции!R365,Операции!R385)</f>
        <v>3859521.0866185273</v>
      </c>
      <c r="S176" s="49">
        <f ca="1">SUM(Налоги!S101,Налоги!S135,Налоги!S165,Операции!S365,Операции!S385)</f>
        <v>3872363.6308351974</v>
      </c>
      <c r="T176" s="49">
        <f ca="1">SUM(Налоги!T101,Налоги!T135,Налоги!T165,Операции!T365,Операции!T385)</f>
        <v>9581261.1574139465</v>
      </c>
      <c r="U176" s="49">
        <f ca="1">SUM(Налоги!U101,Налоги!U135,Налоги!U165,Операции!U365,Операции!U385)</f>
        <v>7695378.4017552314</v>
      </c>
      <c r="V176" s="49">
        <f ca="1">SUM(Налоги!V101,Налоги!V135,Налоги!V165,Операции!V365,Операции!V385)</f>
        <v>5809538.6598766809</v>
      </c>
      <c r="W176" s="49">
        <f ca="1">SUM(Налоги!W101,Налоги!W135,Налоги!W165,Операции!W365,Операции!W385)</f>
        <v>9412607.3418776412</v>
      </c>
      <c r="X176" s="49">
        <f ca="1">SUM(Налоги!X101,Налоги!X135,Налоги!X165,Операции!X365,Операции!X385)</f>
        <v>7595900.2774308352</v>
      </c>
      <c r="Y176" s="49">
        <f ca="1">SUM(Налоги!Y101,Налоги!Y135,Налоги!Y165,Операции!Y365,Операции!Y385)</f>
        <v>5778813.44823304</v>
      </c>
      <c r="Z176" s="49">
        <f ca="1">SUM(Налоги!Z101,Налоги!Z135,Налоги!Z165,Операции!Z365,Операции!Z385)</f>
        <v>9244334.8571428526</v>
      </c>
      <c r="AA176" s="49">
        <f ca="1">SUM(Налоги!AA101,Налоги!AA135,Налоги!AA165,Операции!AA365,Операции!AA385)</f>
        <v>7496840.934024239</v>
      </c>
      <c r="AB176" s="49">
        <f ca="1">SUM(Налоги!AB101,Налоги!AB135,Налоги!AB165,Операции!AB365,Операции!AB385)</f>
        <v>5748105.5316218939</v>
      </c>
      <c r="AC176" s="49">
        <f ca="1">SUM(Налоги!AC101,Налоги!AC135,Налоги!AC165,Операции!AC365,Операции!AC385)</f>
        <v>4000695.6890243748</v>
      </c>
      <c r="AD176" s="49">
        <f ca="1">SUM(Налоги!AD101,Налоги!AD135,Налоги!AD165,Операции!AD365,Операции!AD385)</f>
        <v>4611578.1716940412</v>
      </c>
      <c r="AE176" s="49">
        <f ca="1">SUM(Налоги!AE101,Налоги!AE135,Налоги!AE165,Операции!AE365,Операции!AE385)</f>
        <v>4626965.2946724547</v>
      </c>
      <c r="AF176" s="49">
        <f ca="1">SUM(Налоги!AF101,Налоги!AF135,Налоги!AF165,Операции!AF365,Операции!AF385)</f>
        <v>4641904.9406702155</v>
      </c>
      <c r="AG176" s="49">
        <f ca="1">SUM(Налоги!AG101,Налоги!AG135,Налоги!AG165,Операции!AG365,Операции!AG385)</f>
        <v>4657393.2528091287</v>
      </c>
      <c r="AH176" s="49">
        <f ca="1">SUM(Налоги!AH101,Налоги!AH135,Налоги!AH165,Операции!AH365,Операции!AH385)</f>
        <v>4672933.2436911408</v>
      </c>
      <c r="AI176" s="49">
        <f ca="1">SUM(Налоги!AI101,Налоги!AI135,Налоги!AI165,Операции!AI365,Операции!AI385)</f>
        <v>4688021.3120006844</v>
      </c>
      <c r="AJ176" s="49">
        <f ca="1">SUM(Налоги!AJ101,Налоги!AJ135,Налоги!AJ165,Операции!AJ365,Операции!AJ385)</f>
        <v>4703663.4973367034</v>
      </c>
      <c r="AK176" s="49">
        <f ca="1">SUM(Налоги!AK101,Налоги!AK135,Налоги!AK165,Операции!AK365,Операции!AK385)</f>
        <v>4718850.7881563921</v>
      </c>
      <c r="AL176" s="49">
        <f ca="1">SUM(Налоги!AL101,Налоги!AL135,Налоги!AL165,Операции!AL365,Операции!AL385)</f>
        <v>10754868.378764361</v>
      </c>
      <c r="AM176" s="49">
        <f ca="1">SUM(Налоги!AM101,Налоги!AM135,Налоги!AM165,Операции!AM365,Операции!AM385)</f>
        <v>9767287.209535338</v>
      </c>
      <c r="AN176" s="49">
        <f ca="1">SUM(Налоги!AN101,Налоги!AN135,Налоги!AN165,Операции!AN365,Операции!AN385)</f>
        <v>8778222.5426231623</v>
      </c>
      <c r="AO176" s="49">
        <f ca="1">SUM(Налоги!AO101,Налоги!AO135,Налоги!AO165,Операции!AO365,Операции!AO385)</f>
        <v>7790741.8448718973</v>
      </c>
      <c r="AP176" s="49">
        <f ca="1">SUM(Налоги!AP101,Налоги!AP135,Налоги!AP165,Операции!AP365,Операции!AP385)</f>
        <v>6802798.8114832584</v>
      </c>
      <c r="AQ176" s="49">
        <f ca="1">SUM(Налоги!AQ101,Налоги!AQ135,Налоги!AQ165,Операции!AQ365,Операции!AQ385)</f>
        <v>5815422.662920082</v>
      </c>
      <c r="AR176" s="49">
        <f ca="1">SUM(Налоги!AR101,Налоги!AR135,Налоги!AR165,Операции!AR365,Операции!AR385)</f>
        <v>19588673.464296114</v>
      </c>
      <c r="AS176" s="49">
        <f ca="1">SUM(Налоги!AS101,Налоги!AS135,Налоги!AS165,Операции!AS365,Операции!AS385)</f>
        <v>17144599.254587401</v>
      </c>
      <c r="AT176" s="49">
        <f ca="1">SUM(Налоги!AT101,Налоги!AT135,Налоги!AT165,Операции!AT365,Операции!AT385)</f>
        <v>14700578.79077151</v>
      </c>
      <c r="AU176" s="49">
        <f ca="1">SUM(Налоги!AU101,Налоги!AU135,Налоги!AU165,Операции!AU365,Операции!AU385)</f>
        <v>12256088.327480255</v>
      </c>
      <c r="AV176" s="49">
        <f ca="1">SUM(Налоги!AV101,Налоги!AV135,Налоги!AV165,Операции!AV365,Операции!AV385)</f>
        <v>9812174.1458965335</v>
      </c>
      <c r="AW176" s="49">
        <f ca="1">SUM(Налоги!AW101,Налоги!AW135,Налоги!AW165,Операции!AW365,Операции!AW385)</f>
        <v>7367786.8740158277</v>
      </c>
      <c r="AX176" s="49">
        <f ca="1">SUM(Налоги!AX101,Налоги!AX135,Налоги!AX165,Операции!AX365,Операции!AX385)</f>
        <v>26438072.492118865</v>
      </c>
      <c r="AY176" s="49">
        <f ca="1">SUM(Налоги!AY101,Налоги!AY135,Налоги!AY165,Операции!AY365,Операции!AY385)</f>
        <v>22868819.846420024</v>
      </c>
      <c r="AZ176" s="49">
        <f ca="1">SUM(Налоги!AZ101,Налоги!AZ135,Налоги!AZ165,Операции!AZ365,Операции!AZ385)</f>
        <v>19298024.363130707</v>
      </c>
      <c r="BA176" s="49">
        <f ca="1">SUM(Налоги!BA101,Налоги!BA135,Налоги!BA165,Операции!BA365,Операции!BA385)</f>
        <v>15728876.207768736</v>
      </c>
      <c r="BB176" s="49">
        <f ca="1">SUM(Налоги!BB101,Налоги!BB135,Налоги!BB165,Операции!BB365,Операции!BB385)</f>
        <v>12159247.223343896</v>
      </c>
      <c r="BC176" s="49">
        <f ca="1">SUM(Налоги!BC101,Налоги!BC135,Налоги!BC165,Операции!BC365,Операции!BC385)</f>
        <v>8590207.7991375383</v>
      </c>
      <c r="BD176" s="49">
        <f ca="1">SUM(Налоги!BD101,Налоги!BD135,Налоги!BD165,Операции!BD365,Операции!BD385)</f>
        <v>33594805.697188608</v>
      </c>
      <c r="BE176" s="49">
        <f ca="1">SUM(Налоги!BE101,Налоги!BE135,Налоги!BE165,Операции!BE365,Операции!BE385)</f>
        <v>28849204.303371437</v>
      </c>
      <c r="BF176" s="49">
        <f ca="1">SUM(Налоги!BF101,Налоги!BF135,Налоги!BF165,Операции!BF365,Операции!BF385)</f>
        <v>24103658.805282801</v>
      </c>
      <c r="BG176" s="49">
        <f ca="1">SUM(Налоги!BG101,Налоги!BG135,Налоги!BG165,Операции!BG365,Операции!BG385)</f>
        <v>19357624.50773979</v>
      </c>
      <c r="BH176" s="49">
        <f ca="1">SUM(Налоги!BH101,Налоги!BH135,Налоги!BH165,Операции!BH365,Операции!BH385)</f>
        <v>14612189.543172611</v>
      </c>
      <c r="BI176" s="49">
        <f ca="1">SUM(Налоги!BI101,Налоги!BI135,Налоги!BI165,Операции!BI365,Операции!BI385)</f>
        <v>9866262.5646965671</v>
      </c>
      <c r="BJ176" s="49">
        <f ca="1">SUM(Налоги!BJ101,Налоги!BJ135,Налоги!BJ165,Операции!BJ365,Операции!BJ385)</f>
        <v>35484307.997474685</v>
      </c>
      <c r="BK176" s="49">
        <f ca="1">SUM(Налоги!BK101,Налоги!BK135,Налоги!BK165,Операции!BK365,Операции!BK385)</f>
        <v>30440786.382525261</v>
      </c>
      <c r="BL176" s="49">
        <f ca="1">SUM(Налоги!BL101,Налоги!BL135,Налоги!BL165,Операции!BL365,Операции!BL385)</f>
        <v>25396216.746133093</v>
      </c>
      <c r="BM176" s="49">
        <f ca="1">SUM(Налоги!BM101,Налоги!BM135,Налоги!BM165,Операции!BM365,Операции!BM385)</f>
        <v>20352805.044374805</v>
      </c>
      <c r="BN176" s="49">
        <f ca="1">SUM(Налоги!BN101,Налоги!BN135,Налоги!BN165,Операции!BN365,Операции!BN385)</f>
        <v>15308894.455049254</v>
      </c>
      <c r="BO176" s="49">
        <f ca="1">SUM(Налоги!BO101,Налоги!BO135,Налоги!BO165,Операции!BO365,Операции!BO385)</f>
        <v>10265595.225194925</v>
      </c>
      <c r="BP176" s="49">
        <f ca="1">SUM(Налоги!BP101,Налоги!BP135,Налоги!BP165,Операции!BP365,Операции!BP385)</f>
        <v>36733328.582657769</v>
      </c>
      <c r="BQ176" s="49">
        <f ca="1">SUM(Налоги!BQ101,Налоги!BQ135,Налоги!BQ165,Операции!BQ365,Операции!BQ385)</f>
        <v>31498781.627360858</v>
      </c>
      <c r="BR176" s="49">
        <f ca="1">SUM(Налоги!BR101,Налоги!BR135,Налоги!BR165,Операции!BR365,Операции!BR385)</f>
        <v>26264292.488993533</v>
      </c>
      <c r="BS176" s="49">
        <f ca="1">SUM(Налоги!BS101,Налоги!BS135,Налоги!BS165,Операции!BS365,Операции!BS385)</f>
        <v>21029296.216103975</v>
      </c>
      <c r="BT176" s="49">
        <f ca="1">SUM(Налоги!BT101,Налоги!BT135,Налоги!BT165,Операции!BT365,Операции!BT385)</f>
        <v>15794921.40887863</v>
      </c>
      <c r="BU176" s="49">
        <f ca="1">SUM(Налоги!BU101,Налоги!BU135,Налоги!BU165,Операции!BU365,Операции!BU385)</f>
        <v>10560036.141242972</v>
      </c>
      <c r="BV176" s="49">
        <f ca="1">SUM(Налоги!BV101,Налоги!BV135,Налоги!BV165,Операции!BV365,Операции!BV385)</f>
        <v>37981380.832016625</v>
      </c>
      <c r="BW176" s="49">
        <f ca="1">SUM(Налоги!BW101,Налоги!BW135,Налоги!BW165,Операции!BW365,Операции!BW385)</f>
        <v>32556550.233005285</v>
      </c>
      <c r="BX176" s="49">
        <f ca="1">SUM(Налоги!BX101,Налоги!BX135,Налоги!BX165,Операции!BX365,Операции!BX385)</f>
        <v>27130050.900856078</v>
      </c>
      <c r="BY176" s="49">
        <f ca="1">SUM(Налоги!BY101,Налоги!BY135,Налоги!BY165,Операции!BY365,Операции!BY385)</f>
        <v>21705333.318593092</v>
      </c>
      <c r="BZ176" s="49">
        <f ca="1">SUM(Налоги!BZ101,Налоги!BZ135,Налоги!BZ165,Операции!BZ365,Операции!BZ385)</f>
        <v>16280095.67161571</v>
      </c>
      <c r="CA176" s="49">
        <f ca="1">SUM(Налоги!CA101,Налоги!CA135,Налоги!CA165,Операции!CA365,Операции!CA385)</f>
        <v>10855495.692970635</v>
      </c>
      <c r="CB176" s="49">
        <f ca="1">SUM(Налоги!CB101,Налоги!CB135,Налоги!CB165,Операции!CB365,Операции!CB385)</f>
        <v>39149979.240661316</v>
      </c>
      <c r="CC176" s="49">
        <f ca="1">SUM(Налоги!CC101,Налоги!CC135,Налоги!CC165,Операции!CC365,Операции!CC385)</f>
        <v>33548163.87334498</v>
      </c>
      <c r="CD176" s="49">
        <f ca="1">SUM(Налоги!CD101,Налоги!CD135,Налоги!CD165,Операции!CD365,Операции!CD385)</f>
        <v>27946408.962848626</v>
      </c>
      <c r="CE176" s="49">
        <f ca="1">SUM(Налоги!CE101,Налоги!CE135,Налоги!CE165,Операции!CE365,Операции!CE385)</f>
        <v>22344125.366862413</v>
      </c>
      <c r="CF176" s="49">
        <f ca="1">SUM(Налоги!CF101,Налоги!CF135,Налоги!CF165,Операции!CF365,Операции!CF385)</f>
        <v>16742490.009422867</v>
      </c>
      <c r="CG176" s="49">
        <f ca="1">SUM(Налоги!CG101,Налоги!CG135,Налоги!CG165,Операции!CG365,Операции!CG385)</f>
        <v>11140322.489739491</v>
      </c>
      <c r="CH176" s="49">
        <f ca="1">SUM(Налоги!CH101,Налоги!CH135,Налоги!CH165,Операции!CH365,Операции!CH385)</f>
        <v>40322051.862392113</v>
      </c>
      <c r="CI176" s="49">
        <f ca="1">SUM(Налоги!CI101,Налоги!CI135,Налоги!CI165,Операции!CI365,Операции!CI385)</f>
        <v>34543325.406571187</v>
      </c>
      <c r="CJ176" s="49">
        <f ca="1">SUM(Налоги!CJ101,Налоги!CJ135,Налоги!CJ165,Операции!CJ365,Операции!CJ385)</f>
        <v>28762863.468286876</v>
      </c>
      <c r="CK176" s="49">
        <f ca="1">SUM(Налоги!CK101,Налоги!CK135,Налоги!CK165,Операции!CK365,Операции!CK385)</f>
        <v>22984254.549884234</v>
      </c>
    </row>
    <row r="177" spans="2:89" ht="15.75" thickBot="1">
      <c r="B177" s="45" t="s">
        <v>289</v>
      </c>
      <c r="C177" s="118"/>
      <c r="D177" s="56"/>
      <c r="E177" s="119"/>
      <c r="F177" s="49">
        <f ca="1">Инвестиции!F92+Инвестиции!F149</f>
        <v>5976363.6363636367</v>
      </c>
      <c r="G177" s="49">
        <f ca="1">Инвестиции!G92+Инвестиции!G149</f>
        <v>11952727.272727273</v>
      </c>
      <c r="H177" s="49">
        <f ca="1">Инвестиции!H92+Инвестиции!H149</f>
        <v>17522727.272727277</v>
      </c>
      <c r="I177" s="49">
        <f ca="1">Инвестиции!I92+Инвестиции!I149</f>
        <v>30998181.818181813</v>
      </c>
      <c r="J177" s="49">
        <f ca="1">Инвестиции!J92+Инвестиции!J149</f>
        <v>44473636.363636367</v>
      </c>
      <c r="K177" s="49">
        <f ca="1">Инвестиции!K92+Инвестиции!K149</f>
        <v>57555454.545454539</v>
      </c>
      <c r="L177" s="49">
        <f ca="1">Инвестиции!L92+Инвестиции!L149</f>
        <v>66119090.909090906</v>
      </c>
      <c r="M177" s="49">
        <f ca="1">Инвестиции!M92+Инвестиции!M149</f>
        <v>75200909.090909094</v>
      </c>
      <c r="N177" s="49">
        <f ca="1">Инвестиции!N92+Инвестиции!N149</f>
        <v>84691818.181818187</v>
      </c>
      <c r="O177" s="49">
        <f ca="1">Инвестиции!O92+Инвестиции!O149</f>
        <v>90833636.36363636</v>
      </c>
      <c r="P177" s="49">
        <f ca="1">Инвестиции!P92+Инвестиции!P149</f>
        <v>97618181.818181813</v>
      </c>
      <c r="Q177" s="49">
        <f ca="1">Инвестиции!Q92+Инвестиции!Q149</f>
        <v>0</v>
      </c>
      <c r="R177" s="49">
        <f ca="1">Инвестиции!R92+Инвестиции!R149</f>
        <v>0</v>
      </c>
      <c r="S177" s="49">
        <f ca="1">Инвестиции!S92+Инвестиции!S149</f>
        <v>0</v>
      </c>
      <c r="T177" s="49">
        <f ca="1">Инвестиции!T92+Инвестиции!T149</f>
        <v>0</v>
      </c>
      <c r="U177" s="49">
        <f ca="1">Инвестиции!U92+Инвестиции!U149</f>
        <v>0</v>
      </c>
      <c r="V177" s="49">
        <f ca="1">Инвестиции!V92+Инвестиции!V149</f>
        <v>0</v>
      </c>
      <c r="W177" s="49">
        <f ca="1">Инвестиции!W92+Инвестиции!W149</f>
        <v>0</v>
      </c>
      <c r="X177" s="49">
        <f ca="1">Инвестиции!X92+Инвестиции!X149</f>
        <v>0</v>
      </c>
      <c r="Y177" s="49">
        <f ca="1">Инвестиции!Y92+Инвестиции!Y149</f>
        <v>0</v>
      </c>
      <c r="Z177" s="49">
        <f ca="1">Инвестиции!Z92+Инвестиции!Z149</f>
        <v>0</v>
      </c>
      <c r="AA177" s="49">
        <f ca="1">Инвестиции!AA92+Инвестиции!AA149</f>
        <v>0</v>
      </c>
      <c r="AB177" s="49">
        <f ca="1">Инвестиции!AB92+Инвестиции!AB149</f>
        <v>0</v>
      </c>
      <c r="AC177" s="49">
        <f ca="1">Инвестиции!AC92+Инвестиции!AC149</f>
        <v>0</v>
      </c>
      <c r="AD177" s="49">
        <f ca="1">Инвестиции!AD92+Инвестиции!AD149</f>
        <v>0</v>
      </c>
      <c r="AE177" s="49">
        <f ca="1">Инвестиции!AE92+Инвестиции!AE149</f>
        <v>0</v>
      </c>
      <c r="AF177" s="49">
        <f ca="1">Инвестиции!AF92+Инвестиции!AF149</f>
        <v>0</v>
      </c>
      <c r="AG177" s="49">
        <f ca="1">Инвестиции!AG92+Инвестиции!AG149</f>
        <v>0</v>
      </c>
      <c r="AH177" s="49">
        <f ca="1">Инвестиции!AH92+Инвестиции!AH149</f>
        <v>0</v>
      </c>
      <c r="AI177" s="49">
        <f ca="1">Инвестиции!AI92+Инвестиции!AI149</f>
        <v>0</v>
      </c>
      <c r="AJ177" s="49">
        <f ca="1">Инвестиции!AJ92+Инвестиции!AJ149</f>
        <v>0</v>
      </c>
      <c r="AK177" s="49">
        <f ca="1">Инвестиции!AK92+Инвестиции!AK149</f>
        <v>0</v>
      </c>
      <c r="AL177" s="49">
        <f ca="1">Инвестиции!AL92+Инвестиции!AL149</f>
        <v>0</v>
      </c>
      <c r="AM177" s="49">
        <f ca="1">Инвестиции!AM92+Инвестиции!AM149</f>
        <v>0</v>
      </c>
      <c r="AN177" s="49">
        <f ca="1">Инвестиции!AN92+Инвестиции!AN149</f>
        <v>0</v>
      </c>
      <c r="AO177" s="49">
        <f ca="1">Инвестиции!AO92+Инвестиции!AO149</f>
        <v>0</v>
      </c>
      <c r="AP177" s="49">
        <f ca="1">Инвестиции!AP92+Инвестиции!AP149</f>
        <v>0</v>
      </c>
      <c r="AQ177" s="49">
        <f ca="1">Инвестиции!AQ92+Инвестиции!AQ149</f>
        <v>0</v>
      </c>
      <c r="AR177" s="49">
        <f ca="1">Инвестиции!AR92+Инвестиции!AR149</f>
        <v>0</v>
      </c>
      <c r="AS177" s="49">
        <f ca="1">Инвестиции!AS92+Инвестиции!AS149</f>
        <v>0</v>
      </c>
      <c r="AT177" s="49">
        <f ca="1">Инвестиции!AT92+Инвестиции!AT149</f>
        <v>0</v>
      </c>
      <c r="AU177" s="49">
        <f ca="1">Инвестиции!AU92+Инвестиции!AU149</f>
        <v>0</v>
      </c>
      <c r="AV177" s="49">
        <f ca="1">Инвестиции!AV92+Инвестиции!AV149</f>
        <v>0</v>
      </c>
      <c r="AW177" s="49">
        <f ca="1">Инвестиции!AW92+Инвестиции!AW149</f>
        <v>0</v>
      </c>
      <c r="AX177" s="49">
        <f ca="1">Инвестиции!AX92+Инвестиции!AX149</f>
        <v>0</v>
      </c>
      <c r="AY177" s="49">
        <f ca="1">Инвестиции!AY92+Инвестиции!AY149</f>
        <v>0</v>
      </c>
      <c r="AZ177" s="49">
        <f ca="1">Инвестиции!AZ92+Инвестиции!AZ149</f>
        <v>0</v>
      </c>
      <c r="BA177" s="49">
        <f ca="1">Инвестиции!BA92+Инвестиции!BA149</f>
        <v>0</v>
      </c>
      <c r="BB177" s="49">
        <f ca="1">Инвестиции!BB92+Инвестиции!BB149</f>
        <v>0</v>
      </c>
      <c r="BC177" s="49">
        <f ca="1">Инвестиции!BC92+Инвестиции!BC149</f>
        <v>0</v>
      </c>
      <c r="BD177" s="49">
        <f ca="1">Инвестиции!BD92+Инвестиции!BD149</f>
        <v>0</v>
      </c>
      <c r="BE177" s="49">
        <f ca="1">Инвестиции!BE92+Инвестиции!BE149</f>
        <v>0</v>
      </c>
      <c r="BF177" s="49">
        <f ca="1">Инвестиции!BF92+Инвестиции!BF149</f>
        <v>0</v>
      </c>
      <c r="BG177" s="49">
        <f ca="1">Инвестиции!BG92+Инвестиции!BG149</f>
        <v>0</v>
      </c>
      <c r="BH177" s="49">
        <f ca="1">Инвестиции!BH92+Инвестиции!BH149</f>
        <v>0</v>
      </c>
      <c r="BI177" s="49">
        <f ca="1">Инвестиции!BI92+Инвестиции!BI149</f>
        <v>0</v>
      </c>
      <c r="BJ177" s="49">
        <f ca="1">Инвестиции!BJ92+Инвестиции!BJ149</f>
        <v>0</v>
      </c>
      <c r="BK177" s="49">
        <f ca="1">Инвестиции!BK92+Инвестиции!BK149</f>
        <v>0</v>
      </c>
      <c r="BL177" s="49">
        <f ca="1">Инвестиции!BL92+Инвестиции!BL149</f>
        <v>0</v>
      </c>
      <c r="BM177" s="49">
        <f ca="1">Инвестиции!BM92+Инвестиции!BM149</f>
        <v>0</v>
      </c>
      <c r="BN177" s="49">
        <f ca="1">Инвестиции!BN92+Инвестиции!BN149</f>
        <v>0</v>
      </c>
      <c r="BO177" s="49">
        <f ca="1">Инвестиции!BO92+Инвестиции!BO149</f>
        <v>0</v>
      </c>
      <c r="BP177" s="49">
        <f ca="1">Инвестиции!BP92+Инвестиции!BP149</f>
        <v>0</v>
      </c>
      <c r="BQ177" s="49">
        <f ca="1">Инвестиции!BQ92+Инвестиции!BQ149</f>
        <v>0</v>
      </c>
      <c r="BR177" s="49">
        <f ca="1">Инвестиции!BR92+Инвестиции!BR149</f>
        <v>0</v>
      </c>
      <c r="BS177" s="49">
        <f ca="1">Инвестиции!BS92+Инвестиции!BS149</f>
        <v>0</v>
      </c>
      <c r="BT177" s="49">
        <f ca="1">Инвестиции!BT92+Инвестиции!BT149</f>
        <v>0</v>
      </c>
      <c r="BU177" s="49">
        <f ca="1">Инвестиции!BU92+Инвестиции!BU149</f>
        <v>0</v>
      </c>
      <c r="BV177" s="49">
        <f ca="1">Инвестиции!BV92+Инвестиции!BV149</f>
        <v>0</v>
      </c>
      <c r="BW177" s="49">
        <f ca="1">Инвестиции!BW92+Инвестиции!BW149</f>
        <v>0</v>
      </c>
      <c r="BX177" s="49">
        <f ca="1">Инвестиции!BX92+Инвестиции!BX149</f>
        <v>0</v>
      </c>
      <c r="BY177" s="49">
        <f ca="1">Инвестиции!BY92+Инвестиции!BY149</f>
        <v>0</v>
      </c>
      <c r="BZ177" s="49">
        <f ca="1">Инвестиции!BZ92+Инвестиции!BZ149</f>
        <v>0</v>
      </c>
      <c r="CA177" s="49">
        <f ca="1">Инвестиции!CA92+Инвестиции!CA149</f>
        <v>0</v>
      </c>
      <c r="CB177" s="49">
        <f ca="1">Инвестиции!CB92+Инвестиции!CB149</f>
        <v>0</v>
      </c>
      <c r="CC177" s="49">
        <f ca="1">Инвестиции!CC92+Инвестиции!CC149</f>
        <v>0</v>
      </c>
      <c r="CD177" s="49">
        <f ca="1">Инвестиции!CD92+Инвестиции!CD149</f>
        <v>0</v>
      </c>
      <c r="CE177" s="49">
        <f ca="1">Инвестиции!CE92+Инвестиции!CE149</f>
        <v>0</v>
      </c>
      <c r="CF177" s="49">
        <f ca="1">Инвестиции!CF92+Инвестиции!CF149</f>
        <v>0</v>
      </c>
      <c r="CG177" s="49">
        <f ca="1">Инвестиции!CG92+Инвестиции!CG149</f>
        <v>0</v>
      </c>
      <c r="CH177" s="49">
        <f ca="1">Инвестиции!CH92+Инвестиции!CH149</f>
        <v>0</v>
      </c>
      <c r="CI177" s="49">
        <f ca="1">Инвестиции!CI92+Инвестиции!CI149</f>
        <v>0</v>
      </c>
      <c r="CJ177" s="49">
        <f ca="1">Инвестиции!CJ92+Инвестиции!CJ149</f>
        <v>0</v>
      </c>
      <c r="CK177" s="49">
        <f ca="1">Инвестиции!CK92+Инвестиции!CK149</f>
        <v>0</v>
      </c>
    </row>
    <row r="178" spans="2:89" ht="15.75" thickTop="1">
      <c r="B178" s="50" t="s">
        <v>120</v>
      </c>
      <c r="C178" s="58"/>
      <c r="D178" s="59"/>
      <c r="E178" s="60"/>
      <c r="F178" s="54">
        <f t="shared" ref="F178:AK178" ca="1" si="155">SUM(F172:F177)</f>
        <v>5976363.6363636367</v>
      </c>
      <c r="G178" s="54">
        <f t="shared" ca="1" si="155"/>
        <v>11952727.272727273</v>
      </c>
      <c r="H178" s="54">
        <f t="shared" ca="1" si="155"/>
        <v>17522727.272727277</v>
      </c>
      <c r="I178" s="54">
        <f t="shared" ca="1" si="155"/>
        <v>30998181.818181813</v>
      </c>
      <c r="J178" s="54">
        <f t="shared" ca="1" si="155"/>
        <v>44473636.363636367</v>
      </c>
      <c r="K178" s="54">
        <f t="shared" ca="1" si="155"/>
        <v>57555454.545454539</v>
      </c>
      <c r="L178" s="54">
        <f t="shared" ca="1" si="155"/>
        <v>66119090.909090906</v>
      </c>
      <c r="M178" s="54">
        <f t="shared" ca="1" si="155"/>
        <v>75200909.090909094</v>
      </c>
      <c r="N178" s="54">
        <f t="shared" ca="1" si="155"/>
        <v>84691818.181818187</v>
      </c>
      <c r="O178" s="54">
        <f t="shared" ca="1" si="155"/>
        <v>90833636.36363636</v>
      </c>
      <c r="P178" s="54">
        <f t="shared" ca="1" si="155"/>
        <v>97618181.818181813</v>
      </c>
      <c r="Q178" s="54">
        <f t="shared" ca="1" si="155"/>
        <v>0</v>
      </c>
      <c r="R178" s="54">
        <f t="shared" ca="1" si="155"/>
        <v>40221752.26060494</v>
      </c>
      <c r="S178" s="54">
        <f t="shared" ca="1" si="155"/>
        <v>42477065.082413442</v>
      </c>
      <c r="T178" s="54">
        <f t="shared" ca="1" si="155"/>
        <v>52587554.489919171</v>
      </c>
      <c r="U178" s="54">
        <f t="shared" ca="1" si="155"/>
        <v>49785384.835805312</v>
      </c>
      <c r="V178" s="54">
        <f t="shared" ca="1" si="155"/>
        <v>48076420.449110538</v>
      </c>
      <c r="W178" s="54">
        <f t="shared" ca="1" si="155"/>
        <v>52958447.867199093</v>
      </c>
      <c r="X178" s="54">
        <f t="shared" ca="1" si="155"/>
        <v>50213709.982253596</v>
      </c>
      <c r="Y178" s="54">
        <f t="shared" ca="1" si="155"/>
        <v>49673797.118219852</v>
      </c>
      <c r="Z178" s="54">
        <f t="shared" ca="1" si="155"/>
        <v>52228290.546600521</v>
      </c>
      <c r="AA178" s="54">
        <f t="shared" ca="1" si="155"/>
        <v>50649228.123948976</v>
      </c>
      <c r="AB178" s="54">
        <f t="shared" ca="1" si="155"/>
        <v>52657239.142580763</v>
      </c>
      <c r="AC178" s="54">
        <f t="shared" ca="1" si="155"/>
        <v>47514048.197864465</v>
      </c>
      <c r="AD178" s="54">
        <f t="shared" ca="1" si="155"/>
        <v>51183506.26376573</v>
      </c>
      <c r="AE178" s="54">
        <f t="shared" ca="1" si="155"/>
        <v>51906084.227876522</v>
      </c>
      <c r="AF178" s="54">
        <f t="shared" ca="1" si="155"/>
        <v>55171868.099317908</v>
      </c>
      <c r="AG178" s="54">
        <f t="shared" ca="1" si="155"/>
        <v>55401756.109502845</v>
      </c>
      <c r="AH178" s="54">
        <f t="shared" ca="1" si="155"/>
        <v>57116092.207366116</v>
      </c>
      <c r="AI178" s="54">
        <f t="shared" ca="1" si="155"/>
        <v>60423620.342836484</v>
      </c>
      <c r="AJ178" s="54">
        <f t="shared" ca="1" si="155"/>
        <v>60907374.540912211</v>
      </c>
      <c r="AK178" s="54">
        <f t="shared" ca="1" si="155"/>
        <v>64518518.809546016</v>
      </c>
      <c r="AL178" s="54">
        <f t="shared" ref="AL178:BM178" ca="1" si="156">SUM(AL172:AL177)</f>
        <v>71766498.839709044</v>
      </c>
      <c r="AM178" s="54">
        <f t="shared" ca="1" si="156"/>
        <v>73155099.617755055</v>
      </c>
      <c r="AN178" s="54">
        <f t="shared" ca="1" si="156"/>
        <v>80068606.749492288</v>
      </c>
      <c r="AO178" s="54">
        <f t="shared" ca="1" si="156"/>
        <v>77607176.617309541</v>
      </c>
      <c r="AP178" s="54">
        <f t="shared" ca="1" si="156"/>
        <v>79367496.020605564</v>
      </c>
      <c r="AQ178" s="54">
        <f t="shared" ca="1" si="156"/>
        <v>78065249.44194591</v>
      </c>
      <c r="AR178" s="54">
        <f t="shared" ca="1" si="156"/>
        <v>95123192.552683979</v>
      </c>
      <c r="AS178" s="54">
        <f t="shared" ca="1" si="156"/>
        <v>91851771.959121451</v>
      </c>
      <c r="AT178" s="54">
        <f t="shared" ca="1" si="156"/>
        <v>90568945.519699976</v>
      </c>
      <c r="AU178" s="54">
        <f t="shared" ca="1" si="156"/>
        <v>91304466.600459397</v>
      </c>
      <c r="AV178" s="54">
        <f t="shared" ca="1" si="156"/>
        <v>88129939.746036783</v>
      </c>
      <c r="AW178" s="54">
        <f t="shared" ca="1" si="156"/>
        <v>88753565.811421081</v>
      </c>
      <c r="AX178" s="54">
        <f t="shared" ca="1" si="156"/>
        <v>107806254.70518032</v>
      </c>
      <c r="AY178" s="54">
        <f t="shared" ca="1" si="156"/>
        <v>105384041.27826056</v>
      </c>
      <c r="AZ178" s="54">
        <f t="shared" ca="1" si="156"/>
        <v>109030634.12070329</v>
      </c>
      <c r="BA178" s="54">
        <f t="shared" ca="1" si="156"/>
        <v>101742970.97552748</v>
      </c>
      <c r="BB178" s="54">
        <f t="shared" ca="1" si="156"/>
        <v>100665469.16440736</v>
      </c>
      <c r="BC178" s="54">
        <f t="shared" ca="1" si="156"/>
        <v>96043235.573393539</v>
      </c>
      <c r="BD178" s="54">
        <f t="shared" ca="1" si="156"/>
        <v>123646683.96568793</v>
      </c>
      <c r="BE178" s="54">
        <f t="shared" ca="1" si="156"/>
        <v>117410992.58332923</v>
      </c>
      <c r="BF178" s="54">
        <f t="shared" ca="1" si="156"/>
        <v>113037201.925249</v>
      </c>
      <c r="BG178" s="54">
        <f t="shared" ca="1" si="156"/>
        <v>110539113.1042254</v>
      </c>
      <c r="BH178" s="54">
        <f t="shared" ca="1" si="156"/>
        <v>104284393.81851955</v>
      </c>
      <c r="BI178" s="54">
        <f t="shared" ca="1" si="156"/>
        <v>101759444.59313369</v>
      </c>
      <c r="BJ178" s="54">
        <f t="shared" ca="1" si="156"/>
        <v>125946324.26561157</v>
      </c>
      <c r="BK178" s="54">
        <f t="shared" ca="1" si="156"/>
        <v>121235545.49567005</v>
      </c>
      <c r="BL178" s="54">
        <f t="shared" ca="1" si="156"/>
        <v>120437074.55126354</v>
      </c>
      <c r="BM178" s="54">
        <f t="shared" ca="1" si="156"/>
        <v>111935452.90280999</v>
      </c>
      <c r="BN178" s="54">
        <f t="shared" ref="BN178:CK178" ca="1" si="157">SUM(BN172:BN177)</f>
        <v>109111569.39284074</v>
      </c>
      <c r="BO178" s="54">
        <f t="shared" ca="1" si="157"/>
        <v>102558344.01710406</v>
      </c>
      <c r="BP178" s="54">
        <f t="shared" ca="1" si="157"/>
        <v>131357770.9421373</v>
      </c>
      <c r="BQ178" s="54">
        <f t="shared" ca="1" si="157"/>
        <v>124554471.10733882</v>
      </c>
      <c r="BR178" s="54">
        <f t="shared" ca="1" si="157"/>
        <v>119709539.87123135</v>
      </c>
      <c r="BS178" s="54">
        <f t="shared" ca="1" si="157"/>
        <v>116837466.1109768</v>
      </c>
      <c r="BT178" s="54">
        <f t="shared" ca="1" si="157"/>
        <v>110014186.56195872</v>
      </c>
      <c r="BU178" s="54">
        <f t="shared" ca="1" si="157"/>
        <v>107114067.73605917</v>
      </c>
      <c r="BV178" s="54">
        <f t="shared" ca="1" si="157"/>
        <v>133028151.38828835</v>
      </c>
      <c r="BW178" s="54">
        <f t="shared" ca="1" si="157"/>
        <v>127953725.17064896</v>
      </c>
      <c r="BX178" s="54">
        <f t="shared" ca="1" si="157"/>
        <v>129245107.65996705</v>
      </c>
      <c r="BY178" s="54">
        <f t="shared" ca="1" si="157"/>
        <v>117920550.44899705</v>
      </c>
      <c r="BZ178" s="54">
        <f t="shared" ca="1" si="157"/>
        <v>114830440.98552446</v>
      </c>
      <c r="CA178" s="54">
        <f t="shared" ca="1" si="157"/>
        <v>107817827.2285592</v>
      </c>
      <c r="CB178" s="54">
        <f t="shared" ca="1" si="157"/>
        <v>138564911.74097121</v>
      </c>
      <c r="CC178" s="54">
        <f t="shared" ca="1" si="157"/>
        <v>131313724.419182</v>
      </c>
      <c r="CD178" s="54">
        <f t="shared" ca="1" si="157"/>
        <v>126122377.87430927</v>
      </c>
      <c r="CE178" s="54">
        <f t="shared" ca="1" si="157"/>
        <v>123006165.58599488</v>
      </c>
      <c r="CF178" s="54">
        <f t="shared" ca="1" si="157"/>
        <v>115733912.05234766</v>
      </c>
      <c r="CG178" s="54">
        <f t="shared" ca="1" si="157"/>
        <v>112588282.5061276</v>
      </c>
      <c r="CH178" s="54">
        <f t="shared" ca="1" si="157"/>
        <v>140185199.88043246</v>
      </c>
      <c r="CI178" s="54">
        <f t="shared" ca="1" si="157"/>
        <v>134774883.46514297</v>
      </c>
      <c r="CJ178" s="54">
        <f t="shared" ca="1" si="157"/>
        <v>136060600.50006998</v>
      </c>
      <c r="CK178" s="54">
        <f t="shared" ca="1" si="157"/>
        <v>124075495.35506457</v>
      </c>
    </row>
    <row r="179" spans="2:89" ht="15.75" thickBot="1"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</row>
    <row r="180" spans="2:89" ht="16.5" thickTop="1" thickBot="1">
      <c r="B180" s="105" t="s">
        <v>679</v>
      </c>
      <c r="C180" s="121"/>
      <c r="D180" s="122"/>
      <c r="E180" s="123"/>
      <c r="F180" s="109">
        <f t="shared" ref="F180:AK180" ca="1" si="158">SUM(F178,F168,F162)</f>
        <v>212986363.63636363</v>
      </c>
      <c r="G180" s="109">
        <f t="shared" ca="1" si="158"/>
        <v>218083686.17683688</v>
      </c>
      <c r="H180" s="109">
        <f t="shared" ca="1" si="158"/>
        <v>222803001.24533004</v>
      </c>
      <c r="I180" s="109">
        <f t="shared" ca="1" si="158"/>
        <v>685399414.69489408</v>
      </c>
      <c r="J180" s="109">
        <f t="shared" ca="1" si="158"/>
        <v>696084869.2403487</v>
      </c>
      <c r="K180" s="109">
        <f t="shared" ca="1" si="158"/>
        <v>706466687.42216682</v>
      </c>
      <c r="L180" s="109">
        <f t="shared" ca="1" si="158"/>
        <v>1012240323.7858032</v>
      </c>
      <c r="M180" s="109">
        <f t="shared" ca="1" si="158"/>
        <v>1016398032.3785803</v>
      </c>
      <c r="N180" s="109">
        <f t="shared" ca="1" si="158"/>
        <v>1020800694.894147</v>
      </c>
      <c r="O180" s="109">
        <f t="shared" ca="1" si="158"/>
        <v>1264868168.8136699</v>
      </c>
      <c r="P180" s="109">
        <f t="shared" ca="1" si="158"/>
        <v>1265472386.399363</v>
      </c>
      <c r="Q180" s="109">
        <f t="shared" ca="1" si="158"/>
        <v>1161247647.2041321</v>
      </c>
      <c r="R180" s="109">
        <f t="shared" ca="1" si="158"/>
        <v>1189984985.8373981</v>
      </c>
      <c r="S180" s="109">
        <f t="shared" ca="1" si="158"/>
        <v>1180681112.0093539</v>
      </c>
      <c r="T180" s="109">
        <f t="shared" ca="1" si="158"/>
        <v>1173881611.3770401</v>
      </c>
      <c r="U180" s="109">
        <f t="shared" ca="1" si="158"/>
        <v>1159795224.5108566</v>
      </c>
      <c r="V180" s="109">
        <f t="shared" ca="1" si="158"/>
        <v>1146941445.5270352</v>
      </c>
      <c r="W180" s="109">
        <f t="shared" ca="1" si="158"/>
        <v>1135530905.6481194</v>
      </c>
      <c r="X180" s="109">
        <f t="shared" ca="1" si="158"/>
        <v>1121918422.8075686</v>
      </c>
      <c r="Y180" s="109">
        <f t="shared" ca="1" si="158"/>
        <v>1110849573.0573137</v>
      </c>
      <c r="Z180" s="109">
        <f t="shared" ca="1" si="158"/>
        <v>1097532654.9011381</v>
      </c>
      <c r="AA180" s="109">
        <f t="shared" ca="1" si="158"/>
        <v>1085488966.7542691</v>
      </c>
      <c r="AB180" s="109">
        <f t="shared" ca="1" si="158"/>
        <v>1077755414.1150105</v>
      </c>
      <c r="AC180" s="109">
        <f t="shared" ca="1" si="158"/>
        <v>1062423221.3143327</v>
      </c>
      <c r="AD180" s="109">
        <f t="shared" ca="1" si="158"/>
        <v>1054040843.1856596</v>
      </c>
      <c r="AE180" s="109">
        <f t="shared" ca="1" si="158"/>
        <v>1043795029.8475213</v>
      </c>
      <c r="AF180" s="109">
        <f t="shared" ca="1" si="158"/>
        <v>1037713398.3345956</v>
      </c>
      <c r="AG180" s="109">
        <f t="shared" ca="1" si="158"/>
        <v>1030131215.5191957</v>
      </c>
      <c r="AH180" s="109">
        <f t="shared" ca="1" si="158"/>
        <v>1026046009.4368888</v>
      </c>
      <c r="AI180" s="109">
        <f t="shared" ca="1" si="158"/>
        <v>1026009459.9363297</v>
      </c>
      <c r="AJ180" s="109">
        <f t="shared" ca="1" si="158"/>
        <v>1025734314.0971216</v>
      </c>
      <c r="AK180" s="109">
        <f t="shared" ca="1" si="158"/>
        <v>1031891383.0778741</v>
      </c>
      <c r="AL180" s="109">
        <f t="shared" ref="AL180:BM180" ca="1" si="159">SUM(AL178,AL168,AL162)</f>
        <v>1039308387.6613028</v>
      </c>
      <c r="AM180" s="109">
        <f t="shared" ca="1" si="159"/>
        <v>1051383233.1271265</v>
      </c>
      <c r="AN180" s="109">
        <f t="shared" ca="1" si="159"/>
        <v>1074217817.7084858</v>
      </c>
      <c r="AO180" s="109">
        <f t="shared" ca="1" si="159"/>
        <v>1093396341.4631462</v>
      </c>
      <c r="AP180" s="109">
        <f t="shared" ca="1" si="159"/>
        <v>1119276866.1107614</v>
      </c>
      <c r="AQ180" s="109">
        <f t="shared" ca="1" si="159"/>
        <v>1144495346.5829947</v>
      </c>
      <c r="AR180" s="109">
        <f t="shared" ca="1" si="159"/>
        <v>1176065051.6244535</v>
      </c>
      <c r="AS180" s="109">
        <f t="shared" ca="1" si="159"/>
        <v>1204782091.9368584</v>
      </c>
      <c r="AT180" s="109">
        <f t="shared" ca="1" si="159"/>
        <v>1238513757.0136847</v>
      </c>
      <c r="AU180" s="109">
        <f t="shared" ca="1" si="159"/>
        <v>1277497143.9585147</v>
      </c>
      <c r="AV180" s="109">
        <f t="shared" ca="1" si="159"/>
        <v>1315839450.2238803</v>
      </c>
      <c r="AW180" s="109">
        <f t="shared" ca="1" si="159"/>
        <v>1361586856.4069939</v>
      </c>
      <c r="AX180" s="109">
        <f t="shared" ca="1" si="159"/>
        <v>1407945091.743269</v>
      </c>
      <c r="AY180" s="109">
        <f t="shared" ca="1" si="159"/>
        <v>1458391833.68154</v>
      </c>
      <c r="AZ180" s="109">
        <f t="shared" ca="1" si="159"/>
        <v>1519114294.2009542</v>
      </c>
      <c r="BA180" s="109">
        <f t="shared" ca="1" si="159"/>
        <v>1573115051.5146933</v>
      </c>
      <c r="BB180" s="109">
        <f t="shared" ca="1" si="159"/>
        <v>1633935406.4954109</v>
      </c>
      <c r="BC180" s="109">
        <f t="shared" ca="1" si="159"/>
        <v>1691634291.4435773</v>
      </c>
      <c r="BD180" s="109">
        <f t="shared" ca="1" si="159"/>
        <v>1753589612.0559354</v>
      </c>
      <c r="BE180" s="109">
        <f t="shared" ca="1" si="159"/>
        <v>1810714193.3364348</v>
      </c>
      <c r="BF180" s="109">
        <f t="shared" ca="1" si="159"/>
        <v>1870229296.7641606</v>
      </c>
      <c r="BG180" s="109">
        <f t="shared" ca="1" si="159"/>
        <v>1932218209.5391238</v>
      </c>
      <c r="BH180" s="109">
        <f t="shared" ca="1" si="159"/>
        <v>1990901374.3698392</v>
      </c>
      <c r="BI180" s="109">
        <f t="shared" ca="1" si="159"/>
        <v>2053907920.1193752</v>
      </c>
      <c r="BJ180" s="109">
        <f t="shared" ca="1" si="159"/>
        <v>2113724892.6439633</v>
      </c>
      <c r="BK180" s="109">
        <f t="shared" ca="1" si="159"/>
        <v>2175549009.2311406</v>
      </c>
      <c r="BL180" s="109">
        <f t="shared" ca="1" si="159"/>
        <v>2241918836.4985495</v>
      </c>
      <c r="BM180" s="109">
        <f t="shared" ca="1" si="159"/>
        <v>2301001237.6379061</v>
      </c>
      <c r="BN180" s="109">
        <f t="shared" ref="BN180:CK180" ca="1" si="160">SUM(BN178,BN168,BN162)</f>
        <v>2366342226.787643</v>
      </c>
      <c r="BO180" s="109">
        <f t="shared" ca="1" si="160"/>
        <v>2428442284.2257986</v>
      </c>
      <c r="BP180" s="109">
        <f t="shared" ca="1" si="160"/>
        <v>2494959907.4947815</v>
      </c>
      <c r="BQ180" s="109">
        <f t="shared" ca="1" si="160"/>
        <v>2557885888.9479809</v>
      </c>
      <c r="BR180" s="109">
        <f t="shared" ca="1" si="160"/>
        <v>2623317698.8723769</v>
      </c>
      <c r="BS180" s="109">
        <f t="shared" ca="1" si="160"/>
        <v>2691292289.7884049</v>
      </c>
      <c r="BT180" s="109">
        <f t="shared" ca="1" si="160"/>
        <v>2762974872.8618565</v>
      </c>
      <c r="BU180" s="109">
        <f t="shared" ca="1" si="160"/>
        <v>2839081803.0815535</v>
      </c>
      <c r="BV180" s="109">
        <f t="shared" ca="1" si="160"/>
        <v>2911806185.7128253</v>
      </c>
      <c r="BW180" s="109">
        <f t="shared" ca="1" si="160"/>
        <v>2986686360.8348346</v>
      </c>
      <c r="BX180" s="109">
        <f t="shared" ca="1" si="160"/>
        <v>3068454453.1704388</v>
      </c>
      <c r="BY180" s="109">
        <f t="shared" ca="1" si="160"/>
        <v>3138029152.4225726</v>
      </c>
      <c r="BZ180" s="109">
        <f t="shared" ca="1" si="160"/>
        <v>3216340807.7656612</v>
      </c>
      <c r="CA180" s="109">
        <f t="shared" ca="1" si="160"/>
        <v>3291207466.3918929</v>
      </c>
      <c r="CB180" s="109">
        <f t="shared" ca="1" si="160"/>
        <v>3370616789.2395964</v>
      </c>
      <c r="CC180" s="109">
        <f t="shared" ca="1" si="160"/>
        <v>3446231999.6330934</v>
      </c>
      <c r="CD180" s="109">
        <f t="shared" ca="1" si="160"/>
        <v>3524410577.4036083</v>
      </c>
      <c r="CE180" s="109">
        <f t="shared" ca="1" si="160"/>
        <v>3605167041.3614368</v>
      </c>
      <c r="CF180" s="109">
        <f t="shared" ca="1" si="160"/>
        <v>3682262668.7445459</v>
      </c>
      <c r="CG180" s="109">
        <f t="shared" ca="1" si="160"/>
        <v>3763987807.861505</v>
      </c>
      <c r="CH180" s="109">
        <f t="shared" ca="1" si="160"/>
        <v>3842174572.8353586</v>
      </c>
      <c r="CI180" s="109">
        <f t="shared" ca="1" si="160"/>
        <v>3922650122.0899715</v>
      </c>
      <c r="CJ180" s="109">
        <f t="shared" ca="1" si="160"/>
        <v>4010301896.0004292</v>
      </c>
      <c r="CK180" s="109">
        <f t="shared" ca="1" si="160"/>
        <v>4085188963.4992146</v>
      </c>
    </row>
    <row r="181" spans="2:89" ht="15.75" thickTop="1"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</row>
    <row r="182" spans="2:89" ht="18" thickBot="1">
      <c r="B182" s="100" t="s">
        <v>569</v>
      </c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</row>
    <row r="183" spans="2:89" ht="15.75" thickTop="1"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</row>
    <row r="184" spans="2:89">
      <c r="B184" s="77" t="s">
        <v>127</v>
      </c>
      <c r="C184" s="124"/>
      <c r="D184" s="152"/>
      <c r="E184" s="153">
        <f ca="1">IF(AND(MAX(F184:CK184)=MIN(F184:BM184),F184=0),1,0)</f>
        <v>1</v>
      </c>
      <c r="F184" s="80">
        <f t="shared" ref="F184:AK184" ca="1" si="161">ROUND(F154-F180,1)</f>
        <v>0</v>
      </c>
      <c r="G184" s="80">
        <f t="shared" ca="1" si="161"/>
        <v>0</v>
      </c>
      <c r="H184" s="80">
        <f t="shared" ca="1" si="161"/>
        <v>0</v>
      </c>
      <c r="I184" s="80">
        <f t="shared" ca="1" si="161"/>
        <v>0</v>
      </c>
      <c r="J184" s="80">
        <f t="shared" ca="1" si="161"/>
        <v>0</v>
      </c>
      <c r="K184" s="80">
        <f t="shared" ca="1" si="161"/>
        <v>0</v>
      </c>
      <c r="L184" s="80">
        <f t="shared" ca="1" si="161"/>
        <v>0</v>
      </c>
      <c r="M184" s="80">
        <f t="shared" ca="1" si="161"/>
        <v>0</v>
      </c>
      <c r="N184" s="80">
        <f t="shared" ca="1" si="161"/>
        <v>0</v>
      </c>
      <c r="O184" s="80">
        <f t="shared" ca="1" si="161"/>
        <v>0</v>
      </c>
      <c r="P184" s="80">
        <f t="shared" ca="1" si="161"/>
        <v>0</v>
      </c>
      <c r="Q184" s="80">
        <f t="shared" ca="1" si="161"/>
        <v>0</v>
      </c>
      <c r="R184" s="80">
        <f t="shared" ca="1" si="161"/>
        <v>0</v>
      </c>
      <c r="S184" s="80">
        <f t="shared" ca="1" si="161"/>
        <v>0</v>
      </c>
      <c r="T184" s="80">
        <f t="shared" ca="1" si="161"/>
        <v>0</v>
      </c>
      <c r="U184" s="80">
        <f t="shared" ca="1" si="161"/>
        <v>0</v>
      </c>
      <c r="V184" s="80">
        <f t="shared" ca="1" si="161"/>
        <v>0</v>
      </c>
      <c r="W184" s="80">
        <f t="shared" ca="1" si="161"/>
        <v>0</v>
      </c>
      <c r="X184" s="80">
        <f t="shared" ca="1" si="161"/>
        <v>0</v>
      </c>
      <c r="Y184" s="80">
        <f t="shared" ca="1" si="161"/>
        <v>0</v>
      </c>
      <c r="Z184" s="80">
        <f t="shared" ca="1" si="161"/>
        <v>0</v>
      </c>
      <c r="AA184" s="80">
        <f t="shared" ca="1" si="161"/>
        <v>0</v>
      </c>
      <c r="AB184" s="80">
        <f t="shared" ca="1" si="161"/>
        <v>0</v>
      </c>
      <c r="AC184" s="80">
        <f t="shared" ca="1" si="161"/>
        <v>0</v>
      </c>
      <c r="AD184" s="80">
        <f t="shared" ca="1" si="161"/>
        <v>0</v>
      </c>
      <c r="AE184" s="80">
        <f t="shared" ca="1" si="161"/>
        <v>0</v>
      </c>
      <c r="AF184" s="80">
        <f t="shared" ca="1" si="161"/>
        <v>0</v>
      </c>
      <c r="AG184" s="80">
        <f t="shared" ca="1" si="161"/>
        <v>0</v>
      </c>
      <c r="AH184" s="80">
        <f t="shared" ca="1" si="161"/>
        <v>0</v>
      </c>
      <c r="AI184" s="80">
        <f t="shared" ca="1" si="161"/>
        <v>0</v>
      </c>
      <c r="AJ184" s="80">
        <f t="shared" ca="1" si="161"/>
        <v>0</v>
      </c>
      <c r="AK184" s="80">
        <f t="shared" ca="1" si="161"/>
        <v>0</v>
      </c>
      <c r="AL184" s="80">
        <f t="shared" ref="AL184:CK184" ca="1" si="162">ROUND(AL154-AL180,1)</f>
        <v>0</v>
      </c>
      <c r="AM184" s="80">
        <f t="shared" ca="1" si="162"/>
        <v>0</v>
      </c>
      <c r="AN184" s="80">
        <f t="shared" ca="1" si="162"/>
        <v>0</v>
      </c>
      <c r="AO184" s="80">
        <f t="shared" ca="1" si="162"/>
        <v>0</v>
      </c>
      <c r="AP184" s="80">
        <f t="shared" ca="1" si="162"/>
        <v>0</v>
      </c>
      <c r="AQ184" s="80">
        <f t="shared" ca="1" si="162"/>
        <v>0</v>
      </c>
      <c r="AR184" s="80">
        <f t="shared" ca="1" si="162"/>
        <v>0</v>
      </c>
      <c r="AS184" s="80">
        <f t="shared" ca="1" si="162"/>
        <v>0</v>
      </c>
      <c r="AT184" s="80">
        <f t="shared" ca="1" si="162"/>
        <v>0</v>
      </c>
      <c r="AU184" s="80">
        <f t="shared" ca="1" si="162"/>
        <v>0</v>
      </c>
      <c r="AV184" s="80">
        <f t="shared" ca="1" si="162"/>
        <v>0</v>
      </c>
      <c r="AW184" s="80">
        <f t="shared" ca="1" si="162"/>
        <v>0</v>
      </c>
      <c r="AX184" s="80">
        <f t="shared" ca="1" si="162"/>
        <v>0</v>
      </c>
      <c r="AY184" s="80">
        <f t="shared" ca="1" si="162"/>
        <v>0</v>
      </c>
      <c r="AZ184" s="80">
        <f t="shared" ca="1" si="162"/>
        <v>0</v>
      </c>
      <c r="BA184" s="80">
        <f t="shared" ca="1" si="162"/>
        <v>0</v>
      </c>
      <c r="BB184" s="80">
        <f t="shared" ca="1" si="162"/>
        <v>0</v>
      </c>
      <c r="BC184" s="80">
        <f t="shared" ca="1" si="162"/>
        <v>0</v>
      </c>
      <c r="BD184" s="80">
        <f t="shared" ca="1" si="162"/>
        <v>0</v>
      </c>
      <c r="BE184" s="80">
        <f t="shared" ca="1" si="162"/>
        <v>0</v>
      </c>
      <c r="BF184" s="80">
        <f t="shared" ca="1" si="162"/>
        <v>0</v>
      </c>
      <c r="BG184" s="80">
        <f t="shared" ca="1" si="162"/>
        <v>0</v>
      </c>
      <c r="BH184" s="80">
        <f t="shared" ca="1" si="162"/>
        <v>0</v>
      </c>
      <c r="BI184" s="80">
        <f t="shared" ca="1" si="162"/>
        <v>0</v>
      </c>
      <c r="BJ184" s="80">
        <f t="shared" ca="1" si="162"/>
        <v>0</v>
      </c>
      <c r="BK184" s="80">
        <f t="shared" ca="1" si="162"/>
        <v>0</v>
      </c>
      <c r="BL184" s="80">
        <f t="shared" ca="1" si="162"/>
        <v>0</v>
      </c>
      <c r="BM184" s="80">
        <f t="shared" ca="1" si="162"/>
        <v>0</v>
      </c>
      <c r="BN184" s="80">
        <f t="shared" ca="1" si="162"/>
        <v>0</v>
      </c>
      <c r="BO184" s="80">
        <f t="shared" ca="1" si="162"/>
        <v>0</v>
      </c>
      <c r="BP184" s="80">
        <f t="shared" ca="1" si="162"/>
        <v>0</v>
      </c>
      <c r="BQ184" s="80">
        <f t="shared" ca="1" si="162"/>
        <v>0</v>
      </c>
      <c r="BR184" s="80">
        <f t="shared" ca="1" si="162"/>
        <v>0</v>
      </c>
      <c r="BS184" s="80">
        <f t="shared" ca="1" si="162"/>
        <v>0</v>
      </c>
      <c r="BT184" s="80">
        <f t="shared" ca="1" si="162"/>
        <v>0</v>
      </c>
      <c r="BU184" s="80">
        <f t="shared" ca="1" si="162"/>
        <v>0</v>
      </c>
      <c r="BV184" s="80">
        <f t="shared" ca="1" si="162"/>
        <v>0</v>
      </c>
      <c r="BW184" s="80">
        <f t="shared" ca="1" si="162"/>
        <v>0</v>
      </c>
      <c r="BX184" s="80">
        <f t="shared" ca="1" si="162"/>
        <v>0</v>
      </c>
      <c r="BY184" s="80">
        <f t="shared" ca="1" si="162"/>
        <v>0</v>
      </c>
      <c r="BZ184" s="80">
        <f t="shared" ca="1" si="162"/>
        <v>0</v>
      </c>
      <c r="CA184" s="80">
        <f t="shared" ca="1" si="162"/>
        <v>0</v>
      </c>
      <c r="CB184" s="80">
        <f t="shared" ca="1" si="162"/>
        <v>0</v>
      </c>
      <c r="CC184" s="80">
        <f t="shared" ca="1" si="162"/>
        <v>0</v>
      </c>
      <c r="CD184" s="80">
        <f t="shared" ca="1" si="162"/>
        <v>0</v>
      </c>
      <c r="CE184" s="80">
        <f t="shared" ca="1" si="162"/>
        <v>0</v>
      </c>
      <c r="CF184" s="80">
        <f t="shared" ca="1" si="162"/>
        <v>0</v>
      </c>
      <c r="CG184" s="80">
        <f t="shared" ca="1" si="162"/>
        <v>0</v>
      </c>
      <c r="CH184" s="80">
        <f t="shared" ca="1" si="162"/>
        <v>0</v>
      </c>
      <c r="CI184" s="80">
        <f t="shared" ca="1" si="162"/>
        <v>0</v>
      </c>
      <c r="CJ184" s="80">
        <f t="shared" ca="1" si="162"/>
        <v>0</v>
      </c>
      <c r="CK184" s="80">
        <f t="shared" ca="1" si="162"/>
        <v>0</v>
      </c>
    </row>
    <row r="185" spans="2:89"/>
    <row r="186" spans="2:89"/>
    <row r="187" spans="2:89"/>
    <row r="188" spans="2:89"/>
    <row r="189" spans="2:89"/>
  </sheetData>
  <sheetProtection algorithmName="SHA-512" hashValue="mIzv1wjSh/B0zyw9+TL/q+e3jAU0swvSIO4DIWwPdEEJ5q6nD6YFmcUlftJpC3+wbHWnyk98lcvBKTQOTe0OHw==" saltValue="TfF6q8z3Qfk0gxwD6Rl1Ag==" spinCount="100000" sheet="1" objects="1" scenarios="1"/>
  <mergeCells count="1">
    <mergeCell ref="E1:G2"/>
  </mergeCells>
  <conditionalFormatting sqref="F13:CK14">
    <cfRule type="cellIs" dxfId="10" priority="2" operator="equal">
      <formula>1</formula>
    </cfRule>
  </conditionalFormatting>
  <conditionalFormatting sqref="K1:K2">
    <cfRule type="expression" dxfId="9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6" tint="-0.249977111117893"/>
  </sheetPr>
  <dimension ref="A1:N231"/>
  <sheetViews>
    <sheetView showGridLines="0" showZeros="0" zoomScaleNormal="100" workbookViewId="0">
      <pane xSplit="5" ySplit="15" topLeftCell="F118" activePane="bottomRight" state="frozen"/>
      <selection activeCell="D18" sqref="D18"/>
      <selection pane="topRight" activeCell="D18" sqref="D18"/>
      <selection pane="bottomLeft" activeCell="D18" sqref="D18"/>
      <selection pane="bottomRight" activeCell="B2" sqref="B2"/>
    </sheetView>
  </sheetViews>
  <sheetFormatPr defaultColWidth="0" defaultRowHeight="15" zeroHeight="1"/>
  <cols>
    <col min="1" max="1" width="2.5703125" customWidth="1"/>
    <col min="2" max="2" width="28.5703125" customWidth="1"/>
    <col min="3" max="3" width="7.140625" customWidth="1"/>
    <col min="4" max="4" width="15.5703125" bestFit="1" customWidth="1"/>
    <col min="5" max="5" width="12.85546875" customWidth="1"/>
    <col min="6" max="6" width="15.5703125" bestFit="1" customWidth="1"/>
    <col min="7" max="7" width="14.140625" bestFit="1" customWidth="1"/>
    <col min="8" max="8" width="16.7109375" bestFit="1" customWidth="1"/>
    <col min="9" max="9" width="14.5703125" bestFit="1" customWidth="1"/>
    <col min="10" max="12" width="15.140625" bestFit="1" customWidth="1"/>
    <col min="13" max="13" width="15.5703125" bestFit="1" customWidth="1"/>
    <col min="14" max="14" width="7.28515625" customWidth="1"/>
    <col min="15" max="16384" width="7.28515625" hidden="1"/>
  </cols>
  <sheetData>
    <row r="1" spans="2:13" ht="12" customHeight="1">
      <c r="D1" s="419" t="s">
        <v>183</v>
      </c>
      <c r="E1" s="419"/>
      <c r="F1" s="419"/>
      <c r="G1" s="72"/>
      <c r="H1" s="12" t="s">
        <v>264</v>
      </c>
      <c r="I1" s="73"/>
      <c r="J1" s="12" t="s">
        <v>515</v>
      </c>
    </row>
    <row r="2" spans="2:13" ht="12.75" customHeight="1">
      <c r="D2" s="419"/>
      <c r="E2" s="419"/>
      <c r="F2" s="419"/>
      <c r="G2" s="72"/>
      <c r="H2" s="12" t="str">
        <f>Сценарий_название</f>
        <v>Базовый</v>
      </c>
      <c r="I2" s="73"/>
      <c r="J2" s="12" t="str">
        <f ca="1">IF(Сигналы!$E$20=1,"пройдена","ошибка!")</f>
        <v>пройдена</v>
      </c>
    </row>
    <row r="3" spans="2:13" ht="12.75" customHeight="1"/>
    <row r="4" spans="2:13" ht="12.75" customHeight="1"/>
    <row r="5" spans="2:13" ht="12.75" customHeight="1"/>
    <row r="6" spans="2:13" ht="23.25">
      <c r="B6" s="10" t="s">
        <v>570</v>
      </c>
      <c r="C6" s="10"/>
      <c r="D6" s="10"/>
      <c r="E6" s="13"/>
      <c r="F6" s="13"/>
      <c r="G6" s="13"/>
      <c r="H6" s="13"/>
      <c r="I6" s="13"/>
      <c r="J6" s="13"/>
      <c r="K6" s="13"/>
      <c r="L6" s="13"/>
      <c r="M6" s="13"/>
    </row>
    <row r="7" spans="2:13" ht="3" customHeight="1">
      <c r="B7" s="74"/>
      <c r="C7" s="74"/>
      <c r="D7" s="74"/>
      <c r="E7" s="74"/>
      <c r="F7" s="74"/>
      <c r="G7" s="74"/>
      <c r="H7" s="74"/>
      <c r="I7" s="74"/>
      <c r="J7" s="74"/>
      <c r="K7" s="74"/>
      <c r="L7" s="14"/>
      <c r="M7" s="14"/>
    </row>
    <row r="8" spans="2:13">
      <c r="B8" s="16" t="str">
        <f t="array" ref="B8:B9">Время!B8:B9</f>
        <v>Начало периода</v>
      </c>
      <c r="C8" s="17"/>
      <c r="D8" s="17"/>
      <c r="E8" s="19"/>
      <c r="F8" s="20">
        <f>EOMONTH(E9,0)+1</f>
        <v>45017</v>
      </c>
      <c r="G8" s="20">
        <f>EOMONTH(F9,0)+1</f>
        <v>45292</v>
      </c>
      <c r="H8" s="20">
        <f>EOMONTH(G9,0)+1</f>
        <v>45658</v>
      </c>
      <c r="I8" s="20">
        <f>EOMONTH(H9,0)+1</f>
        <v>46023</v>
      </c>
      <c r="J8" s="20">
        <f>EOMONTH(I9,0)+1</f>
        <v>46388</v>
      </c>
      <c r="K8" s="20">
        <f t="shared" ref="K8:L8" si="0">EOMONTH(J9,0)+1</f>
        <v>46753</v>
      </c>
      <c r="L8" s="20">
        <f t="shared" si="0"/>
        <v>47119</v>
      </c>
      <c r="M8" s="20">
        <f>EOMONTH(L9,0)+1</f>
        <v>47484</v>
      </c>
    </row>
    <row r="9" spans="2:13">
      <c r="B9" s="21" t="str">
        <v>Конец периода</v>
      </c>
      <c r="C9" s="75"/>
      <c r="D9" s="75"/>
      <c r="E9" s="24">
        <f>Начальная_дата</f>
        <v>45016</v>
      </c>
      <c r="F9" s="25">
        <f>DATE(YEAR(F8),12,31)</f>
        <v>45291</v>
      </c>
      <c r="G9" s="24">
        <f>DATE(YEAR(G8),12,31)</f>
        <v>45657</v>
      </c>
      <c r="H9" s="25">
        <f>DATE(YEAR(H8),12,31)</f>
        <v>46022</v>
      </c>
      <c r="I9" s="24">
        <f>DATE(YEAR(I8),12,31)</f>
        <v>46387</v>
      </c>
      <c r="J9" s="25">
        <f>DATE(YEAR(J8),12,31)</f>
        <v>46752</v>
      </c>
      <c r="K9" s="25">
        <f t="shared" ref="K9:L9" si="1">DATE(YEAR(K8),12,31)</f>
        <v>47118</v>
      </c>
      <c r="L9" s="25">
        <f t="shared" si="1"/>
        <v>47483</v>
      </c>
      <c r="M9" s="25">
        <f>DATE(YEAR(M8),12,31)</f>
        <v>47848</v>
      </c>
    </row>
    <row r="10" spans="2:13" ht="3" customHeight="1"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14"/>
      <c r="M10" s="14"/>
    </row>
    <row r="11" spans="2:13" ht="20.25" thickBot="1">
      <c r="B11" s="26" t="s">
        <v>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</row>
    <row r="12" spans="2:13" ht="3" customHeight="1" thickTop="1">
      <c r="B12" s="14"/>
      <c r="C12" s="14"/>
      <c r="D12" s="14"/>
      <c r="E12" s="74"/>
      <c r="F12" s="74"/>
      <c r="G12" s="74"/>
      <c r="H12" s="74"/>
      <c r="I12" s="74"/>
      <c r="J12" s="74"/>
      <c r="K12" s="74"/>
      <c r="L12" s="14"/>
      <c r="M12" s="14"/>
    </row>
    <row r="13" spans="2:13">
      <c r="B13" s="32" t="s">
        <v>6</v>
      </c>
      <c r="C13" s="33"/>
      <c r="D13" s="33"/>
      <c r="E13" s="33"/>
      <c r="F13" s="76">
        <f>YEAR(F9)</f>
        <v>2023</v>
      </c>
      <c r="G13" s="76">
        <f>YEAR(G9)</f>
        <v>2024</v>
      </c>
      <c r="H13" s="76">
        <f>YEAR(H9)</f>
        <v>2025</v>
      </c>
      <c r="I13" s="76">
        <f>YEAR(I9)</f>
        <v>2026</v>
      </c>
      <c r="J13" s="76">
        <f>YEAR(J9)</f>
        <v>2027</v>
      </c>
      <c r="K13" s="76">
        <f t="shared" ref="K13:M13" si="2">YEAR(K9)</f>
        <v>2028</v>
      </c>
      <c r="L13" s="76">
        <f t="shared" si="2"/>
        <v>2029</v>
      </c>
      <c r="M13" s="76">
        <f t="shared" si="2"/>
        <v>2030</v>
      </c>
    </row>
    <row r="14" spans="2:13">
      <c r="B14" s="32" t="s">
        <v>7</v>
      </c>
      <c r="C14" s="33"/>
      <c r="D14" s="33"/>
      <c r="E14" s="33"/>
      <c r="F14" s="76">
        <f>F9-F8+1</f>
        <v>275</v>
      </c>
      <c r="G14" s="76">
        <f>G9-G8+1</f>
        <v>366</v>
      </c>
      <c r="H14" s="76">
        <f>H9-H8+1</f>
        <v>365</v>
      </c>
      <c r="I14" s="76">
        <f>I9-I8+1</f>
        <v>365</v>
      </c>
      <c r="J14" s="76">
        <f>J9-J8+1</f>
        <v>365</v>
      </c>
      <c r="K14" s="76">
        <f t="shared" ref="K14:M14" si="3">K9-K8+1</f>
        <v>366</v>
      </c>
      <c r="L14" s="76">
        <f t="shared" si="3"/>
        <v>365</v>
      </c>
      <c r="M14" s="76">
        <f t="shared" si="3"/>
        <v>365</v>
      </c>
    </row>
    <row r="15" spans="2:13" ht="3" customHeight="1"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14"/>
      <c r="M15" s="14"/>
    </row>
    <row r="16" spans="2:13" ht="20.25" thickBot="1">
      <c r="B16" s="26" t="str">
        <f>"Отчет о прибылях и убытках, в "&amp;Ед_измерения_денег</f>
        <v>Отчет о прибылях и убытках, в  руб.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2:13" ht="15.75" thickTop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</row>
    <row r="18" spans="2:13">
      <c r="B18" s="77" t="str">
        <f t="array" ref="B18:B42">Отчетность_по_периодам!B35:B59</f>
        <v>Выручка, очищенная от НДС</v>
      </c>
      <c r="C18" s="78"/>
      <c r="D18" s="79">
        <f ca="1">SUM(F18:M18)</f>
        <v>11534929222.630032</v>
      </c>
      <c r="E18" s="80"/>
      <c r="F18" s="81">
        <f ca="1">SUMIF(Отчетность_по_периодам!$F$19:$CK$19,Отчетность_по_годам!F$13,Отчетность_по_периодам!$F35:$CK35)</f>
        <v>0</v>
      </c>
      <c r="G18" s="81">
        <f ca="1">SUMIF(Отчетность_по_периодам!$F$19:$CK$19,Отчетность_по_годам!G$13,Отчетность_по_периодам!$F35:$CK35)</f>
        <v>703565942.23282135</v>
      </c>
      <c r="H18" s="81">
        <f ca="1">SUMIF(Отчетность_по_периодам!$F$19:$CK$19,Отчетность_по_годам!H$13,Отчетность_по_периодам!$F35:$CK35)</f>
        <v>1165729957.4916103</v>
      </c>
      <c r="I18" s="81">
        <f ca="1">SUMIF(Отчетность_по_периодам!$F$19:$CK$19,Отчетность_по_годам!I$13,Отчетность_по_периодам!$F35:$CK35)</f>
        <v>1832895628.8621254</v>
      </c>
      <c r="J18" s="81">
        <f ca="1">SUMIF(Отчетность_по_периодам!$F$19:$CK$19,Отчетность_по_годам!J$13,Отчетность_по_периодам!$F35:$CK35)</f>
        <v>2270539970.1139717</v>
      </c>
      <c r="K18" s="81">
        <f ca="1">SUMIF(Отчетность_по_периодам!$F$19:$CK$19,Отчетность_по_годам!K$13,Отчетность_по_периодам!$F35:$CK35)</f>
        <v>2396946229.4748225</v>
      </c>
      <c r="L18" s="81">
        <f ca="1">SUMIF(Отчетность_по_периодам!$F$19:$CK$19,Отчетность_по_годам!L$13,Отчетность_по_периодам!$F35:$CK35)</f>
        <v>2516667745.1710176</v>
      </c>
      <c r="M18" s="81">
        <f ca="1">SUMIF(Отчетность_по_периодам!$F$19:$CK$19,Отчетность_по_годам!M$13,Отчетность_по_периодам!$F35:$CK35)</f>
        <v>648583749.28366172</v>
      </c>
    </row>
    <row r="19" spans="2:13">
      <c r="B19" s="82">
        <v>0</v>
      </c>
      <c r="C19" s="83"/>
      <c r="D19" s="83"/>
      <c r="E19" s="84"/>
      <c r="F19" s="84"/>
      <c r="G19" s="84"/>
      <c r="H19" s="84"/>
      <c r="I19" s="84"/>
      <c r="J19" s="85"/>
      <c r="K19" s="83"/>
      <c r="L19" s="83"/>
      <c r="M19" s="83"/>
    </row>
    <row r="20" spans="2:13" ht="15.75" thickBot="1">
      <c r="B20" s="86" t="str">
        <v>Переменные затраты без НДС</v>
      </c>
      <c r="C20" s="46"/>
      <c r="D20" s="48">
        <f ca="1">SUM(F20:M20)</f>
        <v>-4969898461.7632771</v>
      </c>
      <c r="E20" s="49"/>
      <c r="F20" s="49">
        <f ca="1">SUMIF(Отчетность_по_периодам!$F$19:$BM$19,Отчетность_по_годам!F$13,Отчетность_по_периодам!$F37:$BM37)</f>
        <v>0</v>
      </c>
      <c r="G20" s="49">
        <f ca="1">SUMIF(Отчетность_по_периодам!$F$19:$CK$19,Отчетность_по_годам!G$13,Отчетность_по_периодам!$F37:$CK37)</f>
        <v>-401542302.79874337</v>
      </c>
      <c r="H20" s="49">
        <f ca="1">SUMIF(Отчетность_по_периодам!$F$19:$CK$19,Отчетность_по_годам!H$13,Отчетность_по_периодам!$F37:$CK37)</f>
        <v>-624795628.20475423</v>
      </c>
      <c r="I20" s="49">
        <f ca="1">SUMIF(Отчетность_по_периодам!$F$19:$CK$19,Отчетность_по_годам!I$13,Отчетность_по_периодам!$F37:$CK37)</f>
        <v>-833482533.812621</v>
      </c>
      <c r="J20" s="49">
        <f ca="1">SUMIF(Отчетность_по_периодам!$F$19:$CK$19,Отчетность_по_годам!J$13,Отчетность_по_периодам!$F37:$CK37)</f>
        <v>-902452554.48030567</v>
      </c>
      <c r="K20" s="49">
        <f ca="1">SUMIF(Отчетность_по_периодам!$F$19:$CK$19,Отчетность_по_годам!K$13,Отчетность_по_периодам!$F37:$CK37)</f>
        <v>-950183152.4505626</v>
      </c>
      <c r="L20" s="49">
        <f ca="1">SUMIF(Отчетность_по_периодам!$F$19:$CK$19,Отчетность_по_годам!L$13,Отчетность_по_периодам!$F37:$CK37)</f>
        <v>-999540777.59566367</v>
      </c>
      <c r="M20" s="49">
        <f ca="1">SUMIF(Отчетность_по_периодам!$F$19:$CK$19,Отчетность_по_годам!M$13,Отчетность_по_периодам!$F37:$CK37)</f>
        <v>-257901512.42062691</v>
      </c>
    </row>
    <row r="21" spans="2:13" ht="15.75" thickTop="1">
      <c r="B21" s="50" t="str">
        <v>Маржинальный доход</v>
      </c>
      <c r="C21" s="51"/>
      <c r="D21" s="53">
        <f ca="1">SUM(F21:M21)</f>
        <v>6565030760.8667526</v>
      </c>
      <c r="E21" s="54"/>
      <c r="F21" s="54">
        <f ca="1">SUM(F18,F20)</f>
        <v>0</v>
      </c>
      <c r="G21" s="54">
        <f ca="1">SUM(G18,G20)</f>
        <v>302023639.43407798</v>
      </c>
      <c r="H21" s="54">
        <f ca="1">SUM(H18,H20)</f>
        <v>540934329.28685606</v>
      </c>
      <c r="I21" s="54">
        <f ca="1">SUM(I18,I20)</f>
        <v>999413095.0495044</v>
      </c>
      <c r="J21" s="87">
        <f ca="1">SUM(J18,J20)</f>
        <v>1368087415.633666</v>
      </c>
      <c r="K21" s="87">
        <f t="shared" ref="K21:M21" ca="1" si="4">SUM(K18,K20)</f>
        <v>1446763077.02426</v>
      </c>
      <c r="L21" s="87">
        <f t="shared" ca="1" si="4"/>
        <v>1517126967.5753541</v>
      </c>
      <c r="M21" s="87">
        <f t="shared" ca="1" si="4"/>
        <v>390682236.86303484</v>
      </c>
    </row>
    <row r="22" spans="2:13" ht="15.75" thickBot="1">
      <c r="B22" s="88" t="str">
        <v>Маржа к выручке</v>
      </c>
      <c r="C22" s="89"/>
      <c r="D22" s="90">
        <f ca="1">IFERROR(D21/D$18,"неприменимо")</f>
        <v>0.56914356682718226</v>
      </c>
      <c r="E22" s="91"/>
      <c r="F22" s="91" t="str">
        <f ca="1">IFERROR(F21/F$18,"неприменимо")</f>
        <v>неприменимо</v>
      </c>
      <c r="G22" s="91">
        <f ca="1">IFERROR(G21/G$18,"неприменимо")</f>
        <v>0.42927552529842822</v>
      </c>
      <c r="H22" s="91">
        <f ca="1">IFERROR(H21/H$18,"неприменимо")</f>
        <v>0.46403056369146206</v>
      </c>
      <c r="I22" s="91">
        <f ca="1">IFERROR(I21/I$18,"неприменимо")</f>
        <v>0.54526459625524182</v>
      </c>
      <c r="J22" s="92">
        <f ca="1">IFERROR(J21/J$18,"неприменимо")</f>
        <v>0.60253835371371756</v>
      </c>
      <c r="K22" s="92">
        <f t="shared" ref="K22:M22" ca="1" si="5">IFERROR(K21/K$18,"неприменимо")</f>
        <v>0.60358595417522143</v>
      </c>
      <c r="L22" s="92">
        <f t="shared" ca="1" si="5"/>
        <v>0.60283164930548239</v>
      </c>
      <c r="M22" s="92">
        <f t="shared" ca="1" si="5"/>
        <v>0.60236205007376431</v>
      </c>
    </row>
    <row r="23" spans="2:13" ht="15.75" thickTop="1">
      <c r="B23" s="93">
        <v>0</v>
      </c>
      <c r="C23" s="94"/>
      <c r="D23" s="14"/>
      <c r="E23" s="14"/>
      <c r="F23" s="95"/>
      <c r="G23" s="95"/>
      <c r="H23" s="95"/>
      <c r="I23" s="95"/>
      <c r="J23" s="95"/>
      <c r="K23" s="14"/>
      <c r="L23" s="14"/>
      <c r="M23" s="14"/>
    </row>
    <row r="24" spans="2:13">
      <c r="B24" s="86" t="str">
        <v>Постоянные затраты без НДС</v>
      </c>
      <c r="C24" s="46"/>
      <c r="D24" s="48">
        <f ca="1">SUM(F24:M24)</f>
        <v>-116604878.96066675</v>
      </c>
      <c r="E24" s="49"/>
      <c r="F24" s="49">
        <f ca="1">SUMIF(Отчетность_по_периодам!$F$19:$CK$19,Отчетность_по_годам!F$13,Отчетность_по_периодам!$F41:$CK41)</f>
        <v>0</v>
      </c>
      <c r="G24" s="49">
        <f ca="1">SUMIF(Отчетность_по_периодам!$F$19:$CK$19,Отчетность_по_годам!G$13,Отчетность_по_периодам!$F41:$CK41)</f>
        <v>-12880368.023436259</v>
      </c>
      <c r="H24" s="49">
        <f ca="1">SUMIF(Отчетность_по_периодам!$F$19:$CK$19,Отчетность_по_годам!H$13,Отчетность_по_периодам!$F41:$CK41)</f>
        <v>-17877963.656467658</v>
      </c>
      <c r="I24" s="49">
        <f ca="1">SUMIF(Отчетность_по_периодам!$F$19:$CK$19,Отчетность_по_годам!I$13,Отчетность_по_периодам!$F41:$CK41)</f>
        <v>-18718227.948321618</v>
      </c>
      <c r="J24" s="49">
        <f ca="1">SUMIF(Отчетность_по_периодам!$F$19:$CK$19,Отчетность_по_годам!J$13,Отчетность_по_периодам!$F41:$CK41)</f>
        <v>-19597984.66189272</v>
      </c>
      <c r="K24" s="49">
        <f ca="1">SUMIF(Отчетность_по_периодам!$F$19:$CK$19,Отчетность_по_годам!K$13,Отчетность_по_периодам!$F41:$CK41)</f>
        <v>-20520055.775934979</v>
      </c>
      <c r="L24" s="49">
        <f ca="1">SUMIF(Отчетность_по_периодам!$F$19:$CK$19,Отчетность_по_годам!L$13,Отчетность_по_периодам!$F41:$CK41)</f>
        <v>-21483487.168228723</v>
      </c>
      <c r="M24" s="49">
        <f ca="1">SUMIF(Отчетность_по_периодам!$F$19:$CK$19,Отчетность_по_годам!M$13,Отчетность_по_периодам!$F41:$CK41)</f>
        <v>-5526791.7263847869</v>
      </c>
    </row>
    <row r="25" spans="2:13">
      <c r="B25" s="86" t="str">
        <v>Заработная плата</v>
      </c>
      <c r="C25" s="46"/>
      <c r="D25" s="48">
        <f t="shared" ref="D25:D28" ca="1" si="6">SUM(F25:M25)</f>
        <v>-819489962.40671158</v>
      </c>
      <c r="E25" s="49"/>
      <c r="F25" s="49">
        <f ca="1">SUMIF(Отчетность_по_периодам!$F$19:$CK$19,Отчетность_по_годам!F$13,Отчетность_по_периодам!$F42:$CK42)</f>
        <v>0</v>
      </c>
      <c r="G25" s="49">
        <f ca="1">SUMIF(Отчетность_по_периодам!$F$19:$CK$19,Отчетность_по_годам!G$13,Отчетность_по_периодам!$F42:$CK42)</f>
        <v>-81851505.657238409</v>
      </c>
      <c r="H25" s="49">
        <f ca="1">SUMIF(Отчетность_по_периодам!$F$19:$CK$19,Отчетность_по_годам!H$13,Отчетность_по_периодам!$F42:$CK42)</f>
        <v>-125626524.74083351</v>
      </c>
      <c r="I25" s="49">
        <f ca="1">SUMIF(Отчетность_по_периодам!$F$19:$CK$19,Отчетность_по_годам!I$13,Отчетность_по_периодам!$F42:$CK42)</f>
        <v>-134962439.8004038</v>
      </c>
      <c r="J25" s="49">
        <f ca="1">SUMIF(Отчетность_по_периодам!$F$19:$CK$19,Отчетность_по_годам!J$13,Отчетность_по_периодам!$F42:$CK42)</f>
        <v>-140360937.3924199</v>
      </c>
      <c r="K25" s="49">
        <f ca="1">SUMIF(Отчетность_по_периодам!$F$19:$CK$19,Отчетность_по_годам!K$13,Отчетность_по_периодам!$F42:$CK42)</f>
        <v>-145981247.1575543</v>
      </c>
      <c r="L25" s="49">
        <f ca="1">SUMIF(Отчетность_по_периодам!$F$19:$CK$19,Отчетность_по_годам!L$13,Отчетность_по_периодам!$F42:$CK42)</f>
        <v>-151814389.88364124</v>
      </c>
      <c r="M25" s="49">
        <f ca="1">SUMIF(Отчетность_по_периодам!$F$19:$CK$19,Отчетность_по_годам!M$13,Отчетность_по_периодам!$F42:$CK42)</f>
        <v>-38892917.774620466</v>
      </c>
    </row>
    <row r="26" spans="2:13">
      <c r="B26" s="86" t="str">
        <v>Страховые взносы</v>
      </c>
      <c r="C26" s="46"/>
      <c r="D26" s="48">
        <f t="shared" ca="1" si="6"/>
        <v>-245846988.72201347</v>
      </c>
      <c r="E26" s="49"/>
      <c r="F26" s="49">
        <f ca="1">SUMIF(Отчетность_по_периодам!$F$19:$CK$19,Отчетность_по_годам!F$13,Отчетность_по_периодам!$F43:$CK43)</f>
        <v>0</v>
      </c>
      <c r="G26" s="49">
        <f ca="1">SUMIF(Отчетность_по_периодам!$F$19:$CK$19,Отчетность_по_годам!G$13,Отчетность_по_периодам!$F43:$CK43)</f>
        <v>-24555451.697171524</v>
      </c>
      <c r="H26" s="49">
        <f ca="1">SUMIF(Отчетность_по_периодам!$F$19:$CK$19,Отчетность_по_годам!H$13,Отчетность_по_периодам!$F43:$CK43)</f>
        <v>-37687957.422250055</v>
      </c>
      <c r="I26" s="49">
        <f ca="1">SUMIF(Отчетность_по_периодам!$F$19:$CK$19,Отчетность_по_годам!I$13,Отчетность_по_периодам!$F43:$CK43)</f>
        <v>-40488731.940121137</v>
      </c>
      <c r="J26" s="49">
        <f ca="1">SUMIF(Отчетность_по_периодам!$F$19:$CK$19,Отчетность_по_годам!J$13,Отчетность_по_периодам!$F43:$CK43)</f>
        <v>-42108281.217725977</v>
      </c>
      <c r="K26" s="49">
        <f ca="1">SUMIF(Отчетность_по_периодам!$F$19:$CK$19,Отчетность_по_годам!K$13,Отчетность_по_периодам!$F43:$CK43)</f>
        <v>-43794374.147266284</v>
      </c>
      <c r="L26" s="49">
        <f ca="1">SUMIF(Отчетность_по_периодам!$F$19:$CK$19,Отчетность_по_годам!L$13,Отчетность_по_периодам!$F43:$CK43)</f>
        <v>-45544316.965092376</v>
      </c>
      <c r="M26" s="49">
        <f ca="1">SUMIF(Отчетность_по_периодам!$F$19:$CK$19,Отчетность_по_годам!M$13,Отчетность_по_периодам!$F43:$CK43)</f>
        <v>-11667875.33238614</v>
      </c>
    </row>
    <row r="27" spans="2:13" ht="15.75" thickBot="1">
      <c r="B27" s="86" t="str">
        <v>Налог на имущество</v>
      </c>
      <c r="C27" s="46"/>
      <c r="D27" s="48">
        <f t="shared" ca="1" si="6"/>
        <v>-16467857.14285714</v>
      </c>
      <c r="E27" s="49"/>
      <c r="F27" s="49">
        <f ca="1">SUMIF(Отчетность_по_периодам!$F$19:$CK$19,Отчетность_по_годам!F$13,Отчетность_по_периодам!$F44:$CK44)</f>
        <v>0</v>
      </c>
      <c r="G27" s="49">
        <f ca="1">SUMIF(Отчетность_по_периодам!$F$19:$CK$19,Отчетность_по_годам!G$13,Отчетность_по_периодам!$F44:$CK44)</f>
        <v>-16467857.14285714</v>
      </c>
      <c r="H27" s="49">
        <f ca="1">SUMIF(Отчетность_по_периодам!$F$19:$CK$19,Отчетность_по_годам!H$13,Отчетность_по_периодам!$F44:$CK44)</f>
        <v>0</v>
      </c>
      <c r="I27" s="49">
        <f ca="1">SUMIF(Отчетность_по_периодам!$F$19:$CK$19,Отчетность_по_годам!I$13,Отчетность_по_периодам!$F44:$CK44)</f>
        <v>0</v>
      </c>
      <c r="J27" s="49">
        <f ca="1">SUMIF(Отчетность_по_периодам!$F$19:$CK$19,Отчетность_по_годам!J$13,Отчетность_по_периодам!$F44:$CK44)</f>
        <v>0</v>
      </c>
      <c r="K27" s="49">
        <f ca="1">SUMIF(Отчетность_по_периодам!$F$19:$CK$19,Отчетность_по_годам!K$13,Отчетность_по_периодам!$F44:$CK44)</f>
        <v>0</v>
      </c>
      <c r="L27" s="49">
        <f ca="1">SUMIF(Отчетность_по_периодам!$F$19:$CK$19,Отчетность_по_годам!L$13,Отчетность_по_периодам!$F44:$CK44)</f>
        <v>0</v>
      </c>
      <c r="M27" s="49">
        <f ca="1">SUMIF(Отчетность_по_периодам!$F$19:$CK$19,Отчетность_по_годам!M$13,Отчетность_по_периодам!$F44:$CK44)</f>
        <v>0</v>
      </c>
    </row>
    <row r="28" spans="2:13" ht="15.75" thickTop="1">
      <c r="B28" s="50" t="str">
        <v>EBITDA</v>
      </c>
      <c r="C28" s="51"/>
      <c r="D28" s="53">
        <f t="shared" ca="1" si="6"/>
        <v>5366621073.6345043</v>
      </c>
      <c r="E28" s="54"/>
      <c r="F28" s="54">
        <f ca="1">SUM(F21,F24:F27)</f>
        <v>0</v>
      </c>
      <c r="G28" s="54">
        <f t="shared" ref="G28:M28" ca="1" si="7">SUM(G21,G24:G27)</f>
        <v>166268456.91337466</v>
      </c>
      <c r="H28" s="54">
        <f t="shared" ca="1" si="7"/>
        <v>359741883.46730483</v>
      </c>
      <c r="I28" s="54">
        <f t="shared" ca="1" si="7"/>
        <v>805243695.36065781</v>
      </c>
      <c r="J28" s="54">
        <f t="shared" ca="1" si="7"/>
        <v>1166020212.3616276</v>
      </c>
      <c r="K28" s="54">
        <f t="shared" ca="1" si="7"/>
        <v>1236467399.9435043</v>
      </c>
      <c r="L28" s="54">
        <f t="shared" ca="1" si="7"/>
        <v>1298284773.5583918</v>
      </c>
      <c r="M28" s="54">
        <f t="shared" ca="1" si="7"/>
        <v>334594652.02964348</v>
      </c>
    </row>
    <row r="29" spans="2:13" ht="15.75" thickBot="1">
      <c r="B29" s="88" t="str">
        <v>EBITDA к выручке</v>
      </c>
      <c r="C29" s="89"/>
      <c r="D29" s="90">
        <f ca="1">IFERROR(D28/D$18,"неприменимо")</f>
        <v>0.4652495884505205</v>
      </c>
      <c r="E29" s="91"/>
      <c r="F29" s="91" t="str">
        <f ca="1">IFERROR(F28/F$18,"неприменимо")</f>
        <v>неприменимо</v>
      </c>
      <c r="G29" s="91">
        <f t="shared" ref="G29:M29" ca="1" si="8">IFERROR(G28/G$18,"неприменимо")</f>
        <v>0.23632249222540358</v>
      </c>
      <c r="H29" s="91">
        <f t="shared" ca="1" si="8"/>
        <v>0.30859795714728716</v>
      </c>
      <c r="I29" s="91">
        <f t="shared" ca="1" si="8"/>
        <v>0.43932872264012046</v>
      </c>
      <c r="J29" s="91">
        <f t="shared" ca="1" si="8"/>
        <v>0.51354313410439467</v>
      </c>
      <c r="K29" s="91">
        <f t="shared" ca="1" si="8"/>
        <v>0.51585112120534204</v>
      </c>
      <c r="L29" s="91">
        <f t="shared" ca="1" si="8"/>
        <v>0.51587452338495643</v>
      </c>
      <c r="M29" s="91">
        <f t="shared" ca="1" si="8"/>
        <v>0.51588503782154838</v>
      </c>
    </row>
    <row r="30" spans="2:13" ht="15.75" thickTop="1">
      <c r="B30" s="93">
        <v>0</v>
      </c>
      <c r="C30" s="94"/>
      <c r="D30" s="14"/>
      <c r="E30" s="14"/>
      <c r="F30" s="95"/>
      <c r="G30" s="95"/>
      <c r="H30" s="95"/>
      <c r="I30" s="95"/>
      <c r="J30" s="95"/>
      <c r="K30" s="14"/>
      <c r="L30" s="14"/>
      <c r="M30" s="14"/>
    </row>
    <row r="31" spans="2:13" ht="15.75" thickBot="1">
      <c r="B31" s="86" t="str">
        <v>Амортизация</v>
      </c>
      <c r="C31" s="46"/>
      <c r="D31" s="48">
        <f ca="1">SUM(F31:M31)</f>
        <v>-903896103.89610386</v>
      </c>
      <c r="E31" s="49"/>
      <c r="F31" s="49">
        <f ca="1">SUMIF(Отчетность_по_периодам!$F$19:$CK$19,Отчетность_по_годам!F$13,Отчетность_по_периодам!$F48:$CK48)</f>
        <v>0</v>
      </c>
      <c r="G31" s="49">
        <f ca="1">SUMIF(Отчетность_по_периодам!$F$19:$CK$19,Отчетность_по_годам!G$13,Отчетность_по_периодам!$F48:$CK48)</f>
        <v>-112987012.98701298</v>
      </c>
      <c r="H31" s="49">
        <f ca="1">SUMIF(Отчетность_по_периодам!$F$19:$CK$19,Отчетность_по_годам!H$13,Отчетность_по_периодам!$F48:$CK48)</f>
        <v>-150649350.64935064</v>
      </c>
      <c r="I31" s="49">
        <f ca="1">SUMIF(Отчетность_по_периодам!$F$19:$CK$19,Отчетность_по_годам!I$13,Отчетность_по_периодам!$F48:$CK48)</f>
        <v>-150649350.64935064</v>
      </c>
      <c r="J31" s="49">
        <f ca="1">SUMIF(Отчетность_по_периодам!$F$19:$CK$19,Отчетность_по_годам!J$13,Отчетность_по_периодам!$F48:$CK48)</f>
        <v>-150649350.64935064</v>
      </c>
      <c r="K31" s="49">
        <f ca="1">SUMIF(Отчетность_по_периодам!$F$19:$CK$19,Отчетность_по_годам!K$13,Отчетность_по_периодам!$F48:$CK48)</f>
        <v>-150649350.64935064</v>
      </c>
      <c r="L31" s="49">
        <f ca="1">SUMIF(Отчетность_по_периодам!$F$19:$CK$19,Отчетность_по_годам!L$13,Отчетность_по_периодам!$F48:$CK48)</f>
        <v>-150649350.64935064</v>
      </c>
      <c r="M31" s="49">
        <f ca="1">SUMIF(Отчетность_по_периодам!$F$19:$CK$19,Отчетность_по_годам!M$13,Отчетность_по_периодам!$F48:$CK48)</f>
        <v>-37662337.662337661</v>
      </c>
    </row>
    <row r="32" spans="2:13" ht="15.75" thickTop="1">
      <c r="B32" s="50" t="str">
        <v>EBIT</v>
      </c>
      <c r="C32" s="51"/>
      <c r="D32" s="53">
        <f ca="1">SUM(F32:M32)</f>
        <v>4462724969.7384005</v>
      </c>
      <c r="E32" s="54"/>
      <c r="F32" s="54">
        <f ca="1">SUM(F28,F31)</f>
        <v>0</v>
      </c>
      <c r="G32" s="54">
        <f t="shared" ref="G32:M32" ca="1" si="9">SUM(G28,G31)</f>
        <v>53281443.92636168</v>
      </c>
      <c r="H32" s="54">
        <f t="shared" ca="1" si="9"/>
        <v>209092532.81795418</v>
      </c>
      <c r="I32" s="54">
        <f t="shared" ca="1" si="9"/>
        <v>654594344.71130717</v>
      </c>
      <c r="J32" s="54">
        <f t="shared" ca="1" si="9"/>
        <v>1015370861.7122769</v>
      </c>
      <c r="K32" s="54">
        <f t="shared" ca="1" si="9"/>
        <v>1085818049.2941537</v>
      </c>
      <c r="L32" s="54">
        <f t="shared" ca="1" si="9"/>
        <v>1147635422.9090412</v>
      </c>
      <c r="M32" s="54">
        <f t="shared" ca="1" si="9"/>
        <v>296932314.36730582</v>
      </c>
    </row>
    <row r="33" spans="2:13" ht="15.75" thickBot="1">
      <c r="B33" s="88" t="str">
        <v>EBIT к выручке</v>
      </c>
      <c r="C33" s="89"/>
      <c r="D33" s="90">
        <f ca="1">IFERROR(D32/D$18,"неприменимо")</f>
        <v>0.38688793694400087</v>
      </c>
      <c r="E33" s="91"/>
      <c r="F33" s="91" t="str">
        <f ca="1">IFERROR(F32/F$18,"неприменимо")</f>
        <v>неприменимо</v>
      </c>
      <c r="G33" s="91">
        <f t="shared" ref="G33:M33" ca="1" si="10">IFERROR(G32/G$18,"неприменимо")</f>
        <v>7.5730561597778412E-2</v>
      </c>
      <c r="H33" s="91">
        <f t="shared" ca="1" si="10"/>
        <v>0.1793661829433246</v>
      </c>
      <c r="I33" s="91">
        <f t="shared" ca="1" si="10"/>
        <v>0.35713672639269917</v>
      </c>
      <c r="J33" s="91">
        <f t="shared" ca="1" si="10"/>
        <v>0.44719356412004035</v>
      </c>
      <c r="K33" s="91">
        <f t="shared" ca="1" si="10"/>
        <v>0.45300058713960362</v>
      </c>
      <c r="L33" s="91">
        <f t="shared" ca="1" si="10"/>
        <v>0.45601387990573017</v>
      </c>
      <c r="M33" s="91">
        <f t="shared" ca="1" si="10"/>
        <v>0.45781645731219334</v>
      </c>
    </row>
    <row r="34" spans="2:13" ht="15.75" thickTop="1">
      <c r="B34" s="93">
        <v>0</v>
      </c>
      <c r="C34" s="94"/>
      <c r="D34" s="14"/>
      <c r="E34" s="14"/>
      <c r="F34" s="95"/>
      <c r="G34" s="95"/>
      <c r="H34" s="95"/>
      <c r="I34" s="95"/>
      <c r="J34" s="95"/>
      <c r="K34" s="14"/>
      <c r="L34" s="14"/>
      <c r="M34" s="14"/>
    </row>
    <row r="35" spans="2:13" ht="15.75" thickBot="1">
      <c r="B35" s="86" t="str">
        <v>Обслуживание долга</v>
      </c>
      <c r="C35" s="46"/>
      <c r="D35" s="48">
        <f>SUM(F35:M35)</f>
        <v>-267718562.89499864</v>
      </c>
      <c r="E35" s="49"/>
      <c r="F35" s="49">
        <f>SUMIF(Отчетность_по_периодам!$F$19:$CK$19,Отчетность_по_годам!F$13,Отчетность_по_периодам!$F52:$CK52)</f>
        <v>-20901123.287671231</v>
      </c>
      <c r="G35" s="49">
        <f>SUMIF(Отчетность_по_периодам!$F$19:$CK$19,Отчетность_по_годам!G$13,Отчетность_по_периодам!$F52:$CK52)</f>
        <v>-74585956.284153</v>
      </c>
      <c r="H35" s="49">
        <f>SUMIF(Отчетность_по_периодам!$F$19:$CK$19,Отчетность_по_годам!H$13,Отчетность_по_периодам!$F52:$CK52)</f>
        <v>-66549021.526418798</v>
      </c>
      <c r="I35" s="49">
        <f>SUMIF(Отчетность_по_периодам!$F$19:$CK$19,Отчетность_по_годам!I$13,Отчетность_по_периодам!$F52:$CK52)</f>
        <v>-50007925.636007845</v>
      </c>
      <c r="J35" s="49">
        <f>SUMIF(Отчетность_по_периодам!$F$19:$CK$19,Отчетность_по_годам!J$13,Отчетность_по_периодам!$F52:$CK52)</f>
        <v>-33079354.207436424</v>
      </c>
      <c r="K35" s="49">
        <f>SUMIF(Отчетность_по_периодам!$F$19:$CK$19,Отчетность_по_годам!K$13,Отчетность_по_периодам!$F52:$CK52)</f>
        <v>-16365729.898516797</v>
      </c>
      <c r="L35" s="49">
        <f>SUMIF(Отчетность_по_периодам!$F$19:$CK$19,Отчетность_по_годам!L$13,Отчетность_по_периодам!$F52:$CK52)</f>
        <v>-5921232.8767123464</v>
      </c>
      <c r="M35" s="49">
        <f>SUMIF(Отчетность_по_периодам!$F$19:$CK$19,Отчетность_по_годам!M$13,Отчетность_по_периодам!$F52:$CK52)</f>
        <v>-308219.17808219575</v>
      </c>
    </row>
    <row r="36" spans="2:13" ht="15.75" thickTop="1">
      <c r="B36" s="50" t="str">
        <v>Прибыль до налогообложения</v>
      </c>
      <c r="C36" s="51"/>
      <c r="D36" s="53">
        <f ca="1">SUM(F36:M36)</f>
        <v>4195006406.8434024</v>
      </c>
      <c r="E36" s="54"/>
      <c r="F36" s="54">
        <f ca="1">SUM(F32,F35)</f>
        <v>-20901123.287671231</v>
      </c>
      <c r="G36" s="54">
        <f t="shared" ref="G36:M36" ca="1" si="11">SUM(G32,G35)</f>
        <v>-21304512.357791319</v>
      </c>
      <c r="H36" s="54">
        <f t="shared" ca="1" si="11"/>
        <v>142543511.29153538</v>
      </c>
      <c r="I36" s="54">
        <f t="shared" ca="1" si="11"/>
        <v>604586419.07529926</v>
      </c>
      <c r="J36" s="54">
        <f t="shared" ca="1" si="11"/>
        <v>982291507.50484049</v>
      </c>
      <c r="K36" s="54">
        <f t="shared" ca="1" si="11"/>
        <v>1069452319.3956369</v>
      </c>
      <c r="L36" s="54">
        <f t="shared" ca="1" si="11"/>
        <v>1141714190.0323288</v>
      </c>
      <c r="M36" s="54">
        <f t="shared" ca="1" si="11"/>
        <v>296624095.18922365</v>
      </c>
    </row>
    <row r="37" spans="2:13" ht="15.75" thickBot="1">
      <c r="B37" s="88" t="str">
        <v>Прибыль до налогообложения к выручке</v>
      </c>
      <c r="C37" s="89"/>
      <c r="D37" s="90">
        <f ca="1">IFERROR(D36/D$18,"неприменимо")</f>
        <v>0.36367855631167162</v>
      </c>
      <c r="E37" s="91"/>
      <c r="F37" s="91" t="str">
        <f ca="1">IFERROR(F36/F$18,"неприменимо")</f>
        <v>неприменимо</v>
      </c>
      <c r="G37" s="91">
        <f t="shared" ref="G37:M37" ca="1" si="12">IFERROR(G36/G$18,"неприменимо")</f>
        <v>-3.0280761303169094E-2</v>
      </c>
      <c r="H37" s="91">
        <f t="shared" ca="1" si="12"/>
        <v>0.12227832902077689</v>
      </c>
      <c r="I37" s="91">
        <f t="shared" ca="1" si="12"/>
        <v>0.32985316215229932</v>
      </c>
      <c r="J37" s="91">
        <f t="shared" ca="1" si="12"/>
        <v>0.43262462693203924</v>
      </c>
      <c r="K37" s="91">
        <f t="shared" ca="1" si="12"/>
        <v>0.44617284536664675</v>
      </c>
      <c r="L37" s="91">
        <f t="shared" ca="1" si="12"/>
        <v>0.45366107314843213</v>
      </c>
      <c r="M37" s="91">
        <f t="shared" ca="1" si="12"/>
        <v>0.45734123853216285</v>
      </c>
    </row>
    <row r="38" spans="2:13" ht="15.75" thickTop="1">
      <c r="B38" s="93">
        <v>0</v>
      </c>
      <c r="C38" s="94"/>
      <c r="D38" s="14"/>
      <c r="E38" s="14"/>
      <c r="F38" s="95"/>
      <c r="G38" s="95"/>
      <c r="H38" s="95"/>
      <c r="I38" s="95"/>
      <c r="J38" s="95"/>
      <c r="K38" s="14"/>
      <c r="L38" s="14"/>
      <c r="M38" s="14"/>
    </row>
    <row r="39" spans="2:13">
      <c r="B39" s="86" t="str">
        <v>Налог на прибыль</v>
      </c>
      <c r="C39" s="46"/>
      <c r="D39" s="48">
        <f ca="1">SUM(F39:M39)</f>
        <v>0</v>
      </c>
      <c r="E39" s="49"/>
      <c r="F39" s="49">
        <f ca="1">SUMIF(Отчетность_по_периодам!$F$19:$CK$19,Отчетность_по_годам!F$13,Отчетность_по_периодам!$F56:$CK56)</f>
        <v>0</v>
      </c>
      <c r="G39" s="49">
        <f ca="1">SUMIF(Отчетность_по_периодам!$F$19:$CK$19,Отчетность_по_годам!G$13,Отчетность_по_периодам!$F56:$CK56)</f>
        <v>0</v>
      </c>
      <c r="H39" s="49">
        <f ca="1">SUMIF(Отчетность_по_периодам!$F$19:$CK$19,Отчетность_по_годам!H$13,Отчетность_по_периодам!$F56:$CK56)</f>
        <v>0</v>
      </c>
      <c r="I39" s="49">
        <f ca="1">SUMIF(Отчетность_по_периодам!$F$19:$CK$19,Отчетность_по_годам!I$13,Отчетность_по_периодам!$F56:$CK56)</f>
        <v>0</v>
      </c>
      <c r="J39" s="49">
        <f ca="1">SUMIF(Отчетность_по_периодам!$F$19:$CK$19,Отчетность_по_годам!J$13,Отчетность_по_периодам!$F56:$CK56)</f>
        <v>0</v>
      </c>
      <c r="K39" s="49">
        <f ca="1">SUMIF(Отчетность_по_периодам!$F$19:$CK$19,Отчетность_по_годам!K$13,Отчетность_по_периодам!$F56:$CK56)</f>
        <v>0</v>
      </c>
      <c r="L39" s="49">
        <f ca="1">SUMIF(Отчетность_по_периодам!$F$19:$CK$19,Отчетность_по_годам!L$13,Отчетность_по_периодам!$F56:$CK56)</f>
        <v>0</v>
      </c>
      <c r="M39" s="49">
        <f ca="1">SUMIF(Отчетность_по_периодам!$F$19:$CK$19,Отчетность_по_годам!M$13,Отчетность_по_периодам!$F56:$CK56)</f>
        <v>0</v>
      </c>
    </row>
    <row r="40" spans="2:13" ht="15.75" thickBot="1">
      <c r="B40" s="86" t="str">
        <v>Единый сельхоз налог</v>
      </c>
      <c r="C40" s="46"/>
      <c r="D40" s="48">
        <f ca="1">SUM(F40:M40)</f>
        <v>-233902938.69925067</v>
      </c>
      <c r="E40" s="49"/>
      <c r="F40" s="49">
        <f ca="1">SUMIF(Отчетность_по_периодам!$F$19:$CK$19,Отчетность_по_годам!F$13,Отчетность_по_периодам!$F57:$CK57)</f>
        <v>0</v>
      </c>
      <c r="G40" s="49">
        <f ca="1">SUMIF(Отчетность_по_периодам!$F$19:$CK$19,Отчетность_по_годам!G$13,Отчетность_по_периодам!$F57:$CK57)</f>
        <v>0</v>
      </c>
      <c r="H40" s="49">
        <f ca="1">SUMIF(Отчетность_по_периодам!$F$19:$CK$19,Отчетность_по_годам!H$13,Отчетность_по_периодам!$F57:$CK57)</f>
        <v>-6020272.5387643678</v>
      </c>
      <c r="I40" s="49">
        <f ca="1">SUMIF(Отчетность_по_периодам!$F$19:$CK$19,Отчетность_по_годам!I$13,Отчетность_по_периодам!$F57:$CK57)</f>
        <v>-36275185.144517958</v>
      </c>
      <c r="J40" s="49">
        <f ca="1">SUMIF(Отчетность_по_периодам!$F$19:$CK$19,Отчетность_по_годам!J$13,Отчетность_по_периодам!$F57:$CK57)</f>
        <v>-58937490.450290404</v>
      </c>
      <c r="K40" s="49">
        <f ca="1">SUMIF(Отчетность_по_периодам!$F$19:$CK$19,Отчетность_по_годам!K$13,Отчетность_по_периодам!$F57:$CK57)</f>
        <v>-64167139.163738221</v>
      </c>
      <c r="L40" s="49">
        <f ca="1">SUMIF(Отчетность_по_периодам!$F$19:$CK$19,Отчетность_по_годам!L$13,Отчетность_по_периодам!$F57:$CK57)</f>
        <v>-68502851.40193972</v>
      </c>
      <c r="M40" s="49">
        <f ca="1">SUMIF(Отчетность_по_периодам!$F$19:$CK$19,Отчетность_по_годам!M$13,Отчетность_по_периодам!$F57:$CK57)</f>
        <v>0</v>
      </c>
    </row>
    <row r="41" spans="2:13" ht="15.75" thickTop="1">
      <c r="B41" s="50" t="str">
        <v>Чистая прибыль</v>
      </c>
      <c r="C41" s="51"/>
      <c r="D41" s="53">
        <f ca="1">SUM(F41:M41)</f>
        <v>3961103468.1441517</v>
      </c>
      <c r="E41" s="54"/>
      <c r="F41" s="54">
        <f ca="1">SUM(F36,F39,F40)</f>
        <v>-20901123.287671231</v>
      </c>
      <c r="G41" s="54">
        <f t="shared" ref="G41:M41" ca="1" si="13">SUM(G36,G39,G40)</f>
        <v>-21304512.357791319</v>
      </c>
      <c r="H41" s="54">
        <f t="shared" ca="1" si="13"/>
        <v>136523238.75277102</v>
      </c>
      <c r="I41" s="54">
        <f t="shared" ca="1" si="13"/>
        <v>568311233.93078136</v>
      </c>
      <c r="J41" s="54">
        <f t="shared" ca="1" si="13"/>
        <v>923354017.05455005</v>
      </c>
      <c r="K41" s="54">
        <f t="shared" ca="1" si="13"/>
        <v>1005285180.2318987</v>
      </c>
      <c r="L41" s="54">
        <f t="shared" ca="1" si="13"/>
        <v>1073211338.6303891</v>
      </c>
      <c r="M41" s="54">
        <f t="shared" ca="1" si="13"/>
        <v>296624095.18922365</v>
      </c>
    </row>
    <row r="42" spans="2:13" ht="15.75" thickBot="1">
      <c r="B42" s="88" t="str">
        <v>Чистая прибыль к выручке</v>
      </c>
      <c r="C42" s="89"/>
      <c r="D42" s="90">
        <f ca="1">IFERROR(D41/D$18,"неприменимо")</f>
        <v>0.34340076056756219</v>
      </c>
      <c r="E42" s="91"/>
      <c r="F42" s="91" t="str">
        <f ca="1">IFERROR(F41/F$18,"неприменимо")</f>
        <v>неприменимо</v>
      </c>
      <c r="G42" s="91">
        <f t="shared" ref="G42:M42" ca="1" si="14">IFERROR(G41/G$18,"неприменимо")</f>
        <v>-3.0280761303169094E-2</v>
      </c>
      <c r="H42" s="91">
        <f t="shared" ca="1" si="14"/>
        <v>0.11711394896854023</v>
      </c>
      <c r="I42" s="91">
        <f t="shared" ca="1" si="14"/>
        <v>0.31006197242316136</v>
      </c>
      <c r="J42" s="91">
        <f t="shared" ca="1" si="14"/>
        <v>0.40666714931611686</v>
      </c>
      <c r="K42" s="91">
        <f t="shared" ca="1" si="14"/>
        <v>0.41940247464464792</v>
      </c>
      <c r="L42" s="91">
        <f t="shared" ca="1" si="14"/>
        <v>0.42644140875952624</v>
      </c>
      <c r="M42" s="91">
        <f t="shared" ca="1" si="14"/>
        <v>0.45734123853216285</v>
      </c>
    </row>
    <row r="43" spans="2:13" ht="15.75" thickTop="1">
      <c r="B43" s="14"/>
      <c r="C43" s="14"/>
      <c r="D43" s="14"/>
      <c r="E43" s="14"/>
      <c r="F43" s="95"/>
      <c r="G43" s="95"/>
      <c r="H43" s="95"/>
      <c r="I43" s="95"/>
      <c r="J43" s="95"/>
      <c r="K43" s="14"/>
      <c r="L43" s="14"/>
      <c r="M43" s="14"/>
    </row>
    <row r="44" spans="2:13" ht="15.75" thickBot="1">
      <c r="B44" s="96" t="s">
        <v>130</v>
      </c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</row>
    <row r="45" spans="2:13">
      <c r="B45" s="14"/>
      <c r="C45" s="14"/>
      <c r="D45" s="14"/>
      <c r="E45" s="14"/>
      <c r="F45" s="95"/>
      <c r="G45" s="95"/>
      <c r="H45" s="95"/>
      <c r="I45" s="95"/>
      <c r="J45" s="95"/>
      <c r="K45" s="14"/>
      <c r="L45" s="14"/>
      <c r="M45" s="14"/>
    </row>
    <row r="46" spans="2:13">
      <c r="B46" s="77" t="s">
        <v>97</v>
      </c>
      <c r="C46" s="78"/>
      <c r="D46" s="98">
        <v>0</v>
      </c>
      <c r="E46" s="79"/>
      <c r="F46" s="80">
        <f>E48</f>
        <v>0</v>
      </c>
      <c r="G46" s="80">
        <f ca="1">F48</f>
        <v>-20901123.287671231</v>
      </c>
      <c r="H46" s="80">
        <f ca="1">G48</f>
        <v>-42205635.64546255</v>
      </c>
      <c r="I46" s="80">
        <f ca="1">H48</f>
        <v>94317603.107308477</v>
      </c>
      <c r="J46" s="80">
        <f ca="1">I48</f>
        <v>662628837.03808987</v>
      </c>
      <c r="K46" s="80">
        <f t="shared" ref="K46:M46" ca="1" si="15">J48</f>
        <v>1585982854.0926399</v>
      </c>
      <c r="L46" s="80">
        <f t="shared" ca="1" si="15"/>
        <v>2591268034.3245387</v>
      </c>
      <c r="M46" s="80">
        <f t="shared" ca="1" si="15"/>
        <v>3664479372.9549279</v>
      </c>
    </row>
    <row r="47" spans="2:13" ht="15.75" thickBot="1">
      <c r="B47" s="45" t="s">
        <v>129</v>
      </c>
      <c r="C47" s="46"/>
      <c r="D47" s="98">
        <f ca="1">SUM(F47:M47)</f>
        <v>3961103468.1441517</v>
      </c>
      <c r="E47" s="48"/>
      <c r="F47" s="49">
        <f ca="1">F41</f>
        <v>-20901123.287671231</v>
      </c>
      <c r="G47" s="49">
        <f ca="1">G41</f>
        <v>-21304512.357791319</v>
      </c>
      <c r="H47" s="49">
        <f ca="1">H41</f>
        <v>136523238.75277102</v>
      </c>
      <c r="I47" s="49">
        <f ca="1">I41</f>
        <v>568311233.93078136</v>
      </c>
      <c r="J47" s="49">
        <f ca="1">J41</f>
        <v>923354017.05455005</v>
      </c>
      <c r="K47" s="49">
        <f t="shared" ref="K47:M47" ca="1" si="16">K41</f>
        <v>1005285180.2318987</v>
      </c>
      <c r="L47" s="49">
        <f t="shared" ca="1" si="16"/>
        <v>1073211338.6303891</v>
      </c>
      <c r="M47" s="49">
        <f t="shared" ca="1" si="16"/>
        <v>296624095.18922365</v>
      </c>
    </row>
    <row r="48" spans="2:13" ht="15.75" thickTop="1">
      <c r="B48" s="50" t="s">
        <v>99</v>
      </c>
      <c r="C48" s="51"/>
      <c r="D48" s="52">
        <f ca="1">SUM(D46:D47)</f>
        <v>3961103468.1441517</v>
      </c>
      <c r="E48" s="53"/>
      <c r="F48" s="54">
        <f ca="1">SUM(F46:F47)</f>
        <v>-20901123.287671231</v>
      </c>
      <c r="G48" s="54">
        <f ca="1">SUM(G46:G47)</f>
        <v>-42205635.64546255</v>
      </c>
      <c r="H48" s="54">
        <f ca="1">SUM(H46:H47)</f>
        <v>94317603.107308477</v>
      </c>
      <c r="I48" s="54">
        <f ca="1">SUM(I46:I47)</f>
        <v>662628837.03808987</v>
      </c>
      <c r="J48" s="54">
        <f ca="1">SUM(J46:J47)</f>
        <v>1585982854.0926399</v>
      </c>
      <c r="K48" s="54">
        <f t="shared" ref="K48:M48" ca="1" si="17">SUM(K46:K47)</f>
        <v>2591268034.3245387</v>
      </c>
      <c r="L48" s="54">
        <f t="shared" ca="1" si="17"/>
        <v>3664479372.9549279</v>
      </c>
      <c r="M48" s="54">
        <f t="shared" ca="1" si="17"/>
        <v>3961103468.1441517</v>
      </c>
    </row>
    <row r="49" spans="2:13">
      <c r="B49" s="14"/>
      <c r="C49" s="14"/>
      <c r="D49" s="14"/>
      <c r="E49" s="14"/>
      <c r="F49" s="14"/>
      <c r="G49" s="95"/>
      <c r="H49" s="95"/>
      <c r="I49" s="95"/>
      <c r="J49" s="95"/>
      <c r="K49" s="14"/>
      <c r="L49" s="14"/>
      <c r="M49" s="14"/>
    </row>
    <row r="50" spans="2:13" ht="15.75" thickBot="1">
      <c r="B50" s="96" t="s">
        <v>580</v>
      </c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</row>
    <row r="51" spans="2:13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</row>
    <row r="52" spans="2:13">
      <c r="B52" s="32" t="s">
        <v>78</v>
      </c>
      <c r="C52" s="33"/>
      <c r="D52" s="33"/>
      <c r="E52" s="34">
        <f ca="1">IF(ROUND(D41,1)=ROUND(Отчетность_по_периодам!D58,1),1,0)</f>
        <v>1</v>
      </c>
      <c r="F52" s="14"/>
      <c r="G52" s="14"/>
      <c r="H52" s="14"/>
      <c r="I52" s="14"/>
      <c r="J52" s="14"/>
      <c r="K52" s="14"/>
      <c r="L52" s="14"/>
      <c r="M52" s="14"/>
    </row>
    <row r="53" spans="2:13">
      <c r="B53" s="14"/>
      <c r="C53" s="14"/>
      <c r="D53" s="14"/>
      <c r="E53" s="14"/>
      <c r="F53" s="95"/>
      <c r="G53" s="95"/>
      <c r="H53" s="95"/>
      <c r="I53" s="95"/>
      <c r="J53" s="95"/>
      <c r="K53" s="14"/>
      <c r="L53" s="14"/>
      <c r="M53" s="14"/>
    </row>
    <row r="54" spans="2:13" ht="20.25" thickBot="1">
      <c r="B54" s="26" t="str">
        <f>"Отчет о движении денежных средств, в "&amp;Ед_измерения_денег</f>
        <v>Отчет о движении денежных средств, в  руб.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2:13" ht="15.75" thickTop="1">
      <c r="B55" s="99"/>
      <c r="C55" s="14"/>
      <c r="D55" s="14"/>
      <c r="E55" s="14"/>
      <c r="F55" s="95"/>
      <c r="G55" s="95"/>
      <c r="H55" s="95"/>
      <c r="I55" s="95"/>
      <c r="J55" s="95"/>
      <c r="K55" s="95"/>
      <c r="L55" s="95"/>
      <c r="M55" s="95"/>
    </row>
    <row r="56" spans="2:13" ht="18" thickBot="1">
      <c r="B56" s="100" t="str">
        <f t="array" ref="B56:B117">Отчетность_по_периодам!B69:B130</f>
        <v>Операционная деятельность</v>
      </c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</row>
    <row r="57" spans="2:13" ht="15.75" thickTop="1">
      <c r="B57" s="102">
        <v>0</v>
      </c>
      <c r="C57" s="14"/>
      <c r="D57" s="14"/>
      <c r="E57" s="14"/>
      <c r="F57" s="14"/>
      <c r="G57" s="14"/>
      <c r="H57" s="14"/>
      <c r="I57" s="14"/>
      <c r="J57" s="14"/>
      <c r="K57" s="95"/>
      <c r="L57" s="95"/>
      <c r="M57" s="95"/>
    </row>
    <row r="58" spans="2:13" ht="15.75" thickBot="1">
      <c r="B58" s="103" t="str">
        <v>Притоки по операционной деятельности</v>
      </c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</row>
    <row r="59" spans="2:13">
      <c r="B59" s="102">
        <v>0</v>
      </c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</row>
    <row r="60" spans="2:13">
      <c r="B60" s="86" t="str">
        <v>Выручка</v>
      </c>
      <c r="C60" s="46"/>
      <c r="D60" s="47">
        <f ca="1">SUM(F60:M60)</f>
        <v>11534929222.630032</v>
      </c>
      <c r="E60" s="48"/>
      <c r="F60" s="49">
        <f ca="1">SUMIF(Отчетность_по_периодам!$F$19:$CK$19,Отчетность_по_годам!F$13,Отчетность_по_периодам!$F73:$CK73)</f>
        <v>0</v>
      </c>
      <c r="G60" s="49">
        <f ca="1">SUMIF(Отчетность_по_периодам!$F$19:$CK$19,Отчетность_по_годам!G$13,Отчетность_по_периодам!$F73:$CK73)</f>
        <v>703565942.23282135</v>
      </c>
      <c r="H60" s="49">
        <f ca="1">SUMIF(Отчетность_по_периодам!$F$19:$CK$19,Отчетность_по_годам!H$13,Отчетность_по_периодам!$F73:$CK73)</f>
        <v>1165729957.4916103</v>
      </c>
      <c r="I60" s="49">
        <f ca="1">SUMIF(Отчетность_по_периодам!$F$19:$CK$19,Отчетность_по_годам!I$13,Отчетность_по_периодам!$F73:$CK73)</f>
        <v>1832895628.8621254</v>
      </c>
      <c r="J60" s="49">
        <f ca="1">SUMIF(Отчетность_по_периодам!$F$19:$CK$19,Отчетность_по_годам!J$13,Отчетность_по_периодам!$F73:$CK73)</f>
        <v>2270539970.1139717</v>
      </c>
      <c r="K60" s="49">
        <f ca="1">SUMIF(Отчетность_по_периодам!$F$19:$CK$19,Отчетность_по_годам!K$13,Отчетность_по_периодам!$F73:$CK73)</f>
        <v>2396946229.4748225</v>
      </c>
      <c r="L60" s="49">
        <f ca="1">SUMIF(Отчетность_по_периодам!$F$19:$CK$19,Отчетность_по_годам!L$13,Отчетность_по_периодам!$F73:$CK73)</f>
        <v>2516667745.1710176</v>
      </c>
      <c r="M60" s="49">
        <f ca="1">SUMIF(Отчетность_по_периодам!$F$19:$CK$19,Отчетность_по_годам!M$13,Отчетность_по_периодам!$F73:$CK73)</f>
        <v>648583749.28366172</v>
      </c>
    </row>
    <row r="61" spans="2:13">
      <c r="B61" s="86" t="str">
        <v>(-)  увеличение дебиторской задолженности</v>
      </c>
      <c r="C61" s="46"/>
      <c r="D61" s="47">
        <f t="shared" ref="D61:D62" si="18">SUM(F61:M61)</f>
        <v>-231066181.44150352</v>
      </c>
      <c r="E61" s="48"/>
      <c r="F61" s="49">
        <f>SUMIF(Отчетность_по_периодам!$F$19:$CK$19,Отчетность_по_годам!F$13,Отчетность_по_периодам!$F74:$CK74)</f>
        <v>0</v>
      </c>
      <c r="G61" s="49">
        <f>SUMIF(Отчетность_по_периодам!$F$19:$CK$19,Отчетность_по_годам!G$13,Отчетность_по_периодам!$F74:$CK74)</f>
        <v>-84582260.383651137</v>
      </c>
      <c r="H61" s="49">
        <f>SUMIF(Отчетность_по_периодам!$F$19:$CK$19,Отчетность_по_годам!H$13,Отчетность_по_периодам!$F74:$CK74)</f>
        <v>-43991684.507617563</v>
      </c>
      <c r="I61" s="49">
        <f>SUMIF(Отчетность_по_периодам!$F$19:$CK$19,Отчетность_по_годам!I$13,Отчетность_по_периодам!$F74:$CK74)</f>
        <v>-56255127.072049409</v>
      </c>
      <c r="J61" s="49">
        <f>SUMIF(Отчетность_по_периодам!$F$19:$CK$19,Отчетность_по_годам!J$13,Отчетность_по_периодам!$F74:$CK74)</f>
        <v>-22248483.973613739</v>
      </c>
      <c r="K61" s="49">
        <f>SUMIF(Отчетность_по_периодам!$F$19:$CK$19,Отчетность_по_годам!K$13,Отчетность_по_периодам!$F74:$CK74)</f>
        <v>-10353877.796846598</v>
      </c>
      <c r="L61" s="49">
        <f>SUMIF(Отчетность_по_периодам!$F$19:$CK$19,Отчетность_по_годам!L$13,Отчетность_по_периодам!$F74:$CK74)</f>
        <v>-10871571.686689138</v>
      </c>
      <c r="M61" s="49">
        <f>SUMIF(Отчетность_по_периодам!$F$19:$CK$19,Отчетность_по_годам!M$13,Отчетность_по_периодам!$F74:$CK74)</f>
        <v>-2763176.0210359395</v>
      </c>
    </row>
    <row r="62" spans="2:13" ht="15.75" thickBot="1">
      <c r="B62" s="86" t="str">
        <v>(+) НДС по выручке</v>
      </c>
      <c r="C62" s="46"/>
      <c r="D62" s="47">
        <f t="shared" ca="1" si="18"/>
        <v>1153492922.2630031</v>
      </c>
      <c r="E62" s="48"/>
      <c r="F62" s="49">
        <f ca="1">SUMIF(Отчетность_по_периодам!$F$19:$CK$19,Отчетность_по_годам!F$13,Отчетность_по_периодам!$F75:$CK75)</f>
        <v>0</v>
      </c>
      <c r="G62" s="49">
        <f ca="1">SUMIF(Отчетность_по_периодам!$F$19:$CK$19,Отчетность_по_годам!G$13,Отчетность_по_периодам!$F75:$CK75)</f>
        <v>70356594.223282129</v>
      </c>
      <c r="H62" s="49">
        <f ca="1">SUMIF(Отчетность_по_периодам!$F$19:$CK$19,Отчетность_по_годам!H$13,Отчетность_по_периодам!$F75:$CK75)</f>
        <v>116572995.74916103</v>
      </c>
      <c r="I62" s="49">
        <f ca="1">SUMIF(Отчетность_по_периодам!$F$19:$CK$19,Отчетность_по_годам!I$13,Отчетность_по_периодам!$F75:$CK75)</f>
        <v>183289562.88621253</v>
      </c>
      <c r="J62" s="49">
        <f ca="1">SUMIF(Отчетность_по_периодам!$F$19:$CK$19,Отчетность_по_годам!J$13,Отчетность_по_периодам!$F75:$CK75)</f>
        <v>227053997.01139712</v>
      </c>
      <c r="K62" s="49">
        <f ca="1">SUMIF(Отчетность_по_периодам!$F$19:$CK$19,Отчетность_по_годам!K$13,Отчетность_по_периодам!$F75:$CK75)</f>
        <v>239694622.94748229</v>
      </c>
      <c r="L62" s="49">
        <f ca="1">SUMIF(Отчетность_по_периодам!$F$19:$CK$19,Отчетность_по_годам!L$13,Отчетность_по_периодам!$F75:$CK75)</f>
        <v>251666774.51710182</v>
      </c>
      <c r="M62" s="49">
        <f ca="1">SUMIF(Отчетность_по_периодам!$F$19:$CK$19,Отчетность_по_годам!M$13,Отчетность_по_периодам!$F75:$CK75)</f>
        <v>64858374.928366184</v>
      </c>
    </row>
    <row r="63" spans="2:13" ht="15.75" thickTop="1">
      <c r="B63" s="50" t="str">
        <v xml:space="preserve">Итого  </v>
      </c>
      <c r="C63" s="51"/>
      <c r="D63" s="52">
        <f ca="1">SUM(F63:M63)</f>
        <v>12457355963.45153</v>
      </c>
      <c r="E63" s="53"/>
      <c r="F63" s="54">
        <f ca="1">SUM(F60:F62)</f>
        <v>0</v>
      </c>
      <c r="G63" s="54">
        <f t="shared" ref="G63:M63" ca="1" si="19">SUM(G60:G62)</f>
        <v>689340276.07245231</v>
      </c>
      <c r="H63" s="54">
        <f t="shared" ca="1" si="19"/>
        <v>1238311268.7331538</v>
      </c>
      <c r="I63" s="54">
        <f t="shared" ca="1" si="19"/>
        <v>1959930064.6762886</v>
      </c>
      <c r="J63" s="54">
        <f t="shared" ca="1" si="19"/>
        <v>2475345483.1517553</v>
      </c>
      <c r="K63" s="54">
        <f t="shared" ca="1" si="19"/>
        <v>2626286974.6254582</v>
      </c>
      <c r="L63" s="54">
        <f t="shared" ca="1" si="19"/>
        <v>2757462948.00143</v>
      </c>
      <c r="M63" s="54">
        <f t="shared" ca="1" si="19"/>
        <v>710678948.190992</v>
      </c>
    </row>
    <row r="64" spans="2:13">
      <c r="B64" s="104">
        <v>0</v>
      </c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</row>
    <row r="65" spans="2:13" ht="15.75" thickBot="1">
      <c r="B65" s="103" t="str">
        <v>Оттоки по операционной деятельности</v>
      </c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</row>
    <row r="66" spans="2:13">
      <c r="B66" s="104">
        <v>0</v>
      </c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</row>
    <row r="67" spans="2:13">
      <c r="B67" s="86" t="str">
        <v>Переменные затраты</v>
      </c>
      <c r="C67" s="46"/>
      <c r="D67" s="47">
        <f t="shared" ref="D67:D75" ca="1" si="20">SUM(F67:M67)</f>
        <v>-4969898461.7632771</v>
      </c>
      <c r="E67" s="48"/>
      <c r="F67" s="49">
        <f ca="1">SUMIF(Отчетность_по_периодам!$F$19:$CK$19,Отчетность_по_годам!F$13,Отчетность_по_периодам!$F80:$CK80)</f>
        <v>0</v>
      </c>
      <c r="G67" s="49">
        <f ca="1">SUMIF(Отчетность_по_периодам!$F$19:$CK$19,Отчетность_по_годам!G$13,Отчетность_по_периодам!$F80:$CK80)</f>
        <v>-401542302.79874337</v>
      </c>
      <c r="H67" s="49">
        <f ca="1">SUMIF(Отчетность_по_периодам!$F$19:$CK$19,Отчетность_по_годам!H$13,Отчетность_по_периодам!$F80:$CK80)</f>
        <v>-624795628.20475423</v>
      </c>
      <c r="I67" s="49">
        <f ca="1">SUMIF(Отчетность_по_периодам!$F$19:$CK$19,Отчетность_по_годам!I$13,Отчетность_по_периодам!$F80:$CK80)</f>
        <v>-833482533.812621</v>
      </c>
      <c r="J67" s="49">
        <f ca="1">SUMIF(Отчетность_по_периодам!$F$19:$CK$19,Отчетность_по_годам!J$13,Отчетность_по_периодам!$F80:$CK80)</f>
        <v>-902452554.48030567</v>
      </c>
      <c r="K67" s="49">
        <f ca="1">SUMIF(Отчетность_по_периодам!$F$19:$CK$19,Отчетность_по_годам!K$13,Отчетность_по_периодам!$F80:$CK80)</f>
        <v>-950183152.4505626</v>
      </c>
      <c r="L67" s="49">
        <f ca="1">SUMIF(Отчетность_по_периодам!$F$19:$CK$19,Отчетность_по_годам!L$13,Отчетность_по_периодам!$F80:$CK80)</f>
        <v>-999540777.59566367</v>
      </c>
      <c r="M67" s="49">
        <f ca="1">SUMIF(Отчетность_по_периодам!$F$19:$CK$19,Отчетность_по_годам!M$13,Отчетность_по_периодам!$F80:$CK80)</f>
        <v>-257901512.42062691</v>
      </c>
    </row>
    <row r="68" spans="2:13">
      <c r="B68" s="86" t="str">
        <v>Постоянные затраты</v>
      </c>
      <c r="C68" s="46"/>
      <c r="D68" s="47">
        <f t="shared" ca="1" si="20"/>
        <v>-116604878.96066675</v>
      </c>
      <c r="E68" s="48"/>
      <c r="F68" s="49">
        <f ca="1">SUMIF(Отчетность_по_периодам!$F$19:$CK$19,Отчетность_по_годам!F$13,Отчетность_по_периодам!$F81:$CK81)</f>
        <v>0</v>
      </c>
      <c r="G68" s="49">
        <f ca="1">SUMIF(Отчетность_по_периодам!$F$19:$CK$19,Отчетность_по_годам!G$13,Отчетность_по_периодам!$F81:$CK81)</f>
        <v>-12880368.023436259</v>
      </c>
      <c r="H68" s="49">
        <f ca="1">SUMIF(Отчетность_по_периодам!$F$19:$CK$19,Отчетность_по_годам!H$13,Отчетность_по_периодам!$F81:$CK81)</f>
        <v>-17877963.656467658</v>
      </c>
      <c r="I68" s="49">
        <f ca="1">SUMIF(Отчетность_по_периодам!$F$19:$CK$19,Отчетность_по_годам!I$13,Отчетность_по_периодам!$F81:$CK81)</f>
        <v>-18718227.948321618</v>
      </c>
      <c r="J68" s="49">
        <f ca="1">SUMIF(Отчетность_по_периодам!$F$19:$CK$19,Отчетность_по_годам!J$13,Отчетность_по_периодам!$F81:$CK81)</f>
        <v>-19597984.66189272</v>
      </c>
      <c r="K68" s="49">
        <f ca="1">SUMIF(Отчетность_по_периодам!$F$19:$CK$19,Отчетность_по_годам!K$13,Отчетность_по_периодам!$F81:$CK81)</f>
        <v>-20520055.775934979</v>
      </c>
      <c r="L68" s="49">
        <f ca="1">SUMIF(Отчетность_по_периодам!$F$19:$CK$19,Отчетность_по_годам!L$13,Отчетность_по_периодам!$F81:$CK81)</f>
        <v>-21483487.168228723</v>
      </c>
      <c r="M68" s="49">
        <f ca="1">SUMIF(Отчетность_по_периодам!$F$19:$CK$19,Отчетность_по_годам!M$13,Отчетность_по_периодам!$F81:$CK81)</f>
        <v>-5526791.7263847869</v>
      </c>
    </row>
    <row r="69" spans="2:13">
      <c r="B69" s="86" t="str">
        <v>Заработная плата</v>
      </c>
      <c r="C69" s="46"/>
      <c r="D69" s="47">
        <f t="shared" ca="1" si="20"/>
        <v>-712956267.2938391</v>
      </c>
      <c r="E69" s="48"/>
      <c r="F69" s="49">
        <f ca="1">SUMIF(Отчетность_по_периодам!$F$19:$CK$19,Отчетность_по_годам!F$13,Отчетность_по_периодам!$F82:$CK82)</f>
        <v>0</v>
      </c>
      <c r="G69" s="49">
        <f ca="1">SUMIF(Отчетность_по_периодам!$F$19:$CK$19,Отчетность_по_годам!G$13,Отчетность_по_периодам!$F82:$CK82)</f>
        <v>-71210809.921797425</v>
      </c>
      <c r="H69" s="49">
        <f ca="1">SUMIF(Отчетность_по_периодам!$F$19:$CK$19,Отчетность_по_годам!H$13,Отчетность_по_периодам!$F82:$CK82)</f>
        <v>-109295076.52452515</v>
      </c>
      <c r="I69" s="49">
        <f ca="1">SUMIF(Отчетность_по_периодам!$F$19:$CK$19,Отчетность_по_годам!I$13,Отчетность_по_периодам!$F82:$CK82)</f>
        <v>-117417322.6263513</v>
      </c>
      <c r="J69" s="49">
        <f ca="1">SUMIF(Отчетность_по_периодам!$F$19:$CK$19,Отчетность_по_годам!J$13,Отчетность_по_периодам!$F82:$CK82)</f>
        <v>-122114015.53140531</v>
      </c>
      <c r="K69" s="49">
        <f ca="1">SUMIF(Отчетность_по_периодам!$F$19:$CK$19,Отчетность_по_годам!K$13,Отчетность_по_периодам!$F82:$CK82)</f>
        <v>-127003685.02707224</v>
      </c>
      <c r="L69" s="49">
        <f ca="1">SUMIF(Отчетность_по_периодам!$F$19:$CK$19,Отчетность_по_годам!L$13,Отчетность_по_периодам!$F82:$CK82)</f>
        <v>-132078519.19876789</v>
      </c>
      <c r="M69" s="49">
        <f ca="1">SUMIF(Отчетность_по_периодам!$F$19:$CK$19,Отчетность_по_годам!M$13,Отчетность_по_периодам!$F82:$CK82)</f>
        <v>-33836838.463919804</v>
      </c>
    </row>
    <row r="70" spans="2:13">
      <c r="B70" s="86" t="str">
        <v>(-) первоначальные инвестиции в склад</v>
      </c>
      <c r="C70" s="46"/>
      <c r="D70" s="47">
        <f t="shared" ca="1" si="20"/>
        <v>-936420.61385559302</v>
      </c>
      <c r="E70" s="48"/>
      <c r="F70" s="49">
        <f ca="1">SUMIF(Отчетность_по_периодам!$F$19:$CK$19,Отчетность_по_годам!F$13,Отчетность_по_периодам!$F83:$CK83)</f>
        <v>0</v>
      </c>
      <c r="G70" s="49">
        <f ca="1">SUMIF(Отчетность_по_периодам!$F$19:$CK$19,Отчетность_по_годам!G$13,Отчетность_по_периодам!$F83:$CK83)</f>
        <v>-936420.61385559302</v>
      </c>
      <c r="H70" s="49">
        <f ca="1">SUMIF(Отчетность_по_периодам!$F$19:$CK$19,Отчетность_по_годам!H$13,Отчетность_по_периодам!$F83:$CK83)</f>
        <v>0</v>
      </c>
      <c r="I70" s="49">
        <f ca="1">SUMIF(Отчетность_по_периодам!$F$19:$CK$19,Отчетность_по_годам!I$13,Отчетность_по_периодам!$F83:$CK83)</f>
        <v>0</v>
      </c>
      <c r="J70" s="49">
        <f ca="1">SUMIF(Отчетность_по_периодам!$F$19:$CK$19,Отчетность_по_годам!J$13,Отчетность_по_периодам!$F83:$CK83)</f>
        <v>0</v>
      </c>
      <c r="K70" s="49">
        <f ca="1">SUMIF(Отчетность_по_периодам!$F$19:$CK$19,Отчетность_по_годам!K$13,Отчетность_по_периодам!$F83:$CK83)</f>
        <v>0</v>
      </c>
      <c r="L70" s="49">
        <f ca="1">SUMIF(Отчетность_по_периодам!$F$19:$CK$19,Отчетность_по_годам!L$13,Отчетность_по_периодам!$F83:$CK83)</f>
        <v>0</v>
      </c>
      <c r="M70" s="49">
        <f ca="1">SUMIF(Отчетность_по_периодам!$F$19:$CK$19,Отчетность_по_годам!M$13,Отчетность_по_периодам!$F83:$CK83)</f>
        <v>0</v>
      </c>
    </row>
    <row r="71" spans="2:13">
      <c r="B71" s="86" t="str">
        <v>(-) НДС по первоначальным инвестициям в склад</v>
      </c>
      <c r="C71" s="46"/>
      <c r="D71" s="47">
        <f t="shared" ca="1" si="20"/>
        <v>-93642.061385559384</v>
      </c>
      <c r="E71" s="48"/>
      <c r="F71" s="49">
        <f ca="1">SUMIF(Отчетность_по_периодам!$F$19:$CK$19,Отчетность_по_годам!F$13,Отчетность_по_периодам!$F84:$CK84)</f>
        <v>0</v>
      </c>
      <c r="G71" s="49">
        <f ca="1">SUMIF(Отчетность_по_периодам!$F$19:$CK$19,Отчетность_по_годам!G$13,Отчетность_по_периодам!$F84:$CK84)</f>
        <v>-93642.061385559384</v>
      </c>
      <c r="H71" s="49">
        <f ca="1">SUMIF(Отчетность_по_периодам!$F$19:$CK$19,Отчетность_по_годам!H$13,Отчетность_по_периодам!$F84:$CK84)</f>
        <v>0</v>
      </c>
      <c r="I71" s="49">
        <f ca="1">SUMIF(Отчетность_по_периодам!$F$19:$CK$19,Отчетность_по_годам!I$13,Отчетность_по_периодам!$F84:$CK84)</f>
        <v>0</v>
      </c>
      <c r="J71" s="49">
        <f ca="1">SUMIF(Отчетность_по_периодам!$F$19:$CK$19,Отчетность_по_годам!J$13,Отчетность_по_периодам!$F84:$CK84)</f>
        <v>0</v>
      </c>
      <c r="K71" s="49">
        <f ca="1">SUMIF(Отчетность_по_периодам!$F$19:$CK$19,Отчетность_по_годам!K$13,Отчетность_по_периодам!$F84:$CK84)</f>
        <v>0</v>
      </c>
      <c r="L71" s="49">
        <f ca="1">SUMIF(Отчетность_по_периодам!$F$19:$CK$19,Отчетность_по_годам!L$13,Отчетность_по_периодам!$F84:$CK84)</f>
        <v>0</v>
      </c>
      <c r="M71" s="49">
        <f ca="1">SUMIF(Отчетность_по_периодам!$F$19:$CK$19,Отчетность_по_годам!M$13,Отчетность_по_периодам!$F84:$CK84)</f>
        <v>0</v>
      </c>
    </row>
    <row r="72" spans="2:13">
      <c r="B72" s="86" t="str">
        <v>(-) увеличение запасов</v>
      </c>
      <c r="C72" s="46"/>
      <c r="D72" s="47">
        <f t="shared" ca="1" si="20"/>
        <v>-57542226.353291668</v>
      </c>
      <c r="E72" s="48"/>
      <c r="F72" s="49">
        <f ca="1">SUMIF(Отчетность_по_периодам!$F$19:$CK$19,Отчетность_по_годам!F$13,Отчетность_по_периодам!$F85:$CK85)</f>
        <v>0</v>
      </c>
      <c r="G72" s="49">
        <f ca="1">SUMIF(Отчетность_по_периодам!$F$19:$CK$19,Отчетность_по_годам!G$13,Отчетность_по_периодам!$F85:$CK85)</f>
        <v>-29802294.306154527</v>
      </c>
      <c r="H72" s="49">
        <f ca="1">SUMIF(Отчетность_по_периодам!$F$19:$CK$19,Отчетность_по_годам!H$13,Отчетность_по_периодам!$F85:$CK85)</f>
        <v>-10943387.046077006</v>
      </c>
      <c r="I72" s="49">
        <f ca="1">SUMIF(Отчетность_по_периодам!$F$19:$CK$19,Отчетность_по_годам!I$13,Отчетность_по_периодам!$F85:$CK85)</f>
        <v>-7457766.6133105382</v>
      </c>
      <c r="J72" s="49">
        <f ca="1">SUMIF(Отчетность_по_периодам!$F$19:$CK$19,Отчетность_по_годам!J$13,Отчетность_по_периодам!$F85:$CK85)</f>
        <v>-3044123.2459449768</v>
      </c>
      <c r="K72" s="49">
        <f ca="1">SUMIF(Отчетность_по_периодам!$F$19:$CK$19,Отчетность_по_годам!K$13,Отчетность_по_периодам!$F85:$CK85)</f>
        <v>-2713567.5749178231</v>
      </c>
      <c r="L72" s="49">
        <f ca="1">SUMIF(Отчетность_по_периодам!$F$19:$CK$19,Отчетность_по_годам!L$13,Отчетность_по_периодам!$F85:$CK85)</f>
        <v>-2854673.0888136029</v>
      </c>
      <c r="M72" s="49">
        <f ca="1">SUMIF(Отчетность_по_периодам!$F$19:$CK$19,Отчетность_по_годам!M$13,Отчетность_по_периодам!$F85:$CK85)</f>
        <v>-726414.47807319462</v>
      </c>
    </row>
    <row r="73" spans="2:13">
      <c r="B73" s="86" t="str">
        <v>(+) увеличение кредиторской задолженности</v>
      </c>
      <c r="C73" s="46"/>
      <c r="D73" s="47">
        <f t="shared" ca="1" si="20"/>
        <v>62575696.291515328</v>
      </c>
      <c r="E73" s="48"/>
      <c r="F73" s="49">
        <f ca="1">SUMIF(Отчетность_по_периодам!$F$19:$CK$19,Отчетность_по_годам!F$13,Отчетность_по_периодам!$F86:$CK86)</f>
        <v>0</v>
      </c>
      <c r="G73" s="49">
        <f ca="1">SUMIF(Отчетность_по_периодам!$F$19:$CK$19,Отчетность_по_годам!G$13,Отчетность_по_периодам!$F86:$CK86)</f>
        <v>33233795.311947543</v>
      </c>
      <c r="H73" s="49">
        <f ca="1">SUMIF(Отчетность_по_периодам!$F$19:$CK$19,Отчетность_по_годам!H$13,Отчетность_по_периодам!$F86:$CK86)</f>
        <v>11512973.321871232</v>
      </c>
      <c r="I73" s="49">
        <f ca="1">SUMIF(Отчетность_по_периодам!$F$19:$CK$19,Отчетность_по_годам!I$13,Отчетность_по_периодам!$F86:$CK86)</f>
        <v>7863649.1762608215</v>
      </c>
      <c r="J73" s="49">
        <f ca="1">SUMIF(Отчетность_по_периодам!$F$19:$CK$19,Отчетность_по_годам!J$13,Отчетность_по_периодам!$F86:$CK86)</f>
        <v>3242217.6037257314</v>
      </c>
      <c r="K73" s="49">
        <f ca="1">SUMIF(Отчетность_по_периодам!$F$19:$CK$19,Отчетность_по_годам!K$13,Отчетность_по_периодам!$F86:$CK86)</f>
        <v>2898418.5835339949</v>
      </c>
      <c r="L73" s="49">
        <f ca="1">SUMIF(Отчетность_по_периодам!$F$19:$CK$19,Отчетность_по_годам!L$13,Отчетность_по_периодам!$F86:$CK86)</f>
        <v>3048858.1823525503</v>
      </c>
      <c r="M73" s="49">
        <f ca="1">SUMIF(Отчетность_по_периодам!$F$19:$CK$19,Отчетность_по_годам!M$13,Отчетность_по_периодам!$F86:$CK86)</f>
        <v>775784.1118234545</v>
      </c>
    </row>
    <row r="74" spans="2:13" ht="15.75" thickBot="1">
      <c r="B74" s="86" t="str">
        <v>(-) НДС по операционным расходам</v>
      </c>
      <c r="C74" s="46"/>
      <c r="D74" s="47">
        <f t="shared" ca="1" si="20"/>
        <v>-508650334.07239437</v>
      </c>
      <c r="E74" s="48"/>
      <c r="F74" s="49">
        <f ca="1">SUMIF(Отчетность_по_периодам!$F$19:$CK$19,Отчетность_по_годам!F$13,Отчетность_по_периодам!$F87:$CK87)</f>
        <v>0</v>
      </c>
      <c r="G74" s="49">
        <f ca="1">SUMIF(Отчетность_по_периодам!$F$19:$CK$19,Отчетность_по_годам!G$13,Отчетность_по_периодам!$F87:$CK87)</f>
        <v>-41442267.082217962</v>
      </c>
      <c r="H74" s="49">
        <f ca="1">SUMIF(Отчетность_по_периодам!$F$19:$CK$19,Отчетность_по_годам!H$13,Отчетность_по_периодам!$F87:$CK87)</f>
        <v>-64267359.186122194</v>
      </c>
      <c r="I74" s="49">
        <f ca="1">SUMIF(Отчетность_по_периодам!$F$19:$CK$19,Отчетность_по_годам!I$13,Отчетность_по_периодам!$F87:$CK87)</f>
        <v>-85220076.176094249</v>
      </c>
      <c r="J74" s="49">
        <f ca="1">SUMIF(Отчетность_по_периодам!$F$19:$CK$19,Отчетность_по_годам!J$13,Отчетность_по_периодам!$F87:$CK87)</f>
        <v>-92205053.914219856</v>
      </c>
      <c r="K74" s="49">
        <f ca="1">SUMIF(Отчетность_по_периодам!$F$19:$CK$19,Отчетность_по_годам!K$13,Отчетность_по_периодам!$F87:$CK87)</f>
        <v>-97070320.822649747</v>
      </c>
      <c r="L74" s="49">
        <f ca="1">SUMIF(Отчетность_по_периодам!$F$19:$CK$19,Отчетность_по_годам!L$13,Отчетность_по_периодам!$F87:$CK87)</f>
        <v>-102102426.47638924</v>
      </c>
      <c r="M74" s="49">
        <f ca="1">SUMIF(Отчетность_по_периодам!$F$19:$CK$19,Отчетность_по_годам!M$13,Отчетность_по_периодам!$F87:$CK87)</f>
        <v>-26342830.414701171</v>
      </c>
    </row>
    <row r="75" spans="2:13" ht="15.75" thickTop="1">
      <c r="B75" s="50" t="str">
        <v xml:space="preserve">Итого  </v>
      </c>
      <c r="C75" s="51"/>
      <c r="D75" s="52">
        <f t="shared" ca="1" si="20"/>
        <v>-6304106534.8271961</v>
      </c>
      <c r="E75" s="53"/>
      <c r="F75" s="54">
        <f ca="1">SUM(F67:F74)</f>
        <v>0</v>
      </c>
      <c r="G75" s="54">
        <f t="shared" ref="G75:M75" ca="1" si="21">SUM(G67:G74)</f>
        <v>-524674309.49564326</v>
      </c>
      <c r="H75" s="54">
        <f t="shared" ca="1" si="21"/>
        <v>-815666441.29607499</v>
      </c>
      <c r="I75" s="54">
        <f t="shared" ca="1" si="21"/>
        <v>-1054432278.0004379</v>
      </c>
      <c r="J75" s="54">
        <f t="shared" ca="1" si="21"/>
        <v>-1136171514.2300429</v>
      </c>
      <c r="K75" s="54">
        <f t="shared" ca="1" si="21"/>
        <v>-1194592363.0676033</v>
      </c>
      <c r="L75" s="54">
        <f t="shared" ca="1" si="21"/>
        <v>-1255011025.3455105</v>
      </c>
      <c r="M75" s="54">
        <f t="shared" ca="1" si="21"/>
        <v>-323558603.39188242</v>
      </c>
    </row>
    <row r="76" spans="2:13">
      <c r="B76" s="102">
        <v>0</v>
      </c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</row>
    <row r="77" spans="2:13">
      <c r="B77" s="86" t="str">
        <v>Налог на добавленную стоимость</v>
      </c>
      <c r="C77" s="46"/>
      <c r="D77" s="47">
        <f ca="1">SUM(F77:M77)</f>
        <v>-500778856.16101277</v>
      </c>
      <c r="E77" s="48"/>
      <c r="F77" s="49">
        <f ca="1">SUMIF(Отчетность_по_периодам!$F$19:$CK$19,Отчетность_по_годам!F$13,Отчетность_по_периодам!$F90:$CK90)</f>
        <v>0</v>
      </c>
      <c r="G77" s="49">
        <f ca="1">SUMIF(Отчетность_по_периодам!$F$19:$CK$19,Отчетность_по_годам!G$13,Отчетность_по_периодам!$F90:$CK90)</f>
        <v>86384020.752376974</v>
      </c>
      <c r="H77" s="49">
        <f ca="1">SUMIF(Отчетность_по_периодам!$F$19:$CK$19,Отчетность_по_годам!H$13,Отчетность_по_периодам!$F90:$CK90)</f>
        <v>-45790935.113423064</v>
      </c>
      <c r="I77" s="49">
        <f ca="1">SUMIF(Отчетность_по_периодам!$F$19:$CK$19,Отчетность_по_годам!I$13,Отчетность_по_периодам!$F90:$CK90)</f>
        <v>-85576584.134262353</v>
      </c>
      <c r="J77" s="49">
        <f ca="1">SUMIF(Отчетность_по_периодам!$F$19:$CK$19,Отчетность_по_годам!J$13,Отчетность_по_периодам!$F90:$CK90)</f>
        <v>-128997326.64582761</v>
      </c>
      <c r="K77" s="49">
        <f ca="1">SUMIF(Отчетность_по_периодам!$F$19:$CK$19,Отчетность_по_годам!K$13,Отчетность_по_периодам!$F90:$CK90)</f>
        <v>-140937966.42023167</v>
      </c>
      <c r="L77" s="49">
        <f ca="1">SUMIF(Отчетность_по_периодам!$F$19:$CK$19,Отчетность_по_годам!L$13,Отчетность_по_периодам!$F90:$CK90)</f>
        <v>-147796828.76129648</v>
      </c>
      <c r="M77" s="49">
        <f ca="1">SUMIF(Отчетность_по_периодам!$F$19:$CK$19,Отчетность_по_годам!M$13,Отчетность_по_периодам!$F90:$CK90)</f>
        <v>-38063235.838348478</v>
      </c>
    </row>
    <row r="78" spans="2:13">
      <c r="B78" s="86" t="str">
        <v>Налог на прибыль</v>
      </c>
      <c r="C78" s="46"/>
      <c r="D78" s="47">
        <f t="shared" ref="D78:D83" ca="1" si="22">SUM(F78:M78)</f>
        <v>0</v>
      </c>
      <c r="E78" s="48"/>
      <c r="F78" s="49">
        <f ca="1">SUMIF(Отчетность_по_периодам!$F$19:$CK$19,Отчетность_по_годам!F$13,Отчетность_по_периодам!$F91:$CK91)</f>
        <v>0</v>
      </c>
      <c r="G78" s="49">
        <f ca="1">SUMIF(Отчетность_по_периодам!$F$19:$CK$19,Отчетность_по_годам!G$13,Отчетность_по_периодам!$F91:$CK91)</f>
        <v>0</v>
      </c>
      <c r="H78" s="49">
        <f ca="1">SUMIF(Отчетность_по_периодам!$F$19:$CK$19,Отчетность_по_годам!H$13,Отчетность_по_периодам!$F91:$CK91)</f>
        <v>0</v>
      </c>
      <c r="I78" s="49">
        <f ca="1">SUMIF(Отчетность_по_периодам!$F$19:$CK$19,Отчетность_по_годам!I$13,Отчетность_по_периодам!$F91:$CK91)</f>
        <v>0</v>
      </c>
      <c r="J78" s="49">
        <f ca="1">SUMIF(Отчетность_по_периодам!$F$19:$CK$19,Отчетность_по_годам!J$13,Отчетность_по_периодам!$F91:$CK91)</f>
        <v>0</v>
      </c>
      <c r="K78" s="49">
        <f ca="1">SUMIF(Отчетность_по_периодам!$F$19:$CK$19,Отчетность_по_годам!K$13,Отчетность_по_периодам!$F91:$CK91)</f>
        <v>0</v>
      </c>
      <c r="L78" s="49">
        <f ca="1">SUMIF(Отчетность_по_периодам!$F$19:$CK$19,Отчетность_по_годам!L$13,Отчетность_по_периодам!$F91:$CK91)</f>
        <v>0</v>
      </c>
      <c r="M78" s="49">
        <f ca="1">SUMIF(Отчетность_по_периодам!$F$19:$CK$19,Отчетность_по_годам!M$13,Отчетность_по_периодам!$F91:$CK91)</f>
        <v>0</v>
      </c>
    </row>
    <row r="79" spans="2:13">
      <c r="B79" s="86" t="str">
        <v>Единый сельхоз налог</v>
      </c>
      <c r="C79" s="46"/>
      <c r="D79" s="47">
        <f t="shared" ref="D79" ca="1" si="23">SUM(F79:M79)</f>
        <v>-216511316.50383681</v>
      </c>
      <c r="E79" s="48"/>
      <c r="F79" s="49">
        <f ca="1">SUMIF(Отчетность_по_периодам!$F$19:$CK$19,Отчетность_по_годам!F$13,Отчетность_по_периодам!$F92:$CK92)</f>
        <v>0</v>
      </c>
      <c r="G79" s="49">
        <f ca="1">SUMIF(Отчетность_по_периодам!$F$19:$CK$19,Отчетность_по_годам!G$13,Отчетность_по_периодам!$F92:$CK92)</f>
        <v>0</v>
      </c>
      <c r="H79" s="49">
        <f ca="1">SUMIF(Отчетность_по_периодам!$F$19:$CK$19,Отчетность_по_годам!H$13,Отчетность_по_периодам!$F92:$CK92)</f>
        <v>0</v>
      </c>
      <c r="I79" s="49">
        <f ca="1">SUMIF(Отчетность_по_периодам!$F$19:$CK$19,Отчетность_по_годам!I$13,Отчетность_по_периодам!$F92:$CK92)</f>
        <v>-20781364.86476345</v>
      </c>
      <c r="J79" s="49">
        <f ca="1">SUMIF(Отчетность_по_периодам!$F$19:$CK$19,Отчетность_по_годам!J$13,Отчетность_по_периодам!$F92:$CK92)</f>
        <v>-50088214.131878577</v>
      </c>
      <c r="K79" s="49">
        <f ca="1">SUMIF(Отчетность_по_периодам!$F$19:$CK$19,Отчетность_по_годам!K$13,Отчетность_по_периодам!$F92:$CK92)</f>
        <v>-61874903.883618049</v>
      </c>
      <c r="L79" s="49">
        <f ca="1">SUMIF(Отчетность_по_периодам!$F$19:$CK$19,Отчетность_по_годам!L$13,Отчетность_по_периодам!$F92:$CK92)</f>
        <v>-66375211.428162865</v>
      </c>
      <c r="M79" s="49">
        <f ca="1">SUMIF(Отчетность_по_периодам!$F$19:$CK$19,Отчетность_по_годам!M$13,Отчетность_по_периодам!$F92:$CK92)</f>
        <v>-17391622.195413873</v>
      </c>
    </row>
    <row r="80" spans="2:13">
      <c r="B80" s="86" t="str">
        <v>Налог на имущество</v>
      </c>
      <c r="C80" s="46"/>
      <c r="D80" s="47">
        <f t="shared" ca="1" si="22"/>
        <v>-16467857.142857142</v>
      </c>
      <c r="E80" s="48"/>
      <c r="F80" s="49">
        <f ca="1">SUMIF(Отчетность_по_периодам!$F$19:$CK$19,Отчетность_по_годам!F$13,Отчетность_по_периодам!$F93:$CK93)</f>
        <v>0</v>
      </c>
      <c r="G80" s="49">
        <f ca="1">SUMIF(Отчетность_по_периодам!$F$19:$CK$19,Отчетность_по_годам!G$13,Отчетность_по_периодам!$F93:$CK93)</f>
        <v>-11185714.285714285</v>
      </c>
      <c r="H80" s="49">
        <f ca="1">SUMIF(Отчетность_по_периодам!$F$19:$CK$19,Отчетность_по_годам!H$13,Отчетность_по_периодам!$F93:$CK93)</f>
        <v>-5282142.8571428563</v>
      </c>
      <c r="I80" s="49">
        <f ca="1">SUMIF(Отчетность_по_периодам!$F$19:$CK$19,Отчетность_по_годам!I$13,Отчетность_по_периодам!$F93:$CK93)</f>
        <v>0</v>
      </c>
      <c r="J80" s="49">
        <f ca="1">SUMIF(Отчетность_по_периодам!$F$19:$CK$19,Отчетность_по_годам!J$13,Отчетность_по_периодам!$F93:$CK93)</f>
        <v>0</v>
      </c>
      <c r="K80" s="49">
        <f ca="1">SUMIF(Отчетность_по_периодам!$F$19:$CK$19,Отчетность_по_годам!K$13,Отчетность_по_периодам!$F93:$CK93)</f>
        <v>0</v>
      </c>
      <c r="L80" s="49">
        <f ca="1">SUMIF(Отчетность_по_периодам!$F$19:$CK$19,Отчетность_по_годам!L$13,Отчетность_по_периодам!$F93:$CK93)</f>
        <v>0</v>
      </c>
      <c r="M80" s="49">
        <f ca="1">SUMIF(Отчетность_по_периодам!$F$19:$CK$19,Отчетность_по_годам!M$13,Отчетность_по_периодам!$F93:$CK93)</f>
        <v>0</v>
      </c>
    </row>
    <row r="81" spans="2:13">
      <c r="B81" s="86" t="str">
        <v>Страховые взносы</v>
      </c>
      <c r="C81" s="46"/>
      <c r="D81" s="47">
        <f t="shared" ca="1" si="22"/>
        <v>-241945152.19563881</v>
      </c>
      <c r="E81" s="48"/>
      <c r="F81" s="49">
        <f ca="1">SUMIF(Отчетность_по_периодам!$F$19:$CK$19,Отчетность_по_годам!F$13,Отчетность_по_периодам!$F94:$CK94)</f>
        <v>0</v>
      </c>
      <c r="G81" s="49">
        <f ca="1">SUMIF(Отчетность_по_периодам!$F$19:$CK$19,Отчетность_по_годам!G$13,Отчетность_по_периодам!$F94:$CK94)</f>
        <v>-21791131.697171528</v>
      </c>
      <c r="H81" s="49">
        <f ca="1">SUMIF(Отчетность_по_периодам!$F$19:$CK$19,Отчетность_по_годам!H$13,Отчетность_по_периодам!$F94:$CK94)</f>
        <v>-37149071.022250049</v>
      </c>
      <c r="I81" s="49">
        <f ca="1">SUMIF(Отчетность_по_периодам!$F$19:$CK$19,Отчетность_по_годам!I$13,Отчетность_по_периодам!$F94:$CK94)</f>
        <v>-40356603.684121139</v>
      </c>
      <c r="J81" s="49">
        <f ca="1">SUMIF(Отчетность_по_периодам!$F$19:$CK$19,Отчетность_по_годам!J$13,Отчетность_по_периодам!$F94:$CK94)</f>
        <v>-41970867.831485964</v>
      </c>
      <c r="K81" s="49">
        <f ca="1">SUMIF(Отчетность_по_периодам!$F$19:$CK$19,Отчетность_по_годам!K$13,Отчетность_по_периодам!$F94:$CK94)</f>
        <v>-43651464.225576691</v>
      </c>
      <c r="L81" s="49">
        <f ca="1">SUMIF(Отчетность_по_периодам!$F$19:$CK$19,Отчетность_по_годам!L$13,Отчетность_по_периодам!$F94:$CK94)</f>
        <v>-45395690.646535188</v>
      </c>
      <c r="M81" s="49">
        <f ca="1">SUMIF(Отчетность_по_периодам!$F$19:$CK$19,Отчетность_по_годам!M$13,Отчетность_по_периодам!$F94:$CK94)</f>
        <v>-11630323.088498244</v>
      </c>
    </row>
    <row r="82" spans="2:13" ht="15.75" thickBot="1">
      <c r="B82" s="86" t="str">
        <v>НДФЛ</v>
      </c>
      <c r="C82" s="46"/>
      <c r="D82" s="47">
        <f t="shared" ca="1" si="22"/>
        <v>-104842899.28477681</v>
      </c>
      <c r="E82" s="48"/>
      <c r="F82" s="49">
        <f ca="1">SUMIF(Отчетность_по_периодам!$F$19:$CK$19,Отчетность_по_годам!F$13,Отчетность_по_периодам!$F95:$CK95)</f>
        <v>0</v>
      </c>
      <c r="G82" s="49">
        <f ca="1">SUMIF(Отчетность_по_периодам!$F$19:$CK$19,Отчетность_по_годам!G$13,Отчетность_по_периодам!$F95:$CK95)</f>
        <v>-9442823.7354409955</v>
      </c>
      <c r="H82" s="49">
        <f ca="1">SUMIF(Отчетность_по_периодам!$F$19:$CK$19,Отчетность_по_годам!H$13,Отчетность_по_периодам!$F95:$CK95)</f>
        <v>-16097930.776308356</v>
      </c>
      <c r="I82" s="49">
        <f ca="1">SUMIF(Отчетность_по_периодам!$F$19:$CK$19,Отчетность_по_годам!I$13,Отчетность_по_периодам!$F95:$CK95)</f>
        <v>-17487861.596452497</v>
      </c>
      <c r="J82" s="49">
        <f ca="1">SUMIF(Отчетность_по_периодам!$F$19:$CK$19,Отчетность_по_годам!J$13,Отчетность_по_периодам!$F95:$CK95)</f>
        <v>-18187376.060310591</v>
      </c>
      <c r="K82" s="49">
        <f ca="1">SUMIF(Отчетность_по_периодам!$F$19:$CK$19,Отчетность_по_годам!K$13,Отчетность_по_периодам!$F95:$CK95)</f>
        <v>-18915634.497749902</v>
      </c>
      <c r="L82" s="49">
        <f ca="1">SUMIF(Отчетность_по_периодам!$F$19:$CK$19,Отчетность_по_годам!L$13,Отчетность_по_периодам!$F95:$CK95)</f>
        <v>-19671465.946831916</v>
      </c>
      <c r="M82" s="49">
        <f ca="1">SUMIF(Отчетность_по_периодам!$F$19:$CK$19,Отчетность_по_годам!M$13,Отчетность_по_периодам!$F95:$CK95)</f>
        <v>-5039806.671682572</v>
      </c>
    </row>
    <row r="83" spans="2:13" ht="15.75" thickTop="1">
      <c r="B83" s="50" t="str">
        <v xml:space="preserve">Итого </v>
      </c>
      <c r="C83" s="51"/>
      <c r="D83" s="52">
        <f t="shared" ca="1" si="22"/>
        <v>-1080546081.2881222</v>
      </c>
      <c r="E83" s="53"/>
      <c r="F83" s="54">
        <f ca="1">SUM(F77:F82)</f>
        <v>0</v>
      </c>
      <c r="G83" s="54">
        <f t="shared" ref="G83:M83" ca="1" si="24">SUM(G77:G82)</f>
        <v>43964351.034050167</v>
      </c>
      <c r="H83" s="54">
        <f t="shared" ca="1" si="24"/>
        <v>-104320079.76912433</v>
      </c>
      <c r="I83" s="54">
        <f t="shared" ca="1" si="24"/>
        <v>-164202414.27959946</v>
      </c>
      <c r="J83" s="54">
        <f t="shared" ca="1" si="24"/>
        <v>-239243784.66950274</v>
      </c>
      <c r="K83" s="54">
        <f t="shared" ca="1" si="24"/>
        <v>-265379969.02717632</v>
      </c>
      <c r="L83" s="54">
        <f t="shared" ca="1" si="24"/>
        <v>-279239196.78282648</v>
      </c>
      <c r="M83" s="54">
        <f t="shared" ca="1" si="24"/>
        <v>-72124987.793943167</v>
      </c>
    </row>
    <row r="84" spans="2:13" ht="15.75" thickBot="1">
      <c r="B84" s="102">
        <v>0</v>
      </c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2:13" ht="16.5" thickTop="1" thickBot="1">
      <c r="B85" s="105" t="str">
        <v>Итого по операционной деятельности</v>
      </c>
      <c r="C85" s="106"/>
      <c r="D85" s="107">
        <f ca="1">SUM(F85:M85)</f>
        <v>5072703347.3362131</v>
      </c>
      <c r="E85" s="108"/>
      <c r="F85" s="109">
        <f ca="1">SUM(F63,F75,F83)</f>
        <v>0</v>
      </c>
      <c r="G85" s="109">
        <f ca="1">SUM(G63,G75,G83)</f>
        <v>208630317.61085922</v>
      </c>
      <c r="H85" s="109">
        <f ca="1">SUM(H63,H75,H83)</f>
        <v>318324747.6679545</v>
      </c>
      <c r="I85" s="109">
        <f ca="1">SUM(I63,I75,I83)</f>
        <v>741295372.39625132</v>
      </c>
      <c r="J85" s="109">
        <f ca="1">SUM(J63,J75,J83)</f>
        <v>1099930184.2522097</v>
      </c>
      <c r="K85" s="109">
        <f t="shared" ref="K85:M85" ca="1" si="25">SUM(K63,K75,K83)</f>
        <v>1166314642.5306785</v>
      </c>
      <c r="L85" s="109">
        <f t="shared" ca="1" si="25"/>
        <v>1223212725.8730931</v>
      </c>
      <c r="M85" s="109">
        <f t="shared" ca="1" si="25"/>
        <v>314995357.00516641</v>
      </c>
    </row>
    <row r="86" spans="2:13" ht="15.75" thickTop="1">
      <c r="B86" s="102">
        <v>0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</row>
    <row r="87" spans="2:13" ht="18" thickBot="1">
      <c r="B87" s="110" t="str">
        <v>Инвестиционная деятельность</v>
      </c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</row>
    <row r="88" spans="2:13" ht="14.25" customHeight="1" thickTop="1">
      <c r="B88" s="102">
        <v>0</v>
      </c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</row>
    <row r="89" spans="2:13" ht="15.75" thickBot="1">
      <c r="B89" s="103" t="str">
        <v>Оттоки по инвестиционной деятельности</v>
      </c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</row>
    <row r="90" spans="2:13">
      <c r="B90" s="111">
        <v>0</v>
      </c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</row>
    <row r="91" spans="2:13" ht="15.75" thickBot="1">
      <c r="B91" s="86" t="str">
        <v>Капитальные затраты</v>
      </c>
      <c r="C91" s="46"/>
      <c r="D91" s="47">
        <f>SUM(F91:M91)</f>
        <v>-1160000000</v>
      </c>
      <c r="E91" s="48"/>
      <c r="F91" s="49">
        <f>SUMIF(Отчетность_по_периодам!$F$19:$CK$19,Отчетность_по_годам!F$13,Отчетность_по_периодам!$F104:$CK104)</f>
        <v>-931610000</v>
      </c>
      <c r="G91" s="49">
        <f>SUMIF(Отчетность_по_периодам!$F$19:$CK$19,Отчетность_по_годам!G$13,Отчетность_по_периодам!$F104:$CK104)</f>
        <v>-228390000</v>
      </c>
      <c r="H91" s="49">
        <f>SUMIF(Отчетность_по_периодам!$F$19:$CK$19,Отчетность_по_годам!H$13,Отчетность_по_периодам!$F104:$CK104)</f>
        <v>0</v>
      </c>
      <c r="I91" s="49">
        <f>SUMIF(Отчетность_по_периодам!$F$19:$CK$19,Отчетность_по_годам!I$13,Отчетность_по_периодам!$F104:$CK104)</f>
        <v>0</v>
      </c>
      <c r="J91" s="49">
        <f>SUMIF(Отчетность_по_периодам!$F$19:$CK$19,Отчетность_по_годам!J$13,Отчетность_по_периодам!$F104:$CK104)</f>
        <v>0</v>
      </c>
      <c r="K91" s="49">
        <f>SUMIF(Отчетность_по_периодам!$F$19:$CK$19,Отчетность_по_годам!K$13,Отчетность_по_периодам!$F104:$CK104)</f>
        <v>0</v>
      </c>
      <c r="L91" s="49">
        <f>SUMIF(Отчетность_по_периодам!$F$19:$CK$19,Отчетность_по_годам!L$13,Отчетность_по_периодам!$F104:$CK104)</f>
        <v>0</v>
      </c>
      <c r="M91" s="49">
        <f>SUMIF(Отчетность_по_периодам!$F$19:$CK$19,Отчетность_по_годам!M$13,Отчетность_по_периодам!$F104:$CK104)</f>
        <v>0</v>
      </c>
    </row>
    <row r="92" spans="2:13" ht="15.75" thickTop="1">
      <c r="B92" s="50" t="str">
        <v xml:space="preserve">Итого </v>
      </c>
      <c r="C92" s="51"/>
      <c r="D92" s="52">
        <f>SUM(F92:M92)</f>
        <v>-1160000000</v>
      </c>
      <c r="E92" s="53"/>
      <c r="F92" s="54">
        <f>SUM(F91)</f>
        <v>-931610000</v>
      </c>
      <c r="G92" s="54">
        <f t="shared" ref="G92:M92" si="26">SUM(G91)</f>
        <v>-228390000</v>
      </c>
      <c r="H92" s="54">
        <f t="shared" si="26"/>
        <v>0</v>
      </c>
      <c r="I92" s="54">
        <f t="shared" si="26"/>
        <v>0</v>
      </c>
      <c r="J92" s="54">
        <f t="shared" si="26"/>
        <v>0</v>
      </c>
      <c r="K92" s="54">
        <f t="shared" si="26"/>
        <v>0</v>
      </c>
      <c r="L92" s="54">
        <f t="shared" si="26"/>
        <v>0</v>
      </c>
      <c r="M92" s="54">
        <f t="shared" si="26"/>
        <v>0</v>
      </c>
    </row>
    <row r="93" spans="2:13" ht="15.75" thickBot="1">
      <c r="B93" s="102">
        <v>0</v>
      </c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</row>
    <row r="94" spans="2:13" ht="16.5" thickTop="1" thickBot="1">
      <c r="B94" s="105" t="str">
        <v>Итого по инвестиционной деятельности</v>
      </c>
      <c r="C94" s="106"/>
      <c r="D94" s="107">
        <f>SUM(F94:M94)</f>
        <v>-1160000000</v>
      </c>
      <c r="E94" s="108"/>
      <c r="F94" s="109">
        <f>SUM(F92)</f>
        <v>-931610000</v>
      </c>
      <c r="G94" s="109">
        <f t="shared" ref="G94:M94" si="27">SUM(G92)</f>
        <v>-228390000</v>
      </c>
      <c r="H94" s="109">
        <f t="shared" si="27"/>
        <v>0</v>
      </c>
      <c r="I94" s="109">
        <f t="shared" si="27"/>
        <v>0</v>
      </c>
      <c r="J94" s="109">
        <f t="shared" si="27"/>
        <v>0</v>
      </c>
      <c r="K94" s="109">
        <f t="shared" si="27"/>
        <v>0</v>
      </c>
      <c r="L94" s="109">
        <f t="shared" si="27"/>
        <v>0</v>
      </c>
      <c r="M94" s="109">
        <f t="shared" si="27"/>
        <v>0</v>
      </c>
    </row>
    <row r="95" spans="2:13" ht="15.75" thickTop="1">
      <c r="B95" s="102">
        <v>0</v>
      </c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</row>
    <row r="96" spans="2:13" ht="18" thickBot="1">
      <c r="B96" s="110" t="str">
        <v>Финансовая деятельность</v>
      </c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</row>
    <row r="97" spans="2:13" ht="15.75" thickTop="1">
      <c r="B97" s="102">
        <v>0</v>
      </c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2:13" ht="15.75" thickBot="1">
      <c r="B98" s="103" t="str">
        <v>Притоки по финансовой деятельности</v>
      </c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</row>
    <row r="99" spans="2:13">
      <c r="B99" s="111">
        <v>0</v>
      </c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</row>
    <row r="100" spans="2:13">
      <c r="B100" s="86" t="str">
        <v>Оплата уставного капитала</v>
      </c>
      <c r="C100" s="46"/>
      <c r="D100" s="47">
        <f ca="1">SUM(F100:M100)</f>
        <v>10000</v>
      </c>
      <c r="E100" s="48"/>
      <c r="F100" s="49">
        <f ca="1">SUMIF(Отчетность_по_периодам!$F$19:$CK$19,Отчетность_по_годам!F$13,Отчетность_по_периодам!$F113:$CK113)</f>
        <v>10000</v>
      </c>
      <c r="G100" s="49">
        <f ca="1">SUMIF(Отчетность_по_периодам!$F$19:$CK$19,Отчетность_по_годам!G$13,Отчетность_по_периодам!$F113:$CK113)</f>
        <v>0</v>
      </c>
      <c r="H100" s="49">
        <f ca="1">SUMIF(Отчетность_по_периодам!$F$19:$CK$19,Отчетность_по_годам!H$13,Отчетность_по_периодам!$F113:$CK113)</f>
        <v>0</v>
      </c>
      <c r="I100" s="49">
        <f ca="1">SUMIF(Отчетность_по_периодам!$F$19:$CK$19,Отчетность_по_годам!I$13,Отчетность_по_периодам!$F113:$CK113)</f>
        <v>0</v>
      </c>
      <c r="J100" s="49">
        <f ca="1">SUMIF(Отчетность_по_периодам!$F$19:$CK$19,Отчетность_по_годам!J$13,Отчетность_по_периодам!$F113:$CK113)</f>
        <v>0</v>
      </c>
      <c r="K100" s="49">
        <f ca="1">SUMIF(Отчетность_по_периодам!$F$19:$CK$19,Отчетность_по_годам!K$13,Отчетность_по_периодам!$F113:$CK113)</f>
        <v>0</v>
      </c>
      <c r="L100" s="49">
        <f ca="1">SUMIF(Отчетность_по_периодам!$F$19:$CK$19,Отчетность_по_годам!L$13,Отчетность_по_периодам!$F113:$CK113)</f>
        <v>0</v>
      </c>
      <c r="M100" s="49">
        <f ca="1">SUMIF(Отчетность_по_периодам!$F$19:$CK$19,Отчетность_по_годам!M$13,Отчетность_по_периодам!$F113:$CK113)</f>
        <v>0</v>
      </c>
    </row>
    <row r="101" spans="2:13" ht="15.75" thickBot="1">
      <c r="B101" s="86" t="str">
        <v>Привлечение займов и кредитов</v>
      </c>
      <c r="C101" s="46"/>
      <c r="D101" s="47">
        <f>SUM(F101:M101)</f>
        <v>1200000000</v>
      </c>
      <c r="E101" s="48"/>
      <c r="F101" s="49">
        <f>SUMIF(Отчетность_по_периодам!$F$19:$CK$19,Отчетность_по_годам!F$13,Отчетность_по_периодам!$F114:$CK114)</f>
        <v>957000000</v>
      </c>
      <c r="G101" s="49">
        <f>SUMIF(Отчетность_по_периодам!$F$19:$CK$19,Отчетность_по_годам!G$13,Отчетность_по_периодам!$F114:$CK114)</f>
        <v>243000000</v>
      </c>
      <c r="H101" s="49">
        <f>SUMIF(Отчетность_по_периодам!$F$19:$CK$19,Отчетность_по_годам!H$13,Отчетность_по_периодам!$F114:$CK114)</f>
        <v>0</v>
      </c>
      <c r="I101" s="49">
        <f>SUMIF(Отчетность_по_периодам!$F$19:$CK$19,Отчетность_по_годам!I$13,Отчетность_по_периодам!$F114:$CK114)</f>
        <v>0</v>
      </c>
      <c r="J101" s="49">
        <f>SUMIF(Отчетность_по_периодам!$F$19:$CK$19,Отчетность_по_годам!J$13,Отчетность_по_периодам!$F114:$CK114)</f>
        <v>0</v>
      </c>
      <c r="K101" s="49">
        <f>SUMIF(Отчетность_по_периодам!$F$19:$CK$19,Отчетность_по_годам!K$13,Отчетность_по_периодам!$F114:$CK114)</f>
        <v>0</v>
      </c>
      <c r="L101" s="49">
        <f>SUMIF(Отчетность_по_периодам!$F$19:$CK$19,Отчетность_по_годам!L$13,Отчетность_по_периодам!$F114:$CK114)</f>
        <v>0</v>
      </c>
      <c r="M101" s="49">
        <f>SUMIF(Отчетность_по_периодам!$F$19:$CK$19,Отчетность_по_годам!M$13,Отчетность_по_периодам!$F114:$CK114)</f>
        <v>0</v>
      </c>
    </row>
    <row r="102" spans="2:13" ht="15.75" thickTop="1">
      <c r="B102" s="50" t="str">
        <v xml:space="preserve">Итого </v>
      </c>
      <c r="C102" s="51"/>
      <c r="D102" s="52">
        <f ca="1">SUM(F102:M102)</f>
        <v>1200010000</v>
      </c>
      <c r="E102" s="53"/>
      <c r="F102" s="54">
        <f ca="1">SUM(F100:F101)</f>
        <v>957010000</v>
      </c>
      <c r="G102" s="54">
        <f t="shared" ref="G102:M102" ca="1" si="28">SUM(G100:G101)</f>
        <v>243000000</v>
      </c>
      <c r="H102" s="54">
        <f t="shared" ca="1" si="28"/>
        <v>0</v>
      </c>
      <c r="I102" s="54">
        <f t="shared" ca="1" si="28"/>
        <v>0</v>
      </c>
      <c r="J102" s="54">
        <f t="shared" ca="1" si="28"/>
        <v>0</v>
      </c>
      <c r="K102" s="54">
        <f t="shared" ca="1" si="28"/>
        <v>0</v>
      </c>
      <c r="L102" s="54">
        <f t="shared" ca="1" si="28"/>
        <v>0</v>
      </c>
      <c r="M102" s="54">
        <f t="shared" ca="1" si="28"/>
        <v>0</v>
      </c>
    </row>
    <row r="103" spans="2:13">
      <c r="B103" s="102">
        <v>0</v>
      </c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</row>
    <row r="104" spans="2:13" ht="15.75" thickBot="1">
      <c r="B104" s="103" t="str">
        <v>Оттоки по финансовой деятельности</v>
      </c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</row>
    <row r="105" spans="2:13">
      <c r="B105" s="111">
        <v>0</v>
      </c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</row>
    <row r="106" spans="2:13">
      <c r="B106" s="86" t="str">
        <v>Выплата процентов по долгу</v>
      </c>
      <c r="C106" s="46"/>
      <c r="D106" s="47">
        <f>SUM(F106:M106)</f>
        <v>-267718562.89499864</v>
      </c>
      <c r="E106" s="48"/>
      <c r="F106" s="49">
        <f>SUMIF(Отчетность_по_периодам!$F$19:$CK$19,Отчетность_по_годам!F$13,Отчетность_по_периодам!$F119:$CK119)</f>
        <v>-20901123.287671231</v>
      </c>
      <c r="G106" s="49">
        <f>SUMIF(Отчетность_по_периодам!$F$19:$CK$19,Отчетность_по_годам!G$13,Отчетность_по_периодам!$F119:$CK119)</f>
        <v>-74585956.284153</v>
      </c>
      <c r="H106" s="49">
        <f>SUMIF(Отчетность_по_периодам!$F$19:$CK$19,Отчетность_по_годам!H$13,Отчетность_по_периодам!$F119:$CK119)</f>
        <v>-66549021.526418798</v>
      </c>
      <c r="I106" s="49">
        <f>SUMIF(Отчетность_по_периодам!$F$19:$CK$19,Отчетность_по_годам!I$13,Отчетность_по_периодам!$F119:$CK119)</f>
        <v>-50007925.636007845</v>
      </c>
      <c r="J106" s="49">
        <f>SUMIF(Отчетность_по_периодам!$F$19:$CK$19,Отчетность_по_годам!J$13,Отчетность_по_периодам!$F119:$CK119)</f>
        <v>-33079354.207436424</v>
      </c>
      <c r="K106" s="49">
        <f>SUMIF(Отчетность_по_периодам!$F$19:$CK$19,Отчетность_по_годам!K$13,Отчетность_по_периодам!$F119:$CK119)</f>
        <v>-16365729.898516797</v>
      </c>
      <c r="L106" s="49">
        <f>SUMIF(Отчетность_по_периодам!$F$19:$CK$19,Отчетность_по_годам!L$13,Отчетность_по_периодам!$F119:$CK119)</f>
        <v>-5921232.8767123464</v>
      </c>
      <c r="M106" s="49">
        <f>SUMIF(Отчетность_по_периодам!$F$19:$CK$19,Отчетность_по_годам!M$13,Отчетность_по_периодам!$F119:$CK119)</f>
        <v>-308219.17808219575</v>
      </c>
    </row>
    <row r="107" spans="2:13" ht="15.75" thickBot="1">
      <c r="B107" s="86" t="str">
        <v>Погашение займов и кредитов</v>
      </c>
      <c r="C107" s="46"/>
      <c r="D107" s="47">
        <f>SUM(F107:M107)</f>
        <v>-1199999999.9999998</v>
      </c>
      <c r="E107" s="48"/>
      <c r="F107" s="49">
        <f>SUMIF(Отчетность_по_периодам!$F$19:$CK$19,Отчетность_по_годам!F$13,Отчетность_по_периодам!$F120:$CK120)</f>
        <v>0</v>
      </c>
      <c r="G107" s="49">
        <f>SUMIF(Отчетность_по_периодам!$F$19:$CK$19,Отчетность_по_годам!G$13,Отчетность_по_периодам!$F120:$CK120)</f>
        <v>-112500000</v>
      </c>
      <c r="H107" s="49">
        <f>SUMIF(Отчетность_по_периодам!$F$19:$CK$19,Отчетность_по_годам!H$13,Отчетность_по_периодам!$F120:$CK120)</f>
        <v>-214285714.28571424</v>
      </c>
      <c r="I107" s="49">
        <f>SUMIF(Отчетность_по_периодам!$F$19:$CK$19,Отчетность_по_годам!I$13,Отчетность_по_периодам!$F120:$CK120)</f>
        <v>-235714285.71428564</v>
      </c>
      <c r="J107" s="49">
        <f>SUMIF(Отчетность_по_периодам!$F$19:$CK$19,Отчетность_по_годам!J$13,Отчетность_по_периодам!$F120:$CK120)</f>
        <v>-235714285.71428564</v>
      </c>
      <c r="K107" s="49">
        <f>SUMIF(Отчетность_по_периодам!$F$19:$CK$19,Отчетность_по_годам!K$13,Отчетность_по_периодам!$F120:$CK120)</f>
        <v>-214285714.28571424</v>
      </c>
      <c r="L107" s="49">
        <f>SUMIF(Отчетность_по_периодам!$F$19:$CK$19,Отчетность_по_годам!L$13,Отчетность_по_периодам!$F120:$CK120)</f>
        <v>-150000000</v>
      </c>
      <c r="M107" s="49">
        <f>SUMIF(Отчетность_по_периодам!$F$19:$CK$19,Отчетность_по_годам!M$13,Отчетность_по_периодам!$F120:$CK120)</f>
        <v>-37500000</v>
      </c>
    </row>
    <row r="108" spans="2:13" ht="15.75" thickTop="1">
      <c r="B108" s="50" t="str">
        <v xml:space="preserve">Итого </v>
      </c>
      <c r="C108" s="51"/>
      <c r="D108" s="52">
        <f>SUM(F108:M108)</f>
        <v>-1467718562.8949983</v>
      </c>
      <c r="E108" s="53"/>
      <c r="F108" s="54">
        <f>SUM(F106:F107)</f>
        <v>-20901123.287671231</v>
      </c>
      <c r="G108" s="54">
        <f t="shared" ref="G108:M108" si="29">SUM(G106:G107)</f>
        <v>-187085956.28415298</v>
      </c>
      <c r="H108" s="54">
        <f t="shared" si="29"/>
        <v>-280834735.81213301</v>
      </c>
      <c r="I108" s="54">
        <f t="shared" si="29"/>
        <v>-285722211.35029352</v>
      </c>
      <c r="J108" s="54">
        <f t="shared" si="29"/>
        <v>-268793639.92172205</v>
      </c>
      <c r="K108" s="54">
        <f t="shared" si="29"/>
        <v>-230651444.18423104</v>
      </c>
      <c r="L108" s="54">
        <f t="shared" si="29"/>
        <v>-155921232.87671235</v>
      </c>
      <c r="M108" s="54">
        <f t="shared" si="29"/>
        <v>-37808219.178082198</v>
      </c>
    </row>
    <row r="109" spans="2:13" ht="15.75" thickBot="1">
      <c r="B109" s="102">
        <v>0</v>
      </c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</row>
    <row r="110" spans="2:13" ht="16.5" thickTop="1" thickBot="1">
      <c r="B110" s="105" t="str">
        <v>Итого по финансовой деятельности</v>
      </c>
      <c r="C110" s="106"/>
      <c r="D110" s="107">
        <f ca="1">SUM(F110:M110)</f>
        <v>-267708562.89499831</v>
      </c>
      <c r="E110" s="108"/>
      <c r="F110" s="109">
        <f ca="1">SUM(F102,F108)</f>
        <v>936108876.71232879</v>
      </c>
      <c r="G110" s="109">
        <f t="shared" ref="G110:M110" ca="1" si="30">SUM(G102,G108)</f>
        <v>55914043.715847015</v>
      </c>
      <c r="H110" s="109">
        <f t="shared" ca="1" si="30"/>
        <v>-280834735.81213301</v>
      </c>
      <c r="I110" s="109">
        <f t="shared" ca="1" si="30"/>
        <v>-285722211.35029352</v>
      </c>
      <c r="J110" s="109">
        <f t="shared" ca="1" si="30"/>
        <v>-268793639.92172205</v>
      </c>
      <c r="K110" s="109">
        <f t="shared" ca="1" si="30"/>
        <v>-230651444.18423104</v>
      </c>
      <c r="L110" s="109">
        <f t="shared" ca="1" si="30"/>
        <v>-155921232.87671235</v>
      </c>
      <c r="M110" s="109">
        <f t="shared" ca="1" si="30"/>
        <v>-37808219.178082198</v>
      </c>
    </row>
    <row r="111" spans="2:13" ht="15.75" thickTop="1">
      <c r="B111" s="102">
        <v>0</v>
      </c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</row>
    <row r="112" spans="2:13" ht="18" thickBot="1">
      <c r="B112" s="110" t="str">
        <v>Сальдо денежных потоков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</row>
    <row r="113" spans="2:13" ht="16.5" thickTop="1" thickBot="1">
      <c r="B113" s="102">
        <v>0</v>
      </c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</row>
    <row r="114" spans="2:13" ht="16.5" thickTop="1" thickBot="1">
      <c r="B114" s="105" t="str">
        <v>Чистое изменение денежных средств</v>
      </c>
      <c r="C114" s="106"/>
      <c r="D114" s="107">
        <f ca="1">SUM(F114:M114)</f>
        <v>3644994784.4412141</v>
      </c>
      <c r="E114" s="108"/>
      <c r="F114" s="109">
        <f ca="1">SUM(F85,F94,F110)</f>
        <v>4498876.7123287916</v>
      </c>
      <c r="G114" s="109">
        <f t="shared" ref="G114:M114" ca="1" si="31">SUM(G85,G94,G110)</f>
        <v>36154361.326706231</v>
      </c>
      <c r="H114" s="109">
        <f t="shared" ca="1" si="31"/>
        <v>37490011.85582149</v>
      </c>
      <c r="I114" s="109">
        <f t="shared" ca="1" si="31"/>
        <v>455573161.0459578</v>
      </c>
      <c r="J114" s="109">
        <f t="shared" ca="1" si="31"/>
        <v>831136544.33048761</v>
      </c>
      <c r="K114" s="109">
        <f t="shared" ca="1" si="31"/>
        <v>935663198.34644747</v>
      </c>
      <c r="L114" s="109">
        <f t="shared" ca="1" si="31"/>
        <v>1067291492.9963808</v>
      </c>
      <c r="M114" s="109">
        <f t="shared" ca="1" si="31"/>
        <v>277187137.82708418</v>
      </c>
    </row>
    <row r="115" spans="2:13" ht="16.5" thickTop="1" thickBot="1">
      <c r="B115" s="102">
        <v>0</v>
      </c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</row>
    <row r="116" spans="2:13" ht="15.75" thickTop="1">
      <c r="B116" s="50" t="str">
        <v>Сальдо на начало периода</v>
      </c>
      <c r="C116" s="51"/>
      <c r="D116" s="52"/>
      <c r="E116" s="53"/>
      <c r="F116" s="54">
        <f>D117</f>
        <v>0</v>
      </c>
      <c r="G116" s="54">
        <f t="shared" ref="G116:M116" si="32">E117</f>
        <v>0</v>
      </c>
      <c r="H116" s="54">
        <f t="shared" ca="1" si="32"/>
        <v>4498876.7123287916</v>
      </c>
      <c r="I116" s="54">
        <f t="shared" ca="1" si="32"/>
        <v>36154361.326706231</v>
      </c>
      <c r="J116" s="54">
        <f t="shared" ca="1" si="32"/>
        <v>41988888.568150282</v>
      </c>
      <c r="K116" s="54">
        <f t="shared" ca="1" si="32"/>
        <v>491727522.37266403</v>
      </c>
      <c r="L116" s="54">
        <f t="shared" ca="1" si="32"/>
        <v>873125432.89863789</v>
      </c>
      <c r="M116" s="54">
        <f t="shared" ca="1" si="32"/>
        <v>1427390720.7191114</v>
      </c>
    </row>
    <row r="117" spans="2:13" ht="15.75" thickBot="1">
      <c r="B117" s="112" t="str">
        <v>Сальдо на конец периода</v>
      </c>
      <c r="C117" s="113"/>
      <c r="D117" s="114"/>
      <c r="E117" s="115"/>
      <c r="F117" s="116">
        <f ca="1">SUM(F114:F116)</f>
        <v>4498876.7123287916</v>
      </c>
      <c r="G117" s="116">
        <f t="shared" ref="G117:M117" ca="1" si="33">SUM(G114:G116)</f>
        <v>36154361.326706231</v>
      </c>
      <c r="H117" s="116">
        <f t="shared" ca="1" si="33"/>
        <v>41988888.568150282</v>
      </c>
      <c r="I117" s="116">
        <f t="shared" ca="1" si="33"/>
        <v>491727522.37266403</v>
      </c>
      <c r="J117" s="116">
        <f t="shared" ca="1" si="33"/>
        <v>873125432.89863789</v>
      </c>
      <c r="K117" s="116">
        <f t="shared" ca="1" si="33"/>
        <v>1427390720.7191114</v>
      </c>
      <c r="L117" s="116">
        <f t="shared" ca="1" si="33"/>
        <v>1940416925.8950186</v>
      </c>
      <c r="M117" s="116">
        <f t="shared" ca="1" si="33"/>
        <v>1704577858.5461955</v>
      </c>
    </row>
    <row r="118" spans="2:13" ht="15.75" thickTop="1"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</row>
    <row r="119" spans="2:13" ht="15.75" thickBot="1">
      <c r="B119" s="96" t="s">
        <v>581</v>
      </c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</row>
    <row r="120" spans="2:13"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</row>
    <row r="121" spans="2:13">
      <c r="B121" s="32" t="s">
        <v>89</v>
      </c>
      <c r="C121" s="33"/>
      <c r="D121" s="33"/>
      <c r="E121" s="34">
        <f ca="1">IF(ROUND(D114,1)=ROUND(Отчетность_по_периодам!D127,1),1,0)</f>
        <v>1</v>
      </c>
      <c r="F121" s="14"/>
      <c r="G121" s="14"/>
      <c r="H121" s="14"/>
      <c r="I121" s="14"/>
      <c r="J121" s="14"/>
      <c r="K121" s="14"/>
      <c r="L121" s="14"/>
      <c r="M121" s="14"/>
    </row>
    <row r="122" spans="2:13"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</row>
    <row r="123" spans="2:13" ht="20.25" thickBot="1">
      <c r="B123" s="26" t="str">
        <f>"Баланс, в "&amp;Ед_измерения_денег</f>
        <v>Баланс, в  руб.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</row>
    <row r="124" spans="2:13" ht="15.75" thickTop="1"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</row>
    <row r="125" spans="2:13" ht="18" thickBot="1">
      <c r="B125" s="100" t="str">
        <f t="array" ref="B125:B165">Отчетность_по_периодам!B138:B180</f>
        <v>Активы</v>
      </c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</row>
    <row r="126" spans="2:13" ht="15.75" thickTop="1">
      <c r="B126" s="117">
        <v>0</v>
      </c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</row>
    <row r="127" spans="2:13" ht="15.75" thickBot="1">
      <c r="B127" s="103" t="str">
        <v>Внеоборотные активы</v>
      </c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</row>
    <row r="128" spans="2:13">
      <c r="B128" s="102">
        <v>0</v>
      </c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</row>
    <row r="129" spans="2:13" ht="15.75" thickBot="1">
      <c r="B129" s="86" t="str">
        <v>Основные средства</v>
      </c>
      <c r="C129" s="118"/>
      <c r="D129" s="56"/>
      <c r="E129" s="119"/>
      <c r="F129" s="49">
        <f ca="1">LOOKUP(F$9,Отчетность_по_периодам!$F$9:$CK$9,Отчетность_по_периодам!$F142:$CK142)</f>
        <v>0</v>
      </c>
      <c r="G129" s="49">
        <f ca="1">LOOKUP(G$9,Отчетность_по_периодам!$F$9:$CK$9,Отчетность_по_периодам!$F142:$CK142)</f>
        <v>941558441.55844152</v>
      </c>
      <c r="H129" s="49">
        <f ca="1">LOOKUP(H$9,Отчетность_по_периодам!$F$9:$CK$9,Отчетность_по_периодам!$F142:$CK142)</f>
        <v>790909090.90909088</v>
      </c>
      <c r="I129" s="49">
        <f ca="1">LOOKUP(I$9,Отчетность_по_периодам!$F$9:$CK$9,Отчетность_по_периодам!$F142:$CK142)</f>
        <v>640259740.25974023</v>
      </c>
      <c r="J129" s="49">
        <f ca="1">LOOKUP(J$9,Отчетность_по_периодам!$F$9:$CK$9,Отчетность_по_периодам!$F142:$CK142)</f>
        <v>489610389.61038959</v>
      </c>
      <c r="K129" s="49">
        <f ca="1">LOOKUP(K$9,Отчетность_по_периодам!$F$9:$CK$9,Отчетность_по_периодам!$F142:$CK142)</f>
        <v>338961038.96103895</v>
      </c>
      <c r="L129" s="49">
        <f ca="1">LOOKUP(L$9,Отчетность_по_периодам!$F$9:$CK$9,Отчетность_по_периодам!$F142:$CK142)</f>
        <v>188311688.3116883</v>
      </c>
      <c r="M129" s="49">
        <f ca="1">LOOKUP(M$9,Отчетность_по_периодам!$F$9:$CK$9,Отчетность_по_периодам!$F142:$CK142)</f>
        <v>150649350.64935064</v>
      </c>
    </row>
    <row r="130" spans="2:13" ht="15.75" thickTop="1">
      <c r="B130" s="50" t="str">
        <v>Итого внеоборотных активов</v>
      </c>
      <c r="C130" s="58"/>
      <c r="D130" s="59"/>
      <c r="E130" s="60"/>
      <c r="F130" s="54">
        <f ca="1">SUM(F129)</f>
        <v>0</v>
      </c>
      <c r="G130" s="54">
        <f t="shared" ref="G130:M130" ca="1" si="34">SUM(G129)</f>
        <v>941558441.55844152</v>
      </c>
      <c r="H130" s="54">
        <f t="shared" ca="1" si="34"/>
        <v>790909090.90909088</v>
      </c>
      <c r="I130" s="54">
        <f t="shared" ca="1" si="34"/>
        <v>640259740.25974023</v>
      </c>
      <c r="J130" s="54">
        <f t="shared" ca="1" si="34"/>
        <v>489610389.61038959</v>
      </c>
      <c r="K130" s="54">
        <f t="shared" ca="1" si="34"/>
        <v>338961038.96103895</v>
      </c>
      <c r="L130" s="54">
        <f t="shared" ca="1" si="34"/>
        <v>188311688.3116883</v>
      </c>
      <c r="M130" s="54">
        <f t="shared" ca="1" si="34"/>
        <v>150649350.64935064</v>
      </c>
    </row>
    <row r="131" spans="2:13">
      <c r="B131" s="13">
        <v>0</v>
      </c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</row>
    <row r="132" spans="2:13" ht="15.75" thickBot="1">
      <c r="B132" s="103" t="str">
        <v>Оборотные активы</v>
      </c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</row>
    <row r="133" spans="2:13">
      <c r="B133" s="102">
        <v>0</v>
      </c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</row>
    <row r="134" spans="2:13">
      <c r="B134" s="86" t="str">
        <v>Денежные средства</v>
      </c>
      <c r="C134" s="118"/>
      <c r="D134" s="56"/>
      <c r="E134" s="119"/>
      <c r="F134" s="49">
        <f ca="1">LOOKUP(F$9,Отчетность_по_периодам!$F$9:$CK$9,Отчетность_по_периодам!$F147:$CK147)</f>
        <v>4498876.7123287618</v>
      </c>
      <c r="G134" s="49">
        <f ca="1">LOOKUP(G$9,Отчетность_по_периодам!$F$9:$CK$9,Отчетность_по_периодам!$F147:$CK147)</f>
        <v>40653238.039035067</v>
      </c>
      <c r="H134" s="49">
        <f ca="1">LOOKUP(H$9,Отчетность_по_периодам!$F$9:$CK$9,Отчетность_по_периодам!$F147:$CK147)</f>
        <v>78143249.894856468</v>
      </c>
      <c r="I134" s="49">
        <f ca="1">LOOKUP(I$9,Отчетность_по_периодам!$F$9:$CK$9,Отчетность_по_периодам!$F147:$CK147)</f>
        <v>533716410.94081408</v>
      </c>
      <c r="J134" s="49">
        <f ca="1">LOOKUP(J$9,Отчетность_по_периодам!$F$9:$CK$9,Отчетность_по_периодам!$F147:$CK147)</f>
        <v>1364852955.271301</v>
      </c>
      <c r="K134" s="49">
        <f ca="1">LOOKUP(K$9,Отчетность_по_периодам!$F$9:$CK$9,Отчетность_по_периодам!$F147:$CK147)</f>
        <v>2300516153.6177487</v>
      </c>
      <c r="L134" s="49">
        <f ca="1">LOOKUP(L$9,Отчетность_по_периодам!$F$9:$CK$9,Отчетность_по_периодам!$F147:$CK147)</f>
        <v>3367807646.6141291</v>
      </c>
      <c r="M134" s="49">
        <f ca="1">LOOKUP(M$9,Отчетность_по_периодам!$F$9:$CK$9,Отчетность_по_периодам!$F147:$CK147)</f>
        <v>3644994784.4412136</v>
      </c>
    </row>
    <row r="135" spans="2:13">
      <c r="B135" s="86" t="str">
        <v xml:space="preserve">Дебиторская задолженность </v>
      </c>
      <c r="C135" s="118"/>
      <c r="D135" s="56"/>
      <c r="E135" s="119"/>
      <c r="F135" s="49">
        <f ca="1">LOOKUP(F$9,Отчетность_по_периодам!$F$9:$CK$9,Отчетность_по_периодам!$F148:$CK148)</f>
        <v>931610000</v>
      </c>
      <c r="G135" s="49">
        <f ca="1">LOOKUP(G$9,Отчетность_по_периодам!$F$9:$CK$9,Отчетность_по_периодам!$F148:$CK148)</f>
        <v>84582260.383651137</v>
      </c>
      <c r="H135" s="49">
        <f ca="1">LOOKUP(H$9,Отчетность_по_периодам!$F$9:$CK$9,Отчетность_по_периодам!$F148:$CK148)</f>
        <v>128573944.8912687</v>
      </c>
      <c r="I135" s="49">
        <f ca="1">LOOKUP(I$9,Отчетность_по_периодам!$F$9:$CK$9,Отчетность_по_периодам!$F148:$CK148)</f>
        <v>184829071.96331811</v>
      </c>
      <c r="J135" s="49">
        <f ca="1">LOOKUP(J$9,Отчетность_по_периодам!$F$9:$CK$9,Отчетность_по_периодам!$F148:$CK148)</f>
        <v>207077555.93693185</v>
      </c>
      <c r="K135" s="49">
        <f ca="1">LOOKUP(K$9,Отчетность_по_периодам!$F$9:$CK$9,Отчетность_по_периодам!$F148:$CK148)</f>
        <v>217431433.73377845</v>
      </c>
      <c r="L135" s="49">
        <f ca="1">LOOKUP(L$9,Отчетность_по_периодам!$F$9:$CK$9,Отчетность_по_периодам!$F148:$CK148)</f>
        <v>228303005.42046759</v>
      </c>
      <c r="M135" s="49">
        <f ca="1">LOOKUP(M$9,Отчетность_по_периодам!$F$9:$CK$9,Отчетность_по_периодам!$F148:$CK148)</f>
        <v>231066181.44150352</v>
      </c>
    </row>
    <row r="136" spans="2:13">
      <c r="B136" s="86" t="str">
        <v>Задолженность бюджета по НДС</v>
      </c>
      <c r="C136" s="118"/>
      <c r="D136" s="56"/>
      <c r="E136" s="119"/>
      <c r="F136" s="49">
        <f ca="1">LOOKUP(F$9,Отчетность_по_периодам!$F$9:$CK$9,Отчетность_по_периодам!$F149:$CK149)</f>
        <v>84691818.181818187</v>
      </c>
      <c r="G136" s="49">
        <f ca="1">LOOKUP(G$9,Отчетность_по_периодам!$F$9:$CK$9,Отчетность_по_периодам!$F149:$CK149)</f>
        <v>0</v>
      </c>
      <c r="H136" s="49">
        <f ca="1">LOOKUP(H$9,Отчетность_по_периодам!$F$9:$CK$9,Отчетность_по_периодам!$F149:$CK149)</f>
        <v>0</v>
      </c>
      <c r="I136" s="49">
        <f ca="1">LOOKUP(I$9,Отчетность_по_периодам!$F$9:$CK$9,Отчетность_по_периодам!$F149:$CK149)</f>
        <v>0</v>
      </c>
      <c r="J136" s="49">
        <f ca="1">LOOKUP(J$9,Отчетность_по_периодам!$F$9:$CK$9,Отчетность_по_периодам!$F149:$CK149)</f>
        <v>0</v>
      </c>
      <c r="K136" s="49">
        <f ca="1">LOOKUP(K$9,Отчетность_по_периодам!$F$9:$CK$9,Отчетность_по_периодам!$F149:$CK149)</f>
        <v>0</v>
      </c>
      <c r="L136" s="49">
        <f ca="1">LOOKUP(L$9,Отчетность_по_периодам!$F$9:$CK$9,Отчетность_по_периодам!$F149:$CK149)</f>
        <v>0</v>
      </c>
      <c r="M136" s="49">
        <f ca="1">LOOKUP(M$9,Отчетность_по_периодам!$F$9:$CK$9,Отчетность_по_периодам!$F149:$CK149)</f>
        <v>0</v>
      </c>
    </row>
    <row r="137" spans="2:13">
      <c r="B137" s="86" t="str">
        <v>Задолженность бюджета по НДС (резерв до подачи налоговой декларации)</v>
      </c>
      <c r="C137" s="118"/>
      <c r="D137" s="56"/>
      <c r="E137" s="119"/>
      <c r="F137" s="49">
        <f ca="1">LOOKUP(F$9,Отчетность_по_периодам!$F$9:$CK$9,Отчетность_по_периодам!$F150:$CK150)</f>
        <v>0</v>
      </c>
      <c r="G137" s="49">
        <f ca="1">LOOKUP(G$9,Отчетность_по_периодам!$F$9:$CK$9,Отчетность_по_периодам!$F150:$CK150)</f>
        <v>0</v>
      </c>
      <c r="H137" s="49">
        <f ca="1">LOOKUP(H$9,Отчетность_по_периодам!$F$9:$CK$9,Отчетность_по_периодам!$F150:$CK150)</f>
        <v>0</v>
      </c>
      <c r="I137" s="49">
        <f ca="1">LOOKUP(I$9,Отчетность_по_периодам!$F$9:$CK$9,Отчетность_по_периодам!$F150:$CK150)</f>
        <v>0</v>
      </c>
      <c r="J137" s="49">
        <f ca="1">LOOKUP(J$9,Отчетность_по_периодам!$F$9:$CK$9,Отчетность_по_периодам!$F150:$CK150)</f>
        <v>0</v>
      </c>
      <c r="K137" s="49">
        <f ca="1">LOOKUP(K$9,Отчетность_по_периодам!$F$9:$CK$9,Отчетность_по_периодам!$F150:$CK150)</f>
        <v>0</v>
      </c>
      <c r="L137" s="49">
        <f ca="1">LOOKUP(L$9,Отчетность_по_периодам!$F$9:$CK$9,Отчетность_по_периодам!$F150:$CK150)</f>
        <v>0</v>
      </c>
      <c r="M137" s="49">
        <f ca="1">LOOKUP(M$9,Отчетность_по_периодам!$F$9:$CK$9,Отчетность_по_периодам!$F150:$CK150)</f>
        <v>0</v>
      </c>
    </row>
    <row r="138" spans="2:13" ht="15.75" thickBot="1">
      <c r="B138" s="86" t="str">
        <v>Запасы</v>
      </c>
      <c r="C138" s="118"/>
      <c r="D138" s="56"/>
      <c r="E138" s="119"/>
      <c r="F138" s="49">
        <f ca="1">LOOKUP(F$9,Отчетность_по_периодам!$F$9:$CK$9,Отчетность_по_периодам!$F151:$CK151)</f>
        <v>0</v>
      </c>
      <c r="G138" s="49">
        <f ca="1">LOOKUP(G$9,Отчетность_по_периодам!$F$9:$CK$9,Отчетность_по_периодам!$F151:$CK151)</f>
        <v>30738714.92001012</v>
      </c>
      <c r="H138" s="49">
        <f ca="1">LOOKUP(H$9,Отчетность_по_периодам!$F$9:$CK$9,Отчетность_по_периодам!$F151:$CK151)</f>
        <v>41682101.966087125</v>
      </c>
      <c r="I138" s="49">
        <f ca="1">LOOKUP(I$9,Отчетность_по_периодам!$F$9:$CK$9,Отчетность_по_периодам!$F151:$CK151)</f>
        <v>49139868.579397663</v>
      </c>
      <c r="J138" s="49">
        <f ca="1">LOOKUP(J$9,Отчетность_по_периодам!$F$9:$CK$9,Отчетность_по_периодам!$F151:$CK151)</f>
        <v>52183991.82534264</v>
      </c>
      <c r="K138" s="49">
        <f ca="1">LOOKUP(K$9,Отчетность_по_периодам!$F$9:$CK$9,Отчетность_по_периодам!$F151:$CK151)</f>
        <v>54897559.400260463</v>
      </c>
      <c r="L138" s="49">
        <f ca="1">LOOKUP(L$9,Отчетность_по_периодам!$F$9:$CK$9,Отчетность_по_периодам!$F151:$CK151)</f>
        <v>57752232.489074066</v>
      </c>
      <c r="M138" s="49">
        <f ca="1">LOOKUP(M$9,Отчетность_по_периодам!$F$9:$CK$9,Отчетность_по_периодам!$F151:$CK151)</f>
        <v>58478646.967147261</v>
      </c>
    </row>
    <row r="139" spans="2:13" ht="15.75" thickTop="1">
      <c r="B139" s="50" t="str">
        <v>Итого оборотных активов</v>
      </c>
      <c r="C139" s="58"/>
      <c r="D139" s="59"/>
      <c r="E139" s="60"/>
      <c r="F139" s="54">
        <f ca="1">SUM(F134:F138)</f>
        <v>1020800694.8941469</v>
      </c>
      <c r="G139" s="54">
        <f t="shared" ref="G139:M139" ca="1" si="35">SUM(G134:G138)</f>
        <v>155974213.34269631</v>
      </c>
      <c r="H139" s="54">
        <f t="shared" ca="1" si="35"/>
        <v>248399296.75221232</v>
      </c>
      <c r="I139" s="54">
        <f t="shared" ca="1" si="35"/>
        <v>767685351.48352981</v>
      </c>
      <c r="J139" s="54">
        <f t="shared" ca="1" si="35"/>
        <v>1624114503.0335755</v>
      </c>
      <c r="K139" s="54">
        <f t="shared" ca="1" si="35"/>
        <v>2572845146.7517877</v>
      </c>
      <c r="L139" s="54">
        <f t="shared" ca="1" si="35"/>
        <v>3653862884.5236707</v>
      </c>
      <c r="M139" s="54">
        <f t="shared" ca="1" si="35"/>
        <v>3934539612.8498645</v>
      </c>
    </row>
    <row r="140" spans="2:13" ht="15.75" thickBot="1">
      <c r="B140" s="120">
        <v>0</v>
      </c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</row>
    <row r="141" spans="2:13" ht="16.5" thickTop="1" thickBot="1">
      <c r="B141" s="105" t="str">
        <v>ИТОГО АКТИВЫ</v>
      </c>
      <c r="C141" s="121"/>
      <c r="D141" s="122"/>
      <c r="E141" s="123"/>
      <c r="F141" s="109">
        <f ca="1">SUM(F139,F130)</f>
        <v>1020800694.8941469</v>
      </c>
      <c r="G141" s="109">
        <f t="shared" ref="G141:M141" ca="1" si="36">SUM(G139,G130)</f>
        <v>1097532654.9011378</v>
      </c>
      <c r="H141" s="109">
        <f t="shared" ca="1" si="36"/>
        <v>1039308387.6613032</v>
      </c>
      <c r="I141" s="109">
        <f t="shared" ca="1" si="36"/>
        <v>1407945091.7432699</v>
      </c>
      <c r="J141" s="109">
        <f t="shared" ca="1" si="36"/>
        <v>2113724892.6439652</v>
      </c>
      <c r="K141" s="109">
        <f t="shared" ca="1" si="36"/>
        <v>2911806185.7128267</v>
      </c>
      <c r="L141" s="109">
        <f t="shared" ca="1" si="36"/>
        <v>3842174572.8353591</v>
      </c>
      <c r="M141" s="109">
        <f t="shared" ca="1" si="36"/>
        <v>4085188963.4992151</v>
      </c>
    </row>
    <row r="142" spans="2:13" ht="15.75" thickTop="1">
      <c r="B142" s="13">
        <v>0</v>
      </c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</row>
    <row r="143" spans="2:13" ht="18" thickBot="1">
      <c r="B143" s="110" t="str">
        <v>Пассивы</v>
      </c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</row>
    <row r="144" spans="2:13" ht="15.75" thickTop="1">
      <c r="B144" s="117">
        <v>0</v>
      </c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</row>
    <row r="145" spans="2:13" ht="15.75" thickBot="1">
      <c r="B145" s="103" t="str">
        <v>Капитал и резервы</v>
      </c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</row>
    <row r="146" spans="2:13">
      <c r="B146" s="102">
        <v>0</v>
      </c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</row>
    <row r="147" spans="2:13">
      <c r="B147" s="86" t="str">
        <v>Уставный капитал</v>
      </c>
      <c r="C147" s="118"/>
      <c r="D147" s="56"/>
      <c r="E147" s="119"/>
      <c r="F147" s="49">
        <f ca="1">LOOKUP(F$9,Отчетность_по_периодам!$F$9:$CK$9,Отчетность_по_периодам!$F160:$CK160)</f>
        <v>10000</v>
      </c>
      <c r="G147" s="49">
        <f ca="1">LOOKUP(G$9,Отчетность_по_периодам!$F$9:$CK$9,Отчетность_по_периодам!$F160:$CK160)</f>
        <v>10000</v>
      </c>
      <c r="H147" s="49">
        <f ca="1">LOOKUP(H$9,Отчетность_по_периодам!$F$9:$CK$9,Отчетность_по_периодам!$F160:$CK160)</f>
        <v>10000</v>
      </c>
      <c r="I147" s="49">
        <f ca="1">LOOKUP(I$9,Отчетность_по_периодам!$F$9:$CK$9,Отчетность_по_периодам!$F160:$CK160)</f>
        <v>10000</v>
      </c>
      <c r="J147" s="49">
        <f ca="1">LOOKUP(J$9,Отчетность_по_периодам!$F$9:$CK$9,Отчетность_по_периодам!$F160:$CK160)</f>
        <v>10000</v>
      </c>
      <c r="K147" s="49">
        <f ca="1">LOOKUP(K$9,Отчетность_по_периодам!$F$9:$CK$9,Отчетность_по_периодам!$F160:$CK160)</f>
        <v>10000</v>
      </c>
      <c r="L147" s="49">
        <f ca="1">LOOKUP(L$9,Отчетность_по_периодам!$F$9:$CK$9,Отчетность_по_периодам!$F160:$CK160)</f>
        <v>10000</v>
      </c>
      <c r="M147" s="49">
        <f ca="1">LOOKUP(M$9,Отчетность_по_периодам!$F$9:$CK$9,Отчетность_по_периодам!$F160:$CK160)</f>
        <v>10000</v>
      </c>
    </row>
    <row r="148" spans="2:13" ht="15.75" thickBot="1">
      <c r="B148" s="86" t="str">
        <v>Нераспределенная прибыль</v>
      </c>
      <c r="C148" s="118"/>
      <c r="D148" s="56"/>
      <c r="E148" s="119"/>
      <c r="F148" s="49">
        <f ca="1">LOOKUP(F$9,Отчетность_по_периодам!$F$9:$CK$9,Отчетность_по_периодам!$F161:$CK161)</f>
        <v>-20901123.287671231</v>
      </c>
      <c r="G148" s="49">
        <f ca="1">LOOKUP(G$9,Отчетность_по_периодам!$F$9:$CK$9,Отчетность_по_периодам!$F161:$CK161)</f>
        <v>-42205635.645462602</v>
      </c>
      <c r="H148" s="49">
        <f ca="1">LOOKUP(H$9,Отчетность_по_периодам!$F$9:$CK$9,Отчетность_по_периодам!$F161:$CK161)</f>
        <v>94317603.107308447</v>
      </c>
      <c r="I148" s="49">
        <f ca="1">LOOKUP(I$9,Отчетность_по_периодам!$F$9:$CK$9,Отчетность_по_периодам!$F161:$CK161)</f>
        <v>662628837.03808975</v>
      </c>
      <c r="J148" s="49">
        <f ca="1">LOOKUP(J$9,Отчетность_по_периодам!$F$9:$CK$9,Отчетность_по_периодам!$F161:$CK161)</f>
        <v>1585982854.0926387</v>
      </c>
      <c r="K148" s="49">
        <f ca="1">LOOKUP(K$9,Отчетность_по_периодам!$F$9:$CK$9,Отчетность_по_периодам!$F161:$CK161)</f>
        <v>2591268034.3245382</v>
      </c>
      <c r="L148" s="49">
        <f ca="1">LOOKUP(L$9,Отчетность_по_периодам!$F$9:$CK$9,Отчетность_по_периодам!$F161:$CK161)</f>
        <v>3664479372.9549274</v>
      </c>
      <c r="M148" s="49">
        <f ca="1">LOOKUP(M$9,Отчетность_по_периодам!$F$9:$CK$9,Отчетность_по_периодам!$F161:$CK161)</f>
        <v>3961103468.1441512</v>
      </c>
    </row>
    <row r="149" spans="2:13" ht="15.75" thickTop="1">
      <c r="B149" s="50" t="str">
        <v>Итого капитал</v>
      </c>
      <c r="C149" s="58"/>
      <c r="D149" s="59"/>
      <c r="E149" s="60"/>
      <c r="F149" s="54">
        <f ca="1">SUM(F145:F148)</f>
        <v>-20891123.287671231</v>
      </c>
      <c r="G149" s="54">
        <f t="shared" ref="G149:M149" ca="1" si="37">SUM(G145:G148)</f>
        <v>-42195635.645462602</v>
      </c>
      <c r="H149" s="54">
        <f t="shared" ca="1" si="37"/>
        <v>94327603.107308447</v>
      </c>
      <c r="I149" s="54">
        <f t="shared" ca="1" si="37"/>
        <v>662638837.03808975</v>
      </c>
      <c r="J149" s="54">
        <f t="shared" ca="1" si="37"/>
        <v>1585992854.0926387</v>
      </c>
      <c r="K149" s="54">
        <f t="shared" ca="1" si="37"/>
        <v>2591278034.3245382</v>
      </c>
      <c r="L149" s="54">
        <f t="shared" ca="1" si="37"/>
        <v>3664489372.9549274</v>
      </c>
      <c r="M149" s="54">
        <f t="shared" ca="1" si="37"/>
        <v>3961113468.1441512</v>
      </c>
    </row>
    <row r="150" spans="2:13">
      <c r="B150" s="120">
        <v>0</v>
      </c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</row>
    <row r="151" spans="2:13" ht="15.75" thickBot="1">
      <c r="B151" s="103" t="str">
        <v>Долгосрочные обязательства</v>
      </c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</row>
    <row r="152" spans="2:13">
      <c r="B152" s="102">
        <v>0</v>
      </c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</row>
    <row r="153" spans="2:13">
      <c r="B153" s="86" t="str">
        <v>Долгосрочные займы и кредиты</v>
      </c>
      <c r="C153" s="118"/>
      <c r="D153" s="56"/>
      <c r="E153" s="119"/>
      <c r="F153" s="49">
        <f>LOOKUP(F$9,Отчетность_по_периодам!$F$9:$CK$9,Отчетность_по_периодам!$F166:$CK166)</f>
        <v>957000000</v>
      </c>
      <c r="G153" s="49">
        <f>LOOKUP(G$9,Отчетность_по_периодам!$F$9:$CK$9,Отчетность_по_периодам!$F166:$CK166)</f>
        <v>1087500000</v>
      </c>
      <c r="H153" s="49">
        <f>LOOKUP(H$9,Отчетность_по_периодам!$F$9:$CK$9,Отчетность_по_периодам!$F166:$CK166)</f>
        <v>873214285.71428525</v>
      </c>
      <c r="I153" s="49">
        <f>LOOKUP(I$9,Отчетность_по_периодам!$F$9:$CK$9,Отчетность_по_периодам!$F166:$CK166)</f>
        <v>637499999.99999893</v>
      </c>
      <c r="J153" s="49">
        <f>LOOKUP(J$9,Отчетность_по_периодам!$F$9:$CK$9,Отчетность_по_периодам!$F166:$CK166)</f>
        <v>401785714.28571302</v>
      </c>
      <c r="K153" s="49">
        <f>LOOKUP(K$9,Отчетность_по_периодам!$F$9:$CK$9,Отчетность_по_периодам!$F166:$CK166)</f>
        <v>187499999.99999881</v>
      </c>
      <c r="L153" s="49">
        <f>LOOKUP(L$9,Отчетность_по_периодам!$F$9:$CK$9,Отчетность_по_периодам!$F166:$CK166)</f>
        <v>37499999.999998808</v>
      </c>
      <c r="M153" s="49">
        <f>LOOKUP(M$9,Отчетность_по_периодам!$F$9:$CK$9,Отчетность_по_периодам!$F166:$CK166)</f>
        <v>-1.1920928955078125E-6</v>
      </c>
    </row>
    <row r="154" spans="2:13" ht="15.75" thickBot="1">
      <c r="B154" s="86" t="str">
        <v>Задолженность по процентам</v>
      </c>
      <c r="C154" s="118"/>
      <c r="D154" s="56"/>
      <c r="E154" s="119"/>
      <c r="F154" s="49">
        <f>LOOKUP(F$9,Отчетность_по_периодам!$F$9:$CK$9,Отчетность_по_периодам!$F167:$CK167)</f>
        <v>0</v>
      </c>
      <c r="G154" s="49">
        <f>LOOKUP(G$9,Отчетность_по_периодам!$F$9:$CK$9,Отчетность_по_периодам!$F167:$CK167)</f>
        <v>0</v>
      </c>
      <c r="H154" s="49">
        <f>LOOKUP(H$9,Отчетность_по_периодам!$F$9:$CK$9,Отчетность_по_периодам!$F167:$CK167)</f>
        <v>0</v>
      </c>
      <c r="I154" s="49">
        <f>LOOKUP(I$9,Отчетность_по_периодам!$F$9:$CK$9,Отчетность_по_периодам!$F167:$CK167)</f>
        <v>0</v>
      </c>
      <c r="J154" s="49">
        <f>LOOKUP(J$9,Отчетность_по_периодам!$F$9:$CK$9,Отчетность_по_периодам!$F167:$CK167)</f>
        <v>0</v>
      </c>
      <c r="K154" s="49">
        <f>LOOKUP(K$9,Отчетность_по_периодам!$F$9:$CK$9,Отчетность_по_периодам!$F167:$CK167)</f>
        <v>0</v>
      </c>
      <c r="L154" s="49">
        <f>LOOKUP(L$9,Отчетность_по_периодам!$F$9:$CK$9,Отчетность_по_периодам!$F167:$CK167)</f>
        <v>0</v>
      </c>
      <c r="M154" s="49">
        <f>LOOKUP(M$9,Отчетность_по_периодам!$F$9:$CK$9,Отчетность_по_периодам!$F167:$CK167)</f>
        <v>0</v>
      </c>
    </row>
    <row r="155" spans="2:13" ht="15.75" thickTop="1">
      <c r="B155" s="50" t="str">
        <v>Итого долгосрочных обязательств</v>
      </c>
      <c r="C155" s="58"/>
      <c r="D155" s="59"/>
      <c r="E155" s="60"/>
      <c r="F155" s="54">
        <f>SUM(F151:F154)</f>
        <v>957000000</v>
      </c>
      <c r="G155" s="54">
        <f t="shared" ref="G155:M155" si="38">SUM(G151:G154)</f>
        <v>1087500000</v>
      </c>
      <c r="H155" s="54">
        <f t="shared" si="38"/>
        <v>873214285.71428525</v>
      </c>
      <c r="I155" s="54">
        <f t="shared" si="38"/>
        <v>637499999.99999893</v>
      </c>
      <c r="J155" s="54">
        <f t="shared" si="38"/>
        <v>401785714.28571302</v>
      </c>
      <c r="K155" s="54">
        <f t="shared" si="38"/>
        <v>187499999.99999881</v>
      </c>
      <c r="L155" s="54">
        <f t="shared" si="38"/>
        <v>37499999.999998808</v>
      </c>
      <c r="M155" s="54">
        <f t="shared" si="38"/>
        <v>-1.1920928955078125E-6</v>
      </c>
    </row>
    <row r="156" spans="2:13">
      <c r="B156" s="120">
        <v>0</v>
      </c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</row>
    <row r="157" spans="2:13" ht="15.75" thickBot="1">
      <c r="B157" s="103" t="str">
        <v>Текущие обязательства</v>
      </c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</row>
    <row r="158" spans="2:13">
      <c r="B158" s="102">
        <v>0</v>
      </c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</row>
    <row r="159" spans="2:13">
      <c r="B159" s="86" t="str">
        <v>Кредиторская задолженность</v>
      </c>
      <c r="C159" s="118"/>
      <c r="D159" s="56"/>
      <c r="E159" s="119"/>
      <c r="F159" s="49">
        <f ca="1">LOOKUP(F$9,Отчетность_по_периодам!$F$9:$CK$9,Отчетность_по_периодам!$F172:$CK172)</f>
        <v>0</v>
      </c>
      <c r="G159" s="49">
        <f ca="1">LOOKUP(G$9,Отчетность_по_периодам!$F$9:$CK$9,Отчетность_по_периодам!$F172:$CK172)</f>
        <v>33233795.311947543</v>
      </c>
      <c r="H159" s="49">
        <f ca="1">LOOKUP(H$9,Отчетность_по_периодам!$F$9:$CK$9,Отчетность_по_периодам!$F172:$CK172)</f>
        <v>44746768.633818775</v>
      </c>
      <c r="I159" s="49">
        <f ca="1">LOOKUP(I$9,Отчетность_по_периодам!$F$9:$CK$9,Отчетность_по_периодам!$F172:$CK172)</f>
        <v>52610417.810079597</v>
      </c>
      <c r="J159" s="49">
        <f ca="1">LOOKUP(J$9,Отчетность_по_периодам!$F$9:$CK$9,Отчетность_по_периодам!$F172:$CK172)</f>
        <v>55852635.413805328</v>
      </c>
      <c r="K159" s="49">
        <f ca="1">LOOKUP(K$9,Отчетность_по_периодам!$F$9:$CK$9,Отчетность_по_периодам!$F172:$CK172)</f>
        <v>58751053.997339323</v>
      </c>
      <c r="L159" s="49">
        <f ca="1">LOOKUP(L$9,Отчетность_по_периодам!$F$9:$CK$9,Отчетность_по_периодам!$F172:$CK172)</f>
        <v>61799912.179691873</v>
      </c>
      <c r="M159" s="49">
        <f ca="1">LOOKUP(M$9,Отчетность_по_периодам!$F$9:$CK$9,Отчетность_по_периодам!$F172:$CK172)</f>
        <v>62575696.291515328</v>
      </c>
    </row>
    <row r="160" spans="2:13">
      <c r="B160" s="86" t="str">
        <v>Задолженность перед персоналом по оплате труда</v>
      </c>
      <c r="C160" s="118"/>
      <c r="D160" s="56"/>
      <c r="E160" s="119"/>
      <c r="F160" s="49">
        <f ca="1">LOOKUP(F$9,Отчетность_по_периодам!$F$9:$CK$9,Отчетность_по_периодам!$F173:$CK173)</f>
        <v>0</v>
      </c>
      <c r="G160" s="49">
        <f ca="1">LOOKUP(G$9,Отчетность_по_периодам!$F$9:$CK$9,Отчетность_по_периодам!$F173:$CK173)</f>
        <v>0</v>
      </c>
      <c r="H160" s="49">
        <f ca="1">LOOKUP(H$9,Отчетность_по_периодам!$F$9:$CK$9,Отчетность_по_периодам!$F173:$CK173)</f>
        <v>0</v>
      </c>
      <c r="I160" s="49">
        <f ca="1">LOOKUP(I$9,Отчетность_по_периодам!$F$9:$CK$9,Отчетность_по_периодам!$F173:$CK173)</f>
        <v>0</v>
      </c>
      <c r="J160" s="49">
        <f ca="1">LOOKUP(J$9,Отчетность_по_периодам!$F$9:$CK$9,Отчетность_по_периодам!$F173:$CK173)</f>
        <v>0</v>
      </c>
      <c r="K160" s="49">
        <f ca="1">LOOKUP(K$9,Отчетность_по_периодам!$F$9:$CK$9,Отчетность_по_периодам!$F173:$CK173)</f>
        <v>0</v>
      </c>
      <c r="L160" s="49">
        <f ca="1">LOOKUP(L$9,Отчетность_по_периодам!$F$9:$CK$9,Отчетность_по_периодам!$F173:$CK173)</f>
        <v>0</v>
      </c>
      <c r="M160" s="49">
        <f ca="1">LOOKUP(M$9,Отчетность_по_периодам!$F$9:$CK$9,Отчетность_по_периодам!$F173:$CK173)</f>
        <v>0</v>
      </c>
    </row>
    <row r="161" spans="2:13">
      <c r="B161" s="86" t="str">
        <v>Задолженность перед бюджетом по НДС</v>
      </c>
      <c r="C161" s="118"/>
      <c r="D161" s="56"/>
      <c r="E161" s="119"/>
      <c r="F161" s="49">
        <f ca="1">LOOKUP(F$9,Отчетность_по_периодам!$F$9:$CK$9,Отчетность_по_периодам!$F174:$CK174)</f>
        <v>0</v>
      </c>
      <c r="G161" s="49">
        <f ca="1">LOOKUP(G$9,Отчетность_по_периодам!$F$9:$CK$9,Отчетность_по_периодам!$F174:$CK174)</f>
        <v>9750160.3775101248</v>
      </c>
      <c r="H161" s="49">
        <f ca="1">LOOKUP(H$9,Отчетность_по_периодам!$F$9:$CK$9,Отчетность_по_периодам!$F174:$CK174)</f>
        <v>16264861.827125914</v>
      </c>
      <c r="I161" s="49">
        <f ca="1">LOOKUP(I$9,Отчетность_по_периодам!$F$9:$CK$9,Отчетность_по_периодам!$F174:$CK174)</f>
        <v>28757764.402981855</v>
      </c>
      <c r="J161" s="49">
        <f ca="1">LOOKUP(J$9,Отчетность_по_периодам!$F$9:$CK$9,Отчетность_по_периодам!$F174:$CK174)</f>
        <v>34609380.854331553</v>
      </c>
      <c r="K161" s="49">
        <f ca="1">LOOKUP(K$9,Отчетность_по_периодам!$F$9:$CK$9,Отчетность_по_периодам!$F174:$CK174)</f>
        <v>36295716.558932416</v>
      </c>
      <c r="L161" s="49">
        <f ca="1">LOOKUP(L$9,Отчетность_по_периодам!$F$9:$CK$9,Отчетность_по_периодам!$F174:$CK174)</f>
        <v>38063235.838348471</v>
      </c>
      <c r="M161" s="49">
        <f ca="1">LOOKUP(M$9,Отчетность_по_периодам!$F$9:$CK$9,Отчетность_по_периодам!$F174:$CK174)</f>
        <v>38515544.513665006</v>
      </c>
    </row>
    <row r="162" spans="2:13">
      <c r="B162" s="86" t="str">
        <v>Задолженность перед бюджетом по НДС (резерв до подачи налоговой декларации)</v>
      </c>
      <c r="C162" s="118"/>
      <c r="D162" s="56"/>
      <c r="E162" s="119"/>
      <c r="F162" s="49">
        <f ca="1">LOOKUP(F$9,Отчетность_по_периодам!$F$9:$CK$9,Отчетность_по_периодам!$F175:$CK175)</f>
        <v>0</v>
      </c>
      <c r="G162" s="49">
        <f ca="1">LOOKUP(G$9,Отчетность_по_периодам!$F$9:$CK$9,Отчетность_по_периодам!$F175:$CK175)</f>
        <v>0</v>
      </c>
      <c r="H162" s="49">
        <f ca="1">LOOKUP(H$9,Отчетность_по_периодам!$F$9:$CK$9,Отчетность_по_периодам!$F175:$CK175)</f>
        <v>0</v>
      </c>
      <c r="I162" s="49">
        <f ca="1">LOOKUP(I$9,Отчетность_по_периодам!$F$9:$CK$9,Отчетность_по_периодам!$F175:$CK175)</f>
        <v>0</v>
      </c>
      <c r="J162" s="49">
        <f ca="1">LOOKUP(J$9,Отчетность_по_периодам!$F$9:$CK$9,Отчетность_по_периодам!$F175:$CK175)</f>
        <v>0</v>
      </c>
      <c r="K162" s="49">
        <f ca="1">LOOKUP(K$9,Отчетность_по_периодам!$F$9:$CK$9,Отчетность_по_периодам!$F175:$CK175)</f>
        <v>0</v>
      </c>
      <c r="L162" s="49">
        <f ca="1">LOOKUP(L$9,Отчетность_по_периодам!$F$9:$CK$9,Отчетность_по_периодам!$F175:$CK175)</f>
        <v>0</v>
      </c>
      <c r="M162" s="49">
        <f ca="1">LOOKUP(M$9,Отчетность_по_периодам!$F$9:$CK$9,Отчетность_по_периодам!$F175:$CK175)</f>
        <v>0</v>
      </c>
    </row>
    <row r="163" spans="2:13">
      <c r="B163" s="86" t="str">
        <v>Задолженность по налогам и сборам</v>
      </c>
      <c r="C163" s="118"/>
      <c r="D163" s="56"/>
      <c r="E163" s="119"/>
      <c r="F163" s="49">
        <f ca="1">LOOKUP(F$9,Отчетность_по_периодам!$F$9:$CK$9,Отчетность_по_периодам!$F176:$CK176)</f>
        <v>0</v>
      </c>
      <c r="G163" s="49">
        <f ca="1">LOOKUP(G$9,Отчетность_по_периодам!$F$9:$CK$9,Отчетность_по_периодам!$F176:$CK176)</f>
        <v>9244334.8571428526</v>
      </c>
      <c r="H163" s="49">
        <f ca="1">LOOKUP(H$9,Отчетность_по_периодам!$F$9:$CK$9,Отчетность_по_периодам!$F176:$CK176)</f>
        <v>10754868.378764361</v>
      </c>
      <c r="I163" s="49">
        <f ca="1">LOOKUP(I$9,Отчетность_по_периодам!$F$9:$CK$9,Отчетность_по_периодам!$F176:$CK176)</f>
        <v>26438072.492118865</v>
      </c>
      <c r="J163" s="49">
        <f ca="1">LOOKUP(J$9,Отчетность_по_периодам!$F$9:$CK$9,Отчетность_по_периодам!$F176:$CK176)</f>
        <v>35484307.997474685</v>
      </c>
      <c r="K163" s="49">
        <f ca="1">LOOKUP(K$9,Отчетность_по_периодам!$F$9:$CK$9,Отчетность_по_периодам!$F176:$CK176)</f>
        <v>37981380.832016625</v>
      </c>
      <c r="L163" s="49">
        <f ca="1">LOOKUP(L$9,Отчетность_по_периодам!$F$9:$CK$9,Отчетность_по_периодам!$F176:$CK176)</f>
        <v>40322051.862392113</v>
      </c>
      <c r="M163" s="49">
        <f ca="1">LOOKUP(M$9,Отчетность_по_периодам!$F$9:$CK$9,Отчетность_по_периодам!$F176:$CK176)</f>
        <v>22984254.549884234</v>
      </c>
    </row>
    <row r="164" spans="2:13" ht="15.75" thickBot="1">
      <c r="B164" s="86" t="str">
        <v>Прочие краткосрочные обязательства</v>
      </c>
      <c r="C164" s="118"/>
      <c r="D164" s="56"/>
      <c r="E164" s="119"/>
      <c r="F164" s="49">
        <f ca="1">LOOKUP(F$9,Отчетность_по_периодам!$F$9:$CK$9,Отчетность_по_периодам!$F177:$CK177)</f>
        <v>84691818.181818187</v>
      </c>
      <c r="G164" s="49">
        <f ca="1">LOOKUP(G$9,Отчетность_по_периодам!$F$9:$CK$9,Отчетность_по_периодам!$F177:$CK177)</f>
        <v>0</v>
      </c>
      <c r="H164" s="49">
        <f ca="1">LOOKUP(H$9,Отчетность_по_периодам!$F$9:$CK$9,Отчетность_по_периодам!$F177:$CK177)</f>
        <v>0</v>
      </c>
      <c r="I164" s="49">
        <f ca="1">LOOKUP(I$9,Отчетность_по_периодам!$F$9:$CK$9,Отчетность_по_периодам!$F177:$CK177)</f>
        <v>0</v>
      </c>
      <c r="J164" s="49">
        <f ca="1">LOOKUP(J$9,Отчетность_по_периодам!$F$9:$CK$9,Отчетность_по_периодам!$F177:$CK177)</f>
        <v>0</v>
      </c>
      <c r="K164" s="49">
        <f ca="1">LOOKUP(K$9,Отчетность_по_периодам!$F$9:$CK$9,Отчетность_по_периодам!$F177:$CK177)</f>
        <v>0</v>
      </c>
      <c r="L164" s="49">
        <f ca="1">LOOKUP(L$9,Отчетность_по_периодам!$F$9:$CK$9,Отчетность_по_периодам!$F177:$CK177)</f>
        <v>0</v>
      </c>
      <c r="M164" s="49">
        <f ca="1">LOOKUP(M$9,Отчетность_по_периодам!$F$9:$CK$9,Отчетность_по_периодам!$F177:$CK177)</f>
        <v>0</v>
      </c>
    </row>
    <row r="165" spans="2:13" ht="15.75" thickTop="1">
      <c r="B165" s="50" t="str">
        <v>Итого текущих обязательств</v>
      </c>
      <c r="C165" s="58"/>
      <c r="D165" s="59"/>
      <c r="E165" s="60"/>
      <c r="F165" s="54">
        <f ca="1">SUM(F159:F164)</f>
        <v>84691818.181818187</v>
      </c>
      <c r="G165" s="54">
        <f t="shared" ref="G165:M165" ca="1" si="39">SUM(G159:G164)</f>
        <v>52228290.546600521</v>
      </c>
      <c r="H165" s="54">
        <f t="shared" ca="1" si="39"/>
        <v>71766498.839709044</v>
      </c>
      <c r="I165" s="54">
        <f t="shared" ca="1" si="39"/>
        <v>107806254.70518032</v>
      </c>
      <c r="J165" s="54">
        <f t="shared" ca="1" si="39"/>
        <v>125946324.26561157</v>
      </c>
      <c r="K165" s="54">
        <f t="shared" ca="1" si="39"/>
        <v>133028151.38828835</v>
      </c>
      <c r="L165" s="54">
        <f t="shared" ca="1" si="39"/>
        <v>140185199.88043246</v>
      </c>
      <c r="M165" s="54">
        <f t="shared" ca="1" si="39"/>
        <v>124075495.35506457</v>
      </c>
    </row>
    <row r="166" spans="2:13" ht="15.75" thickBot="1"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</row>
    <row r="167" spans="2:13" ht="16.5" thickTop="1" thickBot="1">
      <c r="B167" s="105" t="str">
        <f>Отчетность_по_периодам!B180</f>
        <v>ИТОГО ПАССИВЫ</v>
      </c>
      <c r="C167" s="121"/>
      <c r="D167" s="122"/>
      <c r="E167" s="123"/>
      <c r="F167" s="109">
        <f ca="1">SUM(F165,F155,F149)</f>
        <v>1020800694.894147</v>
      </c>
      <c r="G167" s="109">
        <f t="shared" ref="G167:M167" ca="1" si="40">SUM(G165,G155,G149)</f>
        <v>1097532654.9011381</v>
      </c>
      <c r="H167" s="109">
        <f t="shared" ca="1" si="40"/>
        <v>1039308387.6613028</v>
      </c>
      <c r="I167" s="109">
        <f t="shared" ca="1" si="40"/>
        <v>1407945091.743269</v>
      </c>
      <c r="J167" s="109">
        <f t="shared" ca="1" si="40"/>
        <v>2113724892.6439633</v>
      </c>
      <c r="K167" s="109">
        <f t="shared" ca="1" si="40"/>
        <v>2911806185.7128253</v>
      </c>
      <c r="L167" s="109">
        <f t="shared" ca="1" si="40"/>
        <v>3842174572.8353586</v>
      </c>
      <c r="M167" s="109">
        <f t="shared" ca="1" si="40"/>
        <v>4085188963.4992146</v>
      </c>
    </row>
    <row r="168" spans="2:13" ht="15.75" thickTop="1"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</row>
    <row r="169" spans="2:13" ht="18" thickBot="1">
      <c r="B169" s="100" t="s">
        <v>569</v>
      </c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</row>
    <row r="170" spans="2:13" ht="15.75" thickTop="1"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</row>
    <row r="171" spans="2:13">
      <c r="B171" s="77" t="s">
        <v>127</v>
      </c>
      <c r="C171" s="124"/>
      <c r="D171" s="125"/>
      <c r="E171" s="126">
        <f ca="1">IF(MAX(F171:J171)=MIN(F171:J171),1,0)</f>
        <v>1</v>
      </c>
      <c r="F171" s="80">
        <f ca="1">ROUND(F141-F167,1)</f>
        <v>0</v>
      </c>
      <c r="G171" s="80">
        <f t="shared" ref="G171:M171" ca="1" si="41">ROUND(G141-G167,1)</f>
        <v>0</v>
      </c>
      <c r="H171" s="80">
        <f t="shared" ca="1" si="41"/>
        <v>0</v>
      </c>
      <c r="I171" s="80">
        <f t="shared" ca="1" si="41"/>
        <v>0</v>
      </c>
      <c r="J171" s="80">
        <f t="shared" ca="1" si="41"/>
        <v>0</v>
      </c>
      <c r="K171" s="80">
        <f t="shared" ca="1" si="41"/>
        <v>0</v>
      </c>
      <c r="L171" s="80">
        <f t="shared" ca="1" si="41"/>
        <v>0</v>
      </c>
      <c r="M171" s="80">
        <f t="shared" ca="1" si="41"/>
        <v>0</v>
      </c>
    </row>
    <row r="172" spans="2:13"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</row>
    <row r="173" spans="2:13" ht="20.25" thickBot="1">
      <c r="B173" s="26" t="s">
        <v>163</v>
      </c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</row>
    <row r="174" spans="2:13" ht="15.75" thickTop="1"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</row>
    <row r="175" spans="2:13" ht="18" thickBot="1">
      <c r="B175" s="100" t="str">
        <f t="array" ref="B175:B183">Оценка!B35:B43</f>
        <v>Эффективность проекта в целом</v>
      </c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</row>
    <row r="176" spans="2:13" ht="15.75" thickTop="1">
      <c r="B176" s="13">
        <v>0</v>
      </c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</row>
    <row r="177" spans="2:13" ht="15.75" thickBot="1">
      <c r="B177" s="103" t="str">
        <v>Чистый денежный поток проекта, в  руб.</v>
      </c>
      <c r="C177" s="96"/>
      <c r="D177" s="127"/>
      <c r="E177" s="96"/>
      <c r="F177" s="96"/>
      <c r="G177" s="96"/>
      <c r="H177" s="96"/>
      <c r="I177" s="96"/>
      <c r="J177" s="96"/>
      <c r="K177" s="96"/>
      <c r="L177" s="96"/>
      <c r="M177" s="96"/>
    </row>
    <row r="178" spans="2:13">
      <c r="B178" s="120">
        <v>0</v>
      </c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</row>
    <row r="179" spans="2:13">
      <c r="B179" s="128" t="str">
        <v>Операционная деятельность</v>
      </c>
      <c r="C179" s="78"/>
      <c r="D179" s="98">
        <f ca="1">SUM(F179:M179)</f>
        <v>5072703347.3362122</v>
      </c>
      <c r="E179" s="79"/>
      <c r="F179" s="80">
        <f ca="1">SUMIF(Оценка!$F$19:$CK$19,Отчетность_по_годам!F$13,Оценка!$F39:$CK39)</f>
        <v>0</v>
      </c>
      <c r="G179" s="80">
        <f ca="1">SUMIF(Оценка!$F$19:$CK$19,Отчетность_по_годам!G$13,Оценка!$F39:$CK39)</f>
        <v>208630317.61085927</v>
      </c>
      <c r="H179" s="80">
        <f ca="1">SUMIF(Оценка!$F$19:$CK$19,Отчетность_по_годам!H$13,Оценка!$F39:$CK39)</f>
        <v>318324747.6679545</v>
      </c>
      <c r="I179" s="80">
        <f ca="1">SUMIF(Оценка!$F$19:$CK$19,Отчетность_по_годам!I$13,Оценка!$F39:$CK39)</f>
        <v>741295372.3962512</v>
      </c>
      <c r="J179" s="80">
        <f ca="1">SUMIF(Оценка!$F$19:$CK$19,Отчетность_по_годам!J$13,Оценка!$F39:$CK39)</f>
        <v>1099930184.2522092</v>
      </c>
      <c r="K179" s="80">
        <f ca="1">SUMIF(Оценка!$F$19:$CK$19,Отчетность_по_годам!K$13,Оценка!$F39:$CK39)</f>
        <v>1166314642.5306787</v>
      </c>
      <c r="L179" s="80">
        <f ca="1">SUMIF(Оценка!$F$19:$CK$19,Отчетность_по_годам!L$13,Оценка!$F39:$CK39)</f>
        <v>1223212725.8730931</v>
      </c>
      <c r="M179" s="80">
        <f ca="1">SUMIF(Оценка!$F$19:$CK$19,Отчетность_по_годам!M$13,Оценка!$F39:$CK39)</f>
        <v>314995357.00516641</v>
      </c>
    </row>
    <row r="180" spans="2:13">
      <c r="B180" s="128" t="str">
        <v xml:space="preserve">Инвестиционная деятельность </v>
      </c>
      <c r="C180" s="78"/>
      <c r="D180" s="98">
        <f>SUM(F180:M180)</f>
        <v>-1160000000</v>
      </c>
      <c r="E180" s="79"/>
      <c r="F180" s="80">
        <f>SUMIF(Оценка!$F$19:$CK$19,Отчетность_по_годам!F$13,Оценка!$F40:$CK40)</f>
        <v>-931610000</v>
      </c>
      <c r="G180" s="80">
        <f>SUMIF(Оценка!$F$19:$CK$19,Отчетность_по_годам!G$13,Оценка!$F40:$CK40)</f>
        <v>-228390000</v>
      </c>
      <c r="H180" s="80">
        <f>SUMIF(Оценка!$F$19:$CK$19,Отчетность_по_годам!H$13,Оценка!$F40:$CK40)</f>
        <v>0</v>
      </c>
      <c r="I180" s="80">
        <f>SUMIF(Оценка!$F$19:$CK$19,Отчетность_по_годам!I$13,Оценка!$F40:$CK40)</f>
        <v>0</v>
      </c>
      <c r="J180" s="80">
        <f>SUMIF(Оценка!$F$19:$CK$19,Отчетность_по_годам!J$13,Оценка!$F40:$CK40)</f>
        <v>0</v>
      </c>
      <c r="K180" s="80">
        <f>SUMIF(Оценка!$F$19:$CK$19,Отчетность_по_годам!K$13,Оценка!$F40:$CK40)</f>
        <v>0</v>
      </c>
      <c r="L180" s="80">
        <f>SUMIF(Оценка!$F$19:$CK$19,Отчетность_по_годам!L$13,Оценка!$F40:$CK40)</f>
        <v>0</v>
      </c>
      <c r="M180" s="80">
        <f>SUMIF(Оценка!$F$19:$CK$19,Отчетность_по_годам!M$13,Оценка!$F40:$CK40)</f>
        <v>0</v>
      </c>
    </row>
    <row r="181" spans="2:13" ht="15.75" thickBot="1">
      <c r="B181" s="86" t="str">
        <v>Терминальная стоимость</v>
      </c>
      <c r="C181" s="46"/>
      <c r="D181" s="47">
        <f ca="1">SUM(F181:M181)</f>
        <v>7900196798.7041531</v>
      </c>
      <c r="E181" s="48"/>
      <c r="F181" s="49">
        <f ca="1">SUMIF(Оценка!$F$19:$CK$19,Отчетность_по_годам!F$13,Оценка!$F41:$CK41)</f>
        <v>0</v>
      </c>
      <c r="G181" s="49">
        <f ca="1">SUMIF(Оценка!$F$19:$CK$19,Отчетность_по_годам!G$13,Оценка!$F41:$CK41)</f>
        <v>0</v>
      </c>
      <c r="H181" s="49">
        <f ca="1">SUMIF(Оценка!$F$19:$CK$19,Отчетность_по_годам!H$13,Оценка!$F41:$CK41)</f>
        <v>0</v>
      </c>
      <c r="I181" s="49">
        <f ca="1">SUMIF(Оценка!$F$19:$CK$19,Отчетность_по_годам!I$13,Оценка!$F41:$CK41)</f>
        <v>0</v>
      </c>
      <c r="J181" s="49">
        <f ca="1">SUMIF(Оценка!$F$19:$CK$19,Отчетность_по_годам!J$13,Оценка!$F41:$CK41)</f>
        <v>0</v>
      </c>
      <c r="K181" s="49">
        <f ca="1">SUMIF(Оценка!$F$19:$CK$19,Отчетность_по_годам!K$13,Оценка!$F41:$CK41)</f>
        <v>0</v>
      </c>
      <c r="L181" s="49">
        <f ca="1">SUMIF(Оценка!$F$19:$CK$19,Отчетность_по_годам!L$13,Оценка!$F41:$CK41)</f>
        <v>0</v>
      </c>
      <c r="M181" s="49">
        <f ca="1">SUMIF(Оценка!$F$19:$CK$19,Отчетность_по_годам!M$13,Оценка!$F41:$CK41)</f>
        <v>7900196798.7041531</v>
      </c>
    </row>
    <row r="182" spans="2:13" ht="15.75" thickTop="1">
      <c r="B182" s="50" t="str">
        <v>Итого</v>
      </c>
      <c r="C182" s="51"/>
      <c r="D182" s="52">
        <f ca="1">SUM(F182:M182)</f>
        <v>11812900146.040365</v>
      </c>
      <c r="E182" s="53"/>
      <c r="F182" s="54">
        <f ca="1">SUM(F179:F181)</f>
        <v>-931610000</v>
      </c>
      <c r="G182" s="54">
        <f t="shared" ref="G182:M182" ca="1" si="42">SUM(G179:G181)</f>
        <v>-19759682.389140725</v>
      </c>
      <c r="H182" s="54">
        <f t="shared" ca="1" si="42"/>
        <v>318324747.6679545</v>
      </c>
      <c r="I182" s="54">
        <f t="shared" ca="1" si="42"/>
        <v>741295372.3962512</v>
      </c>
      <c r="J182" s="54">
        <f t="shared" ca="1" si="42"/>
        <v>1099930184.2522092</v>
      </c>
      <c r="K182" s="54">
        <f t="shared" ca="1" si="42"/>
        <v>1166314642.5306787</v>
      </c>
      <c r="L182" s="54">
        <f t="shared" ca="1" si="42"/>
        <v>1223212725.8730931</v>
      </c>
      <c r="M182" s="54">
        <f t="shared" ca="1" si="42"/>
        <v>8215192155.7093191</v>
      </c>
    </row>
    <row r="183" spans="2:13" ht="15.75" thickBot="1">
      <c r="B183" s="112" t="str">
        <v>Аккумулированный денежный поток</v>
      </c>
      <c r="C183" s="113"/>
      <c r="D183" s="114">
        <f ca="1">D182</f>
        <v>11812900146.040365</v>
      </c>
      <c r="E183" s="115"/>
      <c r="F183" s="116">
        <f ca="1">E183+F182</f>
        <v>-931610000</v>
      </c>
      <c r="G183" s="116">
        <f t="shared" ref="G183:M183" ca="1" si="43">F183+G182</f>
        <v>-951369682.38914073</v>
      </c>
      <c r="H183" s="116">
        <f t="shared" ca="1" si="43"/>
        <v>-633044934.72118616</v>
      </c>
      <c r="I183" s="116">
        <f t="shared" ca="1" si="43"/>
        <v>108250437.67506504</v>
      </c>
      <c r="J183" s="116">
        <f t="shared" ca="1" si="43"/>
        <v>1208180621.9272742</v>
      </c>
      <c r="K183" s="116">
        <f t="shared" ca="1" si="43"/>
        <v>2374495264.457953</v>
      </c>
      <c r="L183" s="116">
        <f t="shared" ca="1" si="43"/>
        <v>3597707990.3310461</v>
      </c>
      <c r="M183" s="116">
        <f t="shared" ca="1" si="43"/>
        <v>11812900146.040365</v>
      </c>
    </row>
    <row r="184" spans="2:13" ht="15.75" thickTop="1">
      <c r="B184" s="14">
        <f t="array" ref="B184:B185">Оценка!B44:B52</f>
        <v>0</v>
      </c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</row>
    <row r="185" spans="2:13" ht="15.75" thickBot="1">
      <c r="B185" s="103" t="str">
        <v>Дисконтированный денежный поток проекта, в  руб.</v>
      </c>
      <c r="C185" s="96"/>
      <c r="D185" s="127"/>
      <c r="E185" s="96"/>
      <c r="F185" s="96"/>
      <c r="G185" s="96"/>
      <c r="H185" s="96"/>
      <c r="I185" s="96"/>
      <c r="J185" s="96"/>
      <c r="K185" s="96"/>
      <c r="L185" s="96"/>
      <c r="M185" s="96"/>
    </row>
    <row r="186" spans="2:13" ht="15.75" thickBot="1">
      <c r="B186" s="14"/>
      <c r="C186" s="14"/>
      <c r="D186" s="14"/>
      <c r="E186" s="14"/>
      <c r="F186" s="14"/>
      <c r="G186" s="129"/>
      <c r="H186" s="129"/>
      <c r="I186" s="14"/>
      <c r="J186" s="14"/>
      <c r="K186" s="14"/>
      <c r="L186" s="14"/>
      <c r="M186" s="14"/>
    </row>
    <row r="187" spans="2:13" ht="15.75" thickTop="1">
      <c r="B187" s="50" t="str">
        <f t="array" ref="B187:B188">Оценка!B51:B52</f>
        <v>Дисконтированный денежный поток</v>
      </c>
      <c r="C187" s="51"/>
      <c r="D187" s="52">
        <f ca="1">SUM(F187:M187)</f>
        <v>9361946480.9014187</v>
      </c>
      <c r="E187" s="53"/>
      <c r="F187" s="54">
        <f ca="1">SUMIF(Оценка!$F$19:$CK$19,Отчетность_по_годам!F$13,Оценка!$F51:$CK51)</f>
        <v>-917322171.3435756</v>
      </c>
      <c r="G187" s="54">
        <f ca="1">SUMIF(Оценка!$F$19:$CK$19,Отчетность_по_годам!G$13,Оценка!$F51:$CK51)</f>
        <v>-22141730.635623682</v>
      </c>
      <c r="H187" s="54">
        <f ca="1">SUMIF(Оценка!$F$19:$CK$19,Отчетность_по_годам!H$13,Оценка!$F51:$CK51)</f>
        <v>293251996.01714611</v>
      </c>
      <c r="I187" s="54">
        <f ca="1">SUMIF(Оценка!$F$19:$CK$19,Отчетность_по_годам!I$13,Оценка!$F51:$CK51)</f>
        <v>660116756.67887175</v>
      </c>
      <c r="J187" s="54">
        <f ca="1">SUMIF(Оценка!$F$19:$CK$19,Отчетность_по_годам!J$13,Оценка!$F51:$CK51)</f>
        <v>947497818.14710319</v>
      </c>
      <c r="K187" s="54">
        <f ca="1">SUMIF(Оценка!$F$19:$CK$19,Отчетность_по_годам!K$13,Оценка!$F51:$CK51)</f>
        <v>970660608.37545562</v>
      </c>
      <c r="L187" s="54">
        <f ca="1">SUMIF(Оценка!$F$19:$CK$19,Отчетность_по_годам!L$13,Оценка!$F51:$CK51)</f>
        <v>983358470.14440966</v>
      </c>
      <c r="M187" s="54">
        <f ca="1">SUMIF(Оценка!$F$19:$CK$19,Отчетность_по_годам!M$13,Оценка!$F51:$CK51)</f>
        <v>6446524733.5176315</v>
      </c>
    </row>
    <row r="188" spans="2:13" ht="15.75" thickBot="1">
      <c r="B188" s="112" t="str">
        <v>Аккумулированный денежный поток</v>
      </c>
      <c r="C188" s="113"/>
      <c r="D188" s="114">
        <f ca="1">D187</f>
        <v>9361946480.9014187</v>
      </c>
      <c r="E188" s="115"/>
      <c r="F188" s="116">
        <f ca="1">D188+F187</f>
        <v>8444624309.5578432</v>
      </c>
      <c r="G188" s="116">
        <f t="shared" ref="G188:M188" ca="1" si="44">E188+G187</f>
        <v>-22141730.635623682</v>
      </c>
      <c r="H188" s="116">
        <f t="shared" ca="1" si="44"/>
        <v>8737876305.5749893</v>
      </c>
      <c r="I188" s="116">
        <f t="shared" ca="1" si="44"/>
        <v>637975026.04324806</v>
      </c>
      <c r="J188" s="116">
        <f t="shared" ca="1" si="44"/>
        <v>9685374123.7220917</v>
      </c>
      <c r="K188" s="116">
        <f t="shared" ca="1" si="44"/>
        <v>1608635634.4187036</v>
      </c>
      <c r="L188" s="116">
        <f t="shared" ca="1" si="44"/>
        <v>10668732593.866501</v>
      </c>
      <c r="M188" s="116">
        <f t="shared" ca="1" si="44"/>
        <v>8055160367.9363346</v>
      </c>
    </row>
    <row r="189" spans="2:13" ht="15.75" thickTop="1">
      <c r="B189" s="14"/>
      <c r="C189" s="14"/>
      <c r="D189" s="14"/>
      <c r="E189" s="14"/>
      <c r="F189" s="14"/>
      <c r="G189" s="129"/>
      <c r="H189" s="129"/>
      <c r="I189" s="14"/>
      <c r="J189" s="14"/>
      <c r="K189" s="14"/>
      <c r="L189" s="14"/>
      <c r="M189" s="14"/>
    </row>
    <row r="190" spans="2:13" ht="15.75" thickBot="1">
      <c r="B190" s="96" t="s">
        <v>152</v>
      </c>
      <c r="C190" s="96"/>
      <c r="D190" s="127"/>
      <c r="E190" s="96"/>
      <c r="F190" s="96"/>
      <c r="G190" s="96"/>
      <c r="H190" s="96"/>
      <c r="I190" s="96"/>
      <c r="J190" s="96"/>
      <c r="K190" s="96"/>
      <c r="L190" s="96"/>
      <c r="M190" s="96"/>
    </row>
    <row r="191" spans="2:13" ht="15.75" thickBot="1">
      <c r="B191" s="14">
        <v>0</v>
      </c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</row>
    <row r="192" spans="2:13" ht="15.75" thickTop="1">
      <c r="B192" s="50" t="str">
        <f>"Аккумулированный денежный поток (до дисконтирования), в "&amp;Ед_измерения_денег</f>
        <v>Аккумулированный денежный поток (до дисконтирования), в  руб.</v>
      </c>
      <c r="C192" s="58"/>
      <c r="D192" s="59"/>
      <c r="E192" s="60"/>
      <c r="F192" s="54">
        <f ca="1">Оценка!F56</f>
        <v>11812900146.040365</v>
      </c>
      <c r="G192" s="50"/>
      <c r="H192" s="14"/>
      <c r="I192" s="14"/>
      <c r="J192" s="14"/>
      <c r="K192" s="14"/>
      <c r="L192" s="14"/>
      <c r="M192" s="14"/>
    </row>
    <row r="193" spans="2:13">
      <c r="B193" s="130" t="str">
        <f>"Чистая приведенная стоимость (NPV), в "&amp;Ед_измерения_денег</f>
        <v>Чистая приведенная стоимость (NPV), в  руб.</v>
      </c>
      <c r="C193" s="131"/>
      <c r="D193" s="132"/>
      <c r="E193" s="133"/>
      <c r="F193" s="134">
        <f ca="1">Оценка!F57</f>
        <v>9361946480.9014187</v>
      </c>
      <c r="G193" s="135"/>
      <c r="H193" s="14"/>
      <c r="I193" s="14"/>
      <c r="J193" s="14"/>
      <c r="K193" s="14"/>
      <c r="L193" s="14"/>
      <c r="M193" s="14"/>
    </row>
    <row r="194" spans="2:13">
      <c r="B194" s="136" t="s">
        <v>153</v>
      </c>
      <c r="C194" s="137"/>
      <c r="D194" s="138"/>
      <c r="E194" s="139"/>
      <c r="F194" s="140">
        <f ca="1">Оценка!F58</f>
        <v>0.32349848151206972</v>
      </c>
      <c r="G194" s="136"/>
      <c r="H194" s="14"/>
      <c r="I194" s="14"/>
      <c r="J194" s="14"/>
      <c r="K194" s="14"/>
      <c r="L194" s="14"/>
      <c r="M194" s="14"/>
    </row>
    <row r="195" spans="2:13">
      <c r="B195" s="130" t="s">
        <v>576</v>
      </c>
      <c r="C195" s="131"/>
      <c r="D195" s="132"/>
      <c r="E195" s="133"/>
      <c r="F195" s="134">
        <f ca="1">Оценка!F59/Мес_в_году</f>
        <v>3.6666666666666665</v>
      </c>
      <c r="G195" s="135" t="str">
        <f ca="1">Оценка!G59</f>
        <v>окупается</v>
      </c>
      <c r="H195" s="14"/>
      <c r="I195" s="14"/>
      <c r="J195" s="14"/>
      <c r="K195" s="14"/>
      <c r="L195" s="14"/>
      <c r="M195" s="14"/>
    </row>
    <row r="196" spans="2:13" ht="15.75" thickBot="1">
      <c r="B196" s="112" t="s">
        <v>577</v>
      </c>
      <c r="C196" s="141"/>
      <c r="D196" s="142"/>
      <c r="E196" s="143"/>
      <c r="F196" s="116">
        <f ca="1">Оценка!F60/Мес_в_году</f>
        <v>3.75</v>
      </c>
      <c r="G196" s="144" t="str">
        <f ca="1">Оценка!G60</f>
        <v>окупается</v>
      </c>
      <c r="H196" s="14"/>
      <c r="I196" s="14"/>
      <c r="J196" s="14"/>
      <c r="K196" s="14"/>
      <c r="L196" s="14"/>
      <c r="M196" s="14"/>
    </row>
    <row r="197" spans="2:13" ht="15.75" thickTop="1"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</row>
    <row r="198" spans="2:13" ht="18" thickBot="1">
      <c r="B198" s="100" t="str">
        <f t="array" ref="B198:B211">Оценка!B62:B75</f>
        <v>Эффективность капитала учредителей</v>
      </c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</row>
    <row r="199" spans="2:13" ht="15.75" thickTop="1">
      <c r="B199" s="13">
        <v>0</v>
      </c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</row>
    <row r="200" spans="2:13" ht="15.75" thickBot="1">
      <c r="B200" s="103" t="str">
        <v>Чистый денежный поток на капитал учредителей, в  руб.</v>
      </c>
      <c r="C200" s="96"/>
      <c r="D200" s="127"/>
      <c r="E200" s="96"/>
      <c r="F200" s="96"/>
      <c r="G200" s="96"/>
      <c r="H200" s="96"/>
      <c r="I200" s="96"/>
      <c r="J200" s="96"/>
      <c r="K200" s="96"/>
      <c r="L200" s="96"/>
      <c r="M200" s="96"/>
    </row>
    <row r="201" spans="2:13">
      <c r="B201" s="120">
        <v>0</v>
      </c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</row>
    <row r="202" spans="2:13">
      <c r="B202" s="128" t="str">
        <v>Операционная деятельность</v>
      </c>
      <c r="C202" s="78"/>
      <c r="D202" s="98">
        <f ca="1">SUM(F202:M202)</f>
        <v>5072703347.3362122</v>
      </c>
      <c r="E202" s="79"/>
      <c r="F202" s="80">
        <f ca="1">SUMIF(Оценка!$F$19:$CK$19,Отчетность_по_годам!F$13,Оценка!$F66:$CK66)</f>
        <v>0</v>
      </c>
      <c r="G202" s="80">
        <f ca="1">SUMIF(Оценка!$F$19:$CK$19,Отчетность_по_годам!G$13,Оценка!$F66:$CK66)</f>
        <v>208630317.61085927</v>
      </c>
      <c r="H202" s="80">
        <f ca="1">SUMIF(Оценка!$F$19:$CK$19,Отчетность_по_годам!H$13,Оценка!$F66:$CK66)</f>
        <v>318324747.6679545</v>
      </c>
      <c r="I202" s="80">
        <f ca="1">SUMIF(Оценка!$F$19:$CK$19,Отчетность_по_годам!I$13,Оценка!$F66:$CK66)</f>
        <v>741295372.3962512</v>
      </c>
      <c r="J202" s="80">
        <f ca="1">SUMIF(Оценка!$F$19:$CK$19,Отчетность_по_годам!J$13,Оценка!$F66:$CK66)</f>
        <v>1099930184.2522092</v>
      </c>
      <c r="K202" s="80">
        <f ca="1">SUMIF(Оценка!$F$19:$CK$19,Отчетность_по_годам!K$13,Оценка!$F66:$CK66)</f>
        <v>1166314642.5306787</v>
      </c>
      <c r="L202" s="80">
        <f ca="1">SUMIF(Оценка!$F$19:$CK$19,Отчетность_по_годам!L$13,Оценка!$F66:$CK66)</f>
        <v>1223212725.8730931</v>
      </c>
      <c r="M202" s="80">
        <f ca="1">SUMIF(Оценка!$F$19:$CK$19,Отчетность_по_годам!M$13,Оценка!$F66:$CK66)</f>
        <v>314995357.00516641</v>
      </c>
    </row>
    <row r="203" spans="2:13">
      <c r="B203" s="128" t="str">
        <v xml:space="preserve">Инвестиционная деятельность </v>
      </c>
      <c r="C203" s="78"/>
      <c r="D203" s="98">
        <f t="shared" ref="D203:D207" si="45">SUM(F203:M203)</f>
        <v>-1160000000</v>
      </c>
      <c r="E203" s="79"/>
      <c r="F203" s="80">
        <f>SUMIF(Оценка!$F$19:$CK$19,Отчетность_по_годам!F$13,Оценка!$F67:$CK67)</f>
        <v>-931610000</v>
      </c>
      <c r="G203" s="80">
        <f>SUMIF(Оценка!$F$19:$CK$19,Отчетность_по_годам!G$13,Оценка!$F67:$CK67)</f>
        <v>-228390000</v>
      </c>
      <c r="H203" s="80">
        <f>SUMIF(Оценка!$F$19:$CK$19,Отчетность_по_годам!H$13,Оценка!$F67:$CK67)</f>
        <v>0</v>
      </c>
      <c r="I203" s="80">
        <f>SUMIF(Оценка!$F$19:$CK$19,Отчетность_по_годам!I$13,Оценка!$F67:$CK67)</f>
        <v>0</v>
      </c>
      <c r="J203" s="80">
        <f>SUMIF(Оценка!$F$19:$CK$19,Отчетность_по_годам!J$13,Оценка!$F67:$CK67)</f>
        <v>0</v>
      </c>
      <c r="K203" s="80">
        <f>SUMIF(Оценка!$F$19:$CK$19,Отчетность_по_годам!K$13,Оценка!$F67:$CK67)</f>
        <v>0</v>
      </c>
      <c r="L203" s="80">
        <f>SUMIF(Оценка!$F$19:$CK$19,Отчетность_по_годам!L$13,Оценка!$F67:$CK67)</f>
        <v>0</v>
      </c>
      <c r="M203" s="80">
        <f>SUMIF(Оценка!$F$19:$CK$19,Отчетность_по_годам!M$13,Оценка!$F67:$CK67)</f>
        <v>0</v>
      </c>
    </row>
    <row r="204" spans="2:13">
      <c r="B204" s="128" t="str">
        <v>Обслуживание долга</v>
      </c>
      <c r="C204" s="78"/>
      <c r="D204" s="98">
        <f t="shared" si="45"/>
        <v>-267718562.89499864</v>
      </c>
      <c r="E204" s="79"/>
      <c r="F204" s="80">
        <f>SUMIF(Оценка!$F$19:$CK$19,Отчетность_по_годам!F$13,Оценка!$F68:$CK68)</f>
        <v>-20901123.287671231</v>
      </c>
      <c r="G204" s="80">
        <f>SUMIF(Оценка!$F$19:$CK$19,Отчетность_по_годам!G$13,Оценка!$F68:$CK68)</f>
        <v>-74585956.284153</v>
      </c>
      <c r="H204" s="80">
        <f>SUMIF(Оценка!$F$19:$CK$19,Отчетность_по_годам!H$13,Оценка!$F68:$CK68)</f>
        <v>-66549021.526418798</v>
      </c>
      <c r="I204" s="80">
        <f>SUMIF(Оценка!$F$19:$CK$19,Отчетность_по_годам!I$13,Оценка!$F68:$CK68)</f>
        <v>-50007925.636007845</v>
      </c>
      <c r="J204" s="80">
        <f>SUMIF(Оценка!$F$19:$CK$19,Отчетность_по_годам!J$13,Оценка!$F68:$CK68)</f>
        <v>-33079354.207436424</v>
      </c>
      <c r="K204" s="80">
        <f>SUMIF(Оценка!$F$19:$CK$19,Отчетность_по_годам!K$13,Оценка!$F68:$CK68)</f>
        <v>-16365729.898516797</v>
      </c>
      <c r="L204" s="80">
        <f>SUMIF(Оценка!$F$19:$CK$19,Отчетность_по_годам!L$13,Оценка!$F68:$CK68)</f>
        <v>-5921232.8767123464</v>
      </c>
      <c r="M204" s="80">
        <f>SUMIF(Оценка!$F$19:$CK$19,Отчетность_по_годам!M$13,Оценка!$F68:$CK68)</f>
        <v>-308219.17808219575</v>
      </c>
    </row>
    <row r="205" spans="2:13">
      <c r="B205" s="128" t="str">
        <v>Привлечение долга</v>
      </c>
      <c r="C205" s="78"/>
      <c r="D205" s="98">
        <f t="shared" si="45"/>
        <v>1200000000</v>
      </c>
      <c r="E205" s="79"/>
      <c r="F205" s="80">
        <f>SUMIF(Оценка!$F$19:$CK$19,Отчетность_по_годам!F$13,Оценка!$F69:$CK69)</f>
        <v>957000000</v>
      </c>
      <c r="G205" s="80">
        <f>SUMIF(Оценка!$F$19:$CK$19,Отчетность_по_годам!G$13,Оценка!$F69:$CK69)</f>
        <v>243000000</v>
      </c>
      <c r="H205" s="80">
        <f>SUMIF(Оценка!$F$19:$CK$19,Отчетность_по_годам!H$13,Оценка!$F69:$CK69)</f>
        <v>0</v>
      </c>
      <c r="I205" s="80">
        <f>SUMIF(Оценка!$F$19:$CK$19,Отчетность_по_годам!I$13,Оценка!$F69:$CK69)</f>
        <v>0</v>
      </c>
      <c r="J205" s="80">
        <f>SUMIF(Оценка!$F$19:$CK$19,Отчетность_по_годам!J$13,Оценка!$F69:$CK69)</f>
        <v>0</v>
      </c>
      <c r="K205" s="80">
        <f>SUMIF(Оценка!$F$19:$CK$19,Отчетность_по_годам!K$13,Оценка!$F69:$CK69)</f>
        <v>0</v>
      </c>
      <c r="L205" s="80">
        <f>SUMIF(Оценка!$F$19:$CK$19,Отчетность_по_годам!L$13,Оценка!$F69:$CK69)</f>
        <v>0</v>
      </c>
      <c r="M205" s="80">
        <f>SUMIF(Оценка!$F$19:$CK$19,Отчетность_по_годам!M$13,Оценка!$F69:$CK69)</f>
        <v>0</v>
      </c>
    </row>
    <row r="206" spans="2:13">
      <c r="B206" s="128" t="str">
        <v>Погашение долга</v>
      </c>
      <c r="C206" s="78"/>
      <c r="D206" s="98">
        <f t="shared" si="45"/>
        <v>-1199999999.9999998</v>
      </c>
      <c r="E206" s="79"/>
      <c r="F206" s="80">
        <f>SUMIF(Оценка!$F$19:$CK$19,Отчетность_по_годам!F$13,Оценка!$F70:$CK70)</f>
        <v>0</v>
      </c>
      <c r="G206" s="80">
        <f>SUMIF(Оценка!$F$19:$CK$19,Отчетность_по_годам!G$13,Оценка!$F70:$CK70)</f>
        <v>-112500000</v>
      </c>
      <c r="H206" s="80">
        <f>SUMIF(Оценка!$F$19:$CK$19,Отчетность_по_годам!H$13,Оценка!$F70:$CK70)</f>
        <v>-214285714.28571424</v>
      </c>
      <c r="I206" s="80">
        <f>SUMIF(Оценка!$F$19:$CK$19,Отчетность_по_годам!I$13,Оценка!$F70:$CK70)</f>
        <v>-235714285.71428564</v>
      </c>
      <c r="J206" s="80">
        <f>SUMIF(Оценка!$F$19:$CK$19,Отчетность_по_годам!J$13,Оценка!$F70:$CK70)</f>
        <v>-235714285.71428564</v>
      </c>
      <c r="K206" s="80">
        <f>SUMIF(Оценка!$F$19:$CK$19,Отчетность_по_годам!K$13,Оценка!$F70:$CK70)</f>
        <v>-214285714.28571424</v>
      </c>
      <c r="L206" s="80">
        <f>SUMIF(Оценка!$F$19:$CK$19,Отчетность_по_годам!L$13,Оценка!$F70:$CK70)</f>
        <v>-150000000</v>
      </c>
      <c r="M206" s="80">
        <f>SUMIF(Оценка!$F$19:$CK$19,Отчетность_по_годам!M$13,Оценка!$F70:$CK70)</f>
        <v>-37500000</v>
      </c>
    </row>
    <row r="207" spans="2:13" ht="15.75" thickBot="1">
      <c r="B207" s="86" t="str">
        <v>Терминальная стоимость</v>
      </c>
      <c r="C207" s="46"/>
      <c r="D207" s="47">
        <f t="shared" ca="1" si="45"/>
        <v>7505186958.7689447</v>
      </c>
      <c r="E207" s="48"/>
      <c r="F207" s="49">
        <f ca="1">SUMIF(Оценка!$F$19:$CK$19,Отчетность_по_годам!F$13,Оценка!$F71:$CK71)</f>
        <v>0</v>
      </c>
      <c r="G207" s="49">
        <f ca="1">SUMIF(Оценка!$F$19:$CK$19,Отчетность_по_годам!G$13,Оценка!$F71:$CK71)</f>
        <v>0</v>
      </c>
      <c r="H207" s="49">
        <f ca="1">SUMIF(Оценка!$F$19:$CK$19,Отчетность_по_годам!H$13,Оценка!$F71:$CK71)</f>
        <v>0</v>
      </c>
      <c r="I207" s="49">
        <f ca="1">SUMIF(Оценка!$F$19:$CK$19,Отчетность_по_годам!I$13,Оценка!$F71:$CK71)</f>
        <v>0</v>
      </c>
      <c r="J207" s="49">
        <f ca="1">SUMIF(Оценка!$F$19:$CK$19,Отчетность_по_годам!J$13,Оценка!$F71:$CK71)</f>
        <v>0</v>
      </c>
      <c r="K207" s="49">
        <f ca="1">SUMIF(Оценка!$F$19:$CK$19,Отчетность_по_годам!K$13,Оценка!$F71:$CK71)</f>
        <v>0</v>
      </c>
      <c r="L207" s="49">
        <f ca="1">SUMIF(Оценка!$F$19:$CK$19,Отчетность_по_годам!L$13,Оценка!$F71:$CK71)</f>
        <v>0</v>
      </c>
      <c r="M207" s="49">
        <f ca="1">SUMIF(Оценка!$F$19:$CK$19,Отчетность_по_годам!M$13,Оценка!$F71:$CK71)</f>
        <v>7505186958.7689447</v>
      </c>
    </row>
    <row r="208" spans="2:13" ht="15.75" thickTop="1">
      <c r="B208" s="50" t="str">
        <v>Итого</v>
      </c>
      <c r="C208" s="51"/>
      <c r="D208" s="52">
        <f ca="1">SUM(F208:M208)</f>
        <v>11150171743.210159</v>
      </c>
      <c r="E208" s="53"/>
      <c r="F208" s="54">
        <f ca="1">SUM(F202:F207)</f>
        <v>4488876.7123287916</v>
      </c>
      <c r="G208" s="54">
        <f t="shared" ref="G208:M208" ca="1" si="46">SUM(G202:G207)</f>
        <v>36154361.32670629</v>
      </c>
      <c r="H208" s="54">
        <f t="shared" ca="1" si="46"/>
        <v>37490011.85582146</v>
      </c>
      <c r="I208" s="54">
        <f t="shared" ca="1" si="46"/>
        <v>455573161.0459578</v>
      </c>
      <c r="J208" s="54">
        <f t="shared" ca="1" si="46"/>
        <v>831136544.33048713</v>
      </c>
      <c r="K208" s="54">
        <f t="shared" ca="1" si="46"/>
        <v>935663198.34644759</v>
      </c>
      <c r="L208" s="54">
        <f t="shared" ca="1" si="46"/>
        <v>1067291492.9963808</v>
      </c>
      <c r="M208" s="54">
        <f t="shared" ca="1" si="46"/>
        <v>7782374096.5960293</v>
      </c>
    </row>
    <row r="209" spans="2:13" ht="15.75" thickBot="1">
      <c r="B209" s="112" t="str">
        <v>Аккумулированный денежный поток</v>
      </c>
      <c r="C209" s="113"/>
      <c r="D209" s="114">
        <f ca="1">SUM(D208)</f>
        <v>11150171743.210159</v>
      </c>
      <c r="E209" s="115"/>
      <c r="F209" s="116">
        <f ca="1">E209+F208</f>
        <v>4488876.7123287916</v>
      </c>
      <c r="G209" s="116">
        <f t="shared" ref="G209:M209" ca="1" si="47">F209+G208</f>
        <v>40643238.039035082</v>
      </c>
      <c r="H209" s="116">
        <f t="shared" ca="1" si="47"/>
        <v>78133249.894856542</v>
      </c>
      <c r="I209" s="116">
        <f t="shared" ca="1" si="47"/>
        <v>533706410.94081438</v>
      </c>
      <c r="J209" s="116">
        <f t="shared" ca="1" si="47"/>
        <v>1364842955.2713015</v>
      </c>
      <c r="K209" s="116">
        <f t="shared" ca="1" si="47"/>
        <v>2300506153.6177492</v>
      </c>
      <c r="L209" s="116">
        <f t="shared" ca="1" si="47"/>
        <v>3367797646.61413</v>
      </c>
      <c r="M209" s="116">
        <f t="shared" ca="1" si="47"/>
        <v>11150171743.210159</v>
      </c>
    </row>
    <row r="210" spans="2:13" ht="15.75" thickTop="1">
      <c r="B210" s="120">
        <v>0</v>
      </c>
      <c r="C210" s="14"/>
      <c r="D210" s="14"/>
      <c r="E210" s="14"/>
      <c r="F210" s="14"/>
      <c r="G210" s="129"/>
      <c r="H210" s="129"/>
      <c r="I210" s="14"/>
      <c r="J210" s="14"/>
      <c r="K210" s="14"/>
      <c r="L210" s="14"/>
      <c r="M210" s="14"/>
    </row>
    <row r="211" spans="2:13" ht="15.75" thickBot="1">
      <c r="B211" s="103" t="str">
        <v>Дисконтированный денежный поток на учредителей, в  руб.</v>
      </c>
      <c r="C211" s="96"/>
      <c r="D211" s="127"/>
      <c r="E211" s="96"/>
      <c r="F211" s="96"/>
      <c r="G211" s="96"/>
      <c r="H211" s="96"/>
      <c r="I211" s="96"/>
      <c r="J211" s="96"/>
      <c r="K211" s="96"/>
      <c r="L211" s="96"/>
      <c r="M211" s="96"/>
    </row>
    <row r="212" spans="2:13" ht="15.75" thickBot="1">
      <c r="B212" s="14"/>
      <c r="C212" s="14"/>
      <c r="D212" s="14"/>
      <c r="E212" s="14"/>
      <c r="F212" s="14"/>
      <c r="G212" s="129"/>
      <c r="H212" s="129"/>
      <c r="I212" s="14"/>
      <c r="J212" s="14"/>
      <c r="K212" s="14"/>
      <c r="L212" s="14"/>
      <c r="M212" s="14"/>
    </row>
    <row r="213" spans="2:13" ht="15.75" thickTop="1">
      <c r="B213" s="50" t="str">
        <f t="array" ref="B213:B214">Оценка!B81:B82</f>
        <v>Дисконтированный денежный поток</v>
      </c>
      <c r="C213" s="51"/>
      <c r="D213" s="52">
        <f ca="1">SUM(F213:M213)</f>
        <v>6100908547.7679853</v>
      </c>
      <c r="E213" s="53"/>
      <c r="F213" s="54">
        <f ca="1">SUMIF(Оценка!$F$19:$CK$19,Отчетность_по_годам!F$13,Оценка!$F81:$CK81)</f>
        <v>12242775.322588429</v>
      </c>
      <c r="G213" s="54">
        <f ca="1">SUMIF(Оценка!$F$19:$CK$19,Отчетность_по_годам!G$13,Оценка!$F81:$CK81)</f>
        <v>34341004.460096769</v>
      </c>
      <c r="H213" s="54">
        <f ca="1">SUMIF(Оценка!$F$19:$CK$19,Отчетность_по_годам!H$13,Оценка!$F81:$CK81)</f>
        <v>28822818.966800123</v>
      </c>
      <c r="I213" s="54">
        <f ca="1">SUMIF(Оценка!$F$19:$CK$19,Отчетность_по_годам!I$13,Оценка!$F81:$CK81)</f>
        <v>330006860.91225863</v>
      </c>
      <c r="J213" s="54">
        <f ca="1">SUMIF(Оценка!$F$19:$CK$19,Отчетность_по_годам!J$13,Оценка!$F81:$CK81)</f>
        <v>551201217.57267332</v>
      </c>
      <c r="K213" s="54">
        <f ca="1">SUMIF(Оценка!$F$19:$CK$19,Отчетность_по_годам!K$13,Оценка!$F81:$CK81)</f>
        <v>564123899.05479062</v>
      </c>
      <c r="L213" s="54">
        <f ca="1">SUMIF(Оценка!$F$19:$CK$19,Отчетность_по_годам!L$13,Оценка!$F81:$CK81)</f>
        <v>585565327.81990552</v>
      </c>
      <c r="M213" s="54">
        <f ca="1">SUMIF(Оценка!$F$19:$CK$19,Отчетность_по_годам!M$13,Оценка!$F81:$CK81)</f>
        <v>3994604643.6588717</v>
      </c>
    </row>
    <row r="214" spans="2:13" ht="15.75" thickBot="1">
      <c r="B214" s="112" t="str">
        <v>Аккумулированный денежный поток</v>
      </c>
      <c r="C214" s="113"/>
      <c r="D214" s="114">
        <f ca="1">SUM(D213)</f>
        <v>6100908547.7679853</v>
      </c>
      <c r="E214" s="115"/>
      <c r="F214" s="116">
        <f ca="1">E214+F213</f>
        <v>12242775.322588429</v>
      </c>
      <c r="G214" s="116">
        <f t="shared" ref="G214:M214" ca="1" si="48">F214+G213</f>
        <v>46583779.782685198</v>
      </c>
      <c r="H214" s="116">
        <f t="shared" ca="1" si="48"/>
        <v>75406598.749485314</v>
      </c>
      <c r="I214" s="116">
        <f t="shared" ca="1" si="48"/>
        <v>405413459.66174394</v>
      </c>
      <c r="J214" s="116">
        <f t="shared" ca="1" si="48"/>
        <v>956614677.2344172</v>
      </c>
      <c r="K214" s="116">
        <f t="shared" ca="1" si="48"/>
        <v>1520738576.2892079</v>
      </c>
      <c r="L214" s="116">
        <f t="shared" ca="1" si="48"/>
        <v>2106303904.1091135</v>
      </c>
      <c r="M214" s="116">
        <f t="shared" ca="1" si="48"/>
        <v>6100908547.7679853</v>
      </c>
    </row>
    <row r="215" spans="2:13" ht="15.75" thickTop="1">
      <c r="B215" s="14"/>
      <c r="C215" s="14"/>
      <c r="D215" s="14"/>
      <c r="E215" s="14"/>
      <c r="F215" s="14"/>
      <c r="G215" s="129"/>
      <c r="H215" s="129"/>
      <c r="I215" s="14"/>
      <c r="J215" s="14"/>
      <c r="K215" s="14"/>
      <c r="L215" s="14"/>
      <c r="M215" s="14"/>
    </row>
    <row r="216" spans="2:13" ht="15.75" thickBot="1">
      <c r="B216" s="96" t="s">
        <v>578</v>
      </c>
      <c r="C216" s="96"/>
      <c r="D216" s="127"/>
      <c r="E216" s="96"/>
      <c r="F216" s="96"/>
      <c r="G216" s="96"/>
      <c r="H216" s="96"/>
      <c r="I216" s="96"/>
      <c r="J216" s="96"/>
      <c r="K216" s="96"/>
      <c r="L216" s="96"/>
      <c r="M216" s="96"/>
    </row>
    <row r="217" spans="2:13" ht="15.75" thickBot="1"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</row>
    <row r="218" spans="2:13" ht="15.75" thickTop="1">
      <c r="B218" s="50" t="str">
        <f>"Аккумулированный денежный поток (до дисконтирования), в "&amp;Ед_измерения_денег</f>
        <v>Аккумулированный денежный поток (до дисконтирования), в  руб.</v>
      </c>
      <c r="C218" s="58"/>
      <c r="D218" s="59"/>
      <c r="E218" s="60"/>
      <c r="F218" s="54">
        <f ca="1">Оценка!F86</f>
        <v>11150171743.210157</v>
      </c>
      <c r="G218" s="50"/>
      <c r="H218" s="14"/>
      <c r="I218" s="14"/>
      <c r="J218" s="14"/>
      <c r="K218" s="14"/>
      <c r="L218" s="14"/>
      <c r="M218" s="14"/>
    </row>
    <row r="219" spans="2:13">
      <c r="B219" s="130" t="str">
        <f>"Чистая приведенная стоимость (NPV), в "&amp;Ед_измерения_денег</f>
        <v>Чистая приведенная стоимость (NPV), в  руб.</v>
      </c>
      <c r="C219" s="131"/>
      <c r="D219" s="132"/>
      <c r="E219" s="133"/>
      <c r="F219" s="134">
        <f ca="1">Оценка!F87</f>
        <v>6100908547.7679863</v>
      </c>
      <c r="G219" s="135"/>
      <c r="H219" s="14"/>
      <c r="I219" s="14"/>
      <c r="J219" s="14"/>
      <c r="K219" s="14"/>
      <c r="L219" s="14"/>
      <c r="M219" s="14"/>
    </row>
    <row r="220" spans="2:13">
      <c r="B220" s="136" t="s">
        <v>153</v>
      </c>
      <c r="C220" s="137"/>
      <c r="D220" s="138"/>
      <c r="E220" s="139"/>
      <c r="F220" s="140">
        <f ca="1">Оценка!F88</f>
        <v>2.9802322387695314E-9</v>
      </c>
      <c r="G220" s="136"/>
      <c r="H220" s="14"/>
      <c r="I220" s="14"/>
      <c r="J220" s="14"/>
      <c r="K220" s="14"/>
      <c r="L220" s="14"/>
      <c r="M220" s="14"/>
    </row>
    <row r="221" spans="2:13">
      <c r="B221" s="130" t="s">
        <v>576</v>
      </c>
      <c r="C221" s="131"/>
      <c r="D221" s="132"/>
      <c r="E221" s="133"/>
      <c r="F221" s="134">
        <f ca="1">Оценка!F89/Мес_в_году</f>
        <v>8.3333333333333329E-2</v>
      </c>
      <c r="G221" s="135" t="str">
        <f ca="1">Оценка!G89</f>
        <v>окупается</v>
      </c>
      <c r="H221" s="14"/>
      <c r="I221" s="14"/>
      <c r="J221" s="14"/>
      <c r="K221" s="14"/>
      <c r="L221" s="14"/>
      <c r="M221" s="14"/>
    </row>
    <row r="222" spans="2:13" ht="15.75" thickBot="1">
      <c r="B222" s="112" t="s">
        <v>577</v>
      </c>
      <c r="C222" s="141"/>
      <c r="D222" s="142"/>
      <c r="E222" s="143"/>
      <c r="F222" s="116">
        <f ca="1">Оценка!F90/Мес_в_году</f>
        <v>8.3333333333333329E-2</v>
      </c>
      <c r="G222" s="144" t="str">
        <f ca="1">Оценка!G90</f>
        <v>окупается</v>
      </c>
      <c r="H222" s="14"/>
      <c r="I222" s="14"/>
      <c r="J222" s="14"/>
      <c r="K222" s="14"/>
      <c r="L222" s="14"/>
      <c r="M222" s="14"/>
    </row>
    <row r="223" spans="2:13" ht="15.75" thickTop="1"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</row>
    <row r="224" spans="2:13" ht="15.75" thickBot="1">
      <c r="B224" s="96" t="s">
        <v>579</v>
      </c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</row>
    <row r="225" spans="2:13"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</row>
    <row r="226" spans="2:13">
      <c r="B226" s="32" t="s">
        <v>574</v>
      </c>
      <c r="C226" s="33"/>
      <c r="D226" s="33"/>
      <c r="E226" s="34">
        <f ca="1">IF(ROUND(D187,1)=ROUND(Оценка!D51,1),1,0)</f>
        <v>1</v>
      </c>
      <c r="F226" s="14"/>
      <c r="G226" s="14"/>
      <c r="H226" s="14"/>
      <c r="I226" s="14"/>
      <c r="J226" s="14"/>
      <c r="K226" s="14"/>
      <c r="L226" s="14"/>
      <c r="M226" s="14"/>
    </row>
    <row r="227" spans="2:13">
      <c r="B227" s="32" t="s">
        <v>575</v>
      </c>
      <c r="C227" s="33"/>
      <c r="D227" s="33"/>
      <c r="E227" s="34">
        <f ca="1">IF(ROUND(D213,1)=ROUND(Оценка!D81,1),1,0)</f>
        <v>1</v>
      </c>
      <c r="F227" s="14"/>
      <c r="G227" s="14"/>
      <c r="H227" s="14"/>
      <c r="I227" s="14"/>
      <c r="J227" s="14"/>
      <c r="K227" s="14"/>
      <c r="L227" s="14"/>
      <c r="M227" s="14"/>
    </row>
    <row r="228" spans="2:13"/>
    <row r="229" spans="2:13"/>
    <row r="230" spans="2:13"/>
    <row r="231" spans="2:13"/>
  </sheetData>
  <sheetProtection algorithmName="SHA-512" hashValue="BChJHe9ifrpAYWAtazjAWAGJng0RXF6NS+bMGr3JVOHDF6+W7jU8hceOMM3TbMdu4q/Zwr6xuK7pKR7E/d11Aw==" saltValue="TyKMxY/MQfCA+42U47Z39w==" spinCount="100000" sheet="1" objects="1" scenarios="1"/>
  <mergeCells count="1">
    <mergeCell ref="D1:F2"/>
  </mergeCells>
  <conditionalFormatting sqref="J1:J2">
    <cfRule type="expression" dxfId="8" priority="1">
      <formula>$K$2="ошибка!"</formula>
    </cfRule>
  </conditionalFormatting>
  <hyperlinks>
    <hyperlink ref="J1" location="Лист_Сигналы" tooltip="нажмите здесь для перехода к листу Сигналы" display="Лист_Сигналы"/>
    <hyperlink ref="J2" location="Лист_Сигналы" tooltip="нажмите здесь для перехода к листу Сигналы" display="Лист_Сигналы"/>
    <hyperlink ref="H1:H2" location="Лист_Сценарии" tooltip="нажмите для перехода к сценариям" display="Текущий сценарий:"/>
    <hyperlink ref="D1:F2" location="Лист_Оглавление" tooltip="нажмите для перехода к оглавлению" display="Æ   Оглавление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-0.249977111117893"/>
  </sheetPr>
  <dimension ref="A1:CL72"/>
  <sheetViews>
    <sheetView showGridLines="0" zoomScaleNormal="100" workbookViewId="0">
      <pane xSplit="5" ySplit="10" topLeftCell="F11" activePane="bottomRight" state="frozen"/>
      <selection activeCell="D18" sqref="D18"/>
      <selection pane="topRight" activeCell="D18" sqref="D18"/>
      <selection pane="bottomLeft" activeCell="D18" sqref="D18"/>
      <selection pane="bottomRight" activeCell="B2" sqref="B2"/>
    </sheetView>
  </sheetViews>
  <sheetFormatPr defaultColWidth="0" defaultRowHeight="15" zeroHeight="1"/>
  <cols>
    <col min="1" max="1" width="2.5703125" customWidth="1"/>
    <col min="2" max="2" width="28.5703125" customWidth="1"/>
    <col min="3" max="3" width="7.140625" customWidth="1"/>
    <col min="4" max="4" width="15.140625" bestFit="1" customWidth="1"/>
    <col min="5" max="5" width="12.85546875" customWidth="1"/>
    <col min="6" max="6" width="12.5703125" bestFit="1" customWidth="1"/>
    <col min="7" max="10" width="12.140625" bestFit="1" customWidth="1"/>
    <col min="11" max="11" width="13" bestFit="1" customWidth="1"/>
    <col min="12" max="13" width="12.140625" bestFit="1" customWidth="1"/>
    <col min="14" max="14" width="12.28515625" bestFit="1" customWidth="1"/>
    <col min="15" max="41" width="13.7109375" bestFit="1" customWidth="1"/>
    <col min="42" max="89" width="14.7109375" bestFit="1" customWidth="1"/>
    <col min="90" max="90" width="5.5703125" customWidth="1"/>
    <col min="91" max="16384" width="5.5703125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582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>
      <c r="B8" s="16" t="str">
        <f t="array" ref="B8:B9">Время!B8:B9</f>
        <v>Начало периода</v>
      </c>
      <c r="C8" s="17"/>
      <c r="D8" s="18"/>
      <c r="E8" s="19"/>
      <c r="F8" s="20">
        <f t="array" ref="F8:CK9">Время!F8:CK9</f>
        <v>45017</v>
      </c>
      <c r="G8" s="20">
        <v>45047</v>
      </c>
      <c r="H8" s="20">
        <v>45078</v>
      </c>
      <c r="I8" s="20">
        <v>45108</v>
      </c>
      <c r="J8" s="20">
        <v>45139</v>
      </c>
      <c r="K8" s="20">
        <v>45170</v>
      </c>
      <c r="L8" s="20">
        <v>45200</v>
      </c>
      <c r="M8" s="20">
        <v>45231</v>
      </c>
      <c r="N8" s="20">
        <v>45261</v>
      </c>
      <c r="O8" s="20">
        <v>45292</v>
      </c>
      <c r="P8" s="20">
        <v>45323</v>
      </c>
      <c r="Q8" s="20">
        <v>45352</v>
      </c>
      <c r="R8" s="20">
        <v>45383</v>
      </c>
      <c r="S8" s="20">
        <v>45413</v>
      </c>
      <c r="T8" s="20">
        <v>45444</v>
      </c>
      <c r="U8" s="20">
        <v>45474</v>
      </c>
      <c r="V8" s="20">
        <v>45505</v>
      </c>
      <c r="W8" s="20">
        <v>45536</v>
      </c>
      <c r="X8" s="20">
        <v>45566</v>
      </c>
      <c r="Y8" s="20">
        <v>45597</v>
      </c>
      <c r="Z8" s="20">
        <v>45627</v>
      </c>
      <c r="AA8" s="20">
        <v>45658</v>
      </c>
      <c r="AB8" s="20">
        <v>45689</v>
      </c>
      <c r="AC8" s="20">
        <v>45717</v>
      </c>
      <c r="AD8" s="20">
        <v>45748</v>
      </c>
      <c r="AE8" s="20">
        <v>45778</v>
      </c>
      <c r="AF8" s="20">
        <v>45809</v>
      </c>
      <c r="AG8" s="20">
        <v>45839</v>
      </c>
      <c r="AH8" s="20">
        <v>45870</v>
      </c>
      <c r="AI8" s="20">
        <v>45901</v>
      </c>
      <c r="AJ8" s="20">
        <v>45931</v>
      </c>
      <c r="AK8" s="20">
        <v>45962</v>
      </c>
      <c r="AL8" s="20">
        <v>45992</v>
      </c>
      <c r="AM8" s="20">
        <v>46023</v>
      </c>
      <c r="AN8" s="20">
        <v>46054</v>
      </c>
      <c r="AO8" s="20">
        <v>46082</v>
      </c>
      <c r="AP8" s="20">
        <v>46113</v>
      </c>
      <c r="AQ8" s="20">
        <v>46143</v>
      </c>
      <c r="AR8" s="20">
        <v>46174</v>
      </c>
      <c r="AS8" s="20">
        <v>46204</v>
      </c>
      <c r="AT8" s="20">
        <v>46235</v>
      </c>
      <c r="AU8" s="20">
        <v>46266</v>
      </c>
      <c r="AV8" s="20">
        <v>46296</v>
      </c>
      <c r="AW8" s="20">
        <v>46327</v>
      </c>
      <c r="AX8" s="20">
        <v>46357</v>
      </c>
      <c r="AY8" s="20">
        <v>46388</v>
      </c>
      <c r="AZ8" s="20">
        <v>46419</v>
      </c>
      <c r="BA8" s="20">
        <v>46447</v>
      </c>
      <c r="BB8" s="20">
        <v>46478</v>
      </c>
      <c r="BC8" s="20">
        <v>46508</v>
      </c>
      <c r="BD8" s="20">
        <v>46539</v>
      </c>
      <c r="BE8" s="20">
        <v>46569</v>
      </c>
      <c r="BF8" s="20">
        <v>46600</v>
      </c>
      <c r="BG8" s="20">
        <v>46631</v>
      </c>
      <c r="BH8" s="20">
        <v>46661</v>
      </c>
      <c r="BI8" s="20">
        <v>46692</v>
      </c>
      <c r="BJ8" s="20">
        <v>46722</v>
      </c>
      <c r="BK8" s="20">
        <v>46753</v>
      </c>
      <c r="BL8" s="20">
        <v>46784</v>
      </c>
      <c r="BM8" s="20">
        <v>46813</v>
      </c>
      <c r="BN8" s="20">
        <v>46844</v>
      </c>
      <c r="BO8" s="20">
        <v>46874</v>
      </c>
      <c r="BP8" s="20">
        <v>46905</v>
      </c>
      <c r="BQ8" s="20">
        <v>46935</v>
      </c>
      <c r="BR8" s="20">
        <v>46966</v>
      </c>
      <c r="BS8" s="20">
        <v>46997</v>
      </c>
      <c r="BT8" s="20">
        <v>47027</v>
      </c>
      <c r="BU8" s="20">
        <v>47058</v>
      </c>
      <c r="BV8" s="20">
        <v>47088</v>
      </c>
      <c r="BW8" s="20">
        <v>47119</v>
      </c>
      <c r="BX8" s="20">
        <v>47150</v>
      </c>
      <c r="BY8" s="20">
        <v>47178</v>
      </c>
      <c r="BZ8" s="20">
        <v>47209</v>
      </c>
      <c r="CA8" s="20">
        <v>47239</v>
      </c>
      <c r="CB8" s="20">
        <v>47270</v>
      </c>
      <c r="CC8" s="20">
        <v>47300</v>
      </c>
      <c r="CD8" s="20">
        <v>47331</v>
      </c>
      <c r="CE8" s="20">
        <v>47362</v>
      </c>
      <c r="CF8" s="20">
        <v>47392</v>
      </c>
      <c r="CG8" s="20">
        <v>47423</v>
      </c>
      <c r="CH8" s="20">
        <v>47453</v>
      </c>
      <c r="CI8" s="20">
        <v>47484</v>
      </c>
      <c r="CJ8" s="20">
        <v>47515</v>
      </c>
      <c r="CK8" s="20">
        <v>47543</v>
      </c>
    </row>
    <row r="9" spans="2:89">
      <c r="B9" s="21" t="str">
        <v>Конец периода</v>
      </c>
      <c r="C9" s="22"/>
      <c r="D9" s="23"/>
      <c r="E9" s="24">
        <f>Время!E9</f>
        <v>45016</v>
      </c>
      <c r="F9" s="25">
        <v>45046</v>
      </c>
      <c r="G9" s="25">
        <v>45077</v>
      </c>
      <c r="H9" s="25">
        <v>45107</v>
      </c>
      <c r="I9" s="25">
        <v>45138</v>
      </c>
      <c r="J9" s="25">
        <v>45169</v>
      </c>
      <c r="K9" s="25">
        <v>45199</v>
      </c>
      <c r="L9" s="25">
        <v>45230</v>
      </c>
      <c r="M9" s="25">
        <v>45260</v>
      </c>
      <c r="N9" s="25">
        <v>45291</v>
      </c>
      <c r="O9" s="25">
        <v>45322</v>
      </c>
      <c r="P9" s="25">
        <v>45351</v>
      </c>
      <c r="Q9" s="25">
        <v>45382</v>
      </c>
      <c r="R9" s="25">
        <v>45412</v>
      </c>
      <c r="S9" s="25">
        <v>45443</v>
      </c>
      <c r="T9" s="25">
        <v>45473</v>
      </c>
      <c r="U9" s="25">
        <v>45504</v>
      </c>
      <c r="V9" s="25">
        <v>45535</v>
      </c>
      <c r="W9" s="25">
        <v>45565</v>
      </c>
      <c r="X9" s="25">
        <v>45596</v>
      </c>
      <c r="Y9" s="25">
        <v>45626</v>
      </c>
      <c r="Z9" s="25">
        <v>45657</v>
      </c>
      <c r="AA9" s="25">
        <v>45688</v>
      </c>
      <c r="AB9" s="25">
        <v>45716</v>
      </c>
      <c r="AC9" s="25">
        <v>45747</v>
      </c>
      <c r="AD9" s="25">
        <v>45777</v>
      </c>
      <c r="AE9" s="25">
        <v>45808</v>
      </c>
      <c r="AF9" s="25">
        <v>45838</v>
      </c>
      <c r="AG9" s="25">
        <v>45869</v>
      </c>
      <c r="AH9" s="25">
        <v>45900</v>
      </c>
      <c r="AI9" s="25">
        <v>45930</v>
      </c>
      <c r="AJ9" s="25">
        <v>45961</v>
      </c>
      <c r="AK9" s="25">
        <v>45991</v>
      </c>
      <c r="AL9" s="25">
        <v>46022</v>
      </c>
      <c r="AM9" s="25">
        <v>46053</v>
      </c>
      <c r="AN9" s="25">
        <v>46081</v>
      </c>
      <c r="AO9" s="25">
        <v>46112</v>
      </c>
      <c r="AP9" s="25">
        <v>46142</v>
      </c>
      <c r="AQ9" s="25">
        <v>46173</v>
      </c>
      <c r="AR9" s="25">
        <v>46203</v>
      </c>
      <c r="AS9" s="25">
        <v>46234</v>
      </c>
      <c r="AT9" s="25">
        <v>46265</v>
      </c>
      <c r="AU9" s="25">
        <v>46295</v>
      </c>
      <c r="AV9" s="25">
        <v>46326</v>
      </c>
      <c r="AW9" s="25">
        <v>46356</v>
      </c>
      <c r="AX9" s="25">
        <v>46387</v>
      </c>
      <c r="AY9" s="25">
        <v>46418</v>
      </c>
      <c r="AZ9" s="25">
        <v>46446</v>
      </c>
      <c r="BA9" s="25">
        <v>46477</v>
      </c>
      <c r="BB9" s="25">
        <v>46507</v>
      </c>
      <c r="BC9" s="25">
        <v>46538</v>
      </c>
      <c r="BD9" s="25">
        <v>46568</v>
      </c>
      <c r="BE9" s="25">
        <v>46599</v>
      </c>
      <c r="BF9" s="25">
        <v>46630</v>
      </c>
      <c r="BG9" s="25">
        <v>46660</v>
      </c>
      <c r="BH9" s="25">
        <v>46691</v>
      </c>
      <c r="BI9" s="25">
        <v>46721</v>
      </c>
      <c r="BJ9" s="25">
        <v>46752</v>
      </c>
      <c r="BK9" s="25">
        <v>46783</v>
      </c>
      <c r="BL9" s="25">
        <v>46812</v>
      </c>
      <c r="BM9" s="25">
        <v>46843</v>
      </c>
      <c r="BN9" s="25">
        <v>46873</v>
      </c>
      <c r="BO9" s="25">
        <v>46904</v>
      </c>
      <c r="BP9" s="25">
        <v>46934</v>
      </c>
      <c r="BQ9" s="25">
        <v>46965</v>
      </c>
      <c r="BR9" s="25">
        <v>46996</v>
      </c>
      <c r="BS9" s="25">
        <v>47026</v>
      </c>
      <c r="BT9" s="25">
        <v>47057</v>
      </c>
      <c r="BU9" s="25">
        <v>47087</v>
      </c>
      <c r="BV9" s="25">
        <v>47118</v>
      </c>
      <c r="BW9" s="25">
        <v>47149</v>
      </c>
      <c r="BX9" s="25">
        <v>47177</v>
      </c>
      <c r="BY9" s="25">
        <v>47208</v>
      </c>
      <c r="BZ9" s="25">
        <v>47238</v>
      </c>
      <c r="CA9" s="25">
        <v>47269</v>
      </c>
      <c r="CB9" s="25">
        <v>47299</v>
      </c>
      <c r="CC9" s="25">
        <v>47330</v>
      </c>
      <c r="CD9" s="25">
        <v>47361</v>
      </c>
      <c r="CE9" s="25">
        <v>47391</v>
      </c>
      <c r="CF9" s="25">
        <v>47422</v>
      </c>
      <c r="CG9" s="25">
        <v>47452</v>
      </c>
      <c r="CH9" s="25">
        <v>47483</v>
      </c>
      <c r="CI9" s="25">
        <v>47514</v>
      </c>
      <c r="CJ9" s="25">
        <v>47542</v>
      </c>
      <c r="CK9" s="25"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5"/>
      <c r="G12" s="15"/>
      <c r="H12" s="15"/>
      <c r="I12" s="15"/>
      <c r="J12" s="15"/>
      <c r="K12" s="15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>
      <c r="B13" s="27" t="str">
        <f t="array" ref="B13:B14">Время!B13:B14</f>
        <v>Инвестиции</v>
      </c>
      <c r="C13" s="28"/>
      <c r="D13" s="28"/>
      <c r="E13" s="28"/>
      <c r="F13" s="29">
        <f t="array" ref="F13:CK14">Время!F13:CK14</f>
        <v>1</v>
      </c>
      <c r="G13" s="30">
        <v>1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1">
        <v>0</v>
      </c>
    </row>
    <row r="14" spans="2:89">
      <c r="B14" s="27" t="str">
        <v>Операции</v>
      </c>
      <c r="C14" s="28"/>
      <c r="D14" s="28"/>
      <c r="E14" s="28"/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>
        <v>1</v>
      </c>
      <c r="AU14" s="30">
        <v>1</v>
      </c>
      <c r="AV14" s="30">
        <v>1</v>
      </c>
      <c r="AW14" s="30">
        <v>1</v>
      </c>
      <c r="AX14" s="30">
        <v>1</v>
      </c>
      <c r="AY14" s="30">
        <v>1</v>
      </c>
      <c r="AZ14" s="30">
        <v>1</v>
      </c>
      <c r="BA14" s="30">
        <v>1</v>
      </c>
      <c r="BB14" s="30">
        <v>1</v>
      </c>
      <c r="BC14" s="30">
        <v>1</v>
      </c>
      <c r="BD14" s="30">
        <v>1</v>
      </c>
      <c r="BE14" s="30">
        <v>1</v>
      </c>
      <c r="BF14" s="30">
        <v>1</v>
      </c>
      <c r="BG14" s="30">
        <v>1</v>
      </c>
      <c r="BH14" s="30">
        <v>1</v>
      </c>
      <c r="BI14" s="30">
        <v>1</v>
      </c>
      <c r="BJ14" s="30">
        <v>1</v>
      </c>
      <c r="BK14" s="30">
        <v>1</v>
      </c>
      <c r="BL14" s="30">
        <v>1</v>
      </c>
      <c r="BM14" s="30">
        <v>1</v>
      </c>
      <c r="BN14" s="30">
        <v>1</v>
      </c>
      <c r="BO14" s="30">
        <v>1</v>
      </c>
      <c r="BP14" s="30">
        <v>1</v>
      </c>
      <c r="BQ14" s="30">
        <v>1</v>
      </c>
      <c r="BR14" s="30">
        <v>1</v>
      </c>
      <c r="BS14" s="30">
        <v>1</v>
      </c>
      <c r="BT14" s="30">
        <v>1</v>
      </c>
      <c r="BU14" s="30">
        <v>1</v>
      </c>
      <c r="BV14" s="30">
        <v>1</v>
      </c>
      <c r="BW14" s="30">
        <v>1</v>
      </c>
      <c r="BX14" s="30">
        <v>1</v>
      </c>
      <c r="BY14" s="30">
        <v>1</v>
      </c>
      <c r="BZ14" s="30">
        <v>1</v>
      </c>
      <c r="CA14" s="30">
        <v>1</v>
      </c>
      <c r="CB14" s="30">
        <v>1</v>
      </c>
      <c r="CC14" s="30">
        <v>1</v>
      </c>
      <c r="CD14" s="30">
        <v>1</v>
      </c>
      <c r="CE14" s="30">
        <v>1</v>
      </c>
      <c r="CF14" s="30">
        <v>1</v>
      </c>
      <c r="CG14" s="30">
        <v>1</v>
      </c>
      <c r="CH14" s="30">
        <v>1</v>
      </c>
      <c r="CI14" s="30">
        <v>1</v>
      </c>
      <c r="CJ14" s="30">
        <v>1</v>
      </c>
      <c r="CK14" s="31">
        <v>1</v>
      </c>
    </row>
    <row r="15" spans="2:89" ht="3" customHeight="1">
      <c r="B15" s="14"/>
      <c r="C15" s="14"/>
      <c r="D15" s="14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5"/>
      <c r="G17" s="15"/>
      <c r="H17" s="15"/>
      <c r="I17" s="15"/>
      <c r="J17" s="15"/>
      <c r="K17" s="1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>
      <c r="B18" s="32" t="str">
        <f t="array" ref="B18:B29">Время!B18:B29</f>
        <v>Название периода</v>
      </c>
      <c r="C18" s="33"/>
      <c r="D18" s="33"/>
      <c r="E18" s="34"/>
      <c r="F18" s="35">
        <f t="array" ref="F18:CK29">Время!F18:CK29</f>
        <v>45046</v>
      </c>
      <c r="G18" s="36">
        <v>45077</v>
      </c>
      <c r="H18" s="36">
        <v>45107</v>
      </c>
      <c r="I18" s="36">
        <v>45138</v>
      </c>
      <c r="J18" s="36">
        <v>45169</v>
      </c>
      <c r="K18" s="36">
        <v>45199</v>
      </c>
      <c r="L18" s="36">
        <v>45230</v>
      </c>
      <c r="M18" s="36">
        <v>45260</v>
      </c>
      <c r="N18" s="36">
        <v>45291</v>
      </c>
      <c r="O18" s="36">
        <v>45322</v>
      </c>
      <c r="P18" s="36">
        <v>45351</v>
      </c>
      <c r="Q18" s="36">
        <v>45382</v>
      </c>
      <c r="R18" s="36">
        <v>45412</v>
      </c>
      <c r="S18" s="36">
        <v>45443</v>
      </c>
      <c r="T18" s="36">
        <v>45473</v>
      </c>
      <c r="U18" s="36">
        <v>45504</v>
      </c>
      <c r="V18" s="36">
        <v>45535</v>
      </c>
      <c r="W18" s="36">
        <v>45565</v>
      </c>
      <c r="X18" s="36">
        <v>45596</v>
      </c>
      <c r="Y18" s="36">
        <v>45626</v>
      </c>
      <c r="Z18" s="36">
        <v>45657</v>
      </c>
      <c r="AA18" s="36">
        <v>45688</v>
      </c>
      <c r="AB18" s="36">
        <v>45716</v>
      </c>
      <c r="AC18" s="36">
        <v>45747</v>
      </c>
      <c r="AD18" s="36">
        <v>45777</v>
      </c>
      <c r="AE18" s="36">
        <v>45808</v>
      </c>
      <c r="AF18" s="36">
        <v>45838</v>
      </c>
      <c r="AG18" s="36">
        <v>45869</v>
      </c>
      <c r="AH18" s="36">
        <v>45900</v>
      </c>
      <c r="AI18" s="36">
        <v>45930</v>
      </c>
      <c r="AJ18" s="36">
        <v>45961</v>
      </c>
      <c r="AK18" s="36">
        <v>45991</v>
      </c>
      <c r="AL18" s="36">
        <v>46022</v>
      </c>
      <c r="AM18" s="36">
        <v>46053</v>
      </c>
      <c r="AN18" s="36">
        <v>46081</v>
      </c>
      <c r="AO18" s="36">
        <v>46112</v>
      </c>
      <c r="AP18" s="36">
        <v>46142</v>
      </c>
      <c r="AQ18" s="36">
        <v>46173</v>
      </c>
      <c r="AR18" s="36">
        <v>46203</v>
      </c>
      <c r="AS18" s="36">
        <v>46234</v>
      </c>
      <c r="AT18" s="36">
        <v>46265</v>
      </c>
      <c r="AU18" s="36">
        <v>46295</v>
      </c>
      <c r="AV18" s="36">
        <v>46326</v>
      </c>
      <c r="AW18" s="36">
        <v>46356</v>
      </c>
      <c r="AX18" s="36">
        <v>46387</v>
      </c>
      <c r="AY18" s="36">
        <v>46418</v>
      </c>
      <c r="AZ18" s="36">
        <v>46446</v>
      </c>
      <c r="BA18" s="36">
        <v>46477</v>
      </c>
      <c r="BB18" s="36">
        <v>46507</v>
      </c>
      <c r="BC18" s="36">
        <v>46538</v>
      </c>
      <c r="BD18" s="36">
        <v>46568</v>
      </c>
      <c r="BE18" s="36">
        <v>46599</v>
      </c>
      <c r="BF18" s="36">
        <v>46630</v>
      </c>
      <c r="BG18" s="36">
        <v>46660</v>
      </c>
      <c r="BH18" s="36">
        <v>46691</v>
      </c>
      <c r="BI18" s="36">
        <v>46721</v>
      </c>
      <c r="BJ18" s="36">
        <v>46752</v>
      </c>
      <c r="BK18" s="36">
        <v>46783</v>
      </c>
      <c r="BL18" s="36">
        <v>46812</v>
      </c>
      <c r="BM18" s="36">
        <v>46843</v>
      </c>
      <c r="BN18" s="36">
        <v>46873</v>
      </c>
      <c r="BO18" s="36">
        <v>46904</v>
      </c>
      <c r="BP18" s="36">
        <v>46934</v>
      </c>
      <c r="BQ18" s="36">
        <v>46965</v>
      </c>
      <c r="BR18" s="36">
        <v>46996</v>
      </c>
      <c r="BS18" s="36">
        <v>47026</v>
      </c>
      <c r="BT18" s="36">
        <v>47057</v>
      </c>
      <c r="BU18" s="36">
        <v>47087</v>
      </c>
      <c r="BV18" s="36">
        <v>47118</v>
      </c>
      <c r="BW18" s="36">
        <v>47149</v>
      </c>
      <c r="BX18" s="36">
        <v>47177</v>
      </c>
      <c r="BY18" s="36">
        <v>47208</v>
      </c>
      <c r="BZ18" s="36">
        <v>47238</v>
      </c>
      <c r="CA18" s="36">
        <v>47269</v>
      </c>
      <c r="CB18" s="36">
        <v>47299</v>
      </c>
      <c r="CC18" s="36">
        <v>47330</v>
      </c>
      <c r="CD18" s="36">
        <v>47361</v>
      </c>
      <c r="CE18" s="36">
        <v>47391</v>
      </c>
      <c r="CF18" s="36">
        <v>47422</v>
      </c>
      <c r="CG18" s="36">
        <v>47452</v>
      </c>
      <c r="CH18" s="36">
        <v>47483</v>
      </c>
      <c r="CI18" s="36">
        <v>47514</v>
      </c>
      <c r="CJ18" s="36">
        <v>47542</v>
      </c>
      <c r="CK18" s="36">
        <v>47573</v>
      </c>
    </row>
    <row r="19" spans="2:89">
      <c r="B19" s="37" t="str">
        <v>Календарный год</v>
      </c>
      <c r="C19" s="33"/>
      <c r="D19" s="33"/>
      <c r="E19" s="34"/>
      <c r="F19" s="38">
        <v>2023</v>
      </c>
      <c r="G19" s="38">
        <v>2023</v>
      </c>
      <c r="H19" s="38">
        <v>2023</v>
      </c>
      <c r="I19" s="38">
        <v>2023</v>
      </c>
      <c r="J19" s="38">
        <v>2023</v>
      </c>
      <c r="K19" s="38">
        <v>2023</v>
      </c>
      <c r="L19" s="38">
        <v>2023</v>
      </c>
      <c r="M19" s="38">
        <v>2023</v>
      </c>
      <c r="N19" s="38">
        <v>2023</v>
      </c>
      <c r="O19" s="38">
        <v>2024</v>
      </c>
      <c r="P19" s="38">
        <v>2024</v>
      </c>
      <c r="Q19" s="38">
        <v>2024</v>
      </c>
      <c r="R19" s="38">
        <v>2024</v>
      </c>
      <c r="S19" s="38">
        <v>2024</v>
      </c>
      <c r="T19" s="38">
        <v>2024</v>
      </c>
      <c r="U19" s="38">
        <v>2024</v>
      </c>
      <c r="V19" s="38">
        <v>2024</v>
      </c>
      <c r="W19" s="38">
        <v>2024</v>
      </c>
      <c r="X19" s="38">
        <v>2024</v>
      </c>
      <c r="Y19" s="38">
        <v>2024</v>
      </c>
      <c r="Z19" s="38">
        <v>2024</v>
      </c>
      <c r="AA19" s="38">
        <v>2025</v>
      </c>
      <c r="AB19" s="38">
        <v>2025</v>
      </c>
      <c r="AC19" s="38">
        <v>2025</v>
      </c>
      <c r="AD19" s="38">
        <v>2025</v>
      </c>
      <c r="AE19" s="38">
        <v>2025</v>
      </c>
      <c r="AF19" s="38">
        <v>2025</v>
      </c>
      <c r="AG19" s="38">
        <v>2025</v>
      </c>
      <c r="AH19" s="38">
        <v>2025</v>
      </c>
      <c r="AI19" s="38">
        <v>2025</v>
      </c>
      <c r="AJ19" s="38">
        <v>2025</v>
      </c>
      <c r="AK19" s="38">
        <v>2025</v>
      </c>
      <c r="AL19" s="38">
        <v>2025</v>
      </c>
      <c r="AM19" s="38">
        <v>2026</v>
      </c>
      <c r="AN19" s="38">
        <v>2026</v>
      </c>
      <c r="AO19" s="38">
        <v>2026</v>
      </c>
      <c r="AP19" s="38">
        <v>2026</v>
      </c>
      <c r="AQ19" s="38">
        <v>2026</v>
      </c>
      <c r="AR19" s="38">
        <v>2026</v>
      </c>
      <c r="AS19" s="38">
        <v>2026</v>
      </c>
      <c r="AT19" s="38">
        <v>2026</v>
      </c>
      <c r="AU19" s="38">
        <v>2026</v>
      </c>
      <c r="AV19" s="38">
        <v>2026</v>
      </c>
      <c r="AW19" s="38">
        <v>2026</v>
      </c>
      <c r="AX19" s="38">
        <v>2026</v>
      </c>
      <c r="AY19" s="38">
        <v>2027</v>
      </c>
      <c r="AZ19" s="38">
        <v>2027</v>
      </c>
      <c r="BA19" s="38">
        <v>2027</v>
      </c>
      <c r="BB19" s="38">
        <v>2027</v>
      </c>
      <c r="BC19" s="38">
        <v>2027</v>
      </c>
      <c r="BD19" s="38">
        <v>2027</v>
      </c>
      <c r="BE19" s="38">
        <v>2027</v>
      </c>
      <c r="BF19" s="38">
        <v>2027</v>
      </c>
      <c r="BG19" s="38">
        <v>2027</v>
      </c>
      <c r="BH19" s="38">
        <v>2027</v>
      </c>
      <c r="BI19" s="38">
        <v>2027</v>
      </c>
      <c r="BJ19" s="38">
        <v>2027</v>
      </c>
      <c r="BK19" s="38">
        <v>2028</v>
      </c>
      <c r="BL19" s="38">
        <v>2028</v>
      </c>
      <c r="BM19" s="38">
        <v>2028</v>
      </c>
      <c r="BN19" s="38">
        <v>2028</v>
      </c>
      <c r="BO19" s="38">
        <v>2028</v>
      </c>
      <c r="BP19" s="38">
        <v>2028</v>
      </c>
      <c r="BQ19" s="38">
        <v>2028</v>
      </c>
      <c r="BR19" s="38">
        <v>2028</v>
      </c>
      <c r="BS19" s="38">
        <v>2028</v>
      </c>
      <c r="BT19" s="38">
        <v>2028</v>
      </c>
      <c r="BU19" s="38">
        <v>2028</v>
      </c>
      <c r="BV19" s="38">
        <v>2028</v>
      </c>
      <c r="BW19" s="38">
        <v>2029</v>
      </c>
      <c r="BX19" s="38">
        <v>2029</v>
      </c>
      <c r="BY19" s="38">
        <v>2029</v>
      </c>
      <c r="BZ19" s="38">
        <v>2029</v>
      </c>
      <c r="CA19" s="38">
        <v>2029</v>
      </c>
      <c r="CB19" s="38">
        <v>2029</v>
      </c>
      <c r="CC19" s="38">
        <v>2029</v>
      </c>
      <c r="CD19" s="38">
        <v>2029</v>
      </c>
      <c r="CE19" s="38">
        <v>2029</v>
      </c>
      <c r="CF19" s="38">
        <v>2029</v>
      </c>
      <c r="CG19" s="38">
        <v>2029</v>
      </c>
      <c r="CH19" s="38">
        <v>2029</v>
      </c>
      <c r="CI19" s="38">
        <v>2030</v>
      </c>
      <c r="CJ19" s="38">
        <v>2030</v>
      </c>
      <c r="CK19" s="38">
        <v>2030</v>
      </c>
    </row>
    <row r="20" spans="2:89">
      <c r="B20" s="37" t="str">
        <v>Дней в году</v>
      </c>
      <c r="C20" s="33"/>
      <c r="D20" s="33"/>
      <c r="E20" s="34"/>
      <c r="F20" s="38">
        <v>365</v>
      </c>
      <c r="G20" s="38">
        <v>365</v>
      </c>
      <c r="H20" s="38">
        <v>365</v>
      </c>
      <c r="I20" s="38">
        <v>365</v>
      </c>
      <c r="J20" s="38">
        <v>365</v>
      </c>
      <c r="K20" s="38">
        <v>365</v>
      </c>
      <c r="L20" s="38">
        <v>365</v>
      </c>
      <c r="M20" s="38">
        <v>365</v>
      </c>
      <c r="N20" s="38">
        <v>365</v>
      </c>
      <c r="O20" s="38">
        <v>366</v>
      </c>
      <c r="P20" s="38">
        <v>366</v>
      </c>
      <c r="Q20" s="38">
        <v>366</v>
      </c>
      <c r="R20" s="38">
        <v>366</v>
      </c>
      <c r="S20" s="38">
        <v>366</v>
      </c>
      <c r="T20" s="38">
        <v>366</v>
      </c>
      <c r="U20" s="38">
        <v>366</v>
      </c>
      <c r="V20" s="38">
        <v>366</v>
      </c>
      <c r="W20" s="38">
        <v>366</v>
      </c>
      <c r="X20" s="38">
        <v>366</v>
      </c>
      <c r="Y20" s="38">
        <v>366</v>
      </c>
      <c r="Z20" s="38">
        <v>366</v>
      </c>
      <c r="AA20" s="38">
        <v>365</v>
      </c>
      <c r="AB20" s="38">
        <v>365</v>
      </c>
      <c r="AC20" s="38">
        <v>365</v>
      </c>
      <c r="AD20" s="38">
        <v>365</v>
      </c>
      <c r="AE20" s="38">
        <v>365</v>
      </c>
      <c r="AF20" s="38">
        <v>365</v>
      </c>
      <c r="AG20" s="38">
        <v>365</v>
      </c>
      <c r="AH20" s="38">
        <v>365</v>
      </c>
      <c r="AI20" s="38">
        <v>365</v>
      </c>
      <c r="AJ20" s="38">
        <v>365</v>
      </c>
      <c r="AK20" s="38">
        <v>365</v>
      </c>
      <c r="AL20" s="38">
        <v>365</v>
      </c>
      <c r="AM20" s="38">
        <v>365</v>
      </c>
      <c r="AN20" s="38">
        <v>365</v>
      </c>
      <c r="AO20" s="38">
        <v>365</v>
      </c>
      <c r="AP20" s="38">
        <v>365</v>
      </c>
      <c r="AQ20" s="38">
        <v>365</v>
      </c>
      <c r="AR20" s="38">
        <v>365</v>
      </c>
      <c r="AS20" s="38">
        <v>365</v>
      </c>
      <c r="AT20" s="38">
        <v>365</v>
      </c>
      <c r="AU20" s="38">
        <v>365</v>
      </c>
      <c r="AV20" s="38">
        <v>365</v>
      </c>
      <c r="AW20" s="38">
        <v>365</v>
      </c>
      <c r="AX20" s="38">
        <v>365</v>
      </c>
      <c r="AY20" s="38">
        <v>365</v>
      </c>
      <c r="AZ20" s="38">
        <v>365</v>
      </c>
      <c r="BA20" s="38">
        <v>365</v>
      </c>
      <c r="BB20" s="38">
        <v>365</v>
      </c>
      <c r="BC20" s="38">
        <v>365</v>
      </c>
      <c r="BD20" s="38">
        <v>365</v>
      </c>
      <c r="BE20" s="38">
        <v>365</v>
      </c>
      <c r="BF20" s="38">
        <v>365</v>
      </c>
      <c r="BG20" s="38">
        <v>365</v>
      </c>
      <c r="BH20" s="38">
        <v>365</v>
      </c>
      <c r="BI20" s="38">
        <v>365</v>
      </c>
      <c r="BJ20" s="38">
        <v>365</v>
      </c>
      <c r="BK20" s="38">
        <v>366</v>
      </c>
      <c r="BL20" s="38">
        <v>366</v>
      </c>
      <c r="BM20" s="38">
        <v>366</v>
      </c>
      <c r="BN20" s="38">
        <v>366</v>
      </c>
      <c r="BO20" s="38">
        <v>366</v>
      </c>
      <c r="BP20" s="38">
        <v>366</v>
      </c>
      <c r="BQ20" s="38">
        <v>366</v>
      </c>
      <c r="BR20" s="38">
        <v>366</v>
      </c>
      <c r="BS20" s="38">
        <v>366</v>
      </c>
      <c r="BT20" s="38">
        <v>366</v>
      </c>
      <c r="BU20" s="38">
        <v>366</v>
      </c>
      <c r="BV20" s="38">
        <v>366</v>
      </c>
      <c r="BW20" s="38">
        <v>365</v>
      </c>
      <c r="BX20" s="38">
        <v>365</v>
      </c>
      <c r="BY20" s="38">
        <v>365</v>
      </c>
      <c r="BZ20" s="38">
        <v>365</v>
      </c>
      <c r="CA20" s="38">
        <v>365</v>
      </c>
      <c r="CB20" s="38">
        <v>365</v>
      </c>
      <c r="CC20" s="38">
        <v>365</v>
      </c>
      <c r="CD20" s="38">
        <v>365</v>
      </c>
      <c r="CE20" s="38">
        <v>365</v>
      </c>
      <c r="CF20" s="38">
        <v>365</v>
      </c>
      <c r="CG20" s="38">
        <v>365</v>
      </c>
      <c r="CH20" s="38">
        <v>365</v>
      </c>
      <c r="CI20" s="38">
        <v>365</v>
      </c>
      <c r="CJ20" s="38">
        <v>365</v>
      </c>
      <c r="CK20" s="38">
        <v>365</v>
      </c>
    </row>
    <row r="21" spans="2:89">
      <c r="B21" s="37" t="str">
        <v>№ месяца</v>
      </c>
      <c r="C21" s="33"/>
      <c r="D21" s="33"/>
      <c r="E21" s="34"/>
      <c r="F21" s="38">
        <v>4</v>
      </c>
      <c r="G21" s="38">
        <v>5</v>
      </c>
      <c r="H21" s="38">
        <v>6</v>
      </c>
      <c r="I21" s="38">
        <v>7</v>
      </c>
      <c r="J21" s="38">
        <v>8</v>
      </c>
      <c r="K21" s="38">
        <v>9</v>
      </c>
      <c r="L21" s="38">
        <v>10</v>
      </c>
      <c r="M21" s="38">
        <v>11</v>
      </c>
      <c r="N21" s="38">
        <v>12</v>
      </c>
      <c r="O21" s="38">
        <v>1</v>
      </c>
      <c r="P21" s="38">
        <v>2</v>
      </c>
      <c r="Q21" s="38">
        <v>3</v>
      </c>
      <c r="R21" s="38">
        <v>4</v>
      </c>
      <c r="S21" s="38">
        <v>5</v>
      </c>
      <c r="T21" s="38">
        <v>6</v>
      </c>
      <c r="U21" s="38">
        <v>7</v>
      </c>
      <c r="V21" s="38">
        <v>8</v>
      </c>
      <c r="W21" s="38">
        <v>9</v>
      </c>
      <c r="X21" s="38">
        <v>10</v>
      </c>
      <c r="Y21" s="38">
        <v>11</v>
      </c>
      <c r="Z21" s="38">
        <v>12</v>
      </c>
      <c r="AA21" s="38">
        <v>1</v>
      </c>
      <c r="AB21" s="38">
        <v>2</v>
      </c>
      <c r="AC21" s="38">
        <v>3</v>
      </c>
      <c r="AD21" s="38">
        <v>4</v>
      </c>
      <c r="AE21" s="38">
        <v>5</v>
      </c>
      <c r="AF21" s="38">
        <v>6</v>
      </c>
      <c r="AG21" s="38">
        <v>7</v>
      </c>
      <c r="AH21" s="38">
        <v>8</v>
      </c>
      <c r="AI21" s="38">
        <v>9</v>
      </c>
      <c r="AJ21" s="38">
        <v>10</v>
      </c>
      <c r="AK21" s="38">
        <v>11</v>
      </c>
      <c r="AL21" s="38">
        <v>12</v>
      </c>
      <c r="AM21" s="38">
        <v>1</v>
      </c>
      <c r="AN21" s="38">
        <v>2</v>
      </c>
      <c r="AO21" s="38">
        <v>3</v>
      </c>
      <c r="AP21" s="38">
        <v>4</v>
      </c>
      <c r="AQ21" s="38">
        <v>5</v>
      </c>
      <c r="AR21" s="38">
        <v>6</v>
      </c>
      <c r="AS21" s="38">
        <v>7</v>
      </c>
      <c r="AT21" s="38">
        <v>8</v>
      </c>
      <c r="AU21" s="38">
        <v>9</v>
      </c>
      <c r="AV21" s="38">
        <v>10</v>
      </c>
      <c r="AW21" s="38">
        <v>11</v>
      </c>
      <c r="AX21" s="38">
        <v>12</v>
      </c>
      <c r="AY21" s="38">
        <v>1</v>
      </c>
      <c r="AZ21" s="38">
        <v>2</v>
      </c>
      <c r="BA21" s="38">
        <v>3</v>
      </c>
      <c r="BB21" s="38">
        <v>4</v>
      </c>
      <c r="BC21" s="38">
        <v>5</v>
      </c>
      <c r="BD21" s="38">
        <v>6</v>
      </c>
      <c r="BE21" s="38">
        <v>7</v>
      </c>
      <c r="BF21" s="38">
        <v>8</v>
      </c>
      <c r="BG21" s="38">
        <v>9</v>
      </c>
      <c r="BH21" s="38">
        <v>10</v>
      </c>
      <c r="BI21" s="38">
        <v>11</v>
      </c>
      <c r="BJ21" s="38">
        <v>12</v>
      </c>
      <c r="BK21" s="38">
        <v>1</v>
      </c>
      <c r="BL21" s="38">
        <v>2</v>
      </c>
      <c r="BM21" s="38">
        <v>3</v>
      </c>
      <c r="BN21" s="38">
        <v>4</v>
      </c>
      <c r="BO21" s="38">
        <v>5</v>
      </c>
      <c r="BP21" s="38">
        <v>6</v>
      </c>
      <c r="BQ21" s="38">
        <v>7</v>
      </c>
      <c r="BR21" s="38">
        <v>8</v>
      </c>
      <c r="BS21" s="38">
        <v>9</v>
      </c>
      <c r="BT21" s="38">
        <v>10</v>
      </c>
      <c r="BU21" s="38">
        <v>11</v>
      </c>
      <c r="BV21" s="38">
        <v>12</v>
      </c>
      <c r="BW21" s="38">
        <v>1</v>
      </c>
      <c r="BX21" s="38">
        <v>2</v>
      </c>
      <c r="BY21" s="38">
        <v>3</v>
      </c>
      <c r="BZ21" s="38">
        <v>4</v>
      </c>
      <c r="CA21" s="38">
        <v>5</v>
      </c>
      <c r="CB21" s="38">
        <v>6</v>
      </c>
      <c r="CC21" s="38">
        <v>7</v>
      </c>
      <c r="CD21" s="38">
        <v>8</v>
      </c>
      <c r="CE21" s="38">
        <v>9</v>
      </c>
      <c r="CF21" s="38">
        <v>10</v>
      </c>
      <c r="CG21" s="38">
        <v>11</v>
      </c>
      <c r="CH21" s="38">
        <v>12</v>
      </c>
      <c r="CI21" s="38">
        <v>1</v>
      </c>
      <c r="CJ21" s="38">
        <v>2</v>
      </c>
      <c r="CK21" s="38">
        <v>3</v>
      </c>
    </row>
    <row r="22" spans="2:89">
      <c r="B22" s="37" t="str">
        <v>Календарное полугодие</v>
      </c>
      <c r="C22" s="33"/>
      <c r="D22" s="33"/>
      <c r="E22" s="34"/>
      <c r="F22" s="38">
        <v>1</v>
      </c>
      <c r="G22" s="38">
        <v>1</v>
      </c>
      <c r="H22" s="38">
        <v>1</v>
      </c>
      <c r="I22" s="38">
        <v>2</v>
      </c>
      <c r="J22" s="38">
        <v>2</v>
      </c>
      <c r="K22" s="38">
        <v>2</v>
      </c>
      <c r="L22" s="38">
        <v>2</v>
      </c>
      <c r="M22" s="38">
        <v>2</v>
      </c>
      <c r="N22" s="38">
        <v>2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2</v>
      </c>
      <c r="V22" s="38">
        <v>2</v>
      </c>
      <c r="W22" s="38">
        <v>2</v>
      </c>
      <c r="X22" s="38">
        <v>2</v>
      </c>
      <c r="Y22" s="38">
        <v>2</v>
      </c>
      <c r="Z22" s="38">
        <v>2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2</v>
      </c>
      <c r="AH22" s="38">
        <v>2</v>
      </c>
      <c r="AI22" s="38">
        <v>2</v>
      </c>
      <c r="AJ22" s="38">
        <v>2</v>
      </c>
      <c r="AK22" s="38">
        <v>2</v>
      </c>
      <c r="AL22" s="38">
        <v>2</v>
      </c>
      <c r="AM22" s="38">
        <v>1</v>
      </c>
      <c r="AN22" s="38">
        <v>1</v>
      </c>
      <c r="AO22" s="38">
        <v>1</v>
      </c>
      <c r="AP22" s="38">
        <v>1</v>
      </c>
      <c r="AQ22" s="38">
        <v>1</v>
      </c>
      <c r="AR22" s="38">
        <v>1</v>
      </c>
      <c r="AS22" s="38">
        <v>2</v>
      </c>
      <c r="AT22" s="38">
        <v>2</v>
      </c>
      <c r="AU22" s="38">
        <v>2</v>
      </c>
      <c r="AV22" s="38">
        <v>2</v>
      </c>
      <c r="AW22" s="38">
        <v>2</v>
      </c>
      <c r="AX22" s="38">
        <v>2</v>
      </c>
      <c r="AY22" s="38">
        <v>1</v>
      </c>
      <c r="AZ22" s="38">
        <v>1</v>
      </c>
      <c r="BA22" s="38">
        <v>1</v>
      </c>
      <c r="BB22" s="38">
        <v>1</v>
      </c>
      <c r="BC22" s="38">
        <v>1</v>
      </c>
      <c r="BD22" s="38">
        <v>1</v>
      </c>
      <c r="BE22" s="38">
        <v>2</v>
      </c>
      <c r="BF22" s="38">
        <v>2</v>
      </c>
      <c r="BG22" s="38">
        <v>2</v>
      </c>
      <c r="BH22" s="38">
        <v>2</v>
      </c>
      <c r="BI22" s="38">
        <v>2</v>
      </c>
      <c r="BJ22" s="38">
        <v>2</v>
      </c>
      <c r="BK22" s="38">
        <v>1</v>
      </c>
      <c r="BL22" s="38">
        <v>1</v>
      </c>
      <c r="BM22" s="38">
        <v>1</v>
      </c>
      <c r="BN22" s="38">
        <v>1</v>
      </c>
      <c r="BO22" s="38">
        <v>1</v>
      </c>
      <c r="BP22" s="38">
        <v>1</v>
      </c>
      <c r="BQ22" s="38">
        <v>2</v>
      </c>
      <c r="BR22" s="38">
        <v>2</v>
      </c>
      <c r="BS22" s="38">
        <v>2</v>
      </c>
      <c r="BT22" s="38">
        <v>2</v>
      </c>
      <c r="BU22" s="38">
        <v>2</v>
      </c>
      <c r="BV22" s="38">
        <v>2</v>
      </c>
      <c r="BW22" s="38">
        <v>1</v>
      </c>
      <c r="BX22" s="38">
        <v>1</v>
      </c>
      <c r="BY22" s="38">
        <v>1</v>
      </c>
      <c r="BZ22" s="38">
        <v>1</v>
      </c>
      <c r="CA22" s="38">
        <v>1</v>
      </c>
      <c r="CB22" s="38">
        <v>1</v>
      </c>
      <c r="CC22" s="38">
        <v>2</v>
      </c>
      <c r="CD22" s="38">
        <v>2</v>
      </c>
      <c r="CE22" s="38">
        <v>2</v>
      </c>
      <c r="CF22" s="38">
        <v>2</v>
      </c>
      <c r="CG22" s="38">
        <v>2</v>
      </c>
      <c r="CH22" s="38">
        <v>2</v>
      </c>
      <c r="CI22" s="38">
        <v>1</v>
      </c>
      <c r="CJ22" s="38">
        <v>1</v>
      </c>
      <c r="CK22" s="38">
        <v>1</v>
      </c>
    </row>
    <row r="23" spans="2:89">
      <c r="B23" s="37" t="str">
        <v>Месяц с начала полугодия</v>
      </c>
      <c r="C23" s="33"/>
      <c r="D23" s="33"/>
      <c r="E23" s="34"/>
      <c r="F23" s="38">
        <v>4</v>
      </c>
      <c r="G23" s="38">
        <v>5</v>
      </c>
      <c r="H23" s="38">
        <v>6</v>
      </c>
      <c r="I23" s="38">
        <v>1</v>
      </c>
      <c r="J23" s="38">
        <v>2</v>
      </c>
      <c r="K23" s="38">
        <v>3</v>
      </c>
      <c r="L23" s="38">
        <v>4</v>
      </c>
      <c r="M23" s="38">
        <v>5</v>
      </c>
      <c r="N23" s="38">
        <v>6</v>
      </c>
      <c r="O23" s="38">
        <v>1</v>
      </c>
      <c r="P23" s="38">
        <v>2</v>
      </c>
      <c r="Q23" s="38">
        <v>3</v>
      </c>
      <c r="R23" s="38">
        <v>4</v>
      </c>
      <c r="S23" s="38">
        <v>5</v>
      </c>
      <c r="T23" s="38">
        <v>6</v>
      </c>
      <c r="U23" s="38">
        <v>1</v>
      </c>
      <c r="V23" s="38">
        <v>2</v>
      </c>
      <c r="W23" s="38">
        <v>3</v>
      </c>
      <c r="X23" s="38">
        <v>4</v>
      </c>
      <c r="Y23" s="38">
        <v>5</v>
      </c>
      <c r="Z23" s="38">
        <v>6</v>
      </c>
      <c r="AA23" s="38">
        <v>1</v>
      </c>
      <c r="AB23" s="38">
        <v>2</v>
      </c>
      <c r="AC23" s="38">
        <v>3</v>
      </c>
      <c r="AD23" s="38">
        <v>4</v>
      </c>
      <c r="AE23" s="38">
        <v>5</v>
      </c>
      <c r="AF23" s="38">
        <v>6</v>
      </c>
      <c r="AG23" s="38">
        <v>1</v>
      </c>
      <c r="AH23" s="38">
        <v>2</v>
      </c>
      <c r="AI23" s="38">
        <v>3</v>
      </c>
      <c r="AJ23" s="38">
        <v>4</v>
      </c>
      <c r="AK23" s="38">
        <v>5</v>
      </c>
      <c r="AL23" s="38">
        <v>6</v>
      </c>
      <c r="AM23" s="38">
        <v>1</v>
      </c>
      <c r="AN23" s="38">
        <v>2</v>
      </c>
      <c r="AO23" s="38">
        <v>3</v>
      </c>
      <c r="AP23" s="38">
        <v>4</v>
      </c>
      <c r="AQ23" s="38">
        <v>5</v>
      </c>
      <c r="AR23" s="38">
        <v>6</v>
      </c>
      <c r="AS23" s="38">
        <v>1</v>
      </c>
      <c r="AT23" s="38">
        <v>2</v>
      </c>
      <c r="AU23" s="38">
        <v>3</v>
      </c>
      <c r="AV23" s="38">
        <v>4</v>
      </c>
      <c r="AW23" s="38">
        <v>5</v>
      </c>
      <c r="AX23" s="38">
        <v>6</v>
      </c>
      <c r="AY23" s="38">
        <v>1</v>
      </c>
      <c r="AZ23" s="38">
        <v>2</v>
      </c>
      <c r="BA23" s="38">
        <v>3</v>
      </c>
      <c r="BB23" s="38">
        <v>4</v>
      </c>
      <c r="BC23" s="38">
        <v>5</v>
      </c>
      <c r="BD23" s="38">
        <v>6</v>
      </c>
      <c r="BE23" s="38">
        <v>1</v>
      </c>
      <c r="BF23" s="38">
        <v>2</v>
      </c>
      <c r="BG23" s="38">
        <v>3</v>
      </c>
      <c r="BH23" s="38">
        <v>4</v>
      </c>
      <c r="BI23" s="38">
        <v>5</v>
      </c>
      <c r="BJ23" s="38">
        <v>6</v>
      </c>
      <c r="BK23" s="38">
        <v>1</v>
      </c>
      <c r="BL23" s="38">
        <v>2</v>
      </c>
      <c r="BM23" s="38">
        <v>3</v>
      </c>
      <c r="BN23" s="38">
        <v>4</v>
      </c>
      <c r="BO23" s="38">
        <v>5</v>
      </c>
      <c r="BP23" s="38">
        <v>6</v>
      </c>
      <c r="BQ23" s="38">
        <v>1</v>
      </c>
      <c r="BR23" s="38">
        <v>2</v>
      </c>
      <c r="BS23" s="38">
        <v>3</v>
      </c>
      <c r="BT23" s="38">
        <v>4</v>
      </c>
      <c r="BU23" s="38">
        <v>5</v>
      </c>
      <c r="BV23" s="38">
        <v>6</v>
      </c>
      <c r="BW23" s="38">
        <v>1</v>
      </c>
      <c r="BX23" s="38">
        <v>2</v>
      </c>
      <c r="BY23" s="38">
        <v>3</v>
      </c>
      <c r="BZ23" s="38">
        <v>4</v>
      </c>
      <c r="CA23" s="38">
        <v>5</v>
      </c>
      <c r="CB23" s="38">
        <v>6</v>
      </c>
      <c r="CC23" s="38">
        <v>1</v>
      </c>
      <c r="CD23" s="38">
        <v>2</v>
      </c>
      <c r="CE23" s="38">
        <v>3</v>
      </c>
      <c r="CF23" s="38">
        <v>4</v>
      </c>
      <c r="CG23" s="38">
        <v>5</v>
      </c>
      <c r="CH23" s="38">
        <v>6</v>
      </c>
      <c r="CI23" s="38">
        <v>1</v>
      </c>
      <c r="CJ23" s="38">
        <v>2</v>
      </c>
      <c r="CK23" s="38">
        <v>3</v>
      </c>
    </row>
    <row r="24" spans="2:89">
      <c r="B24" s="37" t="str">
        <v>Календарный квартал</v>
      </c>
      <c r="C24" s="33"/>
      <c r="D24" s="33"/>
      <c r="E24" s="34"/>
      <c r="F24" s="38">
        <v>2</v>
      </c>
      <c r="G24" s="38">
        <v>2</v>
      </c>
      <c r="H24" s="38">
        <v>2</v>
      </c>
      <c r="I24" s="38">
        <v>3</v>
      </c>
      <c r="J24" s="38">
        <v>3</v>
      </c>
      <c r="K24" s="38">
        <v>3</v>
      </c>
      <c r="L24" s="38">
        <v>4</v>
      </c>
      <c r="M24" s="38">
        <v>4</v>
      </c>
      <c r="N24" s="38">
        <v>4</v>
      </c>
      <c r="O24" s="38">
        <v>1</v>
      </c>
      <c r="P24" s="38">
        <v>1</v>
      </c>
      <c r="Q24" s="38">
        <v>1</v>
      </c>
      <c r="R24" s="38">
        <v>2</v>
      </c>
      <c r="S24" s="38">
        <v>2</v>
      </c>
      <c r="T24" s="38">
        <v>2</v>
      </c>
      <c r="U24" s="38">
        <v>3</v>
      </c>
      <c r="V24" s="38">
        <v>3</v>
      </c>
      <c r="W24" s="38">
        <v>3</v>
      </c>
      <c r="X24" s="38">
        <v>4</v>
      </c>
      <c r="Y24" s="38">
        <v>4</v>
      </c>
      <c r="Z24" s="38">
        <v>4</v>
      </c>
      <c r="AA24" s="38">
        <v>1</v>
      </c>
      <c r="AB24" s="38">
        <v>1</v>
      </c>
      <c r="AC24" s="38">
        <v>1</v>
      </c>
      <c r="AD24" s="38">
        <v>2</v>
      </c>
      <c r="AE24" s="38">
        <v>2</v>
      </c>
      <c r="AF24" s="38">
        <v>2</v>
      </c>
      <c r="AG24" s="38">
        <v>3</v>
      </c>
      <c r="AH24" s="38">
        <v>3</v>
      </c>
      <c r="AI24" s="38">
        <v>3</v>
      </c>
      <c r="AJ24" s="38">
        <v>4</v>
      </c>
      <c r="AK24" s="38">
        <v>4</v>
      </c>
      <c r="AL24" s="38">
        <v>4</v>
      </c>
      <c r="AM24" s="38">
        <v>1</v>
      </c>
      <c r="AN24" s="38">
        <v>1</v>
      </c>
      <c r="AO24" s="38">
        <v>1</v>
      </c>
      <c r="AP24" s="38">
        <v>2</v>
      </c>
      <c r="AQ24" s="38">
        <v>2</v>
      </c>
      <c r="AR24" s="38">
        <v>2</v>
      </c>
      <c r="AS24" s="38">
        <v>3</v>
      </c>
      <c r="AT24" s="38">
        <v>3</v>
      </c>
      <c r="AU24" s="38">
        <v>3</v>
      </c>
      <c r="AV24" s="38">
        <v>4</v>
      </c>
      <c r="AW24" s="38">
        <v>4</v>
      </c>
      <c r="AX24" s="38">
        <v>4</v>
      </c>
      <c r="AY24" s="38">
        <v>1</v>
      </c>
      <c r="AZ24" s="38">
        <v>1</v>
      </c>
      <c r="BA24" s="38">
        <v>1</v>
      </c>
      <c r="BB24" s="38">
        <v>2</v>
      </c>
      <c r="BC24" s="38">
        <v>2</v>
      </c>
      <c r="BD24" s="38">
        <v>2</v>
      </c>
      <c r="BE24" s="38">
        <v>3</v>
      </c>
      <c r="BF24" s="38">
        <v>3</v>
      </c>
      <c r="BG24" s="38">
        <v>3</v>
      </c>
      <c r="BH24" s="38">
        <v>4</v>
      </c>
      <c r="BI24" s="38">
        <v>4</v>
      </c>
      <c r="BJ24" s="38">
        <v>4</v>
      </c>
      <c r="BK24" s="38">
        <v>1</v>
      </c>
      <c r="BL24" s="38">
        <v>1</v>
      </c>
      <c r="BM24" s="38">
        <v>1</v>
      </c>
      <c r="BN24" s="38">
        <v>2</v>
      </c>
      <c r="BO24" s="38">
        <v>2</v>
      </c>
      <c r="BP24" s="38">
        <v>2</v>
      </c>
      <c r="BQ24" s="38">
        <v>3</v>
      </c>
      <c r="BR24" s="38">
        <v>3</v>
      </c>
      <c r="BS24" s="38">
        <v>3</v>
      </c>
      <c r="BT24" s="38">
        <v>4</v>
      </c>
      <c r="BU24" s="38">
        <v>4</v>
      </c>
      <c r="BV24" s="38">
        <v>4</v>
      </c>
      <c r="BW24" s="38">
        <v>1</v>
      </c>
      <c r="BX24" s="38">
        <v>1</v>
      </c>
      <c r="BY24" s="38">
        <v>1</v>
      </c>
      <c r="BZ24" s="38">
        <v>2</v>
      </c>
      <c r="CA24" s="38">
        <v>2</v>
      </c>
      <c r="CB24" s="38">
        <v>2</v>
      </c>
      <c r="CC24" s="38">
        <v>3</v>
      </c>
      <c r="CD24" s="38">
        <v>3</v>
      </c>
      <c r="CE24" s="38">
        <v>3</v>
      </c>
      <c r="CF24" s="38">
        <v>4</v>
      </c>
      <c r="CG24" s="38">
        <v>4</v>
      </c>
      <c r="CH24" s="38">
        <v>4</v>
      </c>
      <c r="CI24" s="38">
        <v>1</v>
      </c>
      <c r="CJ24" s="38">
        <v>1</v>
      </c>
      <c r="CK24" s="38">
        <v>1</v>
      </c>
    </row>
    <row r="25" spans="2:89">
      <c r="B25" s="37" t="str">
        <v>Месяц с начала квартала</v>
      </c>
      <c r="C25" s="33"/>
      <c r="D25" s="33"/>
      <c r="E25" s="34"/>
      <c r="F25" s="38">
        <v>1</v>
      </c>
      <c r="G25" s="38">
        <v>2</v>
      </c>
      <c r="H25" s="38">
        <v>3</v>
      </c>
      <c r="I25" s="38">
        <v>1</v>
      </c>
      <c r="J25" s="38">
        <v>2</v>
      </c>
      <c r="K25" s="38">
        <v>3</v>
      </c>
      <c r="L25" s="38">
        <v>1</v>
      </c>
      <c r="M25" s="38">
        <v>2</v>
      </c>
      <c r="N25" s="38">
        <v>3</v>
      </c>
      <c r="O25" s="38">
        <v>1</v>
      </c>
      <c r="P25" s="38">
        <v>2</v>
      </c>
      <c r="Q25" s="38">
        <v>3</v>
      </c>
      <c r="R25" s="38">
        <v>1</v>
      </c>
      <c r="S25" s="38">
        <v>2</v>
      </c>
      <c r="T25" s="38">
        <v>3</v>
      </c>
      <c r="U25" s="38">
        <v>1</v>
      </c>
      <c r="V25" s="38">
        <v>2</v>
      </c>
      <c r="W25" s="38">
        <v>3</v>
      </c>
      <c r="X25" s="38">
        <v>1</v>
      </c>
      <c r="Y25" s="38">
        <v>2</v>
      </c>
      <c r="Z25" s="38">
        <v>3</v>
      </c>
      <c r="AA25" s="38">
        <v>1</v>
      </c>
      <c r="AB25" s="38">
        <v>2</v>
      </c>
      <c r="AC25" s="38">
        <v>3</v>
      </c>
      <c r="AD25" s="38">
        <v>1</v>
      </c>
      <c r="AE25" s="38">
        <v>2</v>
      </c>
      <c r="AF25" s="38">
        <v>3</v>
      </c>
      <c r="AG25" s="38">
        <v>1</v>
      </c>
      <c r="AH25" s="38">
        <v>2</v>
      </c>
      <c r="AI25" s="38">
        <v>3</v>
      </c>
      <c r="AJ25" s="38">
        <v>1</v>
      </c>
      <c r="AK25" s="38">
        <v>2</v>
      </c>
      <c r="AL25" s="38">
        <v>3</v>
      </c>
      <c r="AM25" s="38">
        <v>1</v>
      </c>
      <c r="AN25" s="38">
        <v>2</v>
      </c>
      <c r="AO25" s="38">
        <v>3</v>
      </c>
      <c r="AP25" s="38">
        <v>1</v>
      </c>
      <c r="AQ25" s="38">
        <v>2</v>
      </c>
      <c r="AR25" s="38">
        <v>3</v>
      </c>
      <c r="AS25" s="38">
        <v>1</v>
      </c>
      <c r="AT25" s="38">
        <v>2</v>
      </c>
      <c r="AU25" s="38">
        <v>3</v>
      </c>
      <c r="AV25" s="38">
        <v>1</v>
      </c>
      <c r="AW25" s="38">
        <v>2</v>
      </c>
      <c r="AX25" s="38">
        <v>3</v>
      </c>
      <c r="AY25" s="38">
        <v>1</v>
      </c>
      <c r="AZ25" s="38">
        <v>2</v>
      </c>
      <c r="BA25" s="38">
        <v>3</v>
      </c>
      <c r="BB25" s="38">
        <v>1</v>
      </c>
      <c r="BC25" s="38">
        <v>2</v>
      </c>
      <c r="BD25" s="38">
        <v>3</v>
      </c>
      <c r="BE25" s="38">
        <v>1</v>
      </c>
      <c r="BF25" s="38">
        <v>2</v>
      </c>
      <c r="BG25" s="38">
        <v>3</v>
      </c>
      <c r="BH25" s="38">
        <v>1</v>
      </c>
      <c r="BI25" s="38">
        <v>2</v>
      </c>
      <c r="BJ25" s="38">
        <v>3</v>
      </c>
      <c r="BK25" s="38">
        <v>1</v>
      </c>
      <c r="BL25" s="38">
        <v>2</v>
      </c>
      <c r="BM25" s="38">
        <v>3</v>
      </c>
      <c r="BN25" s="38">
        <v>1</v>
      </c>
      <c r="BO25" s="38">
        <v>2</v>
      </c>
      <c r="BP25" s="38">
        <v>3</v>
      </c>
      <c r="BQ25" s="38">
        <v>1</v>
      </c>
      <c r="BR25" s="38">
        <v>2</v>
      </c>
      <c r="BS25" s="38">
        <v>3</v>
      </c>
      <c r="BT25" s="38">
        <v>1</v>
      </c>
      <c r="BU25" s="38">
        <v>2</v>
      </c>
      <c r="BV25" s="38">
        <v>3</v>
      </c>
      <c r="BW25" s="38">
        <v>1</v>
      </c>
      <c r="BX25" s="38">
        <v>2</v>
      </c>
      <c r="BY25" s="38">
        <v>3</v>
      </c>
      <c r="BZ25" s="38">
        <v>1</v>
      </c>
      <c r="CA25" s="38">
        <v>2</v>
      </c>
      <c r="CB25" s="38">
        <v>3</v>
      </c>
      <c r="CC25" s="38">
        <v>1</v>
      </c>
      <c r="CD25" s="38">
        <v>2</v>
      </c>
      <c r="CE25" s="38">
        <v>3</v>
      </c>
      <c r="CF25" s="38">
        <v>1</v>
      </c>
      <c r="CG25" s="38">
        <v>2</v>
      </c>
      <c r="CH25" s="38">
        <v>3</v>
      </c>
      <c r="CI25" s="38">
        <v>1</v>
      </c>
      <c r="CJ25" s="38">
        <v>2</v>
      </c>
      <c r="CK25" s="38">
        <v>3</v>
      </c>
    </row>
    <row r="26" spans="2:89">
      <c r="B26" s="37" t="str">
        <v>Дней в периоде</v>
      </c>
      <c r="C26" s="33"/>
      <c r="D26" s="33"/>
      <c r="E26" s="34"/>
      <c r="F26" s="38">
        <v>30</v>
      </c>
      <c r="G26" s="38">
        <v>31</v>
      </c>
      <c r="H26" s="38">
        <v>30</v>
      </c>
      <c r="I26" s="38">
        <v>31</v>
      </c>
      <c r="J26" s="38">
        <v>31</v>
      </c>
      <c r="K26" s="38">
        <v>30</v>
      </c>
      <c r="L26" s="38">
        <v>31</v>
      </c>
      <c r="M26" s="38">
        <v>30</v>
      </c>
      <c r="N26" s="38">
        <v>31</v>
      </c>
      <c r="O26" s="38">
        <v>31</v>
      </c>
      <c r="P26" s="38">
        <v>29</v>
      </c>
      <c r="Q26" s="38">
        <v>31</v>
      </c>
      <c r="R26" s="38">
        <v>30</v>
      </c>
      <c r="S26" s="38">
        <v>31</v>
      </c>
      <c r="T26" s="38">
        <v>30</v>
      </c>
      <c r="U26" s="38">
        <v>31</v>
      </c>
      <c r="V26" s="38">
        <v>31</v>
      </c>
      <c r="W26" s="38">
        <v>30</v>
      </c>
      <c r="X26" s="38">
        <v>31</v>
      </c>
      <c r="Y26" s="38">
        <v>30</v>
      </c>
      <c r="Z26" s="38">
        <v>31</v>
      </c>
      <c r="AA26" s="38">
        <v>31</v>
      </c>
      <c r="AB26" s="38">
        <v>28</v>
      </c>
      <c r="AC26" s="38">
        <v>31</v>
      </c>
      <c r="AD26" s="38">
        <v>30</v>
      </c>
      <c r="AE26" s="38">
        <v>31</v>
      </c>
      <c r="AF26" s="38">
        <v>30</v>
      </c>
      <c r="AG26" s="38">
        <v>31</v>
      </c>
      <c r="AH26" s="38">
        <v>31</v>
      </c>
      <c r="AI26" s="38">
        <v>30</v>
      </c>
      <c r="AJ26" s="38">
        <v>31</v>
      </c>
      <c r="AK26" s="38">
        <v>30</v>
      </c>
      <c r="AL26" s="38">
        <v>31</v>
      </c>
      <c r="AM26" s="38">
        <v>31</v>
      </c>
      <c r="AN26" s="38">
        <v>28</v>
      </c>
      <c r="AO26" s="38">
        <v>31</v>
      </c>
      <c r="AP26" s="38">
        <v>30</v>
      </c>
      <c r="AQ26" s="38">
        <v>31</v>
      </c>
      <c r="AR26" s="38">
        <v>30</v>
      </c>
      <c r="AS26" s="38">
        <v>31</v>
      </c>
      <c r="AT26" s="38">
        <v>31</v>
      </c>
      <c r="AU26" s="38">
        <v>30</v>
      </c>
      <c r="AV26" s="38">
        <v>31</v>
      </c>
      <c r="AW26" s="38">
        <v>30</v>
      </c>
      <c r="AX26" s="38">
        <v>31</v>
      </c>
      <c r="AY26" s="38">
        <v>31</v>
      </c>
      <c r="AZ26" s="38">
        <v>28</v>
      </c>
      <c r="BA26" s="38">
        <v>31</v>
      </c>
      <c r="BB26" s="38">
        <v>30</v>
      </c>
      <c r="BC26" s="38">
        <v>31</v>
      </c>
      <c r="BD26" s="38">
        <v>30</v>
      </c>
      <c r="BE26" s="38">
        <v>31</v>
      </c>
      <c r="BF26" s="38">
        <v>31</v>
      </c>
      <c r="BG26" s="38">
        <v>30</v>
      </c>
      <c r="BH26" s="38">
        <v>31</v>
      </c>
      <c r="BI26" s="38">
        <v>30</v>
      </c>
      <c r="BJ26" s="38">
        <v>31</v>
      </c>
      <c r="BK26" s="38">
        <v>31</v>
      </c>
      <c r="BL26" s="38">
        <v>29</v>
      </c>
      <c r="BM26" s="38">
        <v>31</v>
      </c>
      <c r="BN26" s="38">
        <v>30</v>
      </c>
      <c r="BO26" s="38">
        <v>31</v>
      </c>
      <c r="BP26" s="38">
        <v>30</v>
      </c>
      <c r="BQ26" s="38">
        <v>31</v>
      </c>
      <c r="BR26" s="38">
        <v>31</v>
      </c>
      <c r="BS26" s="38">
        <v>30</v>
      </c>
      <c r="BT26" s="38">
        <v>31</v>
      </c>
      <c r="BU26" s="38">
        <v>30</v>
      </c>
      <c r="BV26" s="38">
        <v>31</v>
      </c>
      <c r="BW26" s="38">
        <v>31</v>
      </c>
      <c r="BX26" s="38">
        <v>28</v>
      </c>
      <c r="BY26" s="38">
        <v>31</v>
      </c>
      <c r="BZ26" s="38">
        <v>30</v>
      </c>
      <c r="CA26" s="38">
        <v>31</v>
      </c>
      <c r="CB26" s="38">
        <v>30</v>
      </c>
      <c r="CC26" s="38">
        <v>31</v>
      </c>
      <c r="CD26" s="38">
        <v>31</v>
      </c>
      <c r="CE26" s="38">
        <v>30</v>
      </c>
      <c r="CF26" s="38">
        <v>31</v>
      </c>
      <c r="CG26" s="38">
        <v>30</v>
      </c>
      <c r="CH26" s="38">
        <v>31</v>
      </c>
      <c r="CI26" s="38">
        <v>31</v>
      </c>
      <c r="CJ26" s="38">
        <v>28</v>
      </c>
      <c r="CK26" s="38">
        <v>31</v>
      </c>
    </row>
    <row r="27" spans="2:89">
      <c r="B27" s="37" t="str">
        <v>№ периода</v>
      </c>
      <c r="C27" s="33"/>
      <c r="D27" s="33"/>
      <c r="E27" s="34"/>
      <c r="F27" s="38">
        <v>1</v>
      </c>
      <c r="G27" s="38">
        <v>2</v>
      </c>
      <c r="H27" s="38">
        <v>3</v>
      </c>
      <c r="I27" s="38">
        <v>4</v>
      </c>
      <c r="J27" s="38">
        <v>5</v>
      </c>
      <c r="K27" s="38">
        <v>6</v>
      </c>
      <c r="L27" s="38">
        <v>7</v>
      </c>
      <c r="M27" s="38">
        <v>8</v>
      </c>
      <c r="N27" s="38">
        <v>9</v>
      </c>
      <c r="O27" s="38">
        <v>10</v>
      </c>
      <c r="P27" s="38">
        <v>11</v>
      </c>
      <c r="Q27" s="38">
        <v>12</v>
      </c>
      <c r="R27" s="38">
        <v>13</v>
      </c>
      <c r="S27" s="38">
        <v>14</v>
      </c>
      <c r="T27" s="38">
        <v>15</v>
      </c>
      <c r="U27" s="38">
        <v>16</v>
      </c>
      <c r="V27" s="38">
        <v>17</v>
      </c>
      <c r="W27" s="38">
        <v>18</v>
      </c>
      <c r="X27" s="38">
        <v>19</v>
      </c>
      <c r="Y27" s="38">
        <v>20</v>
      </c>
      <c r="Z27" s="38">
        <v>21</v>
      </c>
      <c r="AA27" s="38">
        <v>22</v>
      </c>
      <c r="AB27" s="38">
        <v>23</v>
      </c>
      <c r="AC27" s="38">
        <v>24</v>
      </c>
      <c r="AD27" s="38">
        <v>25</v>
      </c>
      <c r="AE27" s="38">
        <v>26</v>
      </c>
      <c r="AF27" s="38">
        <v>27</v>
      </c>
      <c r="AG27" s="38">
        <v>28</v>
      </c>
      <c r="AH27" s="38">
        <v>29</v>
      </c>
      <c r="AI27" s="38">
        <v>30</v>
      </c>
      <c r="AJ27" s="38">
        <v>31</v>
      </c>
      <c r="AK27" s="38">
        <v>32</v>
      </c>
      <c r="AL27" s="38">
        <v>33</v>
      </c>
      <c r="AM27" s="38">
        <v>34</v>
      </c>
      <c r="AN27" s="38">
        <v>35</v>
      </c>
      <c r="AO27" s="38">
        <v>36</v>
      </c>
      <c r="AP27" s="38">
        <v>37</v>
      </c>
      <c r="AQ27" s="38">
        <v>38</v>
      </c>
      <c r="AR27" s="38">
        <v>39</v>
      </c>
      <c r="AS27" s="38">
        <v>40</v>
      </c>
      <c r="AT27" s="38">
        <v>41</v>
      </c>
      <c r="AU27" s="38">
        <v>42</v>
      </c>
      <c r="AV27" s="38">
        <v>43</v>
      </c>
      <c r="AW27" s="38">
        <v>44</v>
      </c>
      <c r="AX27" s="38">
        <v>45</v>
      </c>
      <c r="AY27" s="38">
        <v>46</v>
      </c>
      <c r="AZ27" s="38">
        <v>47</v>
      </c>
      <c r="BA27" s="38">
        <v>48</v>
      </c>
      <c r="BB27" s="38">
        <v>49</v>
      </c>
      <c r="BC27" s="38">
        <v>50</v>
      </c>
      <c r="BD27" s="38">
        <v>51</v>
      </c>
      <c r="BE27" s="38">
        <v>52</v>
      </c>
      <c r="BF27" s="38">
        <v>53</v>
      </c>
      <c r="BG27" s="38">
        <v>54</v>
      </c>
      <c r="BH27" s="38">
        <v>55</v>
      </c>
      <c r="BI27" s="38">
        <v>56</v>
      </c>
      <c r="BJ27" s="38">
        <v>57</v>
      </c>
      <c r="BK27" s="38">
        <v>58</v>
      </c>
      <c r="BL27" s="38">
        <v>59</v>
      </c>
      <c r="BM27" s="38">
        <v>60</v>
      </c>
      <c r="BN27" s="38">
        <v>61</v>
      </c>
      <c r="BO27" s="38">
        <v>62</v>
      </c>
      <c r="BP27" s="38">
        <v>63</v>
      </c>
      <c r="BQ27" s="38">
        <v>64</v>
      </c>
      <c r="BR27" s="38">
        <v>65</v>
      </c>
      <c r="BS27" s="38">
        <v>66</v>
      </c>
      <c r="BT27" s="38">
        <v>67</v>
      </c>
      <c r="BU27" s="38">
        <v>68</v>
      </c>
      <c r="BV27" s="38">
        <v>69</v>
      </c>
      <c r="BW27" s="38">
        <v>70</v>
      </c>
      <c r="BX27" s="38">
        <v>71</v>
      </c>
      <c r="BY27" s="38">
        <v>72</v>
      </c>
      <c r="BZ27" s="38">
        <v>73</v>
      </c>
      <c r="CA27" s="38">
        <v>74</v>
      </c>
      <c r="CB27" s="38">
        <v>75</v>
      </c>
      <c r="CC27" s="38">
        <v>76</v>
      </c>
      <c r="CD27" s="38">
        <v>77</v>
      </c>
      <c r="CE27" s="38">
        <v>78</v>
      </c>
      <c r="CF27" s="38">
        <v>79</v>
      </c>
      <c r="CG27" s="38">
        <v>80</v>
      </c>
      <c r="CH27" s="38">
        <v>81</v>
      </c>
      <c r="CI27" s="38">
        <v>82</v>
      </c>
      <c r="CJ27" s="38">
        <v>83</v>
      </c>
      <c r="CK27" s="38">
        <v>84</v>
      </c>
    </row>
    <row r="28" spans="2:89">
      <c r="B28" s="37" t="str">
        <v>№ операционного периода</v>
      </c>
      <c r="C28" s="33"/>
      <c r="D28" s="39"/>
      <c r="E28" s="34"/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1</v>
      </c>
      <c r="S28" s="38">
        <v>2</v>
      </c>
      <c r="T28" s="38">
        <v>3</v>
      </c>
      <c r="U28" s="38">
        <v>4</v>
      </c>
      <c r="V28" s="38">
        <v>5</v>
      </c>
      <c r="W28" s="38">
        <v>6</v>
      </c>
      <c r="X28" s="38">
        <v>7</v>
      </c>
      <c r="Y28" s="38">
        <v>8</v>
      </c>
      <c r="Z28" s="38">
        <v>9</v>
      </c>
      <c r="AA28" s="38">
        <v>10</v>
      </c>
      <c r="AB28" s="38">
        <v>11</v>
      </c>
      <c r="AC28" s="38">
        <v>12</v>
      </c>
      <c r="AD28" s="38">
        <v>13</v>
      </c>
      <c r="AE28" s="38">
        <v>14</v>
      </c>
      <c r="AF28" s="38">
        <v>15</v>
      </c>
      <c r="AG28" s="38">
        <v>16</v>
      </c>
      <c r="AH28" s="38">
        <v>17</v>
      </c>
      <c r="AI28" s="38">
        <v>18</v>
      </c>
      <c r="AJ28" s="38">
        <v>19</v>
      </c>
      <c r="AK28" s="38">
        <v>20</v>
      </c>
      <c r="AL28" s="38">
        <v>21</v>
      </c>
      <c r="AM28" s="38">
        <v>22</v>
      </c>
      <c r="AN28" s="38">
        <v>23</v>
      </c>
      <c r="AO28" s="38">
        <v>24</v>
      </c>
      <c r="AP28" s="38">
        <v>25</v>
      </c>
      <c r="AQ28" s="38">
        <v>26</v>
      </c>
      <c r="AR28" s="38">
        <v>27</v>
      </c>
      <c r="AS28" s="38">
        <v>28</v>
      </c>
      <c r="AT28" s="38">
        <v>29</v>
      </c>
      <c r="AU28" s="38">
        <v>30</v>
      </c>
      <c r="AV28" s="38">
        <v>31</v>
      </c>
      <c r="AW28" s="38">
        <v>32</v>
      </c>
      <c r="AX28" s="38">
        <v>33</v>
      </c>
      <c r="AY28" s="38">
        <v>34</v>
      </c>
      <c r="AZ28" s="38">
        <v>35</v>
      </c>
      <c r="BA28" s="38">
        <v>36</v>
      </c>
      <c r="BB28" s="38">
        <v>37</v>
      </c>
      <c r="BC28" s="38">
        <v>38</v>
      </c>
      <c r="BD28" s="38">
        <v>39</v>
      </c>
      <c r="BE28" s="38">
        <v>40</v>
      </c>
      <c r="BF28" s="38">
        <v>41</v>
      </c>
      <c r="BG28" s="38">
        <v>42</v>
      </c>
      <c r="BH28" s="38">
        <v>43</v>
      </c>
      <c r="BI28" s="38">
        <v>44</v>
      </c>
      <c r="BJ28" s="38">
        <v>45</v>
      </c>
      <c r="BK28" s="38">
        <v>46</v>
      </c>
      <c r="BL28" s="38">
        <v>47</v>
      </c>
      <c r="BM28" s="38">
        <v>48</v>
      </c>
      <c r="BN28" s="38">
        <v>49</v>
      </c>
      <c r="BO28" s="38">
        <v>50</v>
      </c>
      <c r="BP28" s="38">
        <v>51</v>
      </c>
      <c r="BQ28" s="38">
        <v>52</v>
      </c>
      <c r="BR28" s="38">
        <v>53</v>
      </c>
      <c r="BS28" s="38">
        <v>54</v>
      </c>
      <c r="BT28" s="38">
        <v>55</v>
      </c>
      <c r="BU28" s="38">
        <v>56</v>
      </c>
      <c r="BV28" s="38">
        <v>57</v>
      </c>
      <c r="BW28" s="38">
        <v>58</v>
      </c>
      <c r="BX28" s="38">
        <v>59</v>
      </c>
      <c r="BY28" s="38">
        <v>60</v>
      </c>
      <c r="BZ28" s="38">
        <v>61</v>
      </c>
      <c r="CA28" s="38">
        <v>62</v>
      </c>
      <c r="CB28" s="38">
        <v>63</v>
      </c>
      <c r="CC28" s="38">
        <v>64</v>
      </c>
      <c r="CD28" s="38">
        <v>65</v>
      </c>
      <c r="CE28" s="38">
        <v>66</v>
      </c>
      <c r="CF28" s="38">
        <v>67</v>
      </c>
      <c r="CG28" s="38">
        <v>68</v>
      </c>
      <c r="CH28" s="38">
        <v>69</v>
      </c>
      <c r="CI28" s="38">
        <v>70</v>
      </c>
      <c r="CJ28" s="38">
        <v>71</v>
      </c>
      <c r="CK28" s="38">
        <v>72</v>
      </c>
    </row>
    <row r="29" spans="2:89">
      <c r="B29" s="37" t="str">
        <v>№ операционного года</v>
      </c>
      <c r="C29" s="33"/>
      <c r="D29" s="39"/>
      <c r="E29" s="34"/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2</v>
      </c>
      <c r="AE29" s="38">
        <v>2</v>
      </c>
      <c r="AF29" s="38">
        <v>2</v>
      </c>
      <c r="AG29" s="38">
        <v>2</v>
      </c>
      <c r="AH29" s="38">
        <v>2</v>
      </c>
      <c r="AI29" s="38">
        <v>2</v>
      </c>
      <c r="AJ29" s="38">
        <v>2</v>
      </c>
      <c r="AK29" s="38">
        <v>2</v>
      </c>
      <c r="AL29" s="38">
        <v>2</v>
      </c>
      <c r="AM29" s="38">
        <v>2</v>
      </c>
      <c r="AN29" s="38">
        <v>2</v>
      </c>
      <c r="AO29" s="38">
        <v>2</v>
      </c>
      <c r="AP29" s="38">
        <v>3</v>
      </c>
      <c r="AQ29" s="38">
        <v>3</v>
      </c>
      <c r="AR29" s="38">
        <v>3</v>
      </c>
      <c r="AS29" s="38">
        <v>3</v>
      </c>
      <c r="AT29" s="38">
        <v>3</v>
      </c>
      <c r="AU29" s="38">
        <v>3</v>
      </c>
      <c r="AV29" s="38">
        <v>3</v>
      </c>
      <c r="AW29" s="38">
        <v>3</v>
      </c>
      <c r="AX29" s="38">
        <v>3</v>
      </c>
      <c r="AY29" s="38">
        <v>3</v>
      </c>
      <c r="AZ29" s="38">
        <v>3</v>
      </c>
      <c r="BA29" s="38">
        <v>3</v>
      </c>
      <c r="BB29" s="38">
        <v>4</v>
      </c>
      <c r="BC29" s="38">
        <v>4</v>
      </c>
      <c r="BD29" s="38">
        <v>4</v>
      </c>
      <c r="BE29" s="38">
        <v>4</v>
      </c>
      <c r="BF29" s="38">
        <v>4</v>
      </c>
      <c r="BG29" s="38">
        <v>4</v>
      </c>
      <c r="BH29" s="38">
        <v>4</v>
      </c>
      <c r="BI29" s="38">
        <v>4</v>
      </c>
      <c r="BJ29" s="38">
        <v>4</v>
      </c>
      <c r="BK29" s="38">
        <v>4</v>
      </c>
      <c r="BL29" s="38">
        <v>4</v>
      </c>
      <c r="BM29" s="38">
        <v>4</v>
      </c>
      <c r="BN29" s="38">
        <v>5</v>
      </c>
      <c r="BO29" s="38">
        <v>5</v>
      </c>
      <c r="BP29" s="38">
        <v>5</v>
      </c>
      <c r="BQ29" s="38">
        <v>5</v>
      </c>
      <c r="BR29" s="38">
        <v>5</v>
      </c>
      <c r="BS29" s="38">
        <v>5</v>
      </c>
      <c r="BT29" s="38">
        <v>5</v>
      </c>
      <c r="BU29" s="38">
        <v>5</v>
      </c>
      <c r="BV29" s="38">
        <v>5</v>
      </c>
      <c r="BW29" s="38">
        <v>5</v>
      </c>
      <c r="BX29" s="38">
        <v>5</v>
      </c>
      <c r="BY29" s="38">
        <v>5</v>
      </c>
      <c r="BZ29" s="38">
        <v>6</v>
      </c>
      <c r="CA29" s="38">
        <v>6</v>
      </c>
      <c r="CB29" s="38">
        <v>6</v>
      </c>
      <c r="CC29" s="38">
        <v>6</v>
      </c>
      <c r="CD29" s="38">
        <v>6</v>
      </c>
      <c r="CE29" s="38">
        <v>6</v>
      </c>
      <c r="CF29" s="38">
        <v>6</v>
      </c>
      <c r="CG29" s="38">
        <v>6</v>
      </c>
      <c r="CH29" s="38">
        <v>6</v>
      </c>
      <c r="CI29" s="38">
        <v>6</v>
      </c>
      <c r="CJ29" s="38">
        <v>6</v>
      </c>
      <c r="CK29" s="38"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2:89" ht="20.25" thickBot="1">
      <c r="B33" s="26" t="str">
        <f>"Операционная прибыль после налогов, в "&amp;Ед_измерения_денег</f>
        <v>Операционная прибыль после налогов, в  руб.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</row>
    <row r="34" spans="2:89" ht="15.75" thickTop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</row>
    <row r="35" spans="2:89">
      <c r="B35" s="45" t="s">
        <v>76</v>
      </c>
      <c r="C35" s="46"/>
      <c r="D35" s="47">
        <f ca="1">SUM(F35:CK35)</f>
        <v>4462724969.7383995</v>
      </c>
      <c r="E35" s="48"/>
      <c r="F35" s="49">
        <f ca="1">Отчетность_по_периодам!F49</f>
        <v>0</v>
      </c>
      <c r="G35" s="49">
        <f ca="1">Отчетность_по_периодам!G49</f>
        <v>0</v>
      </c>
      <c r="H35" s="49">
        <f ca="1">Отчетность_по_периодам!H49</f>
        <v>0</v>
      </c>
      <c r="I35" s="49">
        <f ca="1">Отчетность_по_периодам!I49</f>
        <v>0</v>
      </c>
      <c r="J35" s="49">
        <f ca="1">Отчетность_по_периодам!J49</f>
        <v>0</v>
      </c>
      <c r="K35" s="49">
        <f ca="1">Отчетность_по_периодам!K49</f>
        <v>0</v>
      </c>
      <c r="L35" s="49">
        <f ca="1">Отчетность_по_периодам!L49</f>
        <v>0</v>
      </c>
      <c r="M35" s="49">
        <f ca="1">Отчетность_по_периодам!M49</f>
        <v>0</v>
      </c>
      <c r="N35" s="49">
        <f ca="1">Отчетность_по_периодам!N49</f>
        <v>0</v>
      </c>
      <c r="O35" s="49">
        <f ca="1">Отчетность_по_периодам!O49</f>
        <v>0</v>
      </c>
      <c r="P35" s="49">
        <f ca="1">Отчетность_по_периодам!P49</f>
        <v>0</v>
      </c>
      <c r="Q35" s="49">
        <f ca="1">Отчетность_по_периодам!Q49</f>
        <v>0</v>
      </c>
      <c r="R35" s="49">
        <f ca="1">Отчетность_по_периодам!R49</f>
        <v>7409028.9956118762</v>
      </c>
      <c r="S35" s="49">
        <f ca="1">Отчетность_по_периодам!S49</f>
        <v>7494433.5687266514</v>
      </c>
      <c r="T35" s="49">
        <f ca="1">Отчетность_по_периодам!T49</f>
        <v>1880993.5667377636</v>
      </c>
      <c r="U35" s="49">
        <f ca="1">Отчетность_по_периодам!U49</f>
        <v>7663528.6895695403</v>
      </c>
      <c r="V35" s="49">
        <f ca="1">Отчетность_по_периодам!V49</f>
        <v>7749994.1460430175</v>
      </c>
      <c r="W35" s="49">
        <f ca="1">Отчетность_по_периодам!W49</f>
        <v>2344727.7849627398</v>
      </c>
      <c r="X35" s="49">
        <f ca="1">Отчетность_по_периодам!X49</f>
        <v>7921189.4706242159</v>
      </c>
      <c r="Y35" s="49">
        <f ca="1">Отчетность_по_периодам!Y49</f>
        <v>8005899.1793526039</v>
      </c>
      <c r="Z35" s="49">
        <f ca="1">Отчетность_по_периодам!Z49</f>
        <v>2811648.5247332137</v>
      </c>
      <c r="AA35" s="49">
        <f ca="1">Отчетность_по_периодам!AA49</f>
        <v>8182292.0840018615</v>
      </c>
      <c r="AB35" s="49">
        <f ca="1">Отчетность_по_периодам!AB49</f>
        <v>8262545.9311508723</v>
      </c>
      <c r="AC35" s="49">
        <f ca="1">Отчетность_по_периодам!AC49</f>
        <v>8351751.5686958246</v>
      </c>
      <c r="AD35" s="49">
        <f ca="1">Отчетность_по_периодам!AD49</f>
        <v>13385541.49622817</v>
      </c>
      <c r="AE35" s="49">
        <f ca="1">Отчетность_по_периодам!AE49</f>
        <v>14542322.983465154</v>
      </c>
      <c r="AF35" s="49">
        <f ca="1">Отчетность_по_периодам!AF49</f>
        <v>15858064.067687787</v>
      </c>
      <c r="AG35" s="49">
        <f ca="1">Отчетность_по_периодам!AG49</f>
        <v>17459015.280090455</v>
      </c>
      <c r="AH35" s="49">
        <f ca="1">Отчетность_по_периодам!AH49</f>
        <v>19351729.835485417</v>
      </c>
      <c r="AI35" s="49">
        <f ca="1">Отчетность_по_периодам!AI49</f>
        <v>21513554.457903966</v>
      </c>
      <c r="AJ35" s="49">
        <f ca="1">Отчетность_по_периодам!AJ49</f>
        <v>24152743.798332661</v>
      </c>
      <c r="AK35" s="49">
        <f ca="1">Отчетность_по_периодам!AK49</f>
        <v>27171658.567304686</v>
      </c>
      <c r="AL35" s="49">
        <f ca="1">Отчетность_по_периодам!AL49</f>
        <v>30861312.74760735</v>
      </c>
      <c r="AM35" s="49">
        <f ca="1">Отчетность_по_периодам!AM49</f>
        <v>35238446.253335491</v>
      </c>
      <c r="AN35" s="49">
        <f ca="1">Отчетность_по_периодам!AN49</f>
        <v>39889961.989739552</v>
      </c>
      <c r="AO35" s="49">
        <f ca="1">Отчетность_по_периодам!AO49</f>
        <v>45952527.272361778</v>
      </c>
      <c r="AP35" s="49">
        <f ca="1">Отчетность_по_периодам!AP49</f>
        <v>48166193.502636254</v>
      </c>
      <c r="AQ35" s="49">
        <f ca="1">Отчетность_по_периодам!AQ49</f>
        <v>50593672.256372496</v>
      </c>
      <c r="AR35" s="49">
        <f ca="1">Отчетность_по_периодам!AR49</f>
        <v>53086944.276289418</v>
      </c>
      <c r="AS35" s="49">
        <f ca="1">Отчетность_по_периодам!AS49</f>
        <v>55821777.93140769</v>
      </c>
      <c r="AT35" s="49">
        <f ca="1">Отчетность_по_периодам!AT49</f>
        <v>58727994.451668605</v>
      </c>
      <c r="AU35" s="49">
        <f ca="1">Отчетность_по_периодам!AU49</f>
        <v>61714108.525518939</v>
      </c>
      <c r="AV35" s="49">
        <f ca="1">Отчетность_по_периодам!AV49</f>
        <v>64990707.875169829</v>
      </c>
      <c r="AW35" s="49">
        <f ca="1">Отчетность_по_периодам!AW49</f>
        <v>68358124.540430009</v>
      </c>
      <c r="AX35" s="49">
        <f ca="1">Отчетность_по_периодам!AX49</f>
        <v>72053885.836377174</v>
      </c>
      <c r="AY35" s="49">
        <f ca="1">Отчетность_по_периодам!AY49</f>
        <v>75983387.850513682</v>
      </c>
      <c r="AZ35" s="49">
        <f ca="1">Отчетность_по_периодам!AZ49</f>
        <v>79746122.080102652</v>
      </c>
      <c r="BA35" s="49">
        <f ca="1">Отчетность_по_периодам!BA49</f>
        <v>84163224.764198601</v>
      </c>
      <c r="BB35" s="49">
        <f ca="1">Отчетность_по_периодам!BB49</f>
        <v>84552455.617669836</v>
      </c>
      <c r="BC35" s="49">
        <f ca="1">Отчетность_по_периодам!BC49</f>
        <v>84956294.664424762</v>
      </c>
      <c r="BD35" s="49">
        <f ca="1">Отчетность_по_периодам!BD49</f>
        <v>85348694.120507583</v>
      </c>
      <c r="BE35" s="49">
        <f ca="1">Отчетность_по_периодам!BE49</f>
        <v>85755820.608063757</v>
      </c>
      <c r="BF35" s="49">
        <f ca="1">Отчетность_по_периодам!BF49</f>
        <v>86164627.940991998</v>
      </c>
      <c r="BG35" s="49">
        <f ca="1">Отчетность_по_периодам!BG49</f>
        <v>86561854.824949712</v>
      </c>
      <c r="BH35" s="49">
        <f ca="1">Отчетность_по_периодам!BH49</f>
        <v>86973989.791568011</v>
      </c>
      <c r="BI35" s="49">
        <f ca="1">Отчетность_по_периодам!BI49</f>
        <v>87374449.965137199</v>
      </c>
      <c r="BJ35" s="49">
        <f ca="1">Отчетность_по_периодам!BJ49</f>
        <v>87789939.484148651</v>
      </c>
      <c r="BK35" s="49">
        <f ca="1">Отчетность_по_периодам!BK49</f>
        <v>88206001.914495707</v>
      </c>
      <c r="BL35" s="49">
        <f ca="1">Отчетность_по_периодам!BL49</f>
        <v>88596772.060370997</v>
      </c>
      <c r="BM35" s="49">
        <f ca="1">Отчетность_по_периодам!BM49</f>
        <v>89016155.886951864</v>
      </c>
      <c r="BN35" s="49">
        <f ca="1">Отчетность_по_периодам!BN49</f>
        <v>89423654.861110911</v>
      </c>
      <c r="BO35" s="49">
        <f ca="1">Отчетность_по_периодам!BO49</f>
        <v>89846442.45479773</v>
      </c>
      <c r="BP35" s="49">
        <f ca="1">Отчетность_по_периодам!BP49</f>
        <v>90257248.655040145</v>
      </c>
      <c r="BQ35" s="49">
        <f ca="1">Отчетность_по_периодам!BQ49</f>
        <v>90683467.470667198</v>
      </c>
      <c r="BR35" s="49">
        <f ca="1">Отчетность_по_периодам!BR49</f>
        <v>91111440.614055693</v>
      </c>
      <c r="BS35" s="49">
        <f ca="1">Отчетность_по_периодам!BS49</f>
        <v>91527285.285181463</v>
      </c>
      <c r="BT35" s="49">
        <f ca="1">Отчетность_по_периодам!BT49</f>
        <v>91958731.474928916</v>
      </c>
      <c r="BU35" s="49">
        <f ca="1">Отчетность_по_периодам!BU49</f>
        <v>92377950.684941024</v>
      </c>
      <c r="BV35" s="49">
        <f ca="1">Отчетность_по_периодам!BV49</f>
        <v>92812897.931612357</v>
      </c>
      <c r="BW35" s="49">
        <f ca="1">Отчетность_по_периодам!BW49</f>
        <v>93250834.216361269</v>
      </c>
      <c r="BX35" s="49">
        <f ca="1">Отчетность_по_периодам!BX49</f>
        <v>93647942.722997978</v>
      </c>
      <c r="BY35" s="49">
        <f ca="1">Отчетность_по_периодам!BY49</f>
        <v>94089324.956254378</v>
      </c>
      <c r="BZ35" s="49">
        <f ca="1">Отчетность_по_периодам!BZ49</f>
        <v>94518203.162725672</v>
      </c>
      <c r="CA35" s="49">
        <f ca="1">Отчетность_по_периодам!CA49</f>
        <v>94963176.49278605</v>
      </c>
      <c r="CB35" s="49">
        <f ca="1">Отчетность_по_периодам!CB49</f>
        <v>95395543.976540118</v>
      </c>
      <c r="CC35" s="49">
        <f ca="1">Отчетность_по_периодам!CC49</f>
        <v>95844137.441313446</v>
      </c>
      <c r="CD35" s="49">
        <f ca="1">Отчетность_по_периодам!CD49</f>
        <v>96294581.8496342</v>
      </c>
      <c r="CE35" s="49">
        <f ca="1">Отчетность_по_периодам!CE49</f>
        <v>96732265.287238941</v>
      </c>
      <c r="CF35" s="49">
        <f ca="1">Отчетность_по_периодам!CF49</f>
        <v>97186374.067440912</v>
      </c>
      <c r="CG35" s="49">
        <f ca="1">Отчетность_по_периодам!CG49</f>
        <v>97627617.97824806</v>
      </c>
      <c r="CH35" s="49">
        <f ca="1">Отчетность_по_периодам!CH49</f>
        <v>98085420.757500008</v>
      </c>
      <c r="CI35" s="49">
        <f ca="1">Отчетность_по_периодам!CI49</f>
        <v>98545112.245244637</v>
      </c>
      <c r="CJ35" s="49">
        <f ca="1">Отчетность_по_периодам!CJ49</f>
        <v>98961947.2864898</v>
      </c>
      <c r="CK35" s="49">
        <f ca="1">Отчетность_по_периодам!CK49</f>
        <v>99425254.835571349</v>
      </c>
    </row>
    <row r="36" spans="2:89">
      <c r="B36" s="45" t="s">
        <v>29</v>
      </c>
      <c r="C36" s="46"/>
      <c r="D36" s="47">
        <f ca="1">SUM(F36:CK36)</f>
        <v>0</v>
      </c>
      <c r="E36" s="48"/>
      <c r="F36" s="49">
        <f ca="1">Отчетность_по_периодам!F56</f>
        <v>0</v>
      </c>
      <c r="G36" s="49">
        <f ca="1">Отчетность_по_периодам!G56</f>
        <v>0</v>
      </c>
      <c r="H36" s="49">
        <f ca="1">Отчетность_по_периодам!H56</f>
        <v>0</v>
      </c>
      <c r="I36" s="49">
        <f ca="1">Отчетность_по_периодам!I56</f>
        <v>0</v>
      </c>
      <c r="J36" s="49">
        <f ca="1">Отчетность_по_периодам!J56</f>
        <v>0</v>
      </c>
      <c r="K36" s="49">
        <f ca="1">Отчетность_по_периодам!K56</f>
        <v>0</v>
      </c>
      <c r="L36" s="49">
        <f ca="1">Отчетность_по_периодам!L56</f>
        <v>0</v>
      </c>
      <c r="M36" s="49">
        <f ca="1">Отчетность_по_периодам!M56</f>
        <v>0</v>
      </c>
      <c r="N36" s="49">
        <f ca="1">Отчетность_по_периодам!N56</f>
        <v>0</v>
      </c>
      <c r="O36" s="49">
        <f ca="1">Отчетность_по_периодам!O56</f>
        <v>0</v>
      </c>
      <c r="P36" s="49">
        <f ca="1">Отчетность_по_периодам!P56</f>
        <v>0</v>
      </c>
      <c r="Q36" s="49">
        <f ca="1">Отчетность_по_периодам!Q56</f>
        <v>0</v>
      </c>
      <c r="R36" s="49">
        <f ca="1">Отчетность_по_периодам!R56</f>
        <v>0</v>
      </c>
      <c r="S36" s="49">
        <f ca="1">Отчетность_по_периодам!S56</f>
        <v>0</v>
      </c>
      <c r="T36" s="49">
        <f ca="1">Отчетность_по_периодам!T56</f>
        <v>0</v>
      </c>
      <c r="U36" s="49">
        <f ca="1">Отчетность_по_периодам!U56</f>
        <v>0</v>
      </c>
      <c r="V36" s="49">
        <f ca="1">Отчетность_по_периодам!V56</f>
        <v>0</v>
      </c>
      <c r="W36" s="49">
        <f ca="1">Отчетность_по_периодам!W56</f>
        <v>0</v>
      </c>
      <c r="X36" s="49">
        <f ca="1">Отчетность_по_периодам!X56</f>
        <v>0</v>
      </c>
      <c r="Y36" s="49">
        <f ca="1">Отчетность_по_периодам!Y56</f>
        <v>0</v>
      </c>
      <c r="Z36" s="49">
        <f ca="1">Отчетность_по_периодам!Z56</f>
        <v>0</v>
      </c>
      <c r="AA36" s="49">
        <f ca="1">Отчетность_по_периодам!AA56</f>
        <v>0</v>
      </c>
      <c r="AB36" s="49">
        <f ca="1">Отчетность_по_периодам!AB56</f>
        <v>0</v>
      </c>
      <c r="AC36" s="49">
        <f ca="1">Отчетность_по_периодам!AC56</f>
        <v>0</v>
      </c>
      <c r="AD36" s="49">
        <f ca="1">Отчетность_по_периодам!AD56</f>
        <v>0</v>
      </c>
      <c r="AE36" s="49">
        <f ca="1">Отчетность_по_периодам!AE56</f>
        <v>0</v>
      </c>
      <c r="AF36" s="49">
        <f ca="1">Отчетность_по_периодам!AF56</f>
        <v>0</v>
      </c>
      <c r="AG36" s="49">
        <f ca="1">Отчетность_по_периодам!AG56</f>
        <v>0</v>
      </c>
      <c r="AH36" s="49">
        <f ca="1">Отчетность_по_периодам!AH56</f>
        <v>0</v>
      </c>
      <c r="AI36" s="49">
        <f ca="1">Отчетность_по_периодам!AI56</f>
        <v>0</v>
      </c>
      <c r="AJ36" s="49">
        <f ca="1">Отчетность_по_периодам!AJ56</f>
        <v>0</v>
      </c>
      <c r="AK36" s="49">
        <f ca="1">Отчетность_по_периодам!AK56</f>
        <v>0</v>
      </c>
      <c r="AL36" s="49">
        <f ca="1">Отчетность_по_периодам!AL56</f>
        <v>0</v>
      </c>
      <c r="AM36" s="49">
        <f ca="1">Отчетность_по_периодам!AM56</f>
        <v>0</v>
      </c>
      <c r="AN36" s="49">
        <f ca="1">Отчетность_по_периодам!AN56</f>
        <v>0</v>
      </c>
      <c r="AO36" s="49">
        <f ca="1">Отчетность_по_периодам!AO56</f>
        <v>0</v>
      </c>
      <c r="AP36" s="49">
        <f ca="1">Отчетность_по_периодам!AP56</f>
        <v>0</v>
      </c>
      <c r="AQ36" s="49">
        <f ca="1">Отчетность_по_периодам!AQ56</f>
        <v>0</v>
      </c>
      <c r="AR36" s="49">
        <f ca="1">Отчетность_по_периодам!AR56</f>
        <v>0</v>
      </c>
      <c r="AS36" s="49">
        <f ca="1">Отчетность_по_периодам!AS56</f>
        <v>0</v>
      </c>
      <c r="AT36" s="49">
        <f ca="1">Отчетность_по_периодам!AT56</f>
        <v>0</v>
      </c>
      <c r="AU36" s="49">
        <f ca="1">Отчетность_по_периодам!AU56</f>
        <v>0</v>
      </c>
      <c r="AV36" s="49">
        <f ca="1">Отчетность_по_периодам!AV56</f>
        <v>0</v>
      </c>
      <c r="AW36" s="49">
        <f ca="1">Отчетность_по_периодам!AW56</f>
        <v>0</v>
      </c>
      <c r="AX36" s="49">
        <f ca="1">Отчетность_по_периодам!AX56</f>
        <v>0</v>
      </c>
      <c r="AY36" s="49">
        <f ca="1">Отчетность_по_периодам!AY56</f>
        <v>0</v>
      </c>
      <c r="AZ36" s="49">
        <f ca="1">Отчетность_по_периодам!AZ56</f>
        <v>0</v>
      </c>
      <c r="BA36" s="49">
        <f ca="1">Отчетность_по_периодам!BA56</f>
        <v>0</v>
      </c>
      <c r="BB36" s="49">
        <f ca="1">Отчетность_по_периодам!BB56</f>
        <v>0</v>
      </c>
      <c r="BC36" s="49">
        <f ca="1">Отчетность_по_периодам!BC56</f>
        <v>0</v>
      </c>
      <c r="BD36" s="49">
        <f ca="1">Отчетность_по_периодам!BD56</f>
        <v>0</v>
      </c>
      <c r="BE36" s="49">
        <f ca="1">Отчетность_по_периодам!BE56</f>
        <v>0</v>
      </c>
      <c r="BF36" s="49">
        <f ca="1">Отчетность_по_периодам!BF56</f>
        <v>0</v>
      </c>
      <c r="BG36" s="49">
        <f ca="1">Отчетность_по_периодам!BG56</f>
        <v>0</v>
      </c>
      <c r="BH36" s="49">
        <f ca="1">Отчетность_по_периодам!BH56</f>
        <v>0</v>
      </c>
      <c r="BI36" s="49">
        <f ca="1">Отчетность_по_периодам!BI56</f>
        <v>0</v>
      </c>
      <c r="BJ36" s="49">
        <f ca="1">Отчетность_по_периодам!BJ56</f>
        <v>0</v>
      </c>
      <c r="BK36" s="49">
        <f ca="1">Отчетность_по_периодам!BK56</f>
        <v>0</v>
      </c>
      <c r="BL36" s="49">
        <f ca="1">Отчетность_по_периодам!BL56</f>
        <v>0</v>
      </c>
      <c r="BM36" s="49">
        <f ca="1">Отчетность_по_периодам!BM56</f>
        <v>0</v>
      </c>
      <c r="BN36" s="49">
        <f ca="1">Отчетность_по_периодам!BN56</f>
        <v>0</v>
      </c>
      <c r="BO36" s="49">
        <f ca="1">Отчетность_по_периодам!BO56</f>
        <v>0</v>
      </c>
      <c r="BP36" s="49">
        <f ca="1">Отчетность_по_периодам!BP56</f>
        <v>0</v>
      </c>
      <c r="BQ36" s="49">
        <f ca="1">Отчетность_по_периодам!BQ56</f>
        <v>0</v>
      </c>
      <c r="BR36" s="49">
        <f ca="1">Отчетность_по_периодам!BR56</f>
        <v>0</v>
      </c>
      <c r="BS36" s="49">
        <f ca="1">Отчетность_по_периодам!BS56</f>
        <v>0</v>
      </c>
      <c r="BT36" s="49">
        <f ca="1">Отчетность_по_периодам!BT56</f>
        <v>0</v>
      </c>
      <c r="BU36" s="49">
        <f ca="1">Отчетность_по_периодам!BU56</f>
        <v>0</v>
      </c>
      <c r="BV36" s="49">
        <f ca="1">Отчетность_по_периодам!BV56</f>
        <v>0</v>
      </c>
      <c r="BW36" s="49">
        <f ca="1">Отчетность_по_периодам!BW56</f>
        <v>0</v>
      </c>
      <c r="BX36" s="49">
        <f ca="1">Отчетность_по_периодам!BX56</f>
        <v>0</v>
      </c>
      <c r="BY36" s="49">
        <f ca="1">Отчетность_по_периодам!BY56</f>
        <v>0</v>
      </c>
      <c r="BZ36" s="49">
        <f ca="1">Отчетность_по_периодам!BZ56</f>
        <v>0</v>
      </c>
      <c r="CA36" s="49">
        <f ca="1">Отчетность_по_периодам!CA56</f>
        <v>0</v>
      </c>
      <c r="CB36" s="49">
        <f ca="1">Отчетность_по_периодам!CB56</f>
        <v>0</v>
      </c>
      <c r="CC36" s="49">
        <f ca="1">Отчетность_по_периодам!CC56</f>
        <v>0</v>
      </c>
      <c r="CD36" s="49">
        <f ca="1">Отчетность_по_периодам!CD56</f>
        <v>0</v>
      </c>
      <c r="CE36" s="49">
        <f ca="1">Отчетность_по_периодам!CE56</f>
        <v>0</v>
      </c>
      <c r="CF36" s="49">
        <f ca="1">Отчетность_по_периодам!CF56</f>
        <v>0</v>
      </c>
      <c r="CG36" s="49">
        <f ca="1">Отчетность_по_периодам!CG56</f>
        <v>0</v>
      </c>
      <c r="CH36" s="49">
        <f ca="1">Отчетность_по_периодам!CH56</f>
        <v>0</v>
      </c>
      <c r="CI36" s="49">
        <f ca="1">Отчетность_по_периодам!CI56</f>
        <v>0</v>
      </c>
      <c r="CJ36" s="49">
        <f ca="1">Отчетность_по_периодам!CJ56</f>
        <v>0</v>
      </c>
      <c r="CK36" s="49">
        <f ca="1">Отчетность_по_периодам!CK56</f>
        <v>0</v>
      </c>
    </row>
    <row r="37" spans="2:89" ht="15.75" thickBot="1">
      <c r="B37" s="45" t="s">
        <v>717</v>
      </c>
      <c r="C37" s="46"/>
      <c r="D37" s="47">
        <f ca="1">SUM(F37:CK37)</f>
        <v>-233902938.6992507</v>
      </c>
      <c r="E37" s="48"/>
      <c r="F37" s="49">
        <f ca="1">Отчетность_по_периодам!F57</f>
        <v>0</v>
      </c>
      <c r="G37" s="49">
        <f ca="1">Отчетность_по_периодам!G57</f>
        <v>0</v>
      </c>
      <c r="H37" s="49">
        <f ca="1">Отчетность_по_периодам!H57</f>
        <v>0</v>
      </c>
      <c r="I37" s="49">
        <f ca="1">Отчетность_по_периодам!I57</f>
        <v>0</v>
      </c>
      <c r="J37" s="49">
        <f ca="1">Отчетность_по_периодам!J57</f>
        <v>0</v>
      </c>
      <c r="K37" s="49">
        <f ca="1">Отчетность_по_периодам!K57</f>
        <v>0</v>
      </c>
      <c r="L37" s="49">
        <f ca="1">Отчетность_по_периодам!L57</f>
        <v>0</v>
      </c>
      <c r="M37" s="49">
        <f ca="1">Отчетность_по_периодам!M57</f>
        <v>0</v>
      </c>
      <c r="N37" s="49">
        <f ca="1">Отчетность_по_периодам!N57</f>
        <v>0</v>
      </c>
      <c r="O37" s="49">
        <f ca="1">Отчетность_по_периодам!O57</f>
        <v>0</v>
      </c>
      <c r="P37" s="49">
        <f ca="1">Отчетность_по_периодам!P57</f>
        <v>0</v>
      </c>
      <c r="Q37" s="49">
        <f ca="1">Отчетность_по_периодам!Q57</f>
        <v>0</v>
      </c>
      <c r="R37" s="49">
        <f ca="1">Отчетность_по_периодам!R57</f>
        <v>0</v>
      </c>
      <c r="S37" s="49">
        <f ca="1">Отчетность_по_периодам!S57</f>
        <v>0</v>
      </c>
      <c r="T37" s="49">
        <f ca="1">Отчетность_по_периодам!T57</f>
        <v>0</v>
      </c>
      <c r="U37" s="49">
        <f ca="1">Отчетность_по_периодам!U57</f>
        <v>0</v>
      </c>
      <c r="V37" s="49">
        <f ca="1">Отчетность_по_периодам!V57</f>
        <v>0</v>
      </c>
      <c r="W37" s="49">
        <f ca="1">Отчетность_по_периодам!W57</f>
        <v>0</v>
      </c>
      <c r="X37" s="49">
        <f ca="1">Отчетность_по_периодам!X57</f>
        <v>0</v>
      </c>
      <c r="Y37" s="49">
        <f ca="1">Отчетность_по_периодам!Y57</f>
        <v>0</v>
      </c>
      <c r="Z37" s="49">
        <f ca="1">Отчетность_по_периодам!Z57</f>
        <v>0</v>
      </c>
      <c r="AA37" s="49">
        <f ca="1">Отчетность_по_периодам!AA57</f>
        <v>0</v>
      </c>
      <c r="AB37" s="49">
        <f ca="1">Отчетность_по_периодам!AB57</f>
        <v>0</v>
      </c>
      <c r="AC37" s="49">
        <f ca="1">Отчетность_по_периодам!AC57</f>
        <v>0</v>
      </c>
      <c r="AD37" s="49">
        <f ca="1">Отчетность_по_периодам!AD57</f>
        <v>0</v>
      </c>
      <c r="AE37" s="49">
        <f ca="1">Отчетность_по_периодам!AE57</f>
        <v>0</v>
      </c>
      <c r="AF37" s="49">
        <f ca="1">Отчетность_по_периодам!AF57</f>
        <v>0</v>
      </c>
      <c r="AG37" s="49">
        <f ca="1">Отчетность_по_периодам!AG57</f>
        <v>0</v>
      </c>
      <c r="AH37" s="49">
        <f ca="1">Отчетность_по_периодам!AH57</f>
        <v>0</v>
      </c>
      <c r="AI37" s="49">
        <f ca="1">Отчетность_по_периодам!AI57</f>
        <v>0</v>
      </c>
      <c r="AJ37" s="49">
        <f ca="1">Отчетность_по_периодам!AJ57</f>
        <v>0</v>
      </c>
      <c r="AK37" s="49">
        <f ca="1">Отчетность_по_периодам!AK57</f>
        <v>0</v>
      </c>
      <c r="AL37" s="49">
        <f ca="1">Отчетность_по_периодам!AL57</f>
        <v>-6020272.5387643678</v>
      </c>
      <c r="AM37" s="49">
        <f ca="1">Отчетность_по_периодам!AM57</f>
        <v>0</v>
      </c>
      <c r="AN37" s="49">
        <f ca="1">Отчетность_по_периодам!AN57</f>
        <v>0</v>
      </c>
      <c r="AO37" s="49">
        <f ca="1">Отчетность_по_периодам!AO57</f>
        <v>0</v>
      </c>
      <c r="AP37" s="49">
        <f ca="1">Отчетность_по_периодам!AP57</f>
        <v>0</v>
      </c>
      <c r="AQ37" s="49">
        <f ca="1">Отчетность_по_периодам!AQ57</f>
        <v>0</v>
      </c>
      <c r="AR37" s="49">
        <f ca="1">Отчетность_по_периодам!AR57</f>
        <v>-14761092.325999089</v>
      </c>
      <c r="AS37" s="49">
        <f ca="1">Отчетность_по_периодам!AS57</f>
        <v>0</v>
      </c>
      <c r="AT37" s="49">
        <f ca="1">Отчетность_по_периодам!AT57</f>
        <v>0</v>
      </c>
      <c r="AU37" s="49">
        <f ca="1">Отчетность_по_периодам!AU57</f>
        <v>0</v>
      </c>
      <c r="AV37" s="49">
        <f ca="1">Отчетность_по_периодам!AV57</f>
        <v>0</v>
      </c>
      <c r="AW37" s="49">
        <f ca="1">Отчетность_по_периодам!AW57</f>
        <v>0</v>
      </c>
      <c r="AX37" s="49">
        <f ca="1">Отчетность_по_периодам!AX57</f>
        <v>-21514092.818518873</v>
      </c>
      <c r="AY37" s="49">
        <f ca="1">Отчетность_по_периодам!AY57</f>
        <v>0</v>
      </c>
      <c r="AZ37" s="49">
        <f ca="1">Отчетность_по_периодам!AZ57</f>
        <v>0</v>
      </c>
      <c r="BA37" s="49">
        <f ca="1">Отчетность_по_периодам!BA57</f>
        <v>0</v>
      </c>
      <c r="BB37" s="49">
        <f ca="1">Отчетность_по_периодам!BB57</f>
        <v>0</v>
      </c>
      <c r="BC37" s="49">
        <f ca="1">Отчетность_по_периодам!BC57</f>
        <v>0</v>
      </c>
      <c r="BD37" s="49">
        <f ca="1">Отчетность_по_периодам!BD57</f>
        <v>-28574121.313359704</v>
      </c>
      <c r="BE37" s="49">
        <f ca="1">Отчетность_по_периодам!BE57</f>
        <v>0</v>
      </c>
      <c r="BF37" s="49">
        <f ca="1">Отчетность_по_периодам!BF57</f>
        <v>0</v>
      </c>
      <c r="BG37" s="49">
        <f ca="1">Отчетность_по_периодам!BG57</f>
        <v>0</v>
      </c>
      <c r="BH37" s="49">
        <f ca="1">Отчетность_по_периодам!BH57</f>
        <v>0</v>
      </c>
      <c r="BI37" s="49">
        <f ca="1">Отчетность_по_периодам!BI57</f>
        <v>0</v>
      </c>
      <c r="BJ37" s="49">
        <f ca="1">Отчетность_по_периодам!BJ57</f>
        <v>-30363369.1369307</v>
      </c>
      <c r="BK37" s="49">
        <f ca="1">Отчетность_по_периодам!BK57</f>
        <v>0</v>
      </c>
      <c r="BL37" s="49">
        <f ca="1">Отчетность_по_периодам!BL57</f>
        <v>0</v>
      </c>
      <c r="BM37" s="49">
        <f ca="1">Отчетность_по_периодам!BM57</f>
        <v>0</v>
      </c>
      <c r="BN37" s="49">
        <f ca="1">Отчетность_по_периодам!BN57</f>
        <v>0</v>
      </c>
      <c r="BO37" s="49">
        <f ca="1">Отчетность_по_периодам!BO57</f>
        <v>0</v>
      </c>
      <c r="BP37" s="49">
        <f ca="1">Отчетность_по_периодам!BP57</f>
        <v>-31511534.746687349</v>
      </c>
      <c r="BQ37" s="49">
        <f ca="1">Отчетность_по_периодам!BQ57</f>
        <v>0</v>
      </c>
      <c r="BR37" s="49">
        <f ca="1">Отчетность_по_периодам!BR57</f>
        <v>0</v>
      </c>
      <c r="BS37" s="49">
        <f ca="1">Отчетность_по_периодам!BS57</f>
        <v>0</v>
      </c>
      <c r="BT37" s="49">
        <f ca="1">Отчетность_по_периодам!BT57</f>
        <v>0</v>
      </c>
      <c r="BU37" s="49">
        <f ca="1">Отчетность_по_периодам!BU57</f>
        <v>0</v>
      </c>
      <c r="BV37" s="49">
        <f ca="1">Отчетность_по_периодам!BV57</f>
        <v>-32655604.417050876</v>
      </c>
      <c r="BW37" s="49">
        <f ca="1">Отчетность_по_периодам!BW57</f>
        <v>0</v>
      </c>
      <c r="BX37" s="49">
        <f ca="1">Отчетность_по_периодам!BX57</f>
        <v>0</v>
      </c>
      <c r="BY37" s="49">
        <f ca="1">Отчетность_по_периодам!BY57</f>
        <v>0</v>
      </c>
      <c r="BZ37" s="49">
        <f ca="1">Отчетность_по_периодам!BZ57</f>
        <v>0</v>
      </c>
      <c r="CA37" s="49">
        <f ca="1">Отчетность_по_периодам!CA57</f>
        <v>0</v>
      </c>
      <c r="CB37" s="49">
        <f ca="1">Отчетность_по_периодам!CB57</f>
        <v>-33719607.011111982</v>
      </c>
      <c r="CC37" s="49">
        <f ca="1">Отчетность_по_периодам!CC57</f>
        <v>0</v>
      </c>
      <c r="CD37" s="49">
        <f ca="1">Отчетность_по_периодам!CD57</f>
        <v>0</v>
      </c>
      <c r="CE37" s="49">
        <f ca="1">Отчетность_по_периодам!CE57</f>
        <v>0</v>
      </c>
      <c r="CF37" s="49">
        <f ca="1">Отчетность_по_периодам!CF57</f>
        <v>0</v>
      </c>
      <c r="CG37" s="49">
        <f ca="1">Отчетность_по_периодам!CG57</f>
        <v>0</v>
      </c>
      <c r="CH37" s="49">
        <f ca="1">Отчетность_по_периодам!CH57</f>
        <v>-34783244.390827738</v>
      </c>
      <c r="CI37" s="49">
        <f ca="1">Отчетность_по_периодам!CI57</f>
        <v>0</v>
      </c>
      <c r="CJ37" s="49">
        <f ca="1">Отчетность_по_периодам!CJ57</f>
        <v>0</v>
      </c>
      <c r="CK37" s="49">
        <f ca="1">Отчетность_по_периодам!CK57</f>
        <v>0</v>
      </c>
    </row>
    <row r="38" spans="2:89" ht="15.75" thickTop="1">
      <c r="B38" s="50" t="s">
        <v>158</v>
      </c>
      <c r="C38" s="51"/>
      <c r="D38" s="52">
        <f ca="1">SUM(D35:D37)</f>
        <v>4228822031.0391488</v>
      </c>
      <c r="E38" s="53"/>
      <c r="F38" s="54">
        <f ca="1">SUM(F35:F37)</f>
        <v>0</v>
      </c>
      <c r="G38" s="54">
        <f t="shared" ref="G38:BR38" ca="1" si="0">SUM(G35:G37)</f>
        <v>0</v>
      </c>
      <c r="H38" s="54">
        <f t="shared" ca="1" si="0"/>
        <v>0</v>
      </c>
      <c r="I38" s="54">
        <f t="shared" ca="1" si="0"/>
        <v>0</v>
      </c>
      <c r="J38" s="54">
        <f t="shared" ca="1" si="0"/>
        <v>0</v>
      </c>
      <c r="K38" s="54">
        <f t="shared" ca="1" si="0"/>
        <v>0</v>
      </c>
      <c r="L38" s="54">
        <f t="shared" ca="1" si="0"/>
        <v>0</v>
      </c>
      <c r="M38" s="54">
        <f t="shared" ca="1" si="0"/>
        <v>0</v>
      </c>
      <c r="N38" s="54">
        <f t="shared" ca="1" si="0"/>
        <v>0</v>
      </c>
      <c r="O38" s="54">
        <f t="shared" ca="1" si="0"/>
        <v>0</v>
      </c>
      <c r="P38" s="54">
        <f t="shared" ca="1" si="0"/>
        <v>0</v>
      </c>
      <c r="Q38" s="54">
        <f t="shared" ca="1" si="0"/>
        <v>0</v>
      </c>
      <c r="R38" s="54">
        <f t="shared" ca="1" si="0"/>
        <v>7409028.9956118762</v>
      </c>
      <c r="S38" s="54">
        <f t="shared" ca="1" si="0"/>
        <v>7494433.5687266514</v>
      </c>
      <c r="T38" s="54">
        <f t="shared" ca="1" si="0"/>
        <v>1880993.5667377636</v>
      </c>
      <c r="U38" s="54">
        <f t="shared" ca="1" si="0"/>
        <v>7663528.6895695403</v>
      </c>
      <c r="V38" s="54">
        <f t="shared" ca="1" si="0"/>
        <v>7749994.1460430175</v>
      </c>
      <c r="W38" s="54">
        <f t="shared" ca="1" si="0"/>
        <v>2344727.7849627398</v>
      </c>
      <c r="X38" s="54">
        <f t="shared" ca="1" si="0"/>
        <v>7921189.4706242159</v>
      </c>
      <c r="Y38" s="54">
        <f t="shared" ca="1" si="0"/>
        <v>8005899.1793526039</v>
      </c>
      <c r="Z38" s="54">
        <f t="shared" ca="1" si="0"/>
        <v>2811648.5247332137</v>
      </c>
      <c r="AA38" s="54">
        <f t="shared" ca="1" si="0"/>
        <v>8182292.0840018615</v>
      </c>
      <c r="AB38" s="54">
        <f t="shared" ca="1" si="0"/>
        <v>8262545.9311508723</v>
      </c>
      <c r="AC38" s="54">
        <f t="shared" ca="1" si="0"/>
        <v>8351751.5686958246</v>
      </c>
      <c r="AD38" s="54">
        <f t="shared" ca="1" si="0"/>
        <v>13385541.49622817</v>
      </c>
      <c r="AE38" s="54">
        <f t="shared" ca="1" si="0"/>
        <v>14542322.983465154</v>
      </c>
      <c r="AF38" s="54">
        <f t="shared" ca="1" si="0"/>
        <v>15858064.067687787</v>
      </c>
      <c r="AG38" s="54">
        <f t="shared" ca="1" si="0"/>
        <v>17459015.280090455</v>
      </c>
      <c r="AH38" s="54">
        <f t="shared" ca="1" si="0"/>
        <v>19351729.835485417</v>
      </c>
      <c r="AI38" s="54">
        <f t="shared" ca="1" si="0"/>
        <v>21513554.457903966</v>
      </c>
      <c r="AJ38" s="54">
        <f t="shared" ca="1" si="0"/>
        <v>24152743.798332661</v>
      </c>
      <c r="AK38" s="54">
        <f t="shared" ca="1" si="0"/>
        <v>27171658.567304686</v>
      </c>
      <c r="AL38" s="54">
        <f t="shared" ca="1" si="0"/>
        <v>24841040.208842982</v>
      </c>
      <c r="AM38" s="54">
        <f t="shared" ca="1" si="0"/>
        <v>35238446.253335491</v>
      </c>
      <c r="AN38" s="54">
        <f t="shared" ca="1" si="0"/>
        <v>39889961.989739552</v>
      </c>
      <c r="AO38" s="54">
        <f t="shared" ca="1" si="0"/>
        <v>45952527.272361778</v>
      </c>
      <c r="AP38" s="54">
        <f t="shared" ca="1" si="0"/>
        <v>48166193.502636254</v>
      </c>
      <c r="AQ38" s="54">
        <f t="shared" ca="1" si="0"/>
        <v>50593672.256372496</v>
      </c>
      <c r="AR38" s="54">
        <f t="shared" ca="1" si="0"/>
        <v>38325851.95029033</v>
      </c>
      <c r="AS38" s="54">
        <f t="shared" ca="1" si="0"/>
        <v>55821777.93140769</v>
      </c>
      <c r="AT38" s="54">
        <f t="shared" ca="1" si="0"/>
        <v>58727994.451668605</v>
      </c>
      <c r="AU38" s="54">
        <f t="shared" ca="1" si="0"/>
        <v>61714108.525518939</v>
      </c>
      <c r="AV38" s="54">
        <f t="shared" ca="1" si="0"/>
        <v>64990707.875169829</v>
      </c>
      <c r="AW38" s="54">
        <f t="shared" ca="1" si="0"/>
        <v>68358124.540430009</v>
      </c>
      <c r="AX38" s="54">
        <f t="shared" ca="1" si="0"/>
        <v>50539793.017858297</v>
      </c>
      <c r="AY38" s="54">
        <f t="shared" ca="1" si="0"/>
        <v>75983387.850513682</v>
      </c>
      <c r="AZ38" s="54">
        <f t="shared" ca="1" si="0"/>
        <v>79746122.080102652</v>
      </c>
      <c r="BA38" s="54">
        <f t="shared" ca="1" si="0"/>
        <v>84163224.764198601</v>
      </c>
      <c r="BB38" s="54">
        <f t="shared" ca="1" si="0"/>
        <v>84552455.617669836</v>
      </c>
      <c r="BC38" s="54">
        <f t="shared" ca="1" si="0"/>
        <v>84956294.664424762</v>
      </c>
      <c r="BD38" s="54">
        <f t="shared" ca="1" si="0"/>
        <v>56774572.807147875</v>
      </c>
      <c r="BE38" s="54">
        <f t="shared" ca="1" si="0"/>
        <v>85755820.608063757</v>
      </c>
      <c r="BF38" s="54">
        <f t="shared" ca="1" si="0"/>
        <v>86164627.940991998</v>
      </c>
      <c r="BG38" s="54">
        <f t="shared" ca="1" si="0"/>
        <v>86561854.824949712</v>
      </c>
      <c r="BH38" s="54">
        <f t="shared" ca="1" si="0"/>
        <v>86973989.791568011</v>
      </c>
      <c r="BI38" s="54">
        <f t="shared" ca="1" si="0"/>
        <v>87374449.965137199</v>
      </c>
      <c r="BJ38" s="54">
        <f t="shared" ca="1" si="0"/>
        <v>57426570.347217947</v>
      </c>
      <c r="BK38" s="54">
        <f t="shared" ca="1" si="0"/>
        <v>88206001.914495707</v>
      </c>
      <c r="BL38" s="54">
        <f t="shared" ca="1" si="0"/>
        <v>88596772.060370997</v>
      </c>
      <c r="BM38" s="54">
        <f t="shared" ca="1" si="0"/>
        <v>89016155.886951864</v>
      </c>
      <c r="BN38" s="54">
        <f t="shared" ca="1" si="0"/>
        <v>89423654.861110911</v>
      </c>
      <c r="BO38" s="54">
        <f t="shared" ca="1" si="0"/>
        <v>89846442.45479773</v>
      </c>
      <c r="BP38" s="54">
        <f t="shared" ca="1" si="0"/>
        <v>58745713.908352792</v>
      </c>
      <c r="BQ38" s="54">
        <f t="shared" ca="1" si="0"/>
        <v>90683467.470667198</v>
      </c>
      <c r="BR38" s="54">
        <f t="shared" ca="1" si="0"/>
        <v>91111440.614055693</v>
      </c>
      <c r="BS38" s="54">
        <f t="shared" ref="BS38:CK38" ca="1" si="1">SUM(BS35:BS37)</f>
        <v>91527285.285181463</v>
      </c>
      <c r="BT38" s="54">
        <f t="shared" ca="1" si="1"/>
        <v>91958731.474928916</v>
      </c>
      <c r="BU38" s="54">
        <f t="shared" ca="1" si="1"/>
        <v>92377950.684941024</v>
      </c>
      <c r="BV38" s="54">
        <f t="shared" ca="1" si="1"/>
        <v>60157293.514561482</v>
      </c>
      <c r="BW38" s="54">
        <f t="shared" ca="1" si="1"/>
        <v>93250834.216361269</v>
      </c>
      <c r="BX38" s="54">
        <f t="shared" ca="1" si="1"/>
        <v>93647942.722997978</v>
      </c>
      <c r="BY38" s="54">
        <f t="shared" ca="1" si="1"/>
        <v>94089324.956254378</v>
      </c>
      <c r="BZ38" s="54">
        <f t="shared" ca="1" si="1"/>
        <v>94518203.162725672</v>
      </c>
      <c r="CA38" s="54">
        <f t="shared" ca="1" si="1"/>
        <v>94963176.49278605</v>
      </c>
      <c r="CB38" s="54">
        <f t="shared" ca="1" si="1"/>
        <v>61675936.965428136</v>
      </c>
      <c r="CC38" s="54">
        <f t="shared" ca="1" si="1"/>
        <v>95844137.441313446</v>
      </c>
      <c r="CD38" s="54">
        <f t="shared" ca="1" si="1"/>
        <v>96294581.8496342</v>
      </c>
      <c r="CE38" s="54">
        <f t="shared" ca="1" si="1"/>
        <v>96732265.287238941</v>
      </c>
      <c r="CF38" s="54">
        <f t="shared" ca="1" si="1"/>
        <v>97186374.067440912</v>
      </c>
      <c r="CG38" s="54">
        <f t="shared" ca="1" si="1"/>
        <v>97627617.97824806</v>
      </c>
      <c r="CH38" s="54">
        <f t="shared" ca="1" si="1"/>
        <v>63302176.36667227</v>
      </c>
      <c r="CI38" s="54">
        <f t="shared" ca="1" si="1"/>
        <v>98545112.245244637</v>
      </c>
      <c r="CJ38" s="54">
        <f t="shared" ca="1" si="1"/>
        <v>98961947.2864898</v>
      </c>
      <c r="CK38" s="54">
        <f t="shared" ca="1" si="1"/>
        <v>99425254.835571349</v>
      </c>
    </row>
    <row r="39" spans="2:89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</row>
    <row r="40" spans="2:89" ht="20.25" thickBot="1">
      <c r="B40" s="26" t="s">
        <v>164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</row>
    <row r="41" spans="2:89" ht="15.75" thickTop="1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</row>
    <row r="42" spans="2:89">
      <c r="B42" s="45" t="s">
        <v>32</v>
      </c>
      <c r="C42" s="55"/>
      <c r="D42" s="56"/>
      <c r="E42" s="57"/>
      <c r="F42" s="49">
        <f ca="1">Отчетность_по_периодам!F152-Отчетность_по_периодам!F178</f>
        <v>207010000</v>
      </c>
      <c r="G42" s="49">
        <f ca="1">Отчетность_по_периодам!G152-Отчетность_по_периодам!G178</f>
        <v>206130958.9041096</v>
      </c>
      <c r="H42" s="49">
        <f ca="1">Отчетность_по_периодам!H152-Отчетность_по_периодам!H178</f>
        <v>205280273.97260275</v>
      </c>
      <c r="I42" s="49">
        <f ca="1">Отчетность_по_периодам!I152-Отчетность_по_периодам!I178</f>
        <v>654401232.87671232</v>
      </c>
      <c r="J42" s="49">
        <f ca="1">Отчетность_по_периодам!J152-Отчетность_по_периодам!J178</f>
        <v>651611232.87671232</v>
      </c>
      <c r="K42" s="49">
        <f ca="1">Отчетность_по_периодам!K152-Отчетность_по_периодам!K178</f>
        <v>648911232.87671232</v>
      </c>
      <c r="L42" s="49">
        <f ca="1">Отчетность_по_периодам!L152-Отчетность_по_периодам!L178</f>
        <v>946121232.87671232</v>
      </c>
      <c r="M42" s="49">
        <f ca="1">Отчетность_по_периодам!M152-Отчетность_по_периодам!M178</f>
        <v>941197123.28767109</v>
      </c>
      <c r="N42" s="49">
        <f ca="1">Отчетность_по_периодам!N152-Отчетность_по_периодам!N178</f>
        <v>936108876.71232867</v>
      </c>
      <c r="O42" s="49">
        <f ca="1">Отчетность_по_периодам!O152-Отчетность_по_периодам!O178</f>
        <v>1174034532.4500339</v>
      </c>
      <c r="P42" s="49">
        <f ca="1">Отчетность_по_периодам!P152-Отчетность_по_периодам!P178</f>
        <v>1167854204.5811815</v>
      </c>
      <c r="Q42" s="49">
        <f ca="1">Отчетность_по_периодам!Q152-Отчетность_по_периодам!Q178</f>
        <v>106702192.6586775</v>
      </c>
      <c r="R42" s="49">
        <f ca="1">Отчетность_по_периодам!R152-Отчетность_по_периодам!R178</f>
        <v>107771891.5854511</v>
      </c>
      <c r="S42" s="49">
        <f ca="1">Отчетность_по_периодам!S152-Отчетность_по_периодам!S178</f>
        <v>108766817.48971108</v>
      </c>
      <c r="T42" s="49">
        <f ca="1">Отчетность_по_периодам!T152-Отчетность_по_периодам!T178</f>
        <v>104410940.00400402</v>
      </c>
      <c r="U42" s="49">
        <f ca="1">Отчетность_по_периодам!U152-Отчетность_по_периодам!U178</f>
        <v>105680835.34604676</v>
      </c>
      <c r="V42" s="49">
        <f ca="1">Отчетность_по_периодам!V152-Отчетность_по_периодам!V178</f>
        <v>107090133.3030329</v>
      </c>
      <c r="W42" s="49">
        <f ca="1">Отчетность_по_периодам!W152-Отчетность_по_периодам!W178</f>
        <v>103351678.560141</v>
      </c>
      <c r="X42" s="49">
        <f ca="1">Отчетность_по_периодам!X152-Отчетность_по_периодам!X178</f>
        <v>105038046.15864827</v>
      </c>
      <c r="Y42" s="49">
        <f ca="1">Отчетность_по_периодам!Y152-Отчетность_по_периодам!Y178</f>
        <v>107063221.82653964</v>
      </c>
      <c r="Z42" s="49">
        <f ca="1">Отчетность_по_периодам!Z152-Отчетность_по_периодам!Z178</f>
        <v>103745922.79609579</v>
      </c>
      <c r="AA42" s="49">
        <f ca="1">Отчетность_по_периодам!AA152-Отчетность_по_периодам!AA178</f>
        <v>105835409.62599106</v>
      </c>
      <c r="AB42" s="49">
        <f ca="1">Отчетность_по_периодам!AB152-Отчетность_по_периодам!AB178</f>
        <v>108647958.52221338</v>
      </c>
      <c r="AC42" s="49">
        <f ca="1">Отчетность_по_периодам!AC152-Отчетность_по_периодам!AC178</f>
        <v>111013069.22036421</v>
      </c>
      <c r="AD42" s="49">
        <f ca="1">Отчетность_по_периодам!AD152-Отчетность_по_периодам!AD178</f>
        <v>111515345.57990262</v>
      </c>
      <c r="AE42" s="49">
        <f ca="1">Отчетность_по_периодам!AE152-Отчетность_по_периодам!AE178</f>
        <v>113101066.83176604</v>
      </c>
      <c r="AF42" s="49">
        <f ca="1">Отчетность_по_периодам!AF152-Отчетность_по_периодам!AF178</f>
        <v>116307764.00151157</v>
      </c>
      <c r="AG42" s="49">
        <f ca="1">Отчетность_по_периодам!AG152-Отчетность_по_периодам!AG178</f>
        <v>121049805.73003942</v>
      </c>
      <c r="AH42" s="49">
        <f ca="1">Отчетность_по_периодам!AH152-Отчетность_по_периодам!AH178</f>
        <v>127804376.10398185</v>
      </c>
      <c r="AI42" s="49">
        <f ca="1">Отчетность_по_периодам!AI152-Отчетность_по_периодам!AI178</f>
        <v>137014411.02206492</v>
      </c>
      <c r="AJ42" s="49">
        <f ca="1">Отчетность_по_периодам!AJ152-Отчетность_по_периодам!AJ178</f>
        <v>148809623.5388937</v>
      </c>
      <c r="AK42" s="49">
        <f ca="1">Отчетность_по_периодам!AK152-Отчетность_по_периодам!AK178</f>
        <v>163909660.80512497</v>
      </c>
      <c r="AL42" s="49">
        <f ca="1">Отчетность_по_периодам!AL152-Отчетность_по_периодам!AL178</f>
        <v>176632797.91250327</v>
      </c>
      <c r="AM42" s="49">
        <f ca="1">Отчетность_по_периодам!AM152-Отчетность_по_периодам!AM178</f>
        <v>199873155.15439355</v>
      </c>
      <c r="AN42" s="49">
        <f ca="1">Отчетность_по_периодам!AN152-Отчетность_по_периодам!AN178</f>
        <v>228348345.15812826</v>
      </c>
      <c r="AO42" s="49">
        <f ca="1">Отчетность_по_периодам!AO152-Отчетность_по_периодам!AO178</f>
        <v>262542411.59908399</v>
      </c>
      <c r="AP42" s="49">
        <f ca="1">Отчетность_по_периодам!AP152-Отчетность_по_периодам!AP178</f>
        <v>299216729.39751565</v>
      </c>
      <c r="AQ42" s="49">
        <f ca="1">Отчетность_по_периодам!AQ152-Отчетность_по_периодам!AQ178</f>
        <v>338291569.00252128</v>
      </c>
      <c r="AR42" s="49">
        <f ca="1">Отчетность_по_периодам!AR152-Отчетность_по_периодам!AR178</f>
        <v>365357443.48735476</v>
      </c>
      <c r="AS42" s="49">
        <f ca="1">Отчетность_по_периодам!AS152-Отчетность_по_периодам!AS178</f>
        <v>409900016.9474346</v>
      </c>
      <c r="AT42" s="49">
        <f ca="1">Отчетность_по_периодам!AT152-Отчетность_по_периодам!AT178</f>
        <v>457468621.01779503</v>
      </c>
      <c r="AU42" s="49">
        <f ca="1">Отчетность_по_периодам!AU152-Отчетность_по_периодам!AU178</f>
        <v>508270599.43597835</v>
      </c>
      <c r="AV42" s="49">
        <f ca="1">Отчетность_по_периодам!AV152-Отчетность_по_периодам!AV178</f>
        <v>562341545.10987914</v>
      </c>
      <c r="AW42" s="49">
        <f ca="1">Отчетность_по_периодам!AW152-Отчетность_по_периодам!AW178</f>
        <v>620019437.78172123</v>
      </c>
      <c r="AX42" s="49">
        <f ca="1">Отчетность_по_периодам!AX152-Отчетность_по_периодам!AX178</f>
        <v>659879096.77834952</v>
      </c>
      <c r="AY42" s="49">
        <f ca="1">Отчетность_по_периодам!AY152-Отчетность_по_периодам!AY178</f>
        <v>725302164.69765282</v>
      </c>
      <c r="AZ42" s="49">
        <f ca="1">Отчетность_по_периодам!AZ152-Отчетность_по_периодам!AZ178</f>
        <v>794932144.92873681</v>
      </c>
      <c r="BA42" s="49">
        <f ca="1">Отчетность_по_периодам!BA152-Отчетность_по_периодам!BA178</f>
        <v>868774677.94176424</v>
      </c>
      <c r="BB42" s="49">
        <f ca="1">Отчетность_по_периодам!BB152-Отчетность_по_периодам!BB178</f>
        <v>943226647.28771496</v>
      </c>
      <c r="BC42" s="49">
        <f ca="1">Отчетность_по_периодам!BC152-Отчетность_по_периодам!BC178</f>
        <v>1018101878.3810077</v>
      </c>
      <c r="BD42" s="49">
        <f ca="1">Отчетность_по_периодам!BD152-Отчетность_по_периодам!BD178</f>
        <v>1065007863.155184</v>
      </c>
      <c r="BE42" s="49">
        <f ca="1">Отчетность_по_периодам!BE152-Отчетность_по_периодам!BE178</f>
        <v>1140922248.372155</v>
      </c>
      <c r="BF42" s="49">
        <f ca="1">Отчетность_по_периодам!BF152-Отчетность_по_периодам!BF178</f>
        <v>1217365255.0120733</v>
      </c>
      <c r="BG42" s="49">
        <f ca="1">Отчетность_по_периодам!BG152-Отчетность_по_периодам!BG178</f>
        <v>1294406369.162173</v>
      </c>
      <c r="BH42" s="49">
        <f ca="1">Отчетность_по_периодам!BH152-Отчетность_по_периодам!BH178</f>
        <v>1371898365.8327067</v>
      </c>
      <c r="BI42" s="49">
        <f ca="1">Отчетность_по_периодам!BI152-Отчетность_по_периодам!BI178</f>
        <v>1449983973.3617411</v>
      </c>
      <c r="BJ42" s="49">
        <f ca="1">Отчетность_по_периодам!BJ152-Отчетность_по_периодам!BJ178</f>
        <v>1498168178.7679639</v>
      </c>
      <c r="BK42" s="49">
        <f ca="1">Отчетность_по_периодам!BK152-Отчетность_по_периодам!BK178</f>
        <v>1577257186.6791952</v>
      </c>
      <c r="BL42" s="49">
        <f ca="1">Отчетность_по_периодам!BL152-Отчетность_по_периодам!BL178</f>
        <v>1656979597.4451227</v>
      </c>
      <c r="BM42" s="49">
        <f ca="1">Отчетность_по_периодам!BM152-Отчетность_по_периодам!BM178</f>
        <v>1737117732.787046</v>
      </c>
      <c r="BN42" s="49">
        <f ca="1">Отчетность_по_периодам!BN152-Отчетность_по_периодам!BN178</f>
        <v>1817836718.0008645</v>
      </c>
      <c r="BO42" s="49">
        <f ca="1">Отчетность_по_периодам!BO152-Отчетность_по_периодам!BO178</f>
        <v>1899044113.3688691</v>
      </c>
      <c r="BP42" s="49">
        <f ca="1">Отчетность_по_периодам!BP152-Отчетность_по_периодам!BP178</f>
        <v>1949316422.2669315</v>
      </c>
      <c r="BQ42" s="49">
        <f ca="1">Отчетность_по_периодам!BQ152-Отчетность_по_периодам!BQ178</f>
        <v>2031599816.1090417</v>
      </c>
      <c r="BR42" s="49">
        <f ca="1">Отчетность_по_периодам!BR152-Отчетность_по_периодам!BR178</f>
        <v>2114430669.8236582</v>
      </c>
      <c r="BS42" s="49">
        <f ca="1">Отчетность_по_периодам!BS152-Отчетность_по_периодам!BS178</f>
        <v>2197831447.0540528</v>
      </c>
      <c r="BT42" s="49">
        <f ca="1">Отчетность_по_периодам!BT152-Отчетность_по_периодам!BT178</f>
        <v>2288891422.2306347</v>
      </c>
      <c r="BU42" s="49">
        <f ca="1">Отчетность_по_периодам!BU152-Отчетность_по_периодам!BU178</f>
        <v>2380452583.8303442</v>
      </c>
      <c r="BV42" s="49">
        <f ca="1">Отчетность_по_периодам!BV152-Отчетность_по_периодам!BV178</f>
        <v>2439816995.3634992</v>
      </c>
      <c r="BW42" s="49">
        <f ca="1">Отчетность_по_периодам!BW152-Отчетность_по_периодам!BW178</f>
        <v>2532325709.2572603</v>
      </c>
      <c r="BX42" s="49">
        <f ca="1">Отчетность_по_периодам!BX152-Отчетность_по_периодам!BX178</f>
        <v>2625356531.6576591</v>
      </c>
      <c r="BY42" s="49">
        <f ca="1">Отчетность_по_периодам!BY152-Отчетность_по_периодам!BY178</f>
        <v>2718809900.6748748</v>
      </c>
      <c r="BZ42" s="49">
        <f ca="1">Отчетность_по_периодам!BZ152-Отчетность_по_периодам!BZ178</f>
        <v>2812765778.0355492</v>
      </c>
      <c r="CA42" s="49">
        <f ca="1">Отчетность_по_периодам!CA152-Отчетность_по_периодам!CA178</f>
        <v>2907199162.9728589</v>
      </c>
      <c r="CB42" s="49">
        <f ca="1">Отчетность_по_периодам!CB152-Отчетность_по_периодам!CB178</f>
        <v>2968415513.8622622</v>
      </c>
      <c r="CC42" s="49">
        <f ca="1">Отчетность_по_периодам!CC152-Отчетность_по_периодам!CC178</f>
        <v>3063836024.1316609</v>
      </c>
      <c r="CD42" s="49">
        <f ca="1">Отчетность_по_периодам!CD152-Отчетность_по_периодам!CD178</f>
        <v>3159760061.0011606</v>
      </c>
      <c r="CE42" s="49">
        <f ca="1">Отчетность_по_периодам!CE152-Отчетность_по_периодам!CE178</f>
        <v>3256186849.8014164</v>
      </c>
      <c r="CF42" s="49">
        <f ca="1">Отчетность_по_периодам!CF152-Отчетность_по_периодам!CF178</f>
        <v>3353108843.2722845</v>
      </c>
      <c r="CG42" s="49">
        <f ca="1">Отчетность_по_периодам!CG152-Отчетность_по_периодам!CG178</f>
        <v>3450533724.4895763</v>
      </c>
      <c r="CH42" s="49">
        <f ca="1">Отчетность_по_периодам!CH152-Отчетность_по_периодам!CH178</f>
        <v>3513677684.6432381</v>
      </c>
      <c r="CI42" s="49">
        <f ca="1">Отчетность_по_периодам!CI152-Отчетность_по_периодам!CI178</f>
        <v>3612117662.8672523</v>
      </c>
      <c r="CJ42" s="49">
        <f ca="1">Отчетность_по_периодам!CJ152-Отчетность_по_периодам!CJ178</f>
        <v>3711037832.2968965</v>
      </c>
      <c r="CK42" s="49">
        <f ca="1">Отчетность_по_периодам!CK152-Отчетность_по_периодам!CK178</f>
        <v>3810464117.4948001</v>
      </c>
    </row>
    <row r="43" spans="2:89" ht="15.75" thickBot="1">
      <c r="B43" s="45" t="s">
        <v>165</v>
      </c>
      <c r="C43" s="55"/>
      <c r="D43" s="56"/>
      <c r="E43" s="57"/>
      <c r="F43" s="49">
        <f ca="1">Отчетность_по_периодам!F143</f>
        <v>0</v>
      </c>
      <c r="G43" s="49">
        <f ca="1">Отчетность_по_периодам!G143</f>
        <v>0</v>
      </c>
      <c r="H43" s="49">
        <f ca="1">Отчетность_по_периодам!H143</f>
        <v>0</v>
      </c>
      <c r="I43" s="49">
        <f ca="1">Отчетность_по_периодам!I143</f>
        <v>0</v>
      </c>
      <c r="J43" s="49">
        <f ca="1">Отчетность_по_периодам!J143</f>
        <v>0</v>
      </c>
      <c r="K43" s="49">
        <f ca="1">Отчетность_по_периодам!K143</f>
        <v>0</v>
      </c>
      <c r="L43" s="49">
        <f ca="1">Отчетность_по_периодам!L143</f>
        <v>0</v>
      </c>
      <c r="M43" s="49">
        <f ca="1">Отчетность_по_периодам!M143</f>
        <v>0</v>
      </c>
      <c r="N43" s="49">
        <f ca="1">Отчетность_по_периодам!N143</f>
        <v>0</v>
      </c>
      <c r="O43" s="49">
        <f ca="1">Отчетность_по_периодам!O143</f>
        <v>0</v>
      </c>
      <c r="P43" s="49">
        <f ca="1">Отчетность_по_периодам!P143</f>
        <v>0</v>
      </c>
      <c r="Q43" s="49">
        <f ca="1">Отчетность_по_периодам!Q143</f>
        <v>1054545454.5454545</v>
      </c>
      <c r="R43" s="49">
        <f ca="1">Отчетность_по_периодам!R143</f>
        <v>1041991341.9913419</v>
      </c>
      <c r="S43" s="49">
        <f ca="1">Отчетность_по_периодам!S143</f>
        <v>1029437229.4372294</v>
      </c>
      <c r="T43" s="49">
        <f ca="1">Отчетность_по_периодам!T143</f>
        <v>1016883116.8831168</v>
      </c>
      <c r="U43" s="49">
        <f ca="1">Отчетность_по_периодам!U143</f>
        <v>1004329004.3290043</v>
      </c>
      <c r="V43" s="49">
        <f ca="1">Отчетность_по_периодам!V143</f>
        <v>991774891.77489173</v>
      </c>
      <c r="W43" s="49">
        <f ca="1">Отчетность_по_периодам!W143</f>
        <v>979220779.22077918</v>
      </c>
      <c r="X43" s="49">
        <f ca="1">Отчетность_по_периодам!X143</f>
        <v>966666666.66666663</v>
      </c>
      <c r="Y43" s="49">
        <f ca="1">Отчетность_по_периодам!Y143</f>
        <v>954112554.11255407</v>
      </c>
      <c r="Z43" s="49">
        <f ca="1">Отчетность_по_периодам!Z143</f>
        <v>941558441.55844152</v>
      </c>
      <c r="AA43" s="49">
        <f ca="1">Отчетность_по_периодам!AA143</f>
        <v>929004329.00432897</v>
      </c>
      <c r="AB43" s="49">
        <f ca="1">Отчетность_по_периодам!AB143</f>
        <v>916450216.45021641</v>
      </c>
      <c r="AC43" s="49">
        <f ca="1">Отчетность_по_периодам!AC143</f>
        <v>903896103.89610386</v>
      </c>
      <c r="AD43" s="49">
        <f ca="1">Отчетность_по_периодам!AD143</f>
        <v>891341991.34199131</v>
      </c>
      <c r="AE43" s="49">
        <f ca="1">Отчетность_по_периодам!AE143</f>
        <v>878787878.78787875</v>
      </c>
      <c r="AF43" s="49">
        <f ca="1">Отчетность_по_периодам!AF143</f>
        <v>866233766.2337662</v>
      </c>
      <c r="AG43" s="49">
        <f ca="1">Отчетность_по_периодам!AG143</f>
        <v>853679653.67965364</v>
      </c>
      <c r="AH43" s="49">
        <f ca="1">Отчетность_по_периодам!AH143</f>
        <v>841125541.12554109</v>
      </c>
      <c r="AI43" s="49">
        <f ca="1">Отчетность_по_периодам!AI143</f>
        <v>828571428.57142854</v>
      </c>
      <c r="AJ43" s="49">
        <f ca="1">Отчетность_по_периодам!AJ143</f>
        <v>816017316.01731598</v>
      </c>
      <c r="AK43" s="49">
        <f ca="1">Отчетность_по_периодам!AK143</f>
        <v>803463203.46320343</v>
      </c>
      <c r="AL43" s="49">
        <f ca="1">Отчетность_по_периодам!AL143</f>
        <v>790909090.90909088</v>
      </c>
      <c r="AM43" s="49">
        <f ca="1">Отчетность_по_периодам!AM143</f>
        <v>778354978.35497832</v>
      </c>
      <c r="AN43" s="49">
        <f ca="1">Отчетность_по_периодам!AN143</f>
        <v>765800865.80086577</v>
      </c>
      <c r="AO43" s="49">
        <f ca="1">Отчетность_по_периодам!AO143</f>
        <v>753246753.24675322</v>
      </c>
      <c r="AP43" s="49">
        <f ca="1">Отчетность_по_периодам!AP143</f>
        <v>740692640.69264066</v>
      </c>
      <c r="AQ43" s="49">
        <f ca="1">Отчетность_по_периодам!AQ143</f>
        <v>728138528.13852811</v>
      </c>
      <c r="AR43" s="49">
        <f ca="1">Отчетность_по_периодам!AR143</f>
        <v>715584415.58441556</v>
      </c>
      <c r="AS43" s="49">
        <f ca="1">Отчетность_по_периодам!AS143</f>
        <v>703030303.030303</v>
      </c>
      <c r="AT43" s="49">
        <f ca="1">Отчетность_по_периодам!AT143</f>
        <v>690476190.47619045</v>
      </c>
      <c r="AU43" s="49">
        <f ca="1">Отчетность_по_периодам!AU143</f>
        <v>677922077.92207789</v>
      </c>
      <c r="AV43" s="49">
        <f ca="1">Отчетность_по_периодам!AV143</f>
        <v>665367965.36796534</v>
      </c>
      <c r="AW43" s="49">
        <f ca="1">Отчетность_по_периодам!AW143</f>
        <v>652813852.81385279</v>
      </c>
      <c r="AX43" s="49">
        <f ca="1">Отчетность_по_периодам!AX143</f>
        <v>640259740.25974023</v>
      </c>
      <c r="AY43" s="49">
        <f ca="1">Отчетность_по_периодам!AY143</f>
        <v>627705627.70562768</v>
      </c>
      <c r="AZ43" s="49">
        <f ca="1">Отчетность_по_периодам!AZ143</f>
        <v>615151515.15151513</v>
      </c>
      <c r="BA43" s="49">
        <f ca="1">Отчетность_по_периодам!BA143</f>
        <v>602597402.59740257</v>
      </c>
      <c r="BB43" s="49">
        <f ca="1">Отчетность_по_периодам!BB143</f>
        <v>590043290.04329002</v>
      </c>
      <c r="BC43" s="49">
        <f ca="1">Отчетность_по_периодам!BC143</f>
        <v>577489177.48917747</v>
      </c>
      <c r="BD43" s="49">
        <f ca="1">Отчетность_по_периодам!BD143</f>
        <v>564935064.93506491</v>
      </c>
      <c r="BE43" s="49">
        <f ca="1">Отчетность_по_периодам!BE143</f>
        <v>552380952.38095236</v>
      </c>
      <c r="BF43" s="49">
        <f ca="1">Отчетность_по_периодам!BF143</f>
        <v>539826839.8268398</v>
      </c>
      <c r="BG43" s="49">
        <f ca="1">Отчетность_по_периодам!BG143</f>
        <v>527272727.27272725</v>
      </c>
      <c r="BH43" s="49">
        <f ca="1">Отчетность_по_периодам!BH143</f>
        <v>514718614.7186147</v>
      </c>
      <c r="BI43" s="49">
        <f ca="1">Отчетность_по_периодам!BI143</f>
        <v>502164502.16450214</v>
      </c>
      <c r="BJ43" s="49">
        <f ca="1">Отчетность_по_периодам!BJ143</f>
        <v>489610389.61038959</v>
      </c>
      <c r="BK43" s="49">
        <f ca="1">Отчетность_по_периодам!BK143</f>
        <v>477056277.05627704</v>
      </c>
      <c r="BL43" s="49">
        <f ca="1">Отчетность_по_периодам!BL143</f>
        <v>464502164.50216448</v>
      </c>
      <c r="BM43" s="49">
        <f ca="1">Отчетность_по_периодам!BM143</f>
        <v>451948051.94805193</v>
      </c>
      <c r="BN43" s="49">
        <f ca="1">Отчетность_по_периодам!BN143</f>
        <v>439393939.39393938</v>
      </c>
      <c r="BO43" s="49">
        <f ca="1">Отчетность_по_периодам!BO143</f>
        <v>426839826.83982682</v>
      </c>
      <c r="BP43" s="49">
        <f ca="1">Отчетность_по_периодам!BP143</f>
        <v>414285714.28571427</v>
      </c>
      <c r="BQ43" s="49">
        <f ca="1">Отчетность_по_периодам!BQ143</f>
        <v>401731601.73160172</v>
      </c>
      <c r="BR43" s="49">
        <f ca="1">Отчетность_по_периодам!BR143</f>
        <v>389177489.17748916</v>
      </c>
      <c r="BS43" s="49">
        <f ca="1">Отчетность_по_периодам!BS143</f>
        <v>376623376.62337661</v>
      </c>
      <c r="BT43" s="49">
        <f ca="1">Отчетность_по_периодам!BT143</f>
        <v>364069264.06926405</v>
      </c>
      <c r="BU43" s="49">
        <f ca="1">Отчетность_по_периодам!BU143</f>
        <v>351515151.5151515</v>
      </c>
      <c r="BV43" s="49">
        <f ca="1">Отчетность_по_периодам!BV143</f>
        <v>338961038.96103895</v>
      </c>
      <c r="BW43" s="49">
        <f ca="1">Отчетность_по_периодам!BW143</f>
        <v>326406926.40692639</v>
      </c>
      <c r="BX43" s="49">
        <f ca="1">Отчетность_по_периодам!BX143</f>
        <v>313852813.85281384</v>
      </c>
      <c r="BY43" s="49">
        <f ca="1">Отчетность_по_периодам!BY143</f>
        <v>301298701.29870129</v>
      </c>
      <c r="BZ43" s="49">
        <f ca="1">Отчетность_по_периодам!BZ143</f>
        <v>288744588.74458873</v>
      </c>
      <c r="CA43" s="49">
        <f ca="1">Отчетность_по_периодам!CA143</f>
        <v>276190476.19047618</v>
      </c>
      <c r="CB43" s="49">
        <f ca="1">Отчетность_по_периодам!CB143</f>
        <v>263636363.63636363</v>
      </c>
      <c r="CC43" s="49">
        <f ca="1">Отчетность_по_периодам!CC143</f>
        <v>251082251.08225107</v>
      </c>
      <c r="CD43" s="49">
        <f ca="1">Отчетность_по_периодам!CD143</f>
        <v>238528138.52813852</v>
      </c>
      <c r="CE43" s="49">
        <f ca="1">Отчетность_по_периодам!CE143</f>
        <v>225974025.97402596</v>
      </c>
      <c r="CF43" s="49">
        <f ca="1">Отчетность_по_периодам!CF143</f>
        <v>213419913.41991341</v>
      </c>
      <c r="CG43" s="49">
        <f ca="1">Отчетность_по_периодам!CG143</f>
        <v>200865800.86580086</v>
      </c>
      <c r="CH43" s="49">
        <f ca="1">Отчетность_по_периодам!CH143</f>
        <v>188311688.3116883</v>
      </c>
      <c r="CI43" s="49">
        <f ca="1">Отчетность_по_периодам!CI143</f>
        <v>175757575.75757575</v>
      </c>
      <c r="CJ43" s="49">
        <f ca="1">Отчетность_по_периодам!CJ143</f>
        <v>163203463.2034632</v>
      </c>
      <c r="CK43" s="49">
        <f ca="1">Отчетность_по_периодам!CK143</f>
        <v>150649350.64935064</v>
      </c>
    </row>
    <row r="44" spans="2:89" ht="15.75" thickTop="1">
      <c r="B44" s="50" t="s">
        <v>164</v>
      </c>
      <c r="C44" s="58"/>
      <c r="D44" s="59"/>
      <c r="E44" s="60"/>
      <c r="F44" s="54">
        <f ca="1">SUM(F42:F43)</f>
        <v>207010000</v>
      </c>
      <c r="G44" s="54">
        <f t="shared" ref="G44:AG44" ca="1" si="2">SUM(G42:G43)</f>
        <v>206130958.9041096</v>
      </c>
      <c r="H44" s="54">
        <f t="shared" ca="1" si="2"/>
        <v>205280273.97260275</v>
      </c>
      <c r="I44" s="54">
        <f t="shared" ca="1" si="2"/>
        <v>654401232.87671232</v>
      </c>
      <c r="J44" s="54">
        <f t="shared" ca="1" si="2"/>
        <v>651611232.87671232</v>
      </c>
      <c r="K44" s="54">
        <f t="shared" ca="1" si="2"/>
        <v>648911232.87671232</v>
      </c>
      <c r="L44" s="54">
        <f t="shared" ca="1" si="2"/>
        <v>946121232.87671232</v>
      </c>
      <c r="M44" s="54">
        <f t="shared" ca="1" si="2"/>
        <v>941197123.28767109</v>
      </c>
      <c r="N44" s="54">
        <f t="shared" ca="1" si="2"/>
        <v>936108876.71232867</v>
      </c>
      <c r="O44" s="54">
        <f t="shared" ca="1" si="2"/>
        <v>1174034532.4500339</v>
      </c>
      <c r="P44" s="54">
        <f t="shared" ca="1" si="2"/>
        <v>1167854204.5811815</v>
      </c>
      <c r="Q44" s="54">
        <f t="shared" ca="1" si="2"/>
        <v>1161247647.2041321</v>
      </c>
      <c r="R44" s="54">
        <f t="shared" ca="1" si="2"/>
        <v>1149763233.576793</v>
      </c>
      <c r="S44" s="54">
        <f t="shared" ca="1" si="2"/>
        <v>1138204046.9269404</v>
      </c>
      <c r="T44" s="54">
        <f t="shared" ca="1" si="2"/>
        <v>1121294056.887121</v>
      </c>
      <c r="U44" s="54">
        <f t="shared" ca="1" si="2"/>
        <v>1110009839.675051</v>
      </c>
      <c r="V44" s="54">
        <f t="shared" ca="1" si="2"/>
        <v>1098865025.0779247</v>
      </c>
      <c r="W44" s="54">
        <f t="shared" ca="1" si="2"/>
        <v>1082572457.7809203</v>
      </c>
      <c r="X44" s="54">
        <f t="shared" ca="1" si="2"/>
        <v>1071704712.8253149</v>
      </c>
      <c r="Y44" s="54">
        <f t="shared" ca="1" si="2"/>
        <v>1061175775.9390937</v>
      </c>
      <c r="Z44" s="54">
        <f t="shared" ca="1" si="2"/>
        <v>1045304364.3545372</v>
      </c>
      <c r="AA44" s="54">
        <f t="shared" ca="1" si="2"/>
        <v>1034839738.6303201</v>
      </c>
      <c r="AB44" s="54">
        <f t="shared" ca="1" si="2"/>
        <v>1025098174.9724298</v>
      </c>
      <c r="AC44" s="54">
        <f t="shared" ca="1" si="2"/>
        <v>1014909173.1164681</v>
      </c>
      <c r="AD44" s="54">
        <f t="shared" ca="1" si="2"/>
        <v>1002857336.921894</v>
      </c>
      <c r="AE44" s="54">
        <f t="shared" ca="1" si="2"/>
        <v>991888945.61964476</v>
      </c>
      <c r="AF44" s="54">
        <f t="shared" ca="1" si="2"/>
        <v>982541530.23527777</v>
      </c>
      <c r="AG44" s="54">
        <f t="shared" ca="1" si="2"/>
        <v>974729459.409693</v>
      </c>
      <c r="AH44" s="54">
        <f t="shared" ref="AH44:BM44" ca="1" si="3">SUM(AH42:AH43)</f>
        <v>968929917.22952294</v>
      </c>
      <c r="AI44" s="54">
        <f t="shared" ca="1" si="3"/>
        <v>965585839.59349346</v>
      </c>
      <c r="AJ44" s="54">
        <f t="shared" ca="1" si="3"/>
        <v>964826939.55620968</v>
      </c>
      <c r="AK44" s="54">
        <f t="shared" ca="1" si="3"/>
        <v>967372864.26832843</v>
      </c>
      <c r="AL44" s="54">
        <f t="shared" ca="1" si="3"/>
        <v>967541888.82159412</v>
      </c>
      <c r="AM44" s="54">
        <f t="shared" ca="1" si="3"/>
        <v>978228133.50937188</v>
      </c>
      <c r="AN44" s="54">
        <f t="shared" ca="1" si="3"/>
        <v>994149210.95899403</v>
      </c>
      <c r="AO44" s="54">
        <f t="shared" ca="1" si="3"/>
        <v>1015789164.8458372</v>
      </c>
      <c r="AP44" s="54">
        <f t="shared" ca="1" si="3"/>
        <v>1039909370.0901563</v>
      </c>
      <c r="AQ44" s="54">
        <f t="shared" ca="1" si="3"/>
        <v>1066430097.1410494</v>
      </c>
      <c r="AR44" s="54">
        <f t="shared" ca="1" si="3"/>
        <v>1080941859.0717702</v>
      </c>
      <c r="AS44" s="54">
        <f t="shared" ca="1" si="3"/>
        <v>1112930319.9777377</v>
      </c>
      <c r="AT44" s="54">
        <f t="shared" ca="1" si="3"/>
        <v>1147944811.4939854</v>
      </c>
      <c r="AU44" s="54">
        <f t="shared" ca="1" si="3"/>
        <v>1186192677.3580563</v>
      </c>
      <c r="AV44" s="54">
        <f t="shared" ca="1" si="3"/>
        <v>1227709510.4778445</v>
      </c>
      <c r="AW44" s="54">
        <f t="shared" ca="1" si="3"/>
        <v>1272833290.5955739</v>
      </c>
      <c r="AX44" s="54">
        <f t="shared" ca="1" si="3"/>
        <v>1300138837.0380898</v>
      </c>
      <c r="AY44" s="54">
        <f t="shared" ca="1" si="3"/>
        <v>1353007792.4032805</v>
      </c>
      <c r="AZ44" s="54">
        <f t="shared" ca="1" si="3"/>
        <v>1410083660.0802519</v>
      </c>
      <c r="BA44" s="54">
        <f t="shared" ca="1" si="3"/>
        <v>1471372080.5391669</v>
      </c>
      <c r="BB44" s="54">
        <f t="shared" ca="1" si="3"/>
        <v>1533269937.3310051</v>
      </c>
      <c r="BC44" s="54">
        <f t="shared" ca="1" si="3"/>
        <v>1595591055.8701851</v>
      </c>
      <c r="BD44" s="54">
        <f t="shared" ca="1" si="3"/>
        <v>1629942928.0902491</v>
      </c>
      <c r="BE44" s="54">
        <f t="shared" ca="1" si="3"/>
        <v>1693303200.7531073</v>
      </c>
      <c r="BF44" s="54">
        <f t="shared" ca="1" si="3"/>
        <v>1757192094.838913</v>
      </c>
      <c r="BG44" s="54">
        <f t="shared" ca="1" si="3"/>
        <v>1821679096.4349003</v>
      </c>
      <c r="BH44" s="54">
        <f t="shared" ca="1" si="3"/>
        <v>1886616980.5513215</v>
      </c>
      <c r="BI44" s="54">
        <f t="shared" ca="1" si="3"/>
        <v>1952148475.5262432</v>
      </c>
      <c r="BJ44" s="54">
        <f t="shared" ca="1" si="3"/>
        <v>1987778568.3783536</v>
      </c>
      <c r="BK44" s="54">
        <f t="shared" ca="1" si="3"/>
        <v>2054313463.7354722</v>
      </c>
      <c r="BL44" s="54">
        <f t="shared" ca="1" si="3"/>
        <v>2121481761.9472871</v>
      </c>
      <c r="BM44" s="54">
        <f t="shared" ca="1" si="3"/>
        <v>2189065784.7350979</v>
      </c>
      <c r="BN44" s="54">
        <f t="shared" ref="BN44:CK44" ca="1" si="4">SUM(BN42:BN43)</f>
        <v>2257230657.394804</v>
      </c>
      <c r="BO44" s="54">
        <f t="shared" ca="1" si="4"/>
        <v>2325883940.2086959</v>
      </c>
      <c r="BP44" s="54">
        <f t="shared" ca="1" si="4"/>
        <v>2363602136.5526457</v>
      </c>
      <c r="BQ44" s="54">
        <f t="shared" ca="1" si="4"/>
        <v>2433331417.8406434</v>
      </c>
      <c r="BR44" s="54">
        <f t="shared" ca="1" si="4"/>
        <v>2503608159.0011473</v>
      </c>
      <c r="BS44" s="54">
        <f t="shared" ca="1" si="4"/>
        <v>2574454823.6774292</v>
      </c>
      <c r="BT44" s="54">
        <f t="shared" ca="1" si="4"/>
        <v>2652960686.2998986</v>
      </c>
      <c r="BU44" s="54">
        <f t="shared" ca="1" si="4"/>
        <v>2731967735.3454957</v>
      </c>
      <c r="BV44" s="54">
        <f t="shared" ca="1" si="4"/>
        <v>2778778034.3245382</v>
      </c>
      <c r="BW44" s="54">
        <f t="shared" ca="1" si="4"/>
        <v>2858732635.6641865</v>
      </c>
      <c r="BX44" s="54">
        <f t="shared" ca="1" si="4"/>
        <v>2939209345.5104728</v>
      </c>
      <c r="BY44" s="54">
        <f t="shared" ca="1" si="4"/>
        <v>3020108601.9735761</v>
      </c>
      <c r="BZ44" s="54">
        <f t="shared" ca="1" si="4"/>
        <v>3101510366.780138</v>
      </c>
      <c r="CA44" s="54">
        <f t="shared" ca="1" si="4"/>
        <v>3183389639.1633348</v>
      </c>
      <c r="CB44" s="54">
        <f t="shared" ca="1" si="4"/>
        <v>3232051877.4986258</v>
      </c>
      <c r="CC44" s="54">
        <f t="shared" ca="1" si="4"/>
        <v>3314918275.213912</v>
      </c>
      <c r="CD44" s="54">
        <f t="shared" ca="1" si="4"/>
        <v>3398288199.5292993</v>
      </c>
      <c r="CE44" s="54">
        <f t="shared" ca="1" si="4"/>
        <v>3482160875.7754421</v>
      </c>
      <c r="CF44" s="54">
        <f t="shared" ca="1" si="4"/>
        <v>3566528756.6921978</v>
      </c>
      <c r="CG44" s="54">
        <f t="shared" ca="1" si="4"/>
        <v>3651399525.3553772</v>
      </c>
      <c r="CH44" s="54">
        <f t="shared" ca="1" si="4"/>
        <v>3701989372.9549265</v>
      </c>
      <c r="CI44" s="54">
        <f t="shared" ca="1" si="4"/>
        <v>3787875238.6248283</v>
      </c>
      <c r="CJ44" s="54">
        <f t="shared" ca="1" si="4"/>
        <v>3874241295.5003595</v>
      </c>
      <c r="CK44" s="54">
        <f t="shared" ca="1" si="4"/>
        <v>3961113468.1441507</v>
      </c>
    </row>
    <row r="45" spans="2:89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</row>
    <row r="46" spans="2:89" ht="20.25" thickBot="1">
      <c r="B46" s="26" t="s">
        <v>167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</row>
    <row r="47" spans="2:89" ht="15.75" thickTop="1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</row>
    <row r="48" spans="2:89">
      <c r="B48" s="61" t="str">
        <f>Отчетность_по_периодам!B39</f>
        <v>Маржа к выручке</v>
      </c>
      <c r="C48" s="62"/>
      <c r="D48" s="63"/>
      <c r="E48" s="64"/>
      <c r="F48" s="65" t="str">
        <f ca="1">Отчетность_по_периодам!F39</f>
        <v>неприменимо</v>
      </c>
      <c r="G48" s="65" t="str">
        <f ca="1">Отчетность_по_периодам!G39</f>
        <v>неприменимо</v>
      </c>
      <c r="H48" s="65" t="str">
        <f ca="1">Отчетность_по_периодам!H39</f>
        <v>неприменимо</v>
      </c>
      <c r="I48" s="65" t="str">
        <f ca="1">Отчетность_по_периодам!I39</f>
        <v>неприменимо</v>
      </c>
      <c r="J48" s="65" t="str">
        <f ca="1">Отчетность_по_периодам!J39</f>
        <v>неприменимо</v>
      </c>
      <c r="K48" s="65" t="str">
        <f ca="1">Отчетность_по_периодам!K39</f>
        <v>неприменимо</v>
      </c>
      <c r="L48" s="65" t="str">
        <f ca="1">Отчетность_по_периодам!L39</f>
        <v>неприменимо</v>
      </c>
      <c r="M48" s="65" t="str">
        <f ca="1">Отчетность_по_периодам!M39</f>
        <v>неприменимо</v>
      </c>
      <c r="N48" s="65" t="str">
        <f ca="1">Отчетность_по_периодам!N39</f>
        <v>неприменимо</v>
      </c>
      <c r="O48" s="65" t="str">
        <f ca="1">Отчетность_по_периодам!O39</f>
        <v>неприменимо</v>
      </c>
      <c r="P48" s="65" t="str">
        <f ca="1">Отчетность_по_периодам!P39</f>
        <v>неприменимо</v>
      </c>
      <c r="Q48" s="65" t="str">
        <f ca="1">Отчетность_по_периодам!Q39</f>
        <v>неприменимо</v>
      </c>
      <c r="R48" s="65">
        <f ca="1">Отчетность_по_периодам!R39</f>
        <v>0.42964159387019785</v>
      </c>
      <c r="S48" s="65">
        <f ca="1">Отчетность_по_периодам!S39</f>
        <v>0.42954965675637419</v>
      </c>
      <c r="T48" s="65">
        <f ca="1">Отчетность_по_периодам!T39</f>
        <v>0.42946067124577514</v>
      </c>
      <c r="U48" s="65">
        <f ca="1">Отчетность_по_периодам!U39</f>
        <v>0.42936870496870311</v>
      </c>
      <c r="V48" s="65">
        <f ca="1">Отчетность_по_периодам!V39</f>
        <v>0.429276723867419</v>
      </c>
      <c r="W48" s="65">
        <f ca="1">Отчетность_по_периодам!W39</f>
        <v>0.4291876957815588</v>
      </c>
      <c r="X48" s="65">
        <f ca="1">Отчетность_по_периодам!X39</f>
        <v>0.42909568550307287</v>
      </c>
      <c r="Y48" s="65">
        <f ca="1">Отчетность_по_периодам!Y39</f>
        <v>0.42900662917673288</v>
      </c>
      <c r="Z48" s="65">
        <f ca="1">Отчетность_по_периодам!Z39</f>
        <v>0.42891458971179008</v>
      </c>
      <c r="AA48" s="65">
        <f ca="1">Отчетность_по_периодам!AA39</f>
        <v>0.42882228318689208</v>
      </c>
      <c r="AB48" s="65">
        <f ca="1">Отчетность_по_периодам!AB39</f>
        <v>0.42873889672765897</v>
      </c>
      <c r="AC48" s="65">
        <f ca="1">Отчетность_по_периодам!AC39</f>
        <v>0.42864656180489169</v>
      </c>
      <c r="AD48" s="65">
        <f ca="1">Отчетность_по_периодам!AD39</f>
        <v>0.46476745340612619</v>
      </c>
      <c r="AE48" s="65">
        <f ca="1">Отчетность_по_периодам!AE39</f>
        <v>0.46437006304499739</v>
      </c>
      <c r="AF48" s="65">
        <f ca="1">Отчетность_по_периодам!AF39</f>
        <v>0.46478971420742105</v>
      </c>
      <c r="AG48" s="65">
        <f ca="1">Отчетность_по_периодам!AG39</f>
        <v>0.46616103467335401</v>
      </c>
      <c r="AH48" s="65">
        <f ca="1">Отчетность_по_периодам!AH39</f>
        <v>0.46859642720400912</v>
      </c>
      <c r="AI48" s="65">
        <f ca="1">Отчетность_по_периодам!AI39</f>
        <v>0.47207153465390195</v>
      </c>
      <c r="AJ48" s="65">
        <f ca="1">Отчетность_по_периодам!AJ39</f>
        <v>0.4769220472626049</v>
      </c>
      <c r="AK48" s="65">
        <f ca="1">Отчетность_по_периодам!AK39</f>
        <v>0.48292558572561545</v>
      </c>
      <c r="AL48" s="65">
        <f ca="1">Отчетность_по_периодам!AL39</f>
        <v>0.49056205748295129</v>
      </c>
      <c r="AM48" s="65">
        <f ca="1">Отчетность_по_периодам!AM39</f>
        <v>0.49971440236841169</v>
      </c>
      <c r="AN48" s="65">
        <f ca="1">Отчетность_по_периодам!AN39</f>
        <v>0.50931149601513337</v>
      </c>
      <c r="AO48" s="65">
        <f ca="1">Отчетность_по_периодам!AO39</f>
        <v>0.52141000053825881</v>
      </c>
      <c r="AP48" s="65">
        <f ca="1">Отчетность_по_периодам!AP39</f>
        <v>0.52739533709002195</v>
      </c>
      <c r="AQ48" s="65">
        <f ca="1">Отчетность_по_периодам!AQ39</f>
        <v>0.53375811191106926</v>
      </c>
      <c r="AR48" s="65">
        <f ca="1">Отчетность_по_периодам!AR39</f>
        <v>0.54008431366813825</v>
      </c>
      <c r="AS48" s="65">
        <f ca="1">Отчетность_по_периодам!AS39</f>
        <v>0.54679122089244581</v>
      </c>
      <c r="AT48" s="65">
        <f ca="1">Отчетность_по_периодам!AT39</f>
        <v>0.55366536637285713</v>
      </c>
      <c r="AU48" s="65">
        <f ca="1">Отчетность_по_периодам!AU39</f>
        <v>0.56047108048654581</v>
      </c>
      <c r="AV48" s="65">
        <f ca="1">Отчетность_по_периодам!AV39</f>
        <v>0.56765513177133364</v>
      </c>
      <c r="AW48" s="65">
        <f ca="1">Отчетность_по_периодам!AW39</f>
        <v>0.57474660350831475</v>
      </c>
      <c r="AX48" s="65">
        <f ca="1">Отчетность_по_периодам!AX39</f>
        <v>0.58220969968817471</v>
      </c>
      <c r="AY48" s="65">
        <f ca="1">Отчетность_по_периодам!AY39</f>
        <v>0.58980076085772037</v>
      </c>
      <c r="AZ48" s="65">
        <f ca="1">Отчетность_по_периодам!AZ39</f>
        <v>0.59675858658633374</v>
      </c>
      <c r="BA48" s="65">
        <f ca="1">Отчетность_по_периодам!BA39</f>
        <v>0.60456395732620138</v>
      </c>
      <c r="BB48" s="65">
        <f ca="1">Отчетность_по_периодам!BB39</f>
        <v>0.60450210357886403</v>
      </c>
      <c r="BC48" s="65">
        <f ca="1">Отчетность_по_периодам!BC39</f>
        <v>0.60443817787569354</v>
      </c>
      <c r="BD48" s="65">
        <f ca="1">Отчетность_по_периодам!BD39</f>
        <v>0.60437630445404866</v>
      </c>
      <c r="BE48" s="65">
        <f ca="1">Отчетность_по_периодам!BE39</f>
        <v>0.60431235841752717</v>
      </c>
      <c r="BF48" s="65">
        <f ca="1">Отчетность_по_периодам!BF39</f>
        <v>0.60424840204518526</v>
      </c>
      <c r="BG48" s="65">
        <f ca="1">Отчетность_по_периодам!BG39</f>
        <v>0.6041864989389768</v>
      </c>
      <c r="BH48" s="65">
        <f ca="1">Отчетность_по_периодам!BH39</f>
        <v>0.60412252222352869</v>
      </c>
      <c r="BI48" s="65">
        <f ca="1">Отчетность_по_периодам!BI39</f>
        <v>0.60406059942731261</v>
      </c>
      <c r="BJ48" s="65">
        <f ca="1">Отчетность_по_периодам!BJ39</f>
        <v>0.60399660236228769</v>
      </c>
      <c r="BK48" s="65">
        <f ca="1">Отчетность_по_периодам!BK39</f>
        <v>0.60393276985091948</v>
      </c>
      <c r="BL48" s="65">
        <f ca="1">Отчетность_по_периодам!BL39</f>
        <v>0.60387304625116756</v>
      </c>
      <c r="BM48" s="65">
        <f ca="1">Отчетность_по_периодам!BM39</f>
        <v>0.60380919382356413</v>
      </c>
      <c r="BN48" s="65">
        <f ca="1">Отчетность_по_периодам!BN39</f>
        <v>0.60374739135188582</v>
      </c>
      <c r="BO48" s="65">
        <f ca="1">Отчетность_по_периодам!BO39</f>
        <v>0.60368351866973957</v>
      </c>
      <c r="BP48" s="65">
        <f ca="1">Отчетность_по_периодам!BP39</f>
        <v>0.60362169659378229</v>
      </c>
      <c r="BQ48" s="65">
        <f ca="1">Отчетность_по_периодам!BQ39</f>
        <v>0.60355780365066825</v>
      </c>
      <c r="BR48" s="65">
        <f ca="1">Отчетность_по_периодам!BR39</f>
        <v>0.6034939004085339</v>
      </c>
      <c r="BS48" s="65">
        <f ca="1">Отчетность_по_периодам!BS39</f>
        <v>0.60343204875370438</v>
      </c>
      <c r="BT48" s="65">
        <f ca="1">Отчетность_по_периодам!BT39</f>
        <v>0.60336812524090855</v>
      </c>
      <c r="BU48" s="65">
        <f ca="1">Отчетность_по_периодам!BU39</f>
        <v>0.60330625396619875</v>
      </c>
      <c r="BV48" s="65">
        <f ca="1">Отчетность_по_периодам!BV39</f>
        <v>0.60324231017631103</v>
      </c>
      <c r="BW48" s="65">
        <f ca="1">Отчетность_по_периодам!BW39</f>
        <v>0.60317818084834296</v>
      </c>
      <c r="BX48" s="65">
        <f ca="1">Отчетность_по_периодам!BX39</f>
        <v>0.60312024867509562</v>
      </c>
      <c r="BY48" s="65">
        <f ca="1">Отчетность_по_периодам!BY39</f>
        <v>0.60305609961790174</v>
      </c>
      <c r="BZ48" s="65">
        <f ca="1">Отчетность_по_периодам!BZ39</f>
        <v>0.60299401001282837</v>
      </c>
      <c r="CA48" s="65">
        <f ca="1">Отчетность_по_периодам!CA39</f>
        <v>0.60292984055123977</v>
      </c>
      <c r="CB48" s="65">
        <f ca="1">Отчетность_по_периодам!CB39</f>
        <v>0.60286773119683779</v>
      </c>
      <c r="CC48" s="65">
        <f ca="1">Отчетность_по_периодам!CC39</f>
        <v>0.60280354132436398</v>
      </c>
      <c r="CD48" s="65">
        <f ca="1">Отчетность_по_периодам!CD39</f>
        <v>0.6027393410766575</v>
      </c>
      <c r="CE48" s="65">
        <f ca="1">Отчетность_по_периодам!CE39</f>
        <v>0.60267720192450025</v>
      </c>
      <c r="CF48" s="65">
        <f ca="1">Отчетность_по_периодам!CF39</f>
        <v>0.60261298125611618</v>
      </c>
      <c r="CG48" s="65">
        <f ca="1">Отчетность_по_периодам!CG39</f>
        <v>0.60255082233887047</v>
      </c>
      <c r="CH48" s="65">
        <f ca="1">Отчетность_по_периодам!CH39</f>
        <v>0.60248658124331356</v>
      </c>
      <c r="CI48" s="65">
        <f ca="1">Отчетность_по_периодам!CI39</f>
        <v>0.60242232976424481</v>
      </c>
      <c r="CJ48" s="65">
        <f ca="1">Отчетность_по_периодам!CJ39</f>
        <v>0.60236428724400071</v>
      </c>
      <c r="CK48" s="65">
        <f ca="1">Отчетность_по_периодам!CK39</f>
        <v>0.60230001599812644</v>
      </c>
    </row>
    <row r="49" spans="2:89">
      <c r="B49" s="61" t="str">
        <f>Отчетность_по_периодам!B46</f>
        <v>EBITDA к выручке</v>
      </c>
      <c r="C49" s="62"/>
      <c r="D49" s="63"/>
      <c r="E49" s="64"/>
      <c r="F49" s="65" t="str">
        <f ca="1">Отчетность_по_периодам!F46</f>
        <v>неприменимо</v>
      </c>
      <c r="G49" s="65" t="str">
        <f ca="1">Отчетность_по_периодам!G46</f>
        <v>неприменимо</v>
      </c>
      <c r="H49" s="65" t="str">
        <f ca="1">Отчетность_по_периодам!H46</f>
        <v>неприменимо</v>
      </c>
      <c r="I49" s="65" t="str">
        <f ca="1">Отчетность_по_периодам!I46</f>
        <v>неприменимо</v>
      </c>
      <c r="J49" s="65" t="str">
        <f ca="1">Отчетность_по_периодам!J46</f>
        <v>неприменимо</v>
      </c>
      <c r="K49" s="65" t="str">
        <f ca="1">Отчетность_по_периодам!K46</f>
        <v>неприменимо</v>
      </c>
      <c r="L49" s="65" t="str">
        <f ca="1">Отчетность_по_периодам!L46</f>
        <v>неприменимо</v>
      </c>
      <c r="M49" s="65" t="str">
        <f ca="1">Отчетность_по_периодам!M46</f>
        <v>неприменимо</v>
      </c>
      <c r="N49" s="65" t="str">
        <f ca="1">Отчетность_по_периодам!N46</f>
        <v>неприменимо</v>
      </c>
      <c r="O49" s="65" t="str">
        <f ca="1">Отчетность_по_периодам!O46</f>
        <v>неприменимо</v>
      </c>
      <c r="P49" s="65" t="str">
        <f ca="1">Отчетность_по_периодам!P46</f>
        <v>неприменимо</v>
      </c>
      <c r="Q49" s="65" t="str">
        <f ca="1">Отчетность_по_периодам!Q46</f>
        <v>неприменимо</v>
      </c>
      <c r="R49" s="65">
        <f ca="1">Отчетность_по_периодам!R46</f>
        <v>0.25958879278738539</v>
      </c>
      <c r="S49" s="65">
        <f ca="1">Отчетность_по_периодам!S46</f>
        <v>0.25962422583952943</v>
      </c>
      <c r="T49" s="65">
        <f ca="1">Отчетность_по_периодам!T46</f>
        <v>0.18618534065997061</v>
      </c>
      <c r="U49" s="65">
        <f ca="1">Отчетность_по_периодам!U46</f>
        <v>0.25969361179088007</v>
      </c>
      <c r="V49" s="65">
        <f ca="1">Отчетность_по_периодам!V46</f>
        <v>0.25972870231882539</v>
      </c>
      <c r="W49" s="65">
        <f ca="1">Отчетность_по_периодам!W46</f>
        <v>0.18982425189706939</v>
      </c>
      <c r="X49" s="65">
        <f ca="1">Отчетность_по_периодам!X46</f>
        <v>0.25979741495100739</v>
      </c>
      <c r="Y49" s="65">
        <f ca="1">Отчетность_по_периодам!Y46</f>
        <v>0.25983104451580613</v>
      </c>
      <c r="Z49" s="65">
        <f ca="1">Отчетность_по_периодам!Z46</f>
        <v>0.19338689258355513</v>
      </c>
      <c r="AA49" s="65">
        <f ca="1">Отчетность_по_периодам!AA46</f>
        <v>0.25990029874042941</v>
      </c>
      <c r="AB49" s="65">
        <f ca="1">Отчетность_по_периодам!AB46</f>
        <v>0.25993146629088504</v>
      </c>
      <c r="AC49" s="65">
        <f ca="1">Отчетность_по_периодам!AC46</f>
        <v>0.25996586337670025</v>
      </c>
      <c r="AD49" s="65">
        <f ca="1">Отчетность_по_периодам!AD46</f>
        <v>0.29150835823470567</v>
      </c>
      <c r="AE49" s="65">
        <f ca="1">Отчетность_по_периодам!AE46</f>
        <v>0.29560583441142552</v>
      </c>
      <c r="AF49" s="65">
        <f ca="1">Отчетность_по_периодам!AF46</f>
        <v>0.30058997074955929</v>
      </c>
      <c r="AG49" s="65">
        <f ca="1">Отчетность_по_периодам!AG46</f>
        <v>0.30691232058192708</v>
      </c>
      <c r="AH49" s="65">
        <f ca="1">Отчетность_по_периодам!AH46</f>
        <v>0.31454735693306451</v>
      </c>
      <c r="AI49" s="65">
        <f ca="1">Отчетность_по_периодам!AI46</f>
        <v>0.32329772618724917</v>
      </c>
      <c r="AJ49" s="65">
        <f ca="1">Отчетность_по_периодам!AJ46</f>
        <v>0.33385322099889297</v>
      </c>
      <c r="AK49" s="65">
        <f ca="1">Отчетность_по_периодам!AK46</f>
        <v>0.34562046359069321</v>
      </c>
      <c r="AL49" s="65">
        <f ca="1">Отчетность_по_периодам!AL46</f>
        <v>0.35945401318719694</v>
      </c>
      <c r="AM49" s="65">
        <f ca="1">Отчетность_по_периодам!AM46</f>
        <v>0.37503126931095521</v>
      </c>
      <c r="AN49" s="65">
        <f ca="1">Отчетность_по_периодам!AN46</f>
        <v>0.39060593202714738</v>
      </c>
      <c r="AO49" s="65">
        <f ca="1">Отчетность_по_периодам!AO46</f>
        <v>0.40948401337551016</v>
      </c>
      <c r="AP49" s="65">
        <f ca="1">Отчетность_по_периодам!AP46</f>
        <v>0.41716601112211965</v>
      </c>
      <c r="AQ49" s="65">
        <f ca="1">Отчетность_по_периодам!AQ46</f>
        <v>0.42532628305832432</v>
      </c>
      <c r="AR49" s="65">
        <f ca="1">Отчетность_по_периодам!AR46</f>
        <v>0.43343379735916693</v>
      </c>
      <c r="AS49" s="65">
        <f ca="1">Отчетность_по_периодам!AS46</f>
        <v>0.44202327749239917</v>
      </c>
      <c r="AT49" s="65">
        <f ca="1">Отчетность_по_периодам!AT46</f>
        <v>0.45082101767297683</v>
      </c>
      <c r="AU49" s="65">
        <f ca="1">Отчетность_по_периодам!AU46</f>
        <v>0.45952565292737219</v>
      </c>
      <c r="AV49" s="65">
        <f ca="1">Отчетность_по_периодам!AV46</f>
        <v>0.46870859622986538</v>
      </c>
      <c r="AW49" s="65">
        <f ca="1">Отчетность_по_периодам!AW46</f>
        <v>0.47776790303692585</v>
      </c>
      <c r="AX49" s="65">
        <f ca="1">Отчетность_по_периодам!AX46</f>
        <v>0.48729660315389461</v>
      </c>
      <c r="AY49" s="65">
        <f ca="1">Отчетность_по_периодам!AY46</f>
        <v>0.49698336716876462</v>
      </c>
      <c r="AZ49" s="65">
        <f ca="1">Отчетность_по_периодам!AZ46</f>
        <v>0.50585761118592576</v>
      </c>
      <c r="BA49" s="65">
        <f ca="1">Отчетность_по_периодам!BA46</f>
        <v>0.51580801658598752</v>
      </c>
      <c r="BB49" s="65">
        <f ca="1">Отчетность_по_периодам!BB46</f>
        <v>0.51581120932996993</v>
      </c>
      <c r="BC49" s="65">
        <f ca="1">Отчетность_по_периодам!BC46</f>
        <v>0.51581444577833735</v>
      </c>
      <c r="BD49" s="65">
        <f ca="1">Отчетность_по_периодам!BD46</f>
        <v>0.51581751716657642</v>
      </c>
      <c r="BE49" s="65">
        <f ca="1">Отчетность_по_периодам!BE46</f>
        <v>0.51582062829420139</v>
      </c>
      <c r="BF49" s="65">
        <f ca="1">Отчетность_по_периодам!BF46</f>
        <v>0.51582367579564092</v>
      </c>
      <c r="BG49" s="65">
        <f ca="1">Отчетность_по_периодам!BG46</f>
        <v>0.51582656444891184</v>
      </c>
      <c r="BH49" s="65">
        <f ca="1">Отчетность_по_периодам!BH46</f>
        <v>0.5158294868710962</v>
      </c>
      <c r="BI49" s="65">
        <f ca="1">Отчетность_по_периодам!BI46</f>
        <v>0.51583225455727277</v>
      </c>
      <c r="BJ49" s="65">
        <f ca="1">Отчетность_по_периодам!BJ46</f>
        <v>0.51583505205998303</v>
      </c>
      <c r="BK49" s="65">
        <f ca="1">Отчетность_по_периодам!BK46</f>
        <v>0.5158377787563776</v>
      </c>
      <c r="BL49" s="65">
        <f ca="1">Отчетность_по_периодам!BL46</f>
        <v>0.51584027246951625</v>
      </c>
      <c r="BM49" s="65">
        <f ca="1">Отчетность_по_периодам!BM46</f>
        <v>0.51584287719845834</v>
      </c>
      <c r="BN49" s="65">
        <f ca="1">Отчетность_по_периодам!BN46</f>
        <v>0.51584533796032528</v>
      </c>
      <c r="BO49" s="65">
        <f ca="1">Отчетность_по_периодам!BO46</f>
        <v>0.51584781884554509</v>
      </c>
      <c r="BP49" s="65">
        <f ca="1">Отчетность_по_периодам!BP46</f>
        <v>0.51585015983491567</v>
      </c>
      <c r="BQ49" s="65">
        <f ca="1">Отчетность_по_периодам!BQ46</f>
        <v>0.51585251703396584</v>
      </c>
      <c r="BR49" s="65">
        <f ca="1">Отчетность_по_периодам!BR46</f>
        <v>0.51585481143640499</v>
      </c>
      <c r="BS49" s="65">
        <f ca="1">Отчетность_по_периодам!BS46</f>
        <v>0.51585697207335413</v>
      </c>
      <c r="BT49" s="65">
        <f ca="1">Отчетность_по_периодам!BT46</f>
        <v>0.51585914302674751</v>
      </c>
      <c r="BU49" s="65">
        <f ca="1">Отчетность_по_периодам!BU46</f>
        <v>0.51586118427282679</v>
      </c>
      <c r="BV49" s="65">
        <f ca="1">Отчетность_по_периодам!BV46</f>
        <v>0.51586323193406858</v>
      </c>
      <c r="BW49" s="65">
        <f ca="1">Отчетность_по_периодам!BW46</f>
        <v>0.51586522235127275</v>
      </c>
      <c r="BX49" s="65">
        <f ca="1">Отчетность_по_периодам!BX46</f>
        <v>0.51586696608300497</v>
      </c>
      <c r="BY49" s="65">
        <f ca="1">Отчетность_по_периодам!BY46</f>
        <v>0.51586883682356344</v>
      </c>
      <c r="BZ49" s="65">
        <f ca="1">Отчетность_по_периодам!BZ46</f>
        <v>0.5158705874024434</v>
      </c>
      <c r="CA49" s="65">
        <f ca="1">Отчетность_по_периодам!CA46</f>
        <v>0.51587233456446946</v>
      </c>
      <c r="CB49" s="65">
        <f ca="1">Отчетность_по_периодам!CB46</f>
        <v>0.51587396562735199</v>
      </c>
      <c r="CC49" s="65">
        <f ca="1">Отчетность_по_периодам!CC46</f>
        <v>0.51587558936811573</v>
      </c>
      <c r="CD49" s="65">
        <f ca="1">Отчетность_по_периодам!CD46</f>
        <v>0.51587715044678528</v>
      </c>
      <c r="CE49" s="65">
        <f ca="1">Отчетность_по_периодам!CE46</f>
        <v>0.5158786015435789</v>
      </c>
      <c r="CF49" s="65">
        <f ca="1">Отчетность_по_периодам!CF46</f>
        <v>0.51588003943768279</v>
      </c>
      <c r="CG49" s="65">
        <f ca="1">Отчетность_по_периодам!CG46</f>
        <v>0.51588137139941848</v>
      </c>
      <c r="CH49" s="65">
        <f ca="1">Отчетность_по_периодам!CH46</f>
        <v>0.5158826862655681</v>
      </c>
      <c r="CI49" s="65">
        <f ca="1">Отчетность_по_периодам!CI46</f>
        <v>0.51588393866924898</v>
      </c>
      <c r="CJ49" s="65">
        <f ca="1">Отчетность_по_периодам!CJ46</f>
        <v>0.51588501621830818</v>
      </c>
      <c r="CK49" s="65">
        <f ca="1">Отчетность_по_периодам!CK46</f>
        <v>0.51588614985323977</v>
      </c>
    </row>
    <row r="50" spans="2:89">
      <c r="B50" s="61" t="str">
        <f>Отчетность_по_периодам!B50</f>
        <v>EBIT к выручке</v>
      </c>
      <c r="C50" s="62"/>
      <c r="D50" s="63"/>
      <c r="E50" s="64"/>
      <c r="F50" s="65" t="str">
        <f ca="1">Отчетность_по_периодам!F50</f>
        <v>неприменимо</v>
      </c>
      <c r="G50" s="65" t="str">
        <f ca="1">Отчетность_по_периодам!G50</f>
        <v>неприменимо</v>
      </c>
      <c r="H50" s="65" t="str">
        <f ca="1">Отчетность_по_периодам!H50</f>
        <v>неприменимо</v>
      </c>
      <c r="I50" s="65" t="str">
        <f ca="1">Отчетность_по_периодам!I50</f>
        <v>неприменимо</v>
      </c>
      <c r="J50" s="65" t="str">
        <f ca="1">Отчетность_по_периодам!J50</f>
        <v>неприменимо</v>
      </c>
      <c r="K50" s="65" t="str">
        <f ca="1">Отчетность_по_периодам!K50</f>
        <v>неприменимо</v>
      </c>
      <c r="L50" s="65" t="str">
        <f ca="1">Отчетность_по_периодам!L50</f>
        <v>неприменимо</v>
      </c>
      <c r="M50" s="65" t="str">
        <f ca="1">Отчетность_по_периодам!M50</f>
        <v>неприменимо</v>
      </c>
      <c r="N50" s="65" t="str">
        <f ca="1">Отчетность_по_периодам!N50</f>
        <v>неприменимо</v>
      </c>
      <c r="O50" s="65" t="str">
        <f ca="1">Отчетность_по_периодам!O50</f>
        <v>неприменимо</v>
      </c>
      <c r="P50" s="65" t="str">
        <f ca="1">Отчетность_по_периодам!P50</f>
        <v>неприменимо</v>
      </c>
      <c r="Q50" s="65" t="str">
        <f ca="1">Отчетность_по_периодам!Q50</f>
        <v>неприменимо</v>
      </c>
      <c r="R50" s="65">
        <f ca="1">Отчетность_по_периодам!R50</f>
        <v>9.6342596575145281E-2</v>
      </c>
      <c r="S50" s="65">
        <f ca="1">Отчетность_по_периодам!S50</f>
        <v>9.7051252567878984E-2</v>
      </c>
      <c r="T50" s="65">
        <f ca="1">Отчетность_по_периодам!T50</f>
        <v>2.4261229884304718E-2</v>
      </c>
      <c r="U50" s="65">
        <f ca="1">Отчетность_по_периодам!U50</f>
        <v>9.8437271710875851E-2</v>
      </c>
      <c r="V50" s="65">
        <f ca="1">Отчетность_по_периодам!V50</f>
        <v>9.9137379066020354E-2</v>
      </c>
      <c r="W50" s="65">
        <f ca="1">Отчетность_по_периодам!W50</f>
        <v>2.987388196351725E-2</v>
      </c>
      <c r="X50" s="65">
        <f ca="1">Отчетность_по_периодам!X50</f>
        <v>0.10050667605875116</v>
      </c>
      <c r="Y50" s="65">
        <f ca="1">Отчетность_по_периодам!Y50</f>
        <v>0.10117606804054245</v>
      </c>
      <c r="Z50" s="65">
        <f ca="1">Отчетность_по_периодам!Z50</f>
        <v>3.5386204981662853E-2</v>
      </c>
      <c r="AA50" s="65">
        <f ca="1">Отчетность_по_периодам!AA50</f>
        <v>0.10255298322568357</v>
      </c>
      <c r="AB50" s="65">
        <f ca="1">Отчетность_по_периодам!AB50</f>
        <v>0.10317197069357859</v>
      </c>
      <c r="AC50" s="65">
        <f ca="1">Отчетность_по_периодам!AC50</f>
        <v>0.10385460722931636</v>
      </c>
      <c r="AD50" s="65">
        <f ca="1">Отчетность_по_периодам!AD50</f>
        <v>0.15042595472073175</v>
      </c>
      <c r="AE50" s="65">
        <f ca="1">Отчетность_по_периодам!AE50</f>
        <v>0.15864800792141237</v>
      </c>
      <c r="AF50" s="65">
        <f ca="1">Отчетность_по_периодам!AF50</f>
        <v>0.16777225756767319</v>
      </c>
      <c r="AG50" s="65">
        <f ca="1">Отчетность_по_периодам!AG50</f>
        <v>0.17853477066063936</v>
      </c>
      <c r="AH50" s="65">
        <f ca="1">Отчетность_по_периодам!AH50</f>
        <v>0.19078121798217049</v>
      </c>
      <c r="AI50" s="65">
        <f ca="1">Отчетность_по_периодам!AI50</f>
        <v>0.20416083191116691</v>
      </c>
      <c r="AJ50" s="65">
        <f ca="1">Отчетность_по_периодам!AJ50</f>
        <v>0.21967207530963762</v>
      </c>
      <c r="AK50" s="65">
        <f ca="1">Отчетность_по_периодам!AK50</f>
        <v>0.23639770772119487</v>
      </c>
      <c r="AL50" s="65">
        <f ca="1">Отчетность_по_периодам!AL50</f>
        <v>0.25551339511842125</v>
      </c>
      <c r="AM50" s="65">
        <f ca="1">Отчетность_по_периодам!AM50</f>
        <v>0.27651834420873822</v>
      </c>
      <c r="AN50" s="65">
        <f ca="1">Отчетность_по_периодам!AN50</f>
        <v>0.29710231169206996</v>
      </c>
      <c r="AO50" s="65">
        <f ca="1">Отчетность_по_периодам!AO50</f>
        <v>0.32161862906575001</v>
      </c>
      <c r="AP50" s="65">
        <f ca="1">Отчетность_по_периодам!AP50</f>
        <v>0.33091563793588019</v>
      </c>
      <c r="AQ50" s="65">
        <f ca="1">Отчетность_по_периодам!AQ50</f>
        <v>0.3407691755404379</v>
      </c>
      <c r="AR50" s="65">
        <f ca="1">Отчетность_по_периодам!AR50</f>
        <v>0.35053786393654729</v>
      </c>
      <c r="AS50" s="65">
        <f ca="1">Отчетность_по_периодам!AS50</f>
        <v>0.36086587043307256</v>
      </c>
      <c r="AT50" s="65">
        <f ca="1">Отчетность_по_периодам!AT50</f>
        <v>0.37142300272418882</v>
      </c>
      <c r="AU50" s="65">
        <f ca="1">Отчетность_по_периодам!AU50</f>
        <v>0.38184859692024431</v>
      </c>
      <c r="AV50" s="65">
        <f ca="1">Отчетность_по_периодам!AV50</f>
        <v>0.39282705521171335</v>
      </c>
      <c r="AW50" s="65">
        <f ca="1">Отчетность_по_периодам!AW50</f>
        <v>0.40363879420435778</v>
      </c>
      <c r="AX50" s="65">
        <f ca="1">Отчетность_по_периодам!AX50</f>
        <v>0.41499166130907783</v>
      </c>
      <c r="AY50" s="65">
        <f ca="1">Отчетность_по_периодам!AY50</f>
        <v>0.42651396041518852</v>
      </c>
      <c r="AZ50" s="65">
        <f ca="1">Отчетность_по_периодам!AZ50</f>
        <v>0.43705395741028863</v>
      </c>
      <c r="BA50" s="65">
        <f ca="1">Отчетность_по_периодам!BA50</f>
        <v>0.44885505782925328</v>
      </c>
      <c r="BB50" s="65">
        <f ca="1">Отчетность_по_периодам!BB50</f>
        <v>0.44912620438626683</v>
      </c>
      <c r="BC50" s="65">
        <f ca="1">Отчетность_по_периодам!BC50</f>
        <v>0.44940519989317212</v>
      </c>
      <c r="BD50" s="65">
        <f ca="1">Отчетность_по_периодам!BD50</f>
        <v>0.44967404908997843</v>
      </c>
      <c r="BE50" s="65">
        <f ca="1">Отчетность_по_периодам!BE50</f>
        <v>0.44995067988668991</v>
      </c>
      <c r="BF50" s="65">
        <f ca="1">Отчетность_по_периодам!BF50</f>
        <v>0.45022611598544798</v>
      </c>
      <c r="BG50" s="65">
        <f ca="1">Отчетность_по_периодам!BG50</f>
        <v>0.45049153398175418</v>
      </c>
      <c r="BH50" s="65">
        <f ca="1">Отчетность_по_периодам!BH50</f>
        <v>0.45076463298271191</v>
      </c>
      <c r="BI50" s="65">
        <f ca="1">Отчетность_по_периодам!BI50</f>
        <v>0.45102779805859977</v>
      </c>
      <c r="BJ50" s="65">
        <f ca="1">Отчетность_по_периодам!BJ50</f>
        <v>0.45129857808494073</v>
      </c>
      <c r="BK50" s="65">
        <f ca="1">Отчетность_по_периодам!BK50</f>
        <v>0.45156745147138305</v>
      </c>
      <c r="BL50" s="65">
        <f ca="1">Отчетность_по_периодам!BL50</f>
        <v>0.45181792738367682</v>
      </c>
      <c r="BM50" s="65">
        <f ca="1">Отчетность_по_периодам!BM50</f>
        <v>0.45208455854889862</v>
      </c>
      <c r="BN50" s="65">
        <f ca="1">Отчетность_по_периодам!BN50</f>
        <v>0.45234149200045182</v>
      </c>
      <c r="BO50" s="65">
        <f ca="1">Отчетность_по_периодам!BO50</f>
        <v>0.45260586104544392</v>
      </c>
      <c r="BP50" s="65">
        <f ca="1">Отчетность_по_периодам!BP50</f>
        <v>0.45286061382112397</v>
      </c>
      <c r="BQ50" s="65">
        <f ca="1">Отчетность_по_периодам!BQ50</f>
        <v>0.45312273822074456</v>
      </c>
      <c r="BR50" s="65">
        <f ca="1">Отчетность_по_периодам!BR50</f>
        <v>0.4533837285507768</v>
      </c>
      <c r="BS50" s="65">
        <f ca="1">Отчетность_по_периодам!BS50</f>
        <v>0.45363522425217295</v>
      </c>
      <c r="BT50" s="65">
        <f ca="1">Отчетность_по_периодам!BT50</f>
        <v>0.45389399602695601</v>
      </c>
      <c r="BU50" s="65">
        <f ca="1">Отчетность_по_периодам!BU50</f>
        <v>0.45414335304230008</v>
      </c>
      <c r="BV50" s="65">
        <f ca="1">Отчетность_по_периодам!BV50</f>
        <v>0.45439992338640928</v>
      </c>
      <c r="BW50" s="65">
        <f ca="1">Отчетность_по_периодам!BW50</f>
        <v>0.45465607985059858</v>
      </c>
      <c r="BX50" s="65">
        <f ca="1">Отчетность_по_периодам!BX50</f>
        <v>0.45488648940337506</v>
      </c>
      <c r="BY50" s="65">
        <f ca="1">Отчетность_по_периодам!BY50</f>
        <v>0.45514052956121953</v>
      </c>
      <c r="BZ50" s="65">
        <f ca="1">Отчетность_по_периодам!BZ50</f>
        <v>0.45538532214738392</v>
      </c>
      <c r="CA50" s="65">
        <f ca="1">Отчетность_по_периодам!CA50</f>
        <v>0.45563719090445576</v>
      </c>
      <c r="CB50" s="65">
        <f ca="1">Отчетность_по_периодам!CB50</f>
        <v>0.45587989027442866</v>
      </c>
      <c r="CC50" s="65">
        <f ca="1">Отчетность_по_периодам!CC50</f>
        <v>0.456129604417992</v>
      </c>
      <c r="CD50" s="65">
        <f ca="1">Отчетность_по_периодам!CD50</f>
        <v>0.45637822998402522</v>
      </c>
      <c r="CE50" s="65">
        <f ca="1">Отчетность_по_периодам!CE50</f>
        <v>0.45661780293391219</v>
      </c>
      <c r="CF50" s="65">
        <f ca="1">Отчетность_по_периодам!CF50</f>
        <v>0.45686429894935243</v>
      </c>
      <c r="CG50" s="65">
        <f ca="1">Отчетность_по_периодам!CG50</f>
        <v>0.45710181901966984</v>
      </c>
      <c r="CH50" s="65">
        <f ca="1">Отчетность_по_периодам!CH50</f>
        <v>0.45734620193446401</v>
      </c>
      <c r="CI50" s="65">
        <f ca="1">Отчетность_по_периодам!CI50</f>
        <v>0.45758951724003549</v>
      </c>
      <c r="CJ50" s="65">
        <f ca="1">Отчетность_по_периодам!CJ50</f>
        <v>0.45780837176151779</v>
      </c>
      <c r="CK50" s="65">
        <f ca="1">Отчетность_по_периодам!CK50</f>
        <v>0.45804966674624564</v>
      </c>
    </row>
    <row r="51" spans="2:89">
      <c r="B51" s="61" t="str">
        <f>Отчетность_по_периодам!B54</f>
        <v>Прибыль до налогообложения к выручке</v>
      </c>
      <c r="C51" s="62"/>
      <c r="D51" s="63"/>
      <c r="E51" s="64"/>
      <c r="F51" s="65" t="str">
        <f ca="1">Отчетность_по_периодам!F54</f>
        <v>неприменимо</v>
      </c>
      <c r="G51" s="65" t="str">
        <f ca="1">Отчетность_по_периодам!G54</f>
        <v>неприменимо</v>
      </c>
      <c r="H51" s="65" t="str">
        <f ca="1">Отчетность_по_периодам!H54</f>
        <v>неприменимо</v>
      </c>
      <c r="I51" s="65" t="str">
        <f ca="1">Отчетность_по_периодам!I54</f>
        <v>неприменимо</v>
      </c>
      <c r="J51" s="65" t="str">
        <f ca="1">Отчетность_по_периодам!J54</f>
        <v>неприменимо</v>
      </c>
      <c r="K51" s="65" t="str">
        <f ca="1">Отчетность_по_периодам!K54</f>
        <v>неприменимо</v>
      </c>
      <c r="L51" s="65" t="str">
        <f ca="1">Отчетность_по_периодам!L54</f>
        <v>неприменимо</v>
      </c>
      <c r="M51" s="65" t="str">
        <f ca="1">Отчетность_по_периодам!M54</f>
        <v>неприменимо</v>
      </c>
      <c r="N51" s="65" t="str">
        <f ca="1">Отчетность_по_периодам!N54</f>
        <v>неприменимо</v>
      </c>
      <c r="O51" s="65" t="str">
        <f ca="1">Отчетность_по_периодам!O54</f>
        <v>неприменимо</v>
      </c>
      <c r="P51" s="65" t="str">
        <f ca="1">Отчетность_по_периодам!P54</f>
        <v>неприменимо</v>
      </c>
      <c r="Q51" s="65" t="str">
        <f ca="1">Отчетность_по_периодам!Q54</f>
        <v>неприменимо</v>
      </c>
      <c r="R51" s="65">
        <f ca="1">Отчетность_по_периодам!R54</f>
        <v>1.3206079804310291E-2</v>
      </c>
      <c r="S51" s="65">
        <f ca="1">Отчетность_по_периодам!S54</f>
        <v>1.2183324226850534E-2</v>
      </c>
      <c r="T51" s="65">
        <f ca="1">Отчетность_по_периодам!T54</f>
        <v>-5.6880461494142831E-2</v>
      </c>
      <c r="U51" s="65">
        <f ca="1">Отчетность_по_периодам!U54</f>
        <v>1.5616610243761375E-2</v>
      </c>
      <c r="V51" s="65">
        <f ca="1">Отчетность_по_периодам!V54</f>
        <v>1.7335436189718341E-2</v>
      </c>
      <c r="W51" s="65">
        <f ca="1">Отчетность_по_периодам!W54</f>
        <v>-4.8320623185351012E-2</v>
      </c>
      <c r="X51" s="65">
        <f ca="1">Отчетность_по_периодам!X54</f>
        <v>2.0710592721034048E-2</v>
      </c>
      <c r="Y51" s="65">
        <f ca="1">Отчетность_по_периодам!Y54</f>
        <v>2.4909683627569384E-2</v>
      </c>
      <c r="Z51" s="65">
        <f ca="1">Отчетность_по_периодам!Z54</f>
        <v>-4.2431143280963861E-2</v>
      </c>
      <c r="AA51" s="65">
        <f ca="1">Отчетность_по_периодам!AA54</f>
        <v>2.5510419552297409E-2</v>
      </c>
      <c r="AB51" s="65">
        <f ca="1">Отчетность_по_периодам!AB54</f>
        <v>3.4443779897827632E-2</v>
      </c>
      <c r="AC51" s="65">
        <f ca="1">Отчетность_по_периодам!AC54</f>
        <v>2.8737421435807198E-2</v>
      </c>
      <c r="AD51" s="65">
        <f ca="1">Отчетность_по_периодам!AD54</f>
        <v>8.5307462068105702E-2</v>
      </c>
      <c r="AE51" s="65">
        <f ca="1">Отчетность_по_периодам!AE54</f>
        <v>9.4633211417429419E-2</v>
      </c>
      <c r="AF51" s="65">
        <f ca="1">Отчетность_по_периодам!AF54</f>
        <v>0.1089218393308103</v>
      </c>
      <c r="AG51" s="65">
        <f ca="1">Отчетность_по_периодам!AG54</f>
        <v>0.12098086220807315</v>
      </c>
      <c r="AH51" s="65">
        <f ca="1">Отчетность_по_периодам!AH54</f>
        <v>0.13647588675247643</v>
      </c>
      <c r="AI51" s="65">
        <f ca="1">Отчетность_по_периодам!AI54</f>
        <v>0.15467329630544049</v>
      </c>
      <c r="AJ51" s="65">
        <f ca="1">Отчетность_по_периодам!AJ54</f>
        <v>0.17175183416328238</v>
      </c>
      <c r="AK51" s="65">
        <f ca="1">Отчетность_по_периодам!AK54</f>
        <v>0.19304589576852865</v>
      </c>
      <c r="AL51" s="65">
        <f ca="1">Отчетность_по_периодам!AL54</f>
        <v>0.21387494063389959</v>
      </c>
      <c r="AM51" s="65">
        <f ca="1">Отчетность_по_периодам!AM54</f>
        <v>0.23799440415882545</v>
      </c>
      <c r="AN51" s="65">
        <f ca="1">Отчетность_по_периодам!AN54</f>
        <v>0.26488185631786193</v>
      </c>
      <c r="AO51" s="65">
        <f ca="1">Отчетность_по_периодам!AO54</f>
        <v>0.28893560105318322</v>
      </c>
      <c r="AP51" s="65">
        <f ca="1">Отчетность_по_периодам!AP54</f>
        <v>0.30066485754344618</v>
      </c>
      <c r="AQ51" s="65">
        <f ca="1">Отчетность_по_периодам!AQ54</f>
        <v>0.31093071176928527</v>
      </c>
      <c r="AR51" s="65">
        <f ca="1">Отчетность_по_периодам!AR54</f>
        <v>0.32299483838633303</v>
      </c>
      <c r="AS51" s="65">
        <f ca="1">Отчетность_по_периодам!AS54</f>
        <v>0.33377619308704837</v>
      </c>
      <c r="AT51" s="65">
        <f ca="1">Отчетность_по_периодам!AT54</f>
        <v>0.3456783557731537</v>
      </c>
      <c r="AU51" s="65">
        <f ca="1">Отчетность_по_периодам!AU54</f>
        <v>0.35819186054924967</v>
      </c>
      <c r="AV51" s="65">
        <f ca="1">Отчетность_по_периодам!AV54</f>
        <v>0.36967101619637033</v>
      </c>
      <c r="AW51" s="65">
        <f ca="1">Отчетность_по_периодам!AW54</f>
        <v>0.38243189883116913</v>
      </c>
      <c r="AX51" s="65">
        <f ca="1">Отчетность_по_периодам!AX54</f>
        <v>0.39430718815825561</v>
      </c>
      <c r="AY51" s="65">
        <f ca="1">Отчетность_по_периодам!AY54</f>
        <v>0.40702713059512574</v>
      </c>
      <c r="AZ51" s="65">
        <f ca="1">Отчетность_по_периодам!AZ54</f>
        <v>0.42046210417977348</v>
      </c>
      <c r="BA51" s="65">
        <f ca="1">Отчетность_по_периодам!BA54</f>
        <v>0.43161860052196177</v>
      </c>
      <c r="BB51" s="65">
        <f ca="1">Отчетность_по_периодам!BB54</f>
        <v>0.43312841815066994</v>
      </c>
      <c r="BC51" s="65">
        <f ca="1">Отчетность_по_периодам!BC54</f>
        <v>0.43357631145428993</v>
      </c>
      <c r="BD51" s="65">
        <f ca="1">Отчетность_по_периодам!BD54</f>
        <v>0.4350279731273301</v>
      </c>
      <c r="BE51" s="65">
        <f ca="1">Отчетность_по_периодам!BE54</f>
        <v>0.43550763579647905</v>
      </c>
      <c r="BF51" s="65">
        <f ca="1">Отчетность_по_периодам!BF54</f>
        <v>0.43646884824824955</v>
      </c>
      <c r="BG51" s="65">
        <f ca="1">Отчетность_по_периодам!BG54</f>
        <v>0.43783476213134803</v>
      </c>
      <c r="BH51" s="65">
        <f ca="1">Отчетность_по_периодам!BH54</f>
        <v>0.43836101899559626</v>
      </c>
      <c r="BI51" s="65">
        <f ca="1">Отчетность_по_периодам!BI54</f>
        <v>0.43967087062725879</v>
      </c>
      <c r="BJ51" s="65">
        <f ca="1">Отчетность_по_периодам!BJ54</f>
        <v>0.44022753955345928</v>
      </c>
      <c r="BK51" s="65">
        <f ca="1">Отчетность_по_периодам!BK54</f>
        <v>0.44118390160874538</v>
      </c>
      <c r="BL51" s="65">
        <f ca="1">Отчетность_по_периодам!BL54</f>
        <v>0.44271179834185692</v>
      </c>
      <c r="BM51" s="65">
        <f ca="1">Отчетность_по_периодам!BM54</f>
        <v>0.4429973987770684</v>
      </c>
      <c r="BN51" s="65">
        <f ca="1">Отчетность_по_периодам!BN54</f>
        <v>0.4441674808500487</v>
      </c>
      <c r="BO51" s="65">
        <f ca="1">Отчетность_по_периодам!BO54</f>
        <v>0.44479613616553998</v>
      </c>
      <c r="BP51" s="65">
        <f ca="1">Отчетность_по_периодам!BP54</f>
        <v>0.4459131588767396</v>
      </c>
      <c r="BQ51" s="65">
        <f ca="1">Отчетность_по_периодам!BQ54</f>
        <v>0.44657035307490206</v>
      </c>
      <c r="BR51" s="65">
        <f ca="1">Отчетность_по_периодам!BR54</f>
        <v>0.44745294854087309</v>
      </c>
      <c r="BS51" s="65">
        <f ca="1">Отчетность_по_периодам!BS54</f>
        <v>0.44849177373714971</v>
      </c>
      <c r="BT51" s="65">
        <f ca="1">Отчетность_по_периодам!BT54</f>
        <v>0.44919078357289821</v>
      </c>
      <c r="BU51" s="65">
        <f ca="1">Отчетность_по_периодам!BU54</f>
        <v>0.4498618747487324</v>
      </c>
      <c r="BV51" s="65">
        <f ca="1">Отчетность_по_периодам!BV54</f>
        <v>0.45025314787755505</v>
      </c>
      <c r="BW51" s="65">
        <f ca="1">Отчетность_по_периодам!BW54</f>
        <v>0.45077394709096824</v>
      </c>
      <c r="BX51" s="65">
        <f ca="1">Отчетность_по_периодам!BX54</f>
        <v>0.45162603585809052</v>
      </c>
      <c r="BY51" s="65">
        <f ca="1">Отчетность_по_периодам!BY54</f>
        <v>0.45180244482576054</v>
      </c>
      <c r="BZ51" s="65">
        <f ca="1">Отчетность_по_периодам!BZ54</f>
        <v>0.45241534419591328</v>
      </c>
      <c r="CA51" s="65">
        <f ca="1">Отчетность_по_периодам!CA54</f>
        <v>0.45283559519044836</v>
      </c>
      <c r="CB51" s="65">
        <f ca="1">Отчетность_по_периодам!CB54</f>
        <v>0.45342500752646131</v>
      </c>
      <c r="CC51" s="65">
        <f ca="1">Отчетность_по_периодам!CC54</f>
        <v>0.45385600440379115</v>
      </c>
      <c r="CD51" s="65">
        <f ca="1">Отчетность_по_периодам!CD54</f>
        <v>0.45436560943875443</v>
      </c>
      <c r="CE51" s="65">
        <f ca="1">Отчетность_по_периодам!CE54</f>
        <v>0.45492038834926707</v>
      </c>
      <c r="CF51" s="65">
        <f ca="1">Отчетность_по_периодам!CF54</f>
        <v>0.4553670916360425</v>
      </c>
      <c r="CG51" s="65">
        <f ca="1">Отчетность_по_периодам!CG54</f>
        <v>0.45589922602843319</v>
      </c>
      <c r="CH51" s="65">
        <f ca="1">Отчетность_по_периодам!CH54</f>
        <v>0.45635616942550083</v>
      </c>
      <c r="CI51" s="65">
        <f ca="1">Отчетность_по_периодам!CI54</f>
        <v>0.45685006338105832</v>
      </c>
      <c r="CJ51" s="65">
        <f ca="1">Отчетность_по_периодам!CJ54</f>
        <v>0.45736477263971037</v>
      </c>
      <c r="CK51" s="65">
        <f ca="1">Отчетность_по_периодам!CK54</f>
        <v>0.45780511841397759</v>
      </c>
    </row>
    <row r="52" spans="2:89">
      <c r="B52" s="61" t="str">
        <f>Отчетность_по_периодам!B59</f>
        <v>Чистая прибыль к выручке</v>
      </c>
      <c r="C52" s="62"/>
      <c r="D52" s="63"/>
      <c r="E52" s="64"/>
      <c r="F52" s="65" t="str">
        <f ca="1">Отчетность_по_периодам!F59</f>
        <v>неприменимо</v>
      </c>
      <c r="G52" s="65" t="str">
        <f ca="1">Отчетность_по_периодам!G59</f>
        <v>неприменимо</v>
      </c>
      <c r="H52" s="65" t="str">
        <f ca="1">Отчетность_по_периодам!H59</f>
        <v>неприменимо</v>
      </c>
      <c r="I52" s="65" t="str">
        <f ca="1">Отчетность_по_периодам!I59</f>
        <v>неприменимо</v>
      </c>
      <c r="J52" s="65" t="str">
        <f ca="1">Отчетность_по_периодам!J59</f>
        <v>неприменимо</v>
      </c>
      <c r="K52" s="65" t="str">
        <f ca="1">Отчетность_по_периодам!K59</f>
        <v>неприменимо</v>
      </c>
      <c r="L52" s="65" t="str">
        <f ca="1">Отчетность_по_периодам!L59</f>
        <v>неприменимо</v>
      </c>
      <c r="M52" s="65" t="str">
        <f ca="1">Отчетность_по_периодам!M59</f>
        <v>неприменимо</v>
      </c>
      <c r="N52" s="65" t="str">
        <f ca="1">Отчетность_по_периодам!N59</f>
        <v>неприменимо</v>
      </c>
      <c r="O52" s="65" t="str">
        <f ca="1">Отчетность_по_периодам!O59</f>
        <v>неприменимо</v>
      </c>
      <c r="P52" s="65" t="str">
        <f ca="1">Отчетность_по_периодам!P59</f>
        <v>неприменимо</v>
      </c>
      <c r="Q52" s="65" t="str">
        <f ca="1">Отчетность_по_периодам!Q59</f>
        <v>неприменимо</v>
      </c>
      <c r="R52" s="65">
        <f ca="1">Отчетность_по_периодам!R59</f>
        <v>1.3206079804310291E-2</v>
      </c>
      <c r="S52" s="65">
        <f ca="1">Отчетность_по_периодам!S59</f>
        <v>1.2183324226850534E-2</v>
      </c>
      <c r="T52" s="65">
        <f ca="1">Отчетность_по_периодам!T59</f>
        <v>-5.6880461494142831E-2</v>
      </c>
      <c r="U52" s="65">
        <f ca="1">Отчетность_по_периодам!U59</f>
        <v>1.5616610243761375E-2</v>
      </c>
      <c r="V52" s="65">
        <f ca="1">Отчетность_по_периодам!V59</f>
        <v>1.7335436189718341E-2</v>
      </c>
      <c r="W52" s="65">
        <f ca="1">Отчетность_по_периодам!W59</f>
        <v>-4.8320623185351012E-2</v>
      </c>
      <c r="X52" s="65">
        <f ca="1">Отчетность_по_периодам!X59</f>
        <v>2.0710592721034048E-2</v>
      </c>
      <c r="Y52" s="65">
        <f ca="1">Отчетность_по_периодам!Y59</f>
        <v>2.4909683627569384E-2</v>
      </c>
      <c r="Z52" s="65">
        <f ca="1">Отчетность_по_периодам!Z59</f>
        <v>-4.2431143280963861E-2</v>
      </c>
      <c r="AA52" s="65">
        <f ca="1">Отчетность_по_периодам!AA59</f>
        <v>2.5510419552297409E-2</v>
      </c>
      <c r="AB52" s="65">
        <f ca="1">Отчетность_по_периодам!AB59</f>
        <v>3.4443779897827632E-2</v>
      </c>
      <c r="AC52" s="65">
        <f ca="1">Отчетность_по_периодам!AC59</f>
        <v>2.8737421435807198E-2</v>
      </c>
      <c r="AD52" s="65">
        <f ca="1">Отчетность_по_периодам!AD59</f>
        <v>8.5307462068105702E-2</v>
      </c>
      <c r="AE52" s="65">
        <f ca="1">Отчетность_по_периодам!AE59</f>
        <v>9.4633211417429419E-2</v>
      </c>
      <c r="AF52" s="65">
        <f ca="1">Отчетность_по_периодам!AF59</f>
        <v>0.1089218393308103</v>
      </c>
      <c r="AG52" s="65">
        <f ca="1">Отчетность_по_периодам!AG59</f>
        <v>0.12098086220807315</v>
      </c>
      <c r="AH52" s="65">
        <f ca="1">Отчетность_по_периодам!AH59</f>
        <v>0.13647588675247643</v>
      </c>
      <c r="AI52" s="65">
        <f ca="1">Отчетность_по_периодам!AI59</f>
        <v>0.15467329630544049</v>
      </c>
      <c r="AJ52" s="65">
        <f ca="1">Отчетность_по_периодам!AJ59</f>
        <v>0.17175183416328238</v>
      </c>
      <c r="AK52" s="65">
        <f ca="1">Отчетность_по_периодам!AK59</f>
        <v>0.19304589576852865</v>
      </c>
      <c r="AL52" s="65">
        <f ca="1">Отчетность_по_периодам!AL59</f>
        <v>0.16403064889886504</v>
      </c>
      <c r="AM52" s="65">
        <f ca="1">Отчетность_по_периодам!AM59</f>
        <v>0.23799440415882545</v>
      </c>
      <c r="AN52" s="65">
        <f ca="1">Отчетность_по_периодам!AN59</f>
        <v>0.26488185631786193</v>
      </c>
      <c r="AO52" s="65">
        <f ca="1">Отчетность_по_периодам!AO59</f>
        <v>0.28893560105318322</v>
      </c>
      <c r="AP52" s="65">
        <f ca="1">Отчетность_по_периодам!AP59</f>
        <v>0.30066485754344618</v>
      </c>
      <c r="AQ52" s="65">
        <f ca="1">Отчетность_по_периодам!AQ59</f>
        <v>0.31093071176928527</v>
      </c>
      <c r="AR52" s="65">
        <f ca="1">Отчетность_по_периодам!AR59</f>
        <v>0.22552601919048185</v>
      </c>
      <c r="AS52" s="65">
        <f ca="1">Отчетность_по_периодам!AS59</f>
        <v>0.33377619308704837</v>
      </c>
      <c r="AT52" s="65">
        <f ca="1">Отчетность_по_периодам!AT59</f>
        <v>0.3456783557731537</v>
      </c>
      <c r="AU52" s="65">
        <f ca="1">Отчетность_по_периодам!AU59</f>
        <v>0.35819186054924967</v>
      </c>
      <c r="AV52" s="65">
        <f ca="1">Отчетность_по_периодам!AV59</f>
        <v>0.36967101619637033</v>
      </c>
      <c r="AW52" s="65">
        <f ca="1">Отчетность_по_периодам!AW59</f>
        <v>0.38243189883116913</v>
      </c>
      <c r="AX52" s="65">
        <f ca="1">Отчетность_по_периодам!AX59</f>
        <v>0.27039757500304995</v>
      </c>
      <c r="AY52" s="65">
        <f ca="1">Отчетность_по_периодам!AY59</f>
        <v>0.40702713059512574</v>
      </c>
      <c r="AZ52" s="65">
        <f ca="1">Отчетность_по_периодам!AZ59</f>
        <v>0.42046210417977348</v>
      </c>
      <c r="BA52" s="65">
        <f ca="1">Отчетность_по_периодам!BA59</f>
        <v>0.43161860052196177</v>
      </c>
      <c r="BB52" s="65">
        <f ca="1">Отчетность_по_периодам!BB59</f>
        <v>0.43312841815066994</v>
      </c>
      <c r="BC52" s="65">
        <f ca="1">Отчетность_по_периодам!BC59</f>
        <v>0.43357631145428993</v>
      </c>
      <c r="BD52" s="65">
        <f ca="1">Отчетность_по_периодам!BD59</f>
        <v>0.28448037585507907</v>
      </c>
      <c r="BE52" s="65">
        <f ca="1">Отчетность_по_периодам!BE59</f>
        <v>0.43550763579647905</v>
      </c>
      <c r="BF52" s="65">
        <f ca="1">Отчетность_по_периодам!BF59</f>
        <v>0.43646884824824955</v>
      </c>
      <c r="BG52" s="65">
        <f ca="1">Отчетность_по_периодам!BG59</f>
        <v>0.43783476213134803</v>
      </c>
      <c r="BH52" s="65">
        <f ca="1">Отчетность_по_периодам!BH59</f>
        <v>0.43836101899559626</v>
      </c>
      <c r="BI52" s="65">
        <f ca="1">Отчетность_по_периодам!BI59</f>
        <v>0.43967087062725879</v>
      </c>
      <c r="BJ52" s="65">
        <f ca="1">Отчетность_по_периодам!BJ59</f>
        <v>0.28413966208272468</v>
      </c>
      <c r="BK52" s="65">
        <f ca="1">Отчетность_по_периодам!BK59</f>
        <v>0.44118390160874538</v>
      </c>
      <c r="BL52" s="65">
        <f ca="1">Отчетность_по_периодам!BL59</f>
        <v>0.44271179834185692</v>
      </c>
      <c r="BM52" s="65">
        <f ca="1">Отчетность_по_периодам!BM59</f>
        <v>0.4429973987770684</v>
      </c>
      <c r="BN52" s="65">
        <f ca="1">Отчетность_по_периодам!BN59</f>
        <v>0.4441674808500487</v>
      </c>
      <c r="BO52" s="65">
        <f ca="1">Отчетность_по_периодам!BO59</f>
        <v>0.44479613616553998</v>
      </c>
      <c r="BP52" s="65">
        <f ca="1">Отчетность_по_периодам!BP59</f>
        <v>0.28780582477916267</v>
      </c>
      <c r="BQ52" s="65">
        <f ca="1">Отчетность_по_периодам!BQ59</f>
        <v>0.44657035307490206</v>
      </c>
      <c r="BR52" s="65">
        <f ca="1">Отчетность_по_периодам!BR59</f>
        <v>0.44745294854087309</v>
      </c>
      <c r="BS52" s="65">
        <f ca="1">Отчетность_по_периодам!BS59</f>
        <v>0.44849177373714971</v>
      </c>
      <c r="BT52" s="65">
        <f ca="1">Отчетность_по_периодам!BT59</f>
        <v>0.44919078357289821</v>
      </c>
      <c r="BU52" s="65">
        <f ca="1">Отчетность_по_периодам!BU59</f>
        <v>0.4498618747487324</v>
      </c>
      <c r="BV52" s="65">
        <f ca="1">Отчетность_по_периодам!BV59</f>
        <v>0.29037553952856826</v>
      </c>
      <c r="BW52" s="65">
        <f ca="1">Отчетность_по_периодам!BW59</f>
        <v>0.45077394709096824</v>
      </c>
      <c r="BX52" s="65">
        <f ca="1">Отчетность_по_периодам!BX59</f>
        <v>0.45162603585809052</v>
      </c>
      <c r="BY52" s="65">
        <f ca="1">Отчетность_по_периодам!BY59</f>
        <v>0.45180244482576054</v>
      </c>
      <c r="BZ52" s="65">
        <f ca="1">Отчетность_по_периодам!BZ59</f>
        <v>0.45241534419591328</v>
      </c>
      <c r="CA52" s="65">
        <f ca="1">Отчетность_по_периодам!CA59</f>
        <v>0.45283559519044836</v>
      </c>
      <c r="CB52" s="65">
        <f ca="1">Отчетность_по_периодам!CB59</f>
        <v>0.29228445416787963</v>
      </c>
      <c r="CC52" s="65">
        <f ca="1">Отчетность_по_периодам!CC59</f>
        <v>0.45385600440379115</v>
      </c>
      <c r="CD52" s="65">
        <f ca="1">Отчетность_по_периодам!CD59</f>
        <v>0.45436560943875443</v>
      </c>
      <c r="CE52" s="65">
        <f ca="1">Отчетность_по_периодам!CE59</f>
        <v>0.45492038834926707</v>
      </c>
      <c r="CF52" s="65">
        <f ca="1">Отчетность_по_периодам!CF59</f>
        <v>0.4553670916360425</v>
      </c>
      <c r="CG52" s="65">
        <f ca="1">Отчетность_по_периодам!CG59</f>
        <v>0.45589922602843319</v>
      </c>
      <c r="CH52" s="65">
        <f ca="1">Отчетность_по_периодам!CH59</f>
        <v>0.2941711618041013</v>
      </c>
      <c r="CI52" s="65">
        <f ca="1">Отчетность_по_периодам!CI59</f>
        <v>0.45685006338105832</v>
      </c>
      <c r="CJ52" s="65">
        <f ca="1">Отчетность_по_периодам!CJ59</f>
        <v>0.45736477263971037</v>
      </c>
      <c r="CK52" s="65">
        <f ca="1">Отчетность_по_периодам!CK59</f>
        <v>0.45780511841397759</v>
      </c>
    </row>
    <row r="53" spans="2:89">
      <c r="B53" s="61" t="s">
        <v>583</v>
      </c>
      <c r="C53" s="62"/>
      <c r="D53" s="63"/>
      <c r="E53" s="64"/>
      <c r="F53" s="65">
        <f ca="1">Отчетность_по_периодам!F58/AVERAGE(Отчетность_по_периодам!E162:F162)</f>
        <v>0</v>
      </c>
      <c r="G53" s="65">
        <f ca="1">Отчетность_по_периодам!G58/AVERAGE(Отчетность_по_периодам!F162:G162)</f>
        <v>2.0465635464838146</v>
      </c>
      <c r="H53" s="65">
        <f ca="1">Отчетность_по_периодам!H58/AVERAGE(Отчетность_по_периодам!G162:H162)</f>
        <v>0.65721240342893417</v>
      </c>
      <c r="I53" s="65">
        <f ca="1">Отчетность_по_периодам!I58/AVERAGE(Отчетность_по_периодам!H162:I162)</f>
        <v>0.40710547184773987</v>
      </c>
      <c r="J53" s="65">
        <f ca="1">Отчетность_по_периодам!J58/AVERAGE(Отчетность_по_периодам!I162:J162)</f>
        <v>0.69858855408256015</v>
      </c>
      <c r="K53" s="65">
        <f ca="1">Отчетность_по_периодам!K58/AVERAGE(Отчетность_по_периодам!J162:K162)</f>
        <v>0.40066676153111214</v>
      </c>
      <c r="L53" s="65">
        <f ca="1">Отчетность_по_периодам!L58/AVERAGE(Отчетность_по_периодам!K162:L162)</f>
        <v>0.29418689469388937</v>
      </c>
      <c r="M53" s="65">
        <f ca="1">Отчетность_по_периодам!M58/AVERAGE(Отчетность_по_периодам!L162:M162)</f>
        <v>0.36910091592393313</v>
      </c>
      <c r="N53" s="65">
        <f ca="1">Отчетность_по_периодам!N58/AVERAGE(Отчетность_по_периодам!M162:N162)</f>
        <v>0.27733398241360796</v>
      </c>
      <c r="O53" s="65">
        <f ca="1">Отчетность_по_периодам!O58/AVERAGE(Отчетность_по_периодам!N162:O162)</f>
        <v>0.21659041648497895</v>
      </c>
      <c r="P53" s="65">
        <f ca="1">Отчетность_по_периодам!P58/AVERAGE(Отчетность_по_периодам!O162:P162)</f>
        <v>0.21270671305740751</v>
      </c>
      <c r="Q53" s="65">
        <f ca="1">Отчетность_по_периодам!Q58/AVERAGE(Отчетность_по_периодам!P162:Q162)</f>
        <v>0.18636755806495425</v>
      </c>
      <c r="R53" s="65">
        <f ca="1">Отчетность_по_периодам!R58/AVERAGE(Отчетность_по_периодам!Q162:R162)</f>
        <v>-2.6555054706599111E-2</v>
      </c>
      <c r="S53" s="65">
        <f ca="1">Отчетность_по_периодам!S58/AVERAGE(Отчетность_по_периодам!R162:S162)</f>
        <v>-2.5245646650382744E-2</v>
      </c>
      <c r="T53" s="65">
        <f ca="1">Отчетность_по_периодам!T58/AVERAGE(Отчетность_по_периодам!S162:T162)</f>
        <v>0.11307391885210616</v>
      </c>
      <c r="U53" s="65">
        <f ca="1">Отчетность_по_периодам!U58/AVERAGE(Отчетность_по_периодам!T162:U162)</f>
        <v>-2.9946825930166059E-2</v>
      </c>
      <c r="V53" s="65">
        <f ca="1">Отчетность_по_периодам!V58/AVERAGE(Отчетность_по_периодам!U162:V162)</f>
        <v>-3.4472065418161814E-2</v>
      </c>
      <c r="W53" s="65">
        <f ca="1">Отчетность_по_периодам!W58/AVERAGE(Отчетность_по_периодам!V162:W162)</f>
        <v>9.3571416994131448E-2</v>
      </c>
      <c r="X53" s="65">
        <f ca="1">Отчетность_по_периодам!X58/AVERAGE(Отчетность_по_периодам!W162:X162)</f>
        <v>-3.9226136777248281E-2</v>
      </c>
      <c r="Y53" s="65">
        <f ca="1">Отчетность_по_периодам!Y58/AVERAGE(Отчетность_по_периодам!X162:Y162)</f>
        <v>-4.9512062638679841E-2</v>
      </c>
      <c r="Z53" s="65">
        <f ca="1">Отчетность_по_периодам!Z58/AVERAGE(Отчетность_по_периодам!Y162:Z162)</f>
        <v>8.3224325412930428E-2</v>
      </c>
      <c r="AA53" s="65">
        <f ca="1">Отчетность_по_периодам!AA58/AVERAGE(Отчетность_по_периодам!Z162:AA162)</f>
        <v>-4.9428744013520869E-2</v>
      </c>
      <c r="AB53" s="65">
        <f ca="1">Отчетность_по_периодам!AB58/AVERAGE(Отчетность_по_периодам!AA162:AB162)</f>
        <v>-7.1128471918145197E-2</v>
      </c>
      <c r="AC53" s="65">
        <f ca="1">Отчетность_по_периодам!AC58/AVERAGE(Отчетность_по_периодам!AB162:AC162)</f>
        <v>-6.3758135014077733E-2</v>
      </c>
      <c r="AD53" s="65">
        <f ca="1">Отчетность_по_периодам!AD58/AVERAGE(Отчетность_по_периодам!AC162:AD162)</f>
        <v>-0.24256092665691112</v>
      </c>
      <c r="AE53" s="65">
        <f ca="1">Отчетность_по_периодам!AE58/AVERAGE(Отчетность_по_периодам!AD162:AE162)</f>
        <v>-0.37450355083656295</v>
      </c>
      <c r="AF53" s="65">
        <f ca="1">Отчетность_по_периодам!AF58/AVERAGE(Отчетность_по_периодам!AE162:AF162)</f>
        <v>-0.75272177097176207</v>
      </c>
      <c r="AG53" s="65">
        <f ca="1">Отчетность_по_периодам!AG58/AVERAGE(Отчетность_по_периодам!AF162:AG162)</f>
        <v>-4.5250575210256079</v>
      </c>
      <c r="AH53" s="65">
        <f ca="1">Отчетность_по_периодам!AH58/AVERAGE(Отчетность_по_периодам!AG162:AH162)</f>
        <v>1.3541945118773402</v>
      </c>
      <c r="AI53" s="65">
        <f ca="1">Отчетность_по_периодам!AI58/AVERAGE(Отчетность_по_периодам!AH162:AI162)</f>
        <v>0.64438372602629179</v>
      </c>
      <c r="AJ53" s="65">
        <f ca="1">Отчетность_по_периодам!AJ58/AVERAGE(Отчетность_по_периодам!AI162:AJ162)</f>
        <v>0.44033984557117989</v>
      </c>
      <c r="AK53" s="65">
        <f ca="1">Отчетность_по_периодам!AK58/AVERAGE(Отчетность_по_периодам!AJ162:AK162)</f>
        <v>0.34986307738655065</v>
      </c>
      <c r="AL53" s="65">
        <f ca="1">Отчетность_по_периодам!AL58/AVERAGE(Отчетность_по_периодам!AK162:AL162)</f>
        <v>0.23467770197752477</v>
      </c>
      <c r="AM53" s="65">
        <f ca="1">Отчетность_по_периодам!AM58/AVERAGE(Отчетность_по_периодам!AL162:AM162)</f>
        <v>0.27699794657768423</v>
      </c>
      <c r="AN53" s="65">
        <f ca="1">Отчетность_по_периодам!AN58/AVERAGE(Отчетность_по_периодам!AM162:AN162)</f>
        <v>0.24967892521497756</v>
      </c>
      <c r="AO53" s="65">
        <f ca="1">Отчетность_по_периодам!AO58/AVERAGE(Отчетность_по_периодам!AN162:AO162)</f>
        <v>0.22825580137262383</v>
      </c>
      <c r="AP53" s="65">
        <f ca="1">Отчетность_по_периодам!AP58/AVERAGE(Отчетность_по_периодам!AO162:AP162)</f>
        <v>0.19590870453156292</v>
      </c>
      <c r="AQ53" s="65">
        <f ca="1">Отчетность_по_периодам!AQ58/AVERAGE(Отчетность_по_периодам!AP162:AQ162)</f>
        <v>0.17202860359468611</v>
      </c>
      <c r="AR53" s="65">
        <f ca="1">Отчетность_по_периодам!AR58/AVERAGE(Отчетность_по_периодам!AQ162:AR162)</f>
        <v>0.11070923528667256</v>
      </c>
      <c r="AS53" s="65">
        <f ca="1">Отчетность_по_периодам!AS58/AVERAGE(Отчетность_по_периодам!AR162:AS162)</f>
        <v>0.14693017334913874</v>
      </c>
      <c r="AT53" s="65">
        <f ca="1">Отчетность_по_периодам!AT58/AVERAGE(Отчетность_по_периодам!AS162:AT162)</f>
        <v>0.13510830199510399</v>
      </c>
      <c r="AU53" s="65">
        <f ca="1">Отчетность_по_периодам!AU58/AVERAGE(Отчетность_по_периодам!AT162:AU162)</f>
        <v>0.12562579909598623</v>
      </c>
      <c r="AV53" s="65">
        <f ca="1">Отчетность_по_периодам!AV58/AVERAGE(Отчетность_по_периодам!AU162:AV162)</f>
        <v>0.11753704475272782</v>
      </c>
      <c r="AW53" s="65">
        <f ca="1">Отчетность_по_периодам!AW58/AVERAGE(Отчетность_по_периодам!AV162:AW162)</f>
        <v>0.11103351153243432</v>
      </c>
      <c r="AX53" s="65">
        <f ca="1">Отчетность_по_периодам!AX58/AVERAGE(Отчетность_по_периодам!AW162:AX162)</f>
        <v>7.3452755356759408E-2</v>
      </c>
      <c r="AY53" s="65">
        <f ca="1">Отчетность_по_периодам!AY58/AVERAGE(Отчетность_по_периодам!AX162:AY162)</f>
        <v>0.10375212176655405</v>
      </c>
      <c r="AZ53" s="65">
        <f ca="1">Отчетность_по_периодам!AZ58/AVERAGE(Отчетность_по_периодам!AY162:AZ162)</f>
        <v>9.9182587987222515E-2</v>
      </c>
      <c r="BA53" s="65">
        <f ca="1">Отчетность_по_периодам!BA58/AVERAGE(Отчетность_по_периодам!AZ162:BA162)</f>
        <v>9.495242639519369E-2</v>
      </c>
      <c r="BB53" s="65">
        <f ca="1">Отчетность_по_периодам!BB58/AVERAGE(Отчетность_по_периодам!BA162:BB162)</f>
        <v>8.7342808585827728E-2</v>
      </c>
      <c r="BC53" s="65">
        <f ca="1">Отчетность_по_периодам!BC58/AVERAGE(Отчетность_по_периодам!BB162:BC162)</f>
        <v>8.0726967797834795E-2</v>
      </c>
      <c r="BD53" s="65">
        <f ca="1">Отчетность_по_периодам!BD58/AVERAGE(Отчетность_по_периодам!BC162:BD162)</f>
        <v>4.984269775253948E-2</v>
      </c>
      <c r="BE53" s="65">
        <f ca="1">Отчетность_по_периодам!BE58/AVERAGE(Отчетность_по_периодам!BD162:BE162)</f>
        <v>7.2063736690600608E-2</v>
      </c>
      <c r="BF53" s="65">
        <f ca="1">Отчетность_по_периодам!BF58/AVERAGE(Отчетность_по_периодам!BE162:BF162)</f>
        <v>6.7633262646608586E-2</v>
      </c>
      <c r="BG53" s="65">
        <f ca="1">Отчетность_по_периодам!BG58/AVERAGE(Отчетность_по_периодам!BF162:BG162)</f>
        <v>6.3787903788917119E-2</v>
      </c>
      <c r="BH53" s="65">
        <f ca="1">Отчетность_по_периодам!BH58/AVERAGE(Отчетность_по_периодам!BG162:BH162)</f>
        <v>6.0274668772569456E-2</v>
      </c>
      <c r="BI53" s="65">
        <f ca="1">Отчетность_по_периодам!BI58/AVERAGE(Отчетность_по_периодам!BH162:BI162)</f>
        <v>5.7235722669731766E-2</v>
      </c>
      <c r="BJ53" s="65">
        <f ca="1">Отчетность_по_периодам!BJ58/AVERAGE(Отчетность_по_периодам!BI162:BJ162)</f>
        <v>3.5468748186509934E-2</v>
      </c>
      <c r="BK53" s="65">
        <f ca="1">Отчетность_по_периодам!BK58/AVERAGE(Отчетность_по_периодам!BJ162:BK162)</f>
        <v>5.2899588089942544E-2</v>
      </c>
      <c r="BL53" s="65">
        <f ca="1">Отчетность_по_периодам!BL58/AVERAGE(Отчетность_по_периодам!BK162:BL162)</f>
        <v>5.0601748934638008E-2</v>
      </c>
      <c r="BM53" s="65">
        <f ca="1">Отчетность_по_периодам!BM58/AVERAGE(Отчетность_по_периодам!BL162:BM162)</f>
        <v>4.8389610622571681E-2</v>
      </c>
      <c r="BN53" s="65">
        <f ca="1">Отчетность_по_периодам!BN58/AVERAGE(Отчетность_по_периодам!BM162:BN162)</f>
        <v>4.6456350872037686E-2</v>
      </c>
      <c r="BO53" s="65">
        <f ca="1">Отчетность_по_периодам!BO58/AVERAGE(Отчетность_по_периодам!BN162:BO162)</f>
        <v>4.4635389301965221E-2</v>
      </c>
      <c r="BP53" s="65">
        <f ca="1">Отчетность_по_периодам!BP58/AVERAGE(Отчетность_по_периодам!BO162:BP162)</f>
        <v>2.7967454015395219E-2</v>
      </c>
      <c r="BQ53" s="65">
        <f ca="1">Отчетность_по_периодам!BQ58/AVERAGE(Отчетность_по_периодам!BP162:BQ162)</f>
        <v>4.2070154688587755E-2</v>
      </c>
      <c r="BR53" s="65">
        <f ca="1">Отчетность_по_периодам!BR58/AVERAGE(Отчетность_по_периодам!BQ162:BR162)</f>
        <v>4.0613990432017771E-2</v>
      </c>
      <c r="BS53" s="65">
        <f ca="1">Отчетность_по_периодам!BS58/AVERAGE(Отчетность_по_периодам!BR162:BS162)</f>
        <v>3.9271385574300301E-2</v>
      </c>
      <c r="BT53" s="65">
        <f ca="1">Отчетность_по_периодам!BT58/AVERAGE(Отчетность_по_периодам!BS162:BT162)</f>
        <v>3.7998942750829712E-2</v>
      </c>
      <c r="BU53" s="65">
        <f ca="1">Отчетность_по_периодам!BU58/AVERAGE(Отчетность_по_периодам!BT162:BU162)</f>
        <v>3.6805778298289404E-2</v>
      </c>
      <c r="BV53" s="65">
        <f ca="1">Отчетность_по_периодам!BV58/AVERAGE(Отчетность_по_периодам!BU162:BV162)</f>
        <v>2.3153407681576935E-2</v>
      </c>
      <c r="BW53" s="65">
        <f ca="1">Отчетность_по_периодам!BW58/AVERAGE(Отчетность_по_периодам!BV162:BW162)</f>
        <v>3.5053806380204548E-2</v>
      </c>
      <c r="BX53" s="65">
        <f ca="1">Отчетность_по_периодам!BX58/AVERAGE(Отчетность_по_периодам!BW162:BX162)</f>
        <v>3.4054646186821795E-2</v>
      </c>
      <c r="BY53" s="65">
        <f ca="1">Отчетность_по_периодам!BY58/AVERAGE(Отчетность_по_периодам!BX162:BY162)</f>
        <v>3.3080314375893038E-2</v>
      </c>
      <c r="BZ53" s="65">
        <f ca="1">Отчетность_по_периодам!BZ58/AVERAGE(Отчетность_по_периодам!BY162:BZ162)</f>
        <v>3.2190555355308639E-2</v>
      </c>
      <c r="CA53" s="65">
        <f ca="1">Отчетность_по_периодам!CA58/AVERAGE(Отчетность_по_периодам!BZ162:CA162)</f>
        <v>3.1342744517154172E-2</v>
      </c>
      <c r="CB53" s="65">
        <f ca="1">Отчетность_по_периодам!CB58/AVERAGE(Отчетность_по_периодам!CA162:CB162)</f>
        <v>1.980019984661107E-2</v>
      </c>
      <c r="CC53" s="65">
        <f ca="1">Отчетность_по_периодам!CC58/AVERAGE(Отчетность_по_периодам!CB162:CC162)</f>
        <v>3.0110299809195051E-2</v>
      </c>
      <c r="CD53" s="65">
        <f ca="1">Отчетность_по_периодам!CD58/AVERAGE(Отчетность_по_периодам!CC162:CD162)</f>
        <v>2.9382236141462403E-2</v>
      </c>
      <c r="CE53" s="65">
        <f ca="1">Отчетность_по_периодам!CE58/AVERAGE(Отчетность_по_периодам!CD162:CE162)</f>
        <v>2.8691100562345761E-2</v>
      </c>
      <c r="CF53" s="65">
        <f ca="1">Отчетность_по_периодам!CF58/AVERAGE(Отчетность_по_периодам!CE162:CF162)</f>
        <v>2.8032187240728128E-2</v>
      </c>
      <c r="CG53" s="65">
        <f ca="1">Отчетность_по_периодам!CG58/AVERAGE(Отчетность_по_периодам!CF162:CG162)</f>
        <v>2.7407431275942775E-2</v>
      </c>
      <c r="CH53" s="65">
        <f ca="1">Отчетность_по_периодам!CH58/AVERAGE(Отчетность_по_периодам!CG162:CH162)</f>
        <v>1.7366036966026448E-2</v>
      </c>
      <c r="CI53" s="65">
        <f ca="1">Отчетность_по_периодам!CI58/AVERAGE(Отчетность_по_периодам!CH162:CI162)</f>
        <v>2.6492806214605927E-2</v>
      </c>
      <c r="CJ53" s="65">
        <f ca="1">Отчетность_по_периодам!CJ58/AVERAGE(Отчетность_по_периодам!CI162:CJ162)</f>
        <v>2.5933384697588411E-2</v>
      </c>
      <c r="CK53" s="65">
        <f ca="1">Отчетность_по_периодам!CK58/AVERAGE(Отчетность_по_периодам!CJ162:CK162)</f>
        <v>2.5405603362498069E-2</v>
      </c>
    </row>
    <row r="54" spans="2:89">
      <c r="B54" s="61" t="s">
        <v>584</v>
      </c>
      <c r="C54" s="62"/>
      <c r="D54" s="63"/>
      <c r="E54" s="64"/>
      <c r="F54" s="65">
        <f ca="1">F38/AVERAGE(Отчетность_по_периодам!E154:F154)</f>
        <v>0</v>
      </c>
      <c r="G54" s="65">
        <f ca="1">G38/AVERAGE(Отчетность_по_периодам!F154:G154)</f>
        <v>0</v>
      </c>
      <c r="H54" s="65">
        <f ca="1">H38/AVERAGE(Отчетность_по_периодам!G154:H154)</f>
        <v>0</v>
      </c>
      <c r="I54" s="65">
        <f ca="1">I38/AVERAGE(Отчетность_по_периодам!H154:I154)</f>
        <v>0</v>
      </c>
      <c r="J54" s="65">
        <f ca="1">J38/AVERAGE(Отчетность_по_периодам!I154:J154)</f>
        <v>0</v>
      </c>
      <c r="K54" s="65">
        <f ca="1">K38/AVERAGE(Отчетность_по_периодам!J154:K154)</f>
        <v>0</v>
      </c>
      <c r="L54" s="65">
        <f ca="1">L38/AVERAGE(Отчетность_по_периодам!K154:L154)</f>
        <v>0</v>
      </c>
      <c r="M54" s="65">
        <f ca="1">M38/AVERAGE(Отчетность_по_периодам!L154:M154)</f>
        <v>0</v>
      </c>
      <c r="N54" s="65">
        <f ca="1">N38/AVERAGE(Отчетность_по_периодам!M154:N154)</f>
        <v>0</v>
      </c>
      <c r="O54" s="65">
        <f ca="1">O38/AVERAGE(Отчетность_по_периодам!N154:O154)</f>
        <v>0</v>
      </c>
      <c r="P54" s="65">
        <f ca="1">P38/AVERAGE(Отчетность_по_периодам!O154:P154)</f>
        <v>0</v>
      </c>
      <c r="Q54" s="65">
        <f ca="1">Q38/AVERAGE(Отчетность_по_периодам!P154:Q154)</f>
        <v>0</v>
      </c>
      <c r="R54" s="65">
        <f ca="1">R38/AVERAGE(Отчетность_по_периодам!Q154:R154)</f>
        <v>6.3022509057537477E-3</v>
      </c>
      <c r="S54" s="65">
        <f ca="1">S38/AVERAGE(Отчетность_по_периодам!R154:S154)</f>
        <v>6.3226395109237492E-3</v>
      </c>
      <c r="T54" s="65">
        <f ca="1">T38/AVERAGE(Отчетность_по_периодам!S154:T154)</f>
        <v>1.5977434349529406E-3</v>
      </c>
      <c r="U54" s="65">
        <f ca="1">U38/AVERAGE(Отчетность_по_периодам!T154:U154)</f>
        <v>6.5677719997197376E-3</v>
      </c>
      <c r="V54" s="65">
        <f ca="1">V38/AVERAGE(Отчетность_по_периодам!U154:V154)</f>
        <v>6.7194441799164817E-3</v>
      </c>
      <c r="W54" s="65">
        <f ca="1">W38/AVERAGE(Отчетность_по_периодам!V154:W154)</f>
        <v>2.0545508766014469E-3</v>
      </c>
      <c r="X54" s="65">
        <f ca="1">X38/AVERAGE(Отчетность_по_периодам!W154:X154)</f>
        <v>7.0178226113656083E-3</v>
      </c>
      <c r="Y54" s="65">
        <f ca="1">Y38/AVERAGE(Отчетность_по_периодам!X154:Y154)</f>
        <v>7.1712772613900262E-3</v>
      </c>
      <c r="Z54" s="65">
        <f ca="1">Z38/AVERAGE(Отчетность_по_периодам!Y154:Z154)</f>
        <v>2.5463422854407362E-3</v>
      </c>
      <c r="AA54" s="65">
        <f ca="1">AA38/AVERAGE(Отчетность_по_периодам!Z154:AA154)</f>
        <v>7.4962996269337433E-3</v>
      </c>
      <c r="AB54" s="65">
        <f ca="1">AB38/AVERAGE(Отчетность_по_периодам!AA154:AB154)</f>
        <v>7.6390314512969123E-3</v>
      </c>
      <c r="AC54" s="65">
        <f ca="1">AC38/AVERAGE(Отчетность_по_периодам!AB154:AC154)</f>
        <v>7.8047238024319147E-3</v>
      </c>
      <c r="AD54" s="65">
        <f ca="1">AD38/AVERAGE(Отчетность_по_периодам!AC154:AD154)</f>
        <v>1.2648966472662943E-2</v>
      </c>
      <c r="AE54" s="65">
        <f ca="1">AE38/AVERAGE(Отчетность_по_периодам!AD154:AE154)</f>
        <v>1.3864118895477713E-2</v>
      </c>
      <c r="AF54" s="65">
        <f ca="1">AF38/AVERAGE(Отчетность_по_периодам!AE154:AF154)</f>
        <v>1.5237088500801708E-2</v>
      </c>
      <c r="AG54" s="65">
        <f ca="1">AG38/AVERAGE(Отчетность_по_периодам!AF154:AG154)</f>
        <v>1.6886196538290672E-2</v>
      </c>
      <c r="AH54" s="65">
        <f ca="1">AH38/AVERAGE(Отчетность_по_периодам!AG154:AH154)</f>
        <v>1.8823017394231398E-2</v>
      </c>
      <c r="AI54" s="65">
        <f ca="1">AI38/AVERAGE(Отчетность_по_периодам!AH154:AI154)</f>
        <v>2.0967809865758726E-2</v>
      </c>
      <c r="AJ54" s="65">
        <f ca="1">AJ38/AVERAGE(Отчетность_по_периодам!AI154:AJ154)</f>
        <v>2.3543625772385429E-2</v>
      </c>
      <c r="AK54" s="65">
        <f ca="1">AK38/AVERAGE(Отчетность_по_периодам!AJ154:AK154)</f>
        <v>2.6410691317288498E-2</v>
      </c>
      <c r="AL54" s="65">
        <f ca="1">AL38/AVERAGE(Отчетность_по_периодам!AK154:AL154)</f>
        <v>2.3987102122918463E-2</v>
      </c>
      <c r="AM54" s="65">
        <f ca="1">AM38/AVERAGE(Отчетность_по_периодам!AL154:AM154)</f>
        <v>3.3709845969580689E-2</v>
      </c>
      <c r="AN54" s="65">
        <f ca="1">AN38/AVERAGE(Отчетность_по_периодам!AM154:AN154)</f>
        <v>3.753287755861625E-2</v>
      </c>
      <c r="AO54" s="65">
        <f ca="1">AO38/AVERAGE(Отчетность_по_периодам!AN154:AO154)</f>
        <v>4.2399176142974469E-2</v>
      </c>
      <c r="AP54" s="65">
        <f ca="1">AP38/AVERAGE(Отчетность_по_периодам!AO154:AP154)</f>
        <v>4.3536653616778956E-2</v>
      </c>
      <c r="AQ54" s="65">
        <f ca="1">AQ38/AVERAGE(Отчетность_по_периодам!AP154:AQ154)</f>
        <v>4.4698554008814319E-2</v>
      </c>
      <c r="AR54" s="65">
        <f ca="1">AR38/AVERAGE(Отчетность_по_периодам!AQ154:AR154)</f>
        <v>3.3031548741326175E-2</v>
      </c>
      <c r="AS54" s="65">
        <f ca="1">AS38/AVERAGE(Отчетность_по_периодам!AR154:AS154)</f>
        <v>4.6892366091095185E-2</v>
      </c>
      <c r="AT54" s="65">
        <f ca="1">AT38/AVERAGE(Отчетность_по_периодам!AS154:AT154)</f>
        <v>4.8072765708576569E-2</v>
      </c>
      <c r="AU54" s="65">
        <f ca="1">AU38/AVERAGE(Отчетность_по_периодам!AT154:AU154)</f>
        <v>4.9057107424830507E-2</v>
      </c>
      <c r="AV54" s="65">
        <f ca="1">AV38/AVERAGE(Отчетность_по_периодам!AU154:AV154)</f>
        <v>5.0121305518892351E-2</v>
      </c>
      <c r="AW54" s="65">
        <f ca="1">AW38/AVERAGE(Отчетность_по_периодам!AV154:AW154)</f>
        <v>5.1062562858320497E-2</v>
      </c>
      <c r="AX54" s="65">
        <f ca="1">AX38/AVERAGE(Отчетность_по_периодам!AW154:AX154)</f>
        <v>3.6496992245648716E-2</v>
      </c>
      <c r="AY54" s="65">
        <f ca="1">AY38/AVERAGE(Отчетность_по_периодам!AX154:AY154)</f>
        <v>5.3017764364356727E-2</v>
      </c>
      <c r="AZ54" s="65">
        <f ca="1">AZ38/AVERAGE(Отчетность_по_периодам!AY154:AZ154)</f>
        <v>5.3565714833181857E-2</v>
      </c>
      <c r="BA54" s="65">
        <f ca="1">BA38/AVERAGE(Отчетность_по_периодам!AZ154:BA154)</f>
        <v>5.4435305635274801E-2</v>
      </c>
      <c r="BB54" s="65">
        <f ca="1">BB38/AVERAGE(Отчетность_по_периодам!BA154:BB154)</f>
        <v>5.2729108397086145E-2</v>
      </c>
      <c r="BC54" s="65">
        <f ca="1">BC38/AVERAGE(Отчетность_по_периодам!BB154:BC154)</f>
        <v>5.1092776505075863E-2</v>
      </c>
      <c r="BD54" s="65">
        <f ca="1">BD38/AVERAGE(Отчетность_по_периодам!BC154:BD154)</f>
        <v>3.2958422672894276E-2</v>
      </c>
      <c r="BE54" s="65">
        <f ca="1">BE38/AVERAGE(Отчетность_по_периодам!BD154:BE154)</f>
        <v>4.8119254300559494E-2</v>
      </c>
      <c r="BF54" s="65">
        <f ca="1">BF38/AVERAGE(Отчетность_по_периодам!BE154:BF154)</f>
        <v>4.6816599153298687E-2</v>
      </c>
      <c r="BG54" s="65">
        <f ca="1">BG38/AVERAGE(Отчетность_по_периодам!BF154:BG154)</f>
        <v>4.552954626274619E-2</v>
      </c>
      <c r="BH54" s="65">
        <f ca="1">BH38/AVERAGE(Отчетность_по_периодам!BG154:BH154)</f>
        <v>4.4339198911141922E-2</v>
      </c>
      <c r="BI54" s="65">
        <f ca="1">BI38/AVERAGE(Отчетность_по_периодам!BH154:BI154)</f>
        <v>4.3203248214534633E-2</v>
      </c>
      <c r="BJ54" s="65">
        <f ca="1">BJ38/AVERAGE(Отчетность_по_периодам!BI154:BJ154)</f>
        <v>2.7558363669347039E-2</v>
      </c>
      <c r="BK54" s="65">
        <f ca="1">BK38/AVERAGE(Отчетность_по_периодам!BJ154:BK154)</f>
        <v>4.1128640386399851E-2</v>
      </c>
      <c r="BL54" s="65">
        <f ca="1">BL38/AVERAGE(Отчетность_по_периодам!BK154:BL154)</f>
        <v>4.011201672741832E-2</v>
      </c>
      <c r="BM54" s="65">
        <f ca="1">BM38/AVERAGE(Отчетность_по_периодам!BL154:BM154)</f>
        <v>3.9188959715023161E-2</v>
      </c>
      <c r="BN54" s="65">
        <f ca="1">BN38/AVERAGE(Отчетность_по_периодам!BM154:BN154)</f>
        <v>3.8318866199883152E-2</v>
      </c>
      <c r="BO54" s="65">
        <f ca="1">BO38/AVERAGE(Отчетность_по_периодам!BN154:BO154)</f>
        <v>3.7476738422101655E-2</v>
      </c>
      <c r="BP54" s="65">
        <f ca="1">BP38/AVERAGE(Отчетность_по_периодам!BO154:BP154)</f>
        <v>2.3863869584793317E-2</v>
      </c>
      <c r="BQ54" s="65">
        <f ca="1">BQ38/AVERAGE(Отчетность_по_периодам!BP154:BQ154)</f>
        <v>3.5894017400851186E-2</v>
      </c>
      <c r="BR54" s="65">
        <f ca="1">BR38/AVERAGE(Отчетность_по_периодам!BQ154:BR154)</f>
        <v>3.5169990551320772E-2</v>
      </c>
      <c r="BS54" s="65">
        <f ca="1">BS38/AVERAGE(Отчетность_по_периодам!BR154:BS154)</f>
        <v>3.4443650796752136E-2</v>
      </c>
      <c r="BT54" s="65">
        <f ca="1">BT38/AVERAGE(Отчетность_по_периодам!BS154:BT154)</f>
        <v>3.3719921937320568E-2</v>
      </c>
      <c r="BU54" s="65">
        <f ca="1">BU38/AVERAGE(Отчетность_по_периодам!BT154:BU154)</f>
        <v>3.2980012887636176E-2</v>
      </c>
      <c r="BV54" s="65">
        <f ca="1">BV38/AVERAGE(Отчетность_по_периодам!BU154:BV154)</f>
        <v>2.0921045108782541E-2</v>
      </c>
      <c r="BW54" s="65">
        <f ca="1">BW38/AVERAGE(Отчетность_по_периодам!BV154:BW154)</f>
        <v>3.1618530829860991E-2</v>
      </c>
      <c r="BX54" s="65">
        <f ca="1">BX38/AVERAGE(Отчетность_по_периодам!BW154:BX154)</f>
        <v>3.0931714257212445E-2</v>
      </c>
      <c r="BY54" s="65">
        <f ca="1">BY38/AVERAGE(Отчетность_по_периодам!BX154:BY154)</f>
        <v>3.031968855003989E-2</v>
      </c>
      <c r="BZ54" s="65">
        <f ca="1">BZ38/AVERAGE(Отчетность_по_периодам!BY154:BZ154)</f>
        <v>2.9749040032263325E-2</v>
      </c>
      <c r="CA54" s="65">
        <f ca="1">CA38/AVERAGE(Отчетность_по_периодам!BZ154:CA154)</f>
        <v>2.9185546535213259E-2</v>
      </c>
      <c r="CB54" s="65">
        <f ca="1">CB38/AVERAGE(Отчетность_по_периодам!CA154:CB154)</f>
        <v>1.8516230569514392E-2</v>
      </c>
      <c r="CC54" s="65">
        <f ca="1">CC38/AVERAGE(Отчетность_по_периодам!CB154:CC154)</f>
        <v>2.8119778041068532E-2</v>
      </c>
      <c r="CD54" s="65">
        <f ca="1">CD38/AVERAGE(Отчетность_по_периодам!CC154:CD154)</f>
        <v>2.76286097832232E-2</v>
      </c>
      <c r="CE54" s="65">
        <f ca="1">CE38/AVERAGE(Отчетность_по_периодам!CD154:CE154)</f>
        <v>2.7135482762019356E-2</v>
      </c>
      <c r="CF54" s="65">
        <f ca="1">CF38/AVERAGE(Отчетность_по_периодам!CE154:CF154)</f>
        <v>2.6672332477571854E-2</v>
      </c>
      <c r="CG54" s="65">
        <f ca="1">CG38/AVERAGE(Отчетность_по_периодам!CF154:CG154)</f>
        <v>2.6221953796737189E-2</v>
      </c>
      <c r="CH54" s="65">
        <f ca="1">CH38/AVERAGE(Отчетность_по_периодам!CG154:CH154)</f>
        <v>1.6644971063810663E-2</v>
      </c>
      <c r="CI54" s="65">
        <f ca="1">CI38/AVERAGE(Отчетность_по_периодам!CH154:CI154)</f>
        <v>2.5382443549472118E-2</v>
      </c>
      <c r="CJ54" s="65">
        <f ca="1">CJ38/AVERAGE(Отчетность_по_периодам!CI154:CJ154)</f>
        <v>2.4949589272900117E-2</v>
      </c>
      <c r="CK54" s="65">
        <f ca="1">CK38/AVERAGE(Отчетность_по_периодам!CJ154:CK154)</f>
        <v>2.4563119534351863E-2</v>
      </c>
    </row>
    <row r="55" spans="2:89">
      <c r="B55" s="61" t="s">
        <v>585</v>
      </c>
      <c r="C55" s="62"/>
      <c r="D55" s="63"/>
      <c r="E55" s="64"/>
      <c r="F55" s="65">
        <f ca="1">F38/AVERAGE(E44:F44)</f>
        <v>0</v>
      </c>
      <c r="G55" s="65">
        <f t="shared" ref="G55:AG55" ca="1" si="5">G38/AVERAGE(F44:G44)</f>
        <v>0</v>
      </c>
      <c r="H55" s="65">
        <f t="shared" ca="1" si="5"/>
        <v>0</v>
      </c>
      <c r="I55" s="65">
        <f t="shared" ca="1" si="5"/>
        <v>0</v>
      </c>
      <c r="J55" s="65">
        <f t="shared" ca="1" si="5"/>
        <v>0</v>
      </c>
      <c r="K55" s="65">
        <f t="shared" ca="1" si="5"/>
        <v>0</v>
      </c>
      <c r="L55" s="65">
        <f t="shared" ca="1" si="5"/>
        <v>0</v>
      </c>
      <c r="M55" s="65">
        <f t="shared" ca="1" si="5"/>
        <v>0</v>
      </c>
      <c r="N55" s="65">
        <f t="shared" ca="1" si="5"/>
        <v>0</v>
      </c>
      <c r="O55" s="65">
        <f t="shared" ca="1" si="5"/>
        <v>0</v>
      </c>
      <c r="P55" s="65">
        <f t="shared" ca="1" si="5"/>
        <v>0</v>
      </c>
      <c r="Q55" s="65">
        <f t="shared" ca="1" si="5"/>
        <v>0</v>
      </c>
      <c r="R55" s="65">
        <f t="shared" ca="1" si="5"/>
        <v>6.4119377863839878E-3</v>
      </c>
      <c r="S55" s="65">
        <f t="shared" ca="1" si="5"/>
        <v>6.5511719792396934E-3</v>
      </c>
      <c r="T55" s="65">
        <f t="shared" ca="1" si="5"/>
        <v>1.6649658289711532E-3</v>
      </c>
      <c r="U55" s="65">
        <f t="shared" ca="1" si="5"/>
        <v>6.8691034882132716E-3</v>
      </c>
      <c r="V55" s="65">
        <f t="shared" ca="1" si="5"/>
        <v>7.0171418668478723E-3</v>
      </c>
      <c r="W55" s="65">
        <f t="shared" ca="1" si="5"/>
        <v>2.1497088991887111E-3</v>
      </c>
      <c r="X55" s="65">
        <f t="shared" ca="1" si="5"/>
        <v>7.3539185938595953E-3</v>
      </c>
      <c r="Y55" s="65">
        <f t="shared" ca="1" si="5"/>
        <v>7.5071240245537362E-3</v>
      </c>
      <c r="Z55" s="65">
        <f t="shared" ca="1" si="5"/>
        <v>2.6695229363437401E-3</v>
      </c>
      <c r="AA55" s="65">
        <f t="shared" ca="1" si="5"/>
        <v>7.8670435113229516E-3</v>
      </c>
      <c r="AB55" s="65">
        <f t="shared" ca="1" si="5"/>
        <v>8.0221310327746789E-3</v>
      </c>
      <c r="AC55" s="65">
        <f t="shared" ca="1" si="5"/>
        <v>8.1879622409398098E-3</v>
      </c>
      <c r="AD55" s="65">
        <f t="shared" ca="1" si="5"/>
        <v>1.3267681299729455E-2</v>
      </c>
      <c r="AE55" s="65">
        <f t="shared" ca="1" si="5"/>
        <v>1.4580624223484245E-2</v>
      </c>
      <c r="AF55" s="65">
        <f t="shared" ca="1" si="5"/>
        <v>1.6063431213825134E-2</v>
      </c>
      <c r="AG55" s="65">
        <f t="shared" ca="1" si="5"/>
        <v>1.7840161502886569E-2</v>
      </c>
      <c r="AH55" s="65">
        <f t="shared" ref="AH55:BM55" ca="1" si="6">AH38/AVERAGE(AG44:AH44)</f>
        <v>1.9912676128413527E-2</v>
      </c>
      <c r="AI55" s="65">
        <f t="shared" ca="1" si="6"/>
        <v>2.2241798116170303E-2</v>
      </c>
      <c r="AJ55" s="65">
        <f t="shared" ca="1" si="6"/>
        <v>2.5023398165620641E-2</v>
      </c>
      <c r="AK55" s="65">
        <f t="shared" ca="1" si="6"/>
        <v>2.8125102293791688E-2</v>
      </c>
      <c r="AL55" s="65">
        <f t="shared" ca="1" si="6"/>
        <v>2.5676624946058831E-2</v>
      </c>
      <c r="AM55" s="65">
        <f t="shared" ca="1" si="6"/>
        <v>3.6220566509829397E-2</v>
      </c>
      <c r="AN55" s="65">
        <f t="shared" ca="1" si="6"/>
        <v>4.0448611014127708E-2</v>
      </c>
      <c r="AO55" s="65">
        <f t="shared" ca="1" si="6"/>
        <v>4.5725309616978876E-2</v>
      </c>
      <c r="AP55" s="65">
        <f t="shared" ca="1" si="6"/>
        <v>4.6861144943254981E-2</v>
      </c>
      <c r="AQ55" s="65">
        <f t="shared" ca="1" si="6"/>
        <v>4.803942863291466E-2</v>
      </c>
      <c r="AR55" s="65">
        <f t="shared" ca="1" si="6"/>
        <v>3.5695587659515818E-2</v>
      </c>
      <c r="AS55" s="65">
        <f t="shared" ca="1" si="6"/>
        <v>5.0888815186664514E-2</v>
      </c>
      <c r="AT55" s="65">
        <f t="shared" ca="1" si="6"/>
        <v>5.1951559494963752E-2</v>
      </c>
      <c r="AU55" s="65">
        <f t="shared" ca="1" si="6"/>
        <v>5.2879582989664171E-2</v>
      </c>
      <c r="AV55" s="65">
        <f t="shared" ca="1" si="6"/>
        <v>5.3847010208342337E-2</v>
      </c>
      <c r="AW55" s="65">
        <f t="shared" ca="1" si="6"/>
        <v>5.4674628653495254E-2</v>
      </c>
      <c r="AX55" s="65">
        <f t="shared" ca="1" si="6"/>
        <v>3.928514613513457E-2</v>
      </c>
      <c r="AY55" s="65">
        <f t="shared" ca="1" si="6"/>
        <v>5.7277940847552986E-2</v>
      </c>
      <c r="AZ55" s="65">
        <f t="shared" ca="1" si="6"/>
        <v>5.7722390627660866E-2</v>
      </c>
      <c r="BA55" s="65">
        <f t="shared" ca="1" si="6"/>
        <v>5.8417156007474366E-2</v>
      </c>
      <c r="BB55" s="65">
        <f t="shared" ca="1" si="6"/>
        <v>5.6281217605819472E-2</v>
      </c>
      <c r="BC55" s="65">
        <f t="shared" ca="1" si="6"/>
        <v>5.430493387148181E-2</v>
      </c>
      <c r="BD55" s="65">
        <f t="shared" ca="1" si="6"/>
        <v>3.5203208578467919E-2</v>
      </c>
      <c r="BE55" s="65">
        <f t="shared" ca="1" si="6"/>
        <v>5.1609671558038202E-2</v>
      </c>
      <c r="BF55" s="65">
        <f t="shared" ca="1" si="6"/>
        <v>4.9943338888806262E-2</v>
      </c>
      <c r="BG55" s="65">
        <f t="shared" ca="1" si="6"/>
        <v>4.8373830852593551E-2</v>
      </c>
      <c r="BH55" s="65">
        <f t="shared" ca="1" si="6"/>
        <v>4.69077916034433E-2</v>
      </c>
      <c r="BI55" s="65">
        <f t="shared" ca="1" si="6"/>
        <v>4.5522161207742065E-2</v>
      </c>
      <c r="BJ55" s="65">
        <f t="shared" ca="1" si="6"/>
        <v>2.9151083107521878E-2</v>
      </c>
      <c r="BK55" s="65">
        <f t="shared" ca="1" si="6"/>
        <v>4.3643737556548448E-2</v>
      </c>
      <c r="BL55" s="65">
        <f t="shared" ca="1" si="6"/>
        <v>4.2433485011653116E-2</v>
      </c>
      <c r="BM55" s="65">
        <f t="shared" ca="1" si="6"/>
        <v>4.1301553885173217E-2</v>
      </c>
      <c r="BN55" s="65">
        <f t="shared" ref="BN55" ca="1" si="7">BN38/AVERAGE(BM44:BN44)</f>
        <v>4.0223883416227846E-2</v>
      </c>
      <c r="BO55" s="65">
        <f t="shared" ref="BO55" ca="1" si="8">BO38/AVERAGE(BN44:BO44)</f>
        <v>3.9207591493251433E-2</v>
      </c>
      <c r="BP55" s="65">
        <f t="shared" ref="BP55" ca="1" si="9">BP38/AVERAGE(BO44:BP44)</f>
        <v>2.505422255093839E-2</v>
      </c>
      <c r="BQ55" s="65">
        <f t="shared" ref="BQ55" ca="1" si="10">BQ38/AVERAGE(BP44:BQ44)</f>
        <v>3.7808932078124954E-2</v>
      </c>
      <c r="BR55" s="65">
        <f t="shared" ref="BR55" ca="1" si="11">BR38/AVERAGE(BQ44:BR44)</f>
        <v>3.6910089417112366E-2</v>
      </c>
      <c r="BS55" s="65">
        <f t="shared" ref="BS55" ca="1" si="12">BS38/AVERAGE(BR44:BS44)</f>
        <v>3.6048109524196036E-2</v>
      </c>
      <c r="BT55" s="65">
        <f t="shared" ref="BT55" ca="1" si="13">BT38/AVERAGE(BS44:BT44)</f>
        <v>3.5183249274679432E-2</v>
      </c>
      <c r="BU55" s="65">
        <f t="shared" ref="BU55" ca="1" si="14">BU38/AVERAGE(BT44:BU44)</f>
        <v>3.4309815637888992E-2</v>
      </c>
      <c r="BV55" s="65">
        <f t="shared" ref="BV55" ca="1" si="15">BV38/AVERAGE(BU44:BV44)</f>
        <v>2.1832723202603304E-2</v>
      </c>
      <c r="BW55" s="65">
        <f t="shared" ref="BW55" ca="1" si="16">BW38/AVERAGE(BV44:BW44)</f>
        <v>3.308227324970997E-2</v>
      </c>
      <c r="BX55" s="65">
        <f t="shared" ref="BX55" ca="1" si="17">BX38/AVERAGE(BW44:BX44)</f>
        <v>3.2303856446671428E-2</v>
      </c>
      <c r="BY55" s="65">
        <f t="shared" ref="BY55" ca="1" si="18">BY38/AVERAGE(BX44:BY44)</f>
        <v>3.1577212622453797E-2</v>
      </c>
      <c r="BZ55" s="65">
        <f t="shared" ref="BZ55" ca="1" si="19">BZ38/AVERAGE(BY44:BZ44)</f>
        <v>3.0880132737816715E-2</v>
      </c>
      <c r="CA55" s="65">
        <f t="shared" ref="CA55" ca="1" si="20">CA38/AVERAGE(BZ44:CA44)</f>
        <v>3.0219470923318351E-2</v>
      </c>
      <c r="CB55" s="65">
        <f t="shared" ref="CB55" ca="1" si="21">CB38/AVERAGE(CA44:CB44)</f>
        <v>1.9227339787992938E-2</v>
      </c>
      <c r="CC55" s="65">
        <f t="shared" ref="CC55" ca="1" si="22">CC38/AVERAGE(CB44:CC44)</f>
        <v>2.9278929094125578E-2</v>
      </c>
      <c r="CD55" s="65">
        <f t="shared" ref="CD55" ca="1" si="23">CD38/AVERAGE(CC44:CD44)</f>
        <v>2.8688103728648561E-2</v>
      </c>
      <c r="CE55" s="65">
        <f t="shared" ref="CE55" ca="1" si="24">CE38/AVERAGE(CD44:CE44)</f>
        <v>2.8118009225423877E-2</v>
      </c>
      <c r="CF55" s="65">
        <f t="shared" ref="CF55" ca="1" si="25">CF38/AVERAGE(CE44:CF44)</f>
        <v>2.7575728010432326E-2</v>
      </c>
      <c r="CG55" s="65">
        <f t="shared" ref="CG55" ca="1" si="26">CG38/AVERAGE(CF44:CG44)</f>
        <v>2.7051423667111624E-2</v>
      </c>
      <c r="CH55" s="65">
        <f t="shared" ref="CH55" ca="1" si="27">CH38/AVERAGE(CG44:CH44)</f>
        <v>1.7217143616929644E-2</v>
      </c>
      <c r="CI55" s="65">
        <f t="shared" ref="CI55" ca="1" si="28">CI38/AVERAGE(CH44:CI44)</f>
        <v>2.6314257294554649E-2</v>
      </c>
      <c r="CJ55" s="65">
        <f t="shared" ref="CJ55" ca="1" si="29">CJ38/AVERAGE(CI44:CJ44)</f>
        <v>2.5831491036644394E-2</v>
      </c>
      <c r="CK55" s="65">
        <f t="shared" ref="CK55" ca="1" si="30">CK38/AVERAGE(CJ44:CK44)</f>
        <v>2.5378622368676267E-2</v>
      </c>
    </row>
    <row r="56" spans="2:89">
      <c r="B56" s="61" t="s">
        <v>586</v>
      </c>
      <c r="C56" s="62"/>
      <c r="D56" s="63"/>
      <c r="E56" s="64"/>
      <c r="F56" s="65">
        <f ca="1">Отчетность_по_периодам!F98/AVERAGE(E44:F44)</f>
        <v>0</v>
      </c>
      <c r="G56" s="65">
        <f ca="1">Отчетность_по_периодам!G98/AVERAGE(F44:G44)</f>
        <v>0</v>
      </c>
      <c r="H56" s="65">
        <f ca="1">Отчетность_по_периодам!H98/AVERAGE(G44:H44)</f>
        <v>0</v>
      </c>
      <c r="I56" s="65">
        <f ca="1">Отчетность_по_периодам!I98/AVERAGE(H44:I44)</f>
        <v>0</v>
      </c>
      <c r="J56" s="65">
        <f ca="1">Отчетность_по_периодам!J98/AVERAGE(I44:J44)</f>
        <v>0</v>
      </c>
      <c r="K56" s="65">
        <f ca="1">Отчетность_по_периодам!K98/AVERAGE(J44:K44)</f>
        <v>0</v>
      </c>
      <c r="L56" s="65">
        <f ca="1">Отчетность_по_периодам!L98/AVERAGE(K44:L44)</f>
        <v>0</v>
      </c>
      <c r="M56" s="65">
        <f ca="1">Отчетность_по_периодам!M98/AVERAGE(L44:M44)</f>
        <v>0</v>
      </c>
      <c r="N56" s="65">
        <f ca="1">Отчетность_по_периодам!N98/AVERAGE(M44:N44)</f>
        <v>0</v>
      </c>
      <c r="O56" s="65">
        <f ca="1">Отчетность_по_периодам!O98/AVERAGE(N44:O44)</f>
        <v>0</v>
      </c>
      <c r="P56" s="65">
        <f ca="1">Отчетность_по_периодам!P98/AVERAGE(O44:P44)</f>
        <v>0</v>
      </c>
      <c r="Q56" s="65">
        <f ca="1">Отчетность_по_периодам!Q98/AVERAGE(P44:Q44)</f>
        <v>-8.8451492531473812E-4</v>
      </c>
      <c r="R56" s="65">
        <f ca="1">Отчетность_по_периодам!R98/AVERAGE(Q44:R44)</f>
        <v>4.4459072392295615E-2</v>
      </c>
      <c r="S56" s="65">
        <f ca="1">Отчетность_по_периодам!S98/AVERAGE(R44:S44)</f>
        <v>2.2339701434093417E-2</v>
      </c>
      <c r="T56" s="65">
        <f ca="1">Отчетность_по_периодам!T98/AVERAGE(S44:T44)</f>
        <v>1.8005770284753666E-2</v>
      </c>
      <c r="U56" s="65">
        <f ca="1">Отчетность_по_периодам!U98/AVERAGE(T44:U44)</f>
        <v>1.8549420180216488E-2</v>
      </c>
      <c r="V56" s="65">
        <f ca="1">Отчетность_по_периодам!V98/AVERAGE(U44:V44)</f>
        <v>1.6408771849127049E-2</v>
      </c>
      <c r="W56" s="65">
        <f ca="1">Отчетность_по_периодам!W98/AVERAGE(V44:W44)</f>
        <v>1.423360436854555E-2</v>
      </c>
      <c r="X56" s="65">
        <f ca="1">Отчетность_по_периодам!X98/AVERAGE(W44:X44)</f>
        <v>1.9543144795225634E-2</v>
      </c>
      <c r="Y56" s="65">
        <f ca="1">Отчетность_по_периодам!Y98/AVERAGE(X44:Y44)</f>
        <v>1.4749046477126198E-2</v>
      </c>
      <c r="Z56" s="65">
        <f ca="1">Отчетность_по_периодам!Z98/AVERAGE(Y44:Z44)</f>
        <v>2.0192695156263374E-2</v>
      </c>
      <c r="AA56" s="65">
        <f ca="1">Отчетность_по_периодам!AA98/AVERAGE(Z44:AA44)</f>
        <v>1.7954036998246384E-2</v>
      </c>
      <c r="AB56" s="65">
        <f ca="1">Отчетность_по_периодам!AB98/AVERAGE(AA44:AB44)</f>
        <v>9.6422589185123503E-3</v>
      </c>
      <c r="AC56" s="65">
        <f ca="1">Отчетность_по_периодам!AC98/AVERAGE(AB44:AC44)</f>
        <v>2.7185805950549084E-2</v>
      </c>
      <c r="AD56" s="65">
        <f ca="1">Отчетность_по_периодам!AD98/AVERAGE(AC44:AD44)</f>
        <v>1.4985541607306462E-2</v>
      </c>
      <c r="AE56" s="65">
        <f ca="1">Отчетность_по_периодам!AE98/AVERAGE(AD44:AE44)</f>
        <v>2.82772247532894E-2</v>
      </c>
      <c r="AF56" s="65">
        <f ca="1">Отчетность_по_периодам!AF98/AVERAGE(AE44:AF44)</f>
        <v>2.3429663675918873E-2</v>
      </c>
      <c r="AG56" s="65">
        <f ca="1">Отчетность_по_периодам!AG98/AVERAGE(AF44:AG44)</f>
        <v>3.0823310375221492E-2</v>
      </c>
      <c r="AH56" s="65">
        <f ca="1">Отчетность_по_периодам!AH98/AVERAGE(AG44:AH44)</f>
        <v>2.9419998032265936E-2</v>
      </c>
      <c r="AI56" s="65">
        <f ca="1">Отчетность_по_периодам!AI98/AVERAGE(AH44:AI44)</f>
        <v>2.7927879689124708E-2</v>
      </c>
      <c r="AJ56" s="65">
        <f ca="1">Отчетность_по_периодам!AJ98/AVERAGE(AI44:AJ44)</f>
        <v>3.7342194499294629E-2</v>
      </c>
      <c r="AK56" s="65">
        <f ca="1">Отчетность_по_периодам!AK98/AVERAGE(AJ44:AK44)</f>
        <v>3.2400131981713397E-2</v>
      </c>
      <c r="AL56" s="65">
        <f ca="1">Отчетность_по_периодам!AL98/AVERAGE(AK44:AL44)</f>
        <v>4.3851559749786245E-2</v>
      </c>
      <c r="AM56" s="65">
        <f ca="1">Отчетность_по_периодам!AM98/AVERAGE(AL44:AM44)</f>
        <v>4.17220846579483E-2</v>
      </c>
      <c r="AN56" s="65">
        <f ca="1">Отчетность_по_периодам!AN98/AVERAGE(AM44:AN44)</f>
        <v>3.0981783134374181E-2</v>
      </c>
      <c r="AO56" s="65">
        <f ca="1">Отчетность_по_периодам!AO98/AVERAGE(AN44:AO44)</f>
        <v>6.4953400274793086E-2</v>
      </c>
      <c r="AP56" s="65">
        <f ca="1">Отчетность_по_периодам!AP98/AVERAGE(AO44:AP44)</f>
        <v>5.1211114644718343E-2</v>
      </c>
      <c r="AQ56" s="65">
        <f ca="1">Отчетность_по_периодам!AQ98/AVERAGE(AP44:AQ44)</f>
        <v>6.1877657150842647E-2</v>
      </c>
      <c r="AR56" s="65">
        <f ca="1">Отчетность_по_периодам!AR98/AVERAGE(AQ44:AR44)</f>
        <v>5.3584996706482285E-2</v>
      </c>
      <c r="AS56" s="65">
        <f ca="1">Отчетность_по_периодам!AS98/AVERAGE(AR44:AS44)</f>
        <v>6.2254903776183236E-2</v>
      </c>
      <c r="AT56" s="65">
        <f ca="1">Отчетность_по_периодам!AT98/AVERAGE(AS44:AT44)</f>
        <v>5.8414815256721042E-2</v>
      </c>
      <c r="AU56" s="65">
        <f ca="1">Отчетность_по_периодам!AU98/AVERAGE(AT44:AU44)</f>
        <v>5.4514035705413785E-2</v>
      </c>
      <c r="AV56" s="65">
        <f ca="1">Отчетность_по_периодам!AV98/AVERAGE(AU44:AV44)</f>
        <v>6.4049606302586576E-2</v>
      </c>
      <c r="AW56" s="65">
        <f ca="1">Отчетность_по_периодам!AW98/AVERAGE(AV44:AW44)</f>
        <v>5.5511858878544547E-2</v>
      </c>
      <c r="AX56" s="65">
        <f ca="1">Отчетность_по_периодам!AX98/AVERAGE(AW44:AX44)</f>
        <v>6.5978855976555881E-2</v>
      </c>
      <c r="AY56" s="65">
        <f ca="1">Отчетность_по_периодам!AY98/AVERAGE(AX44:AY44)</f>
        <v>6.1012189319090034E-2</v>
      </c>
      <c r="AZ56" s="65">
        <f ca="1">Отчетность_по_периодам!AZ98/AVERAGE(AY44:AZ44)</f>
        <v>4.6951713543854391E-2</v>
      </c>
      <c r="BA56" s="65">
        <f ca="1">Отчетность_по_периодам!BA98/AVERAGE(AZ44:BA44)</f>
        <v>7.6229180931022558E-2</v>
      </c>
      <c r="BB56" s="65">
        <f ca="1">Отчетность_по_периодам!BB98/AVERAGE(BA44:BB44)</f>
        <v>5.7681306487714974E-2</v>
      </c>
      <c r="BC56" s="65">
        <f ca="1">Отчетность_по_периодам!BC98/AVERAGE(BB44:BC44)</f>
        <v>6.4048765266528904E-2</v>
      </c>
      <c r="BD56" s="65">
        <f ca="1">Отчетность_по_периодам!BD98/AVERAGE(BC44:BD44)</f>
        <v>5.4243147639309305E-2</v>
      </c>
      <c r="BE56" s="65">
        <f ca="1">Отчетность_по_периодам!BE98/AVERAGE(BD44:BE44)</f>
        <v>5.9848857523004666E-2</v>
      </c>
      <c r="BF56" s="65">
        <f ca="1">Отчетность_по_периодам!BF98/AVERAGE(BE44:BF44)</f>
        <v>5.4068793456914635E-2</v>
      </c>
      <c r="BG56" s="65">
        <f ca="1">Отчетность_по_периодам!BG98/AVERAGE(BF44:BG44)</f>
        <v>4.8646309480101811E-2</v>
      </c>
      <c r="BH56" s="65">
        <f ca="1">Отчетность_по_периодам!BH98/AVERAGE(BG44:BH44)</f>
        <v>5.4330785494053666E-2</v>
      </c>
      <c r="BI56" s="65">
        <f ca="1">Отчетность_по_периодам!BI98/AVERAGE(BH44:BI44)</f>
        <v>4.5721060236337784E-2</v>
      </c>
      <c r="BJ56" s="65">
        <f ca="1">Отчетность_по_периодам!BJ98/AVERAGE(BI44:BJ44)</f>
        <v>5.1621812645948444E-2</v>
      </c>
      <c r="BK56" s="65">
        <f ca="1">Отчетность_по_периодам!BK98/AVERAGE(BJ44:BK44)</f>
        <v>4.698916958796618E-2</v>
      </c>
      <c r="BL56" s="65">
        <f ca="1">Отчетность_по_периодам!BL98/AVERAGE(BK44:BL44)</f>
        <v>3.8944078804160259E-2</v>
      </c>
      <c r="BM56" s="65">
        <f ca="1">Отчетность_по_периодам!BM98/AVERAGE(BL44:BM44)</f>
        <v>5.1038828802163212E-2</v>
      </c>
      <c r="BN56" s="65">
        <f ca="1">Отчетность_по_периодам!BN98/AVERAGE(BM44:BN44)</f>
        <v>4.0172860305916429E-2</v>
      </c>
      <c r="BO56" s="65">
        <f ca="1">Отчетность_по_периодам!BO98/AVERAGE(BN44:BO44)</f>
        <v>4.5179415972561546E-2</v>
      </c>
      <c r="BP56" s="65">
        <f ca="1">Отчетность_по_периодам!BP98/AVERAGE(BO44:BP44)</f>
        <v>3.8458194738142042E-2</v>
      </c>
      <c r="BQ56" s="65">
        <f ca="1">Отчетность_по_периодам!BQ98/AVERAGE(BP44:BQ44)</f>
        <v>4.3436666464760534E-2</v>
      </c>
      <c r="BR56" s="65">
        <f ca="1">Отчетность_по_периодам!BR98/AVERAGE(BQ44:BR44)</f>
        <v>3.9582068209155989E-2</v>
      </c>
      <c r="BS56" s="65">
        <f ca="1">Отчетность_по_периодам!BS98/AVERAGE(BR44:BS44)</f>
        <v>3.5903932801272825E-2</v>
      </c>
      <c r="BT56" s="65">
        <f ca="1">Отчетность_по_периодам!BT98/AVERAGE(BS44:BT44)</f>
        <v>4.0376754142832559E-2</v>
      </c>
      <c r="BU56" s="65">
        <f ca="1">Отчетность_по_периодам!BU98/AVERAGE(BT44:BU44)</f>
        <v>3.4132726846760525E-2</v>
      </c>
      <c r="BV56" s="65">
        <f ca="1">Отчетность_по_периодам!BV98/AVERAGE(BU44:BV44)</f>
        <v>3.866391557892198E-2</v>
      </c>
      <c r="BW56" s="65">
        <f ca="1">Отчетность_по_периодам!BW98/AVERAGE(BV44:BW44)</f>
        <v>3.5331475889597369E-2</v>
      </c>
      <c r="BX56" s="65">
        <f ca="1">Отчетность_по_периодам!BX98/AVERAGE(BW44:BX44)</f>
        <v>2.6578031717458692E-2</v>
      </c>
      <c r="BY56" s="65">
        <f ca="1">Отчетность_по_периодам!BY98/AVERAGE(BX44:BY44)</f>
        <v>4.1474882308794737E-2</v>
      </c>
      <c r="BZ56" s="65">
        <f ca="1">Отчетность_по_периодам!BZ98/AVERAGE(BY44:BZ44)</f>
        <v>3.0593303294030143E-2</v>
      </c>
      <c r="CA56" s="65">
        <f ca="1">Отчетность_по_периодам!CA98/AVERAGE(BZ44:CA44)</f>
        <v>3.4550093829585932E-2</v>
      </c>
      <c r="CB56" s="65">
        <f ca="1">Отчетность_по_периодам!CB98/AVERAGE(CA44:CB44)</f>
        <v>2.9475713158527504E-2</v>
      </c>
      <c r="CC56" s="65">
        <f ca="1">Отчетность_по_периодам!CC98/AVERAGE(CB44:CC44)</f>
        <v>3.3383655624481888E-2</v>
      </c>
      <c r="CD56" s="65">
        <f ca="1">Отчетность_по_периодам!CD98/AVERAGE(CC44:CD44)</f>
        <v>3.0532230501455343E-2</v>
      </c>
      <c r="CE56" s="65">
        <f ca="1">Отчетность_по_периодам!CE98/AVERAGE(CD44:CE44)</f>
        <v>2.7792615886703613E-2</v>
      </c>
      <c r="CF56" s="65">
        <f ca="1">Отчетность_по_периодам!CF98/AVERAGE(CE44:CF44)</f>
        <v>3.1411088853202603E-2</v>
      </c>
      <c r="CG56" s="65">
        <f ca="1">Отчетность_по_периодам!CG98/AVERAGE(CF44:CG44)</f>
        <v>2.6708952821102323E-2</v>
      </c>
      <c r="CH56" s="65">
        <f ca="1">Отчетность_по_периодам!CH98/AVERAGE(CG44:CH44)</f>
        <v>3.0395899972913348E-2</v>
      </c>
      <c r="CI56" s="65">
        <f ca="1">Отчетность_по_периодам!CI98/AVERAGE(CH44:CI44)</f>
        <v>2.7902163510739802E-2</v>
      </c>
      <c r="CJ56" s="65">
        <f ca="1">Отчетность_по_периодам!CJ98/AVERAGE(CI44:CJ44)</f>
        <v>2.1096720923722327E-2</v>
      </c>
      <c r="CK56" s="65">
        <f ca="1">Отчетность_по_периодам!CK98/AVERAGE(CJ44:CK44)</f>
        <v>3.3101468990615883E-2</v>
      </c>
    </row>
    <row r="57" spans="2:89">
      <c r="B57" s="14"/>
      <c r="C57" s="66"/>
      <c r="D57" s="14"/>
      <c r="E57" s="14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</row>
    <row r="58" spans="2:89" ht="20.25" thickBot="1">
      <c r="B58" s="26" t="s">
        <v>168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</row>
    <row r="59" spans="2:89" ht="15.75" thickTop="1">
      <c r="B59" s="14"/>
      <c r="C59" s="14"/>
      <c r="D59" s="14"/>
      <c r="E59" s="14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</row>
    <row r="60" spans="2:89">
      <c r="B60" s="61" t="s">
        <v>587</v>
      </c>
      <c r="C60" s="62"/>
      <c r="D60" s="63"/>
      <c r="E60" s="64"/>
      <c r="F60" s="68" t="str">
        <f ca="1">IFERROR(-Отчетность_по_периодам!F45/Отчетность_по_периодам!F52,"неприменимо")</f>
        <v>неприменимо</v>
      </c>
      <c r="G60" s="68">
        <f ca="1">IFERROR(-Отчетность_по_периодам!G45/Отчетность_по_периодам!G52,"неприменимо")</f>
        <v>0</v>
      </c>
      <c r="H60" s="68">
        <f ca="1">IFERROR(-Отчетность_по_периодам!H45/Отчетность_по_периодам!H52,"неприменимо")</f>
        <v>0</v>
      </c>
      <c r="I60" s="68">
        <f ca="1">IFERROR(-Отчетность_по_периодам!I45/Отчетность_по_периодам!I52,"неприменимо")</f>
        <v>0</v>
      </c>
      <c r="J60" s="68">
        <f ca="1">IFERROR(-Отчетность_по_периодам!J45/Отчетность_по_периодам!J52,"неприменимо")</f>
        <v>0</v>
      </c>
      <c r="K60" s="68">
        <f ca="1">IFERROR(-Отчетность_по_периодам!K45/Отчетность_по_периодам!K52,"неприменимо")</f>
        <v>0</v>
      </c>
      <c r="L60" s="68">
        <f ca="1">IFERROR(-Отчетность_по_периодам!L45/Отчетность_по_периодам!L52,"неприменимо")</f>
        <v>0</v>
      </c>
      <c r="M60" s="68">
        <f ca="1">IFERROR(-Отчетность_по_периодам!M45/Отчетность_по_периодам!M52,"неприменимо")</f>
        <v>0</v>
      </c>
      <c r="N60" s="68">
        <f ca="1">IFERROR(-Отчетность_по_периодам!N45/Отчетность_по_периодам!N52,"неприменимо")</f>
        <v>0</v>
      </c>
      <c r="O60" s="68">
        <f ca="1">IFERROR(-Отчетность_по_периодам!O45/Отчетность_по_периодам!O52,"неприменимо")</f>
        <v>0</v>
      </c>
      <c r="P60" s="68">
        <f ca="1">IFERROR(-Отчетность_по_периодам!P45/Отчетность_по_периодам!P52,"неприменимо")</f>
        <v>0</v>
      </c>
      <c r="Q60" s="68">
        <f ca="1">IFERROR(-Отчетность_по_периодам!Q45/Отчетность_по_периодам!Q52,"неприменимо")</f>
        <v>0</v>
      </c>
      <c r="R60" s="68">
        <f ca="1">IFERROR(-Отчетность_по_периодам!R45/Отчетность_по_периодам!R52,"неприменимо")</f>
        <v>3.1224400885466417</v>
      </c>
      <c r="S60" s="68">
        <f ca="1">IFERROR(-Отчетность_по_периодам!S45/Отчетность_по_периодам!S52,"неприменимо")</f>
        <v>3.0591559251484286</v>
      </c>
      <c r="T60" s="68">
        <f ca="1">IFERROR(-Отчетность_по_периодам!T45/Отчетность_по_периодам!T52,"неприменимо")</f>
        <v>2.2945706146498224</v>
      </c>
      <c r="U60" s="68">
        <f ca="1">IFERROR(-Отчетность_по_периодам!U45/Отчетность_по_периодам!U52,"неприменимо")</f>
        <v>3.1356138334393333</v>
      </c>
      <c r="V60" s="68">
        <f ca="1">IFERROR(-Отчетность_по_периодам!V45/Отчетность_по_периодам!V52,"неприменимо")</f>
        <v>3.1750920966703435</v>
      </c>
      <c r="W60" s="68">
        <f ca="1">IFERROR(-Отчетность_по_периодам!W45/Отчетность_по_периодам!W52,"неприменимо")</f>
        <v>2.427590679622285</v>
      </c>
      <c r="X60" s="68">
        <f ca="1">IFERROR(-Отчетность_по_периодам!X45/Отчетность_по_периодам!X52,"неприменимо")</f>
        <v>3.2557664998603926</v>
      </c>
      <c r="Y60" s="68">
        <f ca="1">IFERROR(-Отчетность_по_периодам!Y45/Отчетность_по_периодам!Y52,"неприменимо")</f>
        <v>3.406888192166722</v>
      </c>
      <c r="Z60" s="68">
        <f ca="1">IFERROR(-Отчетность_по_периодам!Z45/Отчетность_по_периодам!Z52,"неприменимо")</f>
        <v>2.4851385571619757</v>
      </c>
      <c r="AA60" s="68">
        <f ca="1">IFERROR(-Отчетность_по_периодам!AA45/Отчетность_по_периодам!AA52,"неприменимо")</f>
        <v>3.3734637886954202</v>
      </c>
      <c r="AB60" s="68">
        <f ca="1">IFERROR(-Отчетность_по_периодам!AB45/Отчетность_по_периодам!AB52,"неприменимо")</f>
        <v>3.7820210787063964</v>
      </c>
      <c r="AC60" s="68">
        <f ca="1">IFERROR(-Отчетность_по_периодам!AC45/Отчетность_по_периодам!AC52,"неприменимо")</f>
        <v>3.4608040840524104</v>
      </c>
      <c r="AD60" s="68">
        <f ca="1">IFERROR(-Отчетность_по_периодам!AD45/Отчетность_по_периодам!AD52,"неприменимо")</f>
        <v>4.4765833231084464</v>
      </c>
      <c r="AE60" s="68">
        <f ca="1">IFERROR(-Отчетность_по_периодам!AE45/Отчетность_по_периодам!AE52,"неприменимо")</f>
        <v>4.6177735547910883</v>
      </c>
      <c r="AF60" s="68">
        <f ca="1">IFERROR(-Отчетность_по_периодам!AF45/Отчетность_по_периодам!AF52,"неприменимо")</f>
        <v>5.1076947242708792</v>
      </c>
      <c r="AG60" s="68">
        <f ca="1">IFERROR(-Отчетность_по_периодам!AG45/Отчетность_по_периодам!AG52,"неприменимо")</f>
        <v>5.3326060528951373</v>
      </c>
      <c r="AH60" s="68">
        <f ca="1">IFERROR(-Отчетность_по_периодам!AH45/Отчетность_по_периодам!AH52,"неприменимо")</f>
        <v>5.7922003201238317</v>
      </c>
      <c r="AI60" s="68">
        <f ca="1">IFERROR(-Отчетность_по_периодам!AI45/Отчетность_по_периодам!AI52,"неприменимо")</f>
        <v>6.532912221837111</v>
      </c>
      <c r="AJ60" s="68">
        <f ca="1">IFERROR(-Отчетность_по_периодам!AJ45/Отчетность_по_периодам!AJ52,"неприменимо")</f>
        <v>6.9668518565934976</v>
      </c>
      <c r="AK60" s="68">
        <f ca="1">IFERROR(-Отчетность_по_периодам!AK45/Отчетность_по_периодам!AK52,"неприменимо")</f>
        <v>7.9724571597620848</v>
      </c>
      <c r="AL60" s="68">
        <f ca="1">IFERROR(-Отчетность_по_периодам!AL45/Отчетность_по_периодам!AL52,"неприменимо")</f>
        <v>8.6327414798937188</v>
      </c>
      <c r="AM60" s="68">
        <f ca="1">IFERROR(-Отчетность_по_периодам!AM45/Отчетность_по_периодам!AM52,"неприменимо")</f>
        <v>9.7350185060264671</v>
      </c>
      <c r="AN60" s="68">
        <f ca="1">IFERROR(-Отчетность_по_периодам!AN45/Отчетность_по_периодам!AN52,"неприменимо")</f>
        <v>12.122917801460428</v>
      </c>
      <c r="AO60" s="68">
        <f ca="1">IFERROR(-Отчетность_по_периодам!AO45/Отчетность_по_периодам!AO52,"неприменимо")</f>
        <v>12.528949680490475</v>
      </c>
      <c r="AP60" s="68">
        <f ca="1">IFERROR(-Отчетность_по_периодам!AP45/Отчетность_по_периодам!AP52,"неприменимо")</f>
        <v>13.790256175554948</v>
      </c>
      <c r="AQ60" s="68">
        <f ca="1">IFERROR(-Отчетность_по_периодам!AQ45/Отчетность_по_периодам!AQ52,"неприменимо")</f>
        <v>14.25429560718616</v>
      </c>
      <c r="AR60" s="68">
        <f ca="1">IFERROR(-Отчетность_по_периодам!AR45/Отчетность_по_периодам!AR52,"неприменимо")</f>
        <v>15.736608041442834</v>
      </c>
      <c r="AS60" s="68">
        <f ca="1">IFERROR(-Отчетность_по_периодам!AS45/Отчетность_по_периодам!AS52,"неприменимо")</f>
        <v>16.317037366163863</v>
      </c>
      <c r="AT60" s="68">
        <f ca="1">IFERROR(-Отчетность_по_периодам!AT45/Отчетность_по_периодам!AT52,"неприменимо")</f>
        <v>17.511252670522648</v>
      </c>
      <c r="AU60" s="68">
        <f ca="1">IFERROR(-Отчетность_по_периодам!AU45/Отчетность_по_периодам!AU52,"неприменимо")</f>
        <v>19.424727304768616</v>
      </c>
      <c r="AV60" s="68">
        <f ca="1">IFERROR(-Отчетность_по_периодам!AV45/Отчетность_по_периодам!AV52,"неприменимо")</f>
        <v>20.241311388329517</v>
      </c>
      <c r="AW60" s="68">
        <f ca="1">IFERROR(-Отчетность_по_периодам!AW45/Отчетность_по_периодам!AW52,"неприменимо")</f>
        <v>22.528894240736264</v>
      </c>
      <c r="AX60" s="68">
        <f ca="1">IFERROR(-Отчетность_по_периодам!AX45/Отчетность_по_периодам!AX52,"неприменимо")</f>
        <v>23.558569734928202</v>
      </c>
      <c r="AY60" s="68">
        <f ca="1">IFERROR(-Отчетность_по_периодам!AY45/Отчетность_по_периодам!AY52,"неприменимо")</f>
        <v>25.503551463106287</v>
      </c>
      <c r="AZ60" s="68">
        <f ca="1">IFERROR(-Отчетность_по_периодам!AZ45/Отчетность_по_периодам!AZ52,"неприменимо")</f>
        <v>30.488312797727176</v>
      </c>
      <c r="BA60" s="68">
        <f ca="1">IFERROR(-Отчетность_по_периодам!BA45/Отчетность_по_периодам!BA52,"неприменимо")</f>
        <v>29.925407953047625</v>
      </c>
      <c r="BB60" s="68">
        <f ca="1">IFERROR(-Отчетность_по_периодам!BB45/Отчетность_по_периодам!BB52,"неприменимо")</f>
        <v>32.242661686667169</v>
      </c>
      <c r="BC60" s="68">
        <f ca="1">IFERROR(-Отчетность_по_периодам!BC45/Отчетность_по_периодам!BC52,"неприменимо")</f>
        <v>32.586902597107752</v>
      </c>
      <c r="BD60" s="68">
        <f ca="1">IFERROR(-Отчетность_по_периодам!BD45/Отчетность_по_периодам!BD52,"неприменимо")</f>
        <v>35.218820282105504</v>
      </c>
      <c r="BE60" s="68">
        <f ca="1">IFERROR(-Отчетность_по_периодам!BE45/Отчетность_по_периодам!BE52,"неприменимо")</f>
        <v>35.714121280278732</v>
      </c>
      <c r="BF60" s="68">
        <f ca="1">IFERROR(-Отчетность_по_периодам!BF45/Отчетность_по_периодам!BF52,"неприменимо")</f>
        <v>37.494630885237399</v>
      </c>
      <c r="BG60" s="68">
        <f ca="1">IFERROR(-Отчетность_по_периодам!BG45/Отчетность_по_периодам!BG52,"неприменимо")</f>
        <v>40.7549863855971</v>
      </c>
      <c r="BH60" s="68">
        <f ca="1">IFERROR(-Отчетность_по_периодам!BH45/Отчетность_по_периодам!BH52,"неприменимо")</f>
        <v>41.587031602798753</v>
      </c>
      <c r="BI60" s="68">
        <f ca="1">IFERROR(-Отчетность_по_периодам!BI45/Отчетность_по_периодам!BI52,"неприменимо")</f>
        <v>45.420053766810405</v>
      </c>
      <c r="BJ60" s="68">
        <f ca="1">IFERROR(-Отчетность_по_периодам!BJ45/Отчетность_по_периодам!BJ52,"неприменимо")</f>
        <v>46.593194540255745</v>
      </c>
      <c r="BK60" s="68">
        <f ca="1">IFERROR(-Отчетность_по_периодам!BK45/Отчетность_по_периодам!BK52,"неприменимо")</f>
        <v>49.678364873315381</v>
      </c>
      <c r="BL60" s="68">
        <f ca="1">IFERROR(-Отчетность_по_периодам!BL45/Отчетность_по_периодам!BL52,"неприменимо")</f>
        <v>56.647590880880188</v>
      </c>
      <c r="BM60" s="68">
        <f ca="1">IFERROR(-Отчетность_по_периодам!BM45/Отчетность_по_периодам!BM52,"неприменимо")</f>
        <v>56.7661282678825</v>
      </c>
      <c r="BN60" s="68">
        <f ca="1">IFERROR(-Отчетность_по_периодам!BN45/Отчетность_по_периодам!BN52,"неприменимо")</f>
        <v>63.107980704783174</v>
      </c>
      <c r="BO60" s="68">
        <f ca="1">IFERROR(-Отчетность_по_периодам!BO45/Отчетность_по_периодам!BO52,"неприменимо")</f>
        <v>66.05198349213606</v>
      </c>
      <c r="BP60" s="68">
        <f ca="1">IFERROR(-Отчетность_по_периодам!BP45/Отчетность_по_периодам!BP52,"неприменимо")</f>
        <v>74.250234649146989</v>
      </c>
      <c r="BQ60" s="68">
        <f ca="1">IFERROR(-Отчетность_по_периодам!BQ45/Отчетность_по_периодам!BQ52,"неприменимо")</f>
        <v>78.727441313683968</v>
      </c>
      <c r="BR60" s="68">
        <f ca="1">IFERROR(-Отчетность_по_периодам!BR45/Отчетность_по_периодам!BR52,"неприменимо")</f>
        <v>86.979252404403709</v>
      </c>
      <c r="BS60" s="68">
        <f ca="1">IFERROR(-Отчетность_по_периодам!BS45/Отчетность_по_периодам!BS52,"неприменимо")</f>
        <v>100.2939506400643</v>
      </c>
      <c r="BT60" s="68">
        <f ca="1">IFERROR(-Отчетность_по_периодам!BT45/Отчетность_по_периодам!BT52,"неприменимо")</f>
        <v>109.68229652940251</v>
      </c>
      <c r="BU60" s="68">
        <f ca="1">IFERROR(-Отчетность_по_периодам!BU45/Отчетность_по_периодам!BU52,"неприменимо")</f>
        <v>120.48669849566605</v>
      </c>
      <c r="BV60" s="68">
        <f ca="1">IFERROR(-Отчетность_по_периодам!BV45/Отчетность_по_периодам!BV52,"неприменимо")</f>
        <v>124.4010510895976</v>
      </c>
      <c r="BW60" s="68">
        <f ca="1">IFERROR(-Отчетность_по_периодам!BW45/Отчетность_по_периодам!BW52,"неприменимо")</f>
        <v>132.88191164291743</v>
      </c>
      <c r="BX60" s="68">
        <f ca="1">IFERROR(-Отчетность_по_периодам!BX45/Отчетность_по_периодам!BX52,"неприменимо")</f>
        <v>158.2193884740623</v>
      </c>
      <c r="BY60" s="68">
        <f ca="1">IFERROR(-Отчетность_по_периодам!BY45/Отчетность_по_периодам!BY52,"неприменимо")</f>
        <v>154.5403660199855</v>
      </c>
      <c r="BZ60" s="68">
        <f ca="1">IFERROR(-Отчетность_по_периодам!BZ45/Отчетность_по_периодам!BZ52,"неприменимо")</f>
        <v>173.69508994064833</v>
      </c>
      <c r="CA60" s="68">
        <f ca="1">IFERROR(-Отчетность_по_периодам!CA45/Отчетность_по_периодам!CA52,"неприменимо")</f>
        <v>184.1351812416089</v>
      </c>
      <c r="CB60" s="68">
        <f ca="1">IFERROR(-Отчетность_по_периодам!CB45/Отчетность_по_периодам!CB52,"неприменимо")</f>
        <v>210.14199804633668</v>
      </c>
      <c r="CC60" s="68">
        <f ca="1">IFERROR(-Отчетность_по_периодам!CC45/Отчетность_по_периодам!CC52,"неприменимо")</f>
        <v>226.89812902268315</v>
      </c>
      <c r="CD60" s="68">
        <f ca="1">IFERROR(-Отчетность_по_периодам!CD45/Отчетность_по_периодам!CD52,"неприменимо")</f>
        <v>256.32111907978987</v>
      </c>
      <c r="CE60" s="68">
        <f ca="1">IFERROR(-Отчетность_по_периодам!CE45/Отчетность_по_периодам!CE52,"неприменимо")</f>
        <v>303.92021266356687</v>
      </c>
      <c r="CF60" s="68">
        <f ca="1">IFERROR(-Отчетность_по_периодам!CF45/Отчетность_по_периодам!CF52,"неприменимо")</f>
        <v>344.56152788702661</v>
      </c>
      <c r="CG60" s="68">
        <f ca="1">IFERROR(-Отчетность_по_периодам!CG45/Отчетность_по_периодам!CG52,"неприменимо")</f>
        <v>428.97420420598843</v>
      </c>
      <c r="CH60" s="68">
        <f ca="1">IFERROR(-Отчетность_по_периодам!CH45/Отчетность_по_периодам!CH52,"неприменимо")</f>
        <v>521.07651172565579</v>
      </c>
      <c r="CI60" s="68">
        <f ca="1">IFERROR(-Отчетность_по_периодам!CI45/Отчетность_по_периодам!CI52,"неприменимо")</f>
        <v>697.65534712714032</v>
      </c>
      <c r="CJ60" s="68">
        <f ca="1">IFERROR(-Отчетность_по_периодам!CJ45/Отчетность_по_периодам!CJ52,"неприменимо")</f>
        <v>1162.9531954805523</v>
      </c>
      <c r="CK60" s="68">
        <f ca="1">IFERROR(-Отчетность_по_периодам!CK45/Отчетность_по_периодам!CK52,"неприменимо")</f>
        <v>2109.5467921152808</v>
      </c>
    </row>
    <row r="61" spans="2:89">
      <c r="B61" s="61" t="s">
        <v>588</v>
      </c>
      <c r="C61" s="62"/>
      <c r="D61" s="63"/>
      <c r="E61" s="64"/>
      <c r="F61" s="68" t="str">
        <f ca="1">IFERROR(MAX((Отчетность_по_периодам!F168-Отчетность_по_периодам!F147)/Отчетность_по_периодам!F45,0),"неприменимо")</f>
        <v>неприменимо</v>
      </c>
      <c r="G61" s="68" t="str">
        <f ca="1">IFERROR(MAX((Отчетность_по_периодам!G168-Отчетность_по_периодам!G147)/Отчетность_по_периодам!G45,0),"неприменимо")</f>
        <v>неприменимо</v>
      </c>
      <c r="H61" s="68" t="str">
        <f ca="1">IFERROR(MAX((Отчетность_по_периодам!H168-Отчетность_по_периодам!H147)/Отчетность_по_периодам!H45,0),"неприменимо")</f>
        <v>неприменимо</v>
      </c>
      <c r="I61" s="68" t="str">
        <f ca="1">IFERROR(MAX((Отчетность_по_периодам!I168-Отчетность_по_периодам!I147)/Отчетность_по_периодам!I45,0),"неприменимо")</f>
        <v>неприменимо</v>
      </c>
      <c r="J61" s="68" t="str">
        <f ca="1">IFERROR(MAX((Отчетность_по_периодам!J168-Отчетность_по_периодам!J147)/Отчетность_по_периодам!J45,0),"неприменимо")</f>
        <v>неприменимо</v>
      </c>
      <c r="K61" s="68" t="str">
        <f ca="1">IFERROR(MAX((Отчетность_по_периодам!K168-Отчетность_по_периодам!K147)/Отчетность_по_периодам!K45,0),"неприменимо")</f>
        <v>неприменимо</v>
      </c>
      <c r="L61" s="68" t="str">
        <f ca="1">IFERROR(MAX((Отчетность_по_периодам!L168-Отчетность_по_периодам!L147)/Отчетность_по_периодам!L45,0),"неприменимо")</f>
        <v>неприменимо</v>
      </c>
      <c r="M61" s="68" t="str">
        <f ca="1">IFERROR(MAX((Отчетность_по_периодам!M168-Отчетность_по_периодам!M147)/Отчетность_по_периодам!M45,0),"неприменимо")</f>
        <v>неприменимо</v>
      </c>
      <c r="N61" s="68" t="str">
        <f ca="1">IFERROR(MAX((Отчетность_по_периодам!N168-Отчетность_по_периодам!N147)/Отчетность_по_периодам!N45,0),"неприменимо")</f>
        <v>неприменимо</v>
      </c>
      <c r="O61" s="68" t="str">
        <f ca="1">IFERROR(MAX((Отчетность_по_периодам!O168-Отчетность_по_периодам!O147)/Отчетность_по_периодам!O45,0),"неприменимо")</f>
        <v>неприменимо</v>
      </c>
      <c r="P61" s="68" t="str">
        <f ca="1">IFERROR(MAX((Отчетность_по_периодам!P168-Отчетность_по_периодам!P147)/Отчетность_по_периодам!P45,0),"неприменимо")</f>
        <v>неприменимо</v>
      </c>
      <c r="Q61" s="68" t="str">
        <f ca="1">IFERROR(MAX((Отчетность_по_периодам!Q168-Отчетность_по_периодам!Q147)/Отчетность_по_периодам!Q45,0),"неприменимо")</f>
        <v>неприменимо</v>
      </c>
      <c r="R61" s="68">
        <f ca="1">IFERROR(MAX((Отчетность_по_периодам!R168-Отчетность_по_периодам!R147)/Отчетность_по_периодам!R45,0),"неприменимо")</f>
        <v>57.846765009086951</v>
      </c>
      <c r="S61" s="68">
        <f ca="1">IFERROR(MAX((Отчетность_по_периодам!S168-Отчетность_по_периодам!S147)/Отчетность_по_периодам!S45,0),"неприменимо")</f>
        <v>56.65251327257171</v>
      </c>
      <c r="T61" s="68">
        <f ca="1">IFERROR(MAX((Отчетность_по_периодам!T168-Отчетность_по_периодам!T147)/Отчетность_по_периодам!T45,0),"неприменимо")</f>
        <v>77.709820601744028</v>
      </c>
      <c r="U61" s="68">
        <f ca="1">IFERROR(MAX((Отчетность_по_периодам!U168-Отчетность_по_периодам!U147)/Отчетность_по_периодам!U45,0),"неприменимо")</f>
        <v>54.779019115427239</v>
      </c>
      <c r="V61" s="68">
        <f ca="1">IFERROR(MAX((Отчетность_по_периодам!V168-Отчетность_по_периодам!V147)/Отчетность_по_периодам!V45,0),"неприменимо")</f>
        <v>53.968141481535042</v>
      </c>
      <c r="W61" s="68">
        <f ca="1">IFERROR(MAX((Отчетность_по_периодам!W168-Отчетность_по_периодам!W147)/Отчетность_по_периодам!W45,0),"неприменимо")</f>
        <v>72.917577097595085</v>
      </c>
      <c r="X61" s="68">
        <f ca="1">IFERROR(MAX((Отчетность_по_периодам!X168-Отчетность_по_периодам!X147)/Отчетность_по_периодам!X45,0),"неприменимо")</f>
        <v>52.337474528275507</v>
      </c>
      <c r="Y61" s="68">
        <f ca="1">IFERROR(MAX((Отчетность_по_периодам!Y168-Отчетность_по_периодам!Y147)/Отчетность_по_периодам!Y45,0),"неприменимо")</f>
        <v>51.650333243050873</v>
      </c>
      <c r="Z61" s="68">
        <f ca="1">IFERROR(MAX((Отчетность_по_периодам!Z168-Отчетность_по_периодам!Z147)/Отчетность_по_периодам!Z45,0),"неприменимо")</f>
        <v>68.128533080094016</v>
      </c>
      <c r="AA61" s="68">
        <f ca="1">IFERROR(MAX((Отчетность_по_периодам!AA168-Отчетность_по_периодам!AA147)/Отчетность_по_периодам!AA45,0),"неприменимо")</f>
        <v>49.879436948038787</v>
      </c>
      <c r="AB61" s="68">
        <f ca="1">IFERROR(MAX((Отчетность_по_периодам!AB168-Отчетность_по_периодам!AB147)/Отчетность_по_периодам!AB45,0),"неприменимо")</f>
        <v>49.474466357531078</v>
      </c>
      <c r="AC61" s="68">
        <f ca="1">IFERROR(MAX((Отчетность_по_периодам!AC168-Отчетность_по_периодам!AC147)/Отчетность_по_периодам!AC45,0),"неприменимо")</f>
        <v>48.22590424658231</v>
      </c>
      <c r="AD61" s="68">
        <f ca="1">IFERROR(MAX((Отчетность_по_периодам!AD168-Отчетность_по_периодам!AD147)/Отчетность_по_периодам!AD45,0),"неприменимо")</f>
        <v>38.507840466686453</v>
      </c>
      <c r="AE61" s="68">
        <f ca="1">IFERROR(MAX((Отчетность_по_периодам!AE168-Отчетность_по_периодам!AE147)/Отчетность_по_периодам!AE45,0),"неприменимо")</f>
        <v>36.039610126635331</v>
      </c>
      <c r="AF61" s="68">
        <f ca="1">IFERROR(MAX((Отчетность_по_периодам!AF168-Отчетность_по_периодам!AF147)/Отчетность_по_периодам!AF45,0),"неприменимо")</f>
        <v>33.752341000471233</v>
      </c>
      <c r="AG61" s="68">
        <f ca="1">IFERROR(MAX((Отчетность_по_периодам!AG168-Отчетность_по_периодам!AG147)/Отчетность_по_периодам!AG45,0),"неприменимо")</f>
        <v>31.134406331399674</v>
      </c>
      <c r="AH61" s="68">
        <f ca="1">IFERROR(MAX((Отчетность_по_периодам!AH168-Отчетность_по_периодам!AH147)/Отчетность_по_периодам!AH45,0),"неприменимо")</f>
        <v>28.563988171588889</v>
      </c>
      <c r="AI61" s="68">
        <f ca="1">IFERROR(MAX((Отчетность_по_периодам!AI168-Отчетность_по_периодам!AI147)/Отчетность_по_периодам!AI45,0),"неприменимо")</f>
        <v>26.111544932082598</v>
      </c>
      <c r="AJ61" s="68">
        <f ca="1">IFERROR(MAX((Отчетность_по_периодам!AJ168-Отчетность_по_периодам!AJ147)/Отчетность_по_периодам!AJ45,0),"неприменимо")</f>
        <v>23.395773030277024</v>
      </c>
      <c r="AK61" s="68">
        <f ca="1">IFERROR(MAX((Отчетность_по_периодам!AK168-Отчетность_по_периодам!AK147)/Отчетность_по_периодам!AK45,0),"неприменимо")</f>
        <v>20.955323679313963</v>
      </c>
      <c r="AL61" s="68">
        <f ca="1">IFERROR(MAX((Отчетность_по_периодам!AL168-Отчетность_по_периодам!AL147)/Отчетность_по_периодам!AL45,0),"неприменимо")</f>
        <v>18.313100247066611</v>
      </c>
      <c r="AM61" s="68">
        <f ca="1">IFERROR(MAX((Отчетность_по_периодам!AM168-Отчетность_по_периодам!AM147)/Отчетность_по_периодам!AM45,0),"неприменимо")</f>
        <v>15.889285035006118</v>
      </c>
      <c r="AN61" s="68">
        <f ca="1">IFERROR(MAX((Отчетность_по_периодам!AN168-Отчетность_по_периодам!AN147)/Отчетность_по_периодам!AN45,0),"неприменимо")</f>
        <v>13.979877415041644</v>
      </c>
      <c r="AO61" s="68">
        <f ca="1">IFERROR(MAX((Отчетность_по_периодам!AO168-Отчетность_по_периодам!AO147)/Отчетность_по_периодам!AO45,0),"неприменимо")</f>
        <v>11.495366775123331</v>
      </c>
      <c r="AP61" s="68">
        <f ca="1">IFERROR(MAX((Отчетность_по_периодам!AP168-Отчетность_по_периодам!AP147)/Отчетность_по_периодам!AP45,0),"неприменимо")</f>
        <v>10.281916356672188</v>
      </c>
      <c r="AQ61" s="68">
        <f ca="1">IFERROR(MAX((Отчетность_по_периодам!AQ168-Отчетность_по_периодам!AQ147)/Отчетность_по_периодам!AQ45,0),"неприменимо")</f>
        <v>8.9248343719851473</v>
      </c>
      <c r="AR61" s="68">
        <f ca="1">IFERROR(MAX((Отчетность_по_периодам!AR168-Отчетность_по_периодам!AR147)/Отчетность_по_периодам!AR45,0),"неприменимо")</f>
        <v>7.7728988274166744</v>
      </c>
      <c r="AS61" s="68">
        <f ca="1">IFERROR(MAX((Отчетность_по_периодам!AS168-Отчетность_по_периодам!AS147)/Отчетность_по_периодам!AS45,0),"неприменимо")</f>
        <v>6.5245527287501073</v>
      </c>
      <c r="AT61" s="68">
        <f ca="1">IFERROR(MAX((Отчетность_по_периодам!AT168-Отчетность_по_периодам!AT147)/Отчетность_по_периодам!AT45,0),"неприменимо")</f>
        <v>5.3892689654601416</v>
      </c>
      <c r="AU61" s="68">
        <f ca="1">IFERROR(MAX((Отчетность_по_периодам!AU168-Отчетность_по_периодам!AU147)/Отчетность_по_периодам!AU45,0),"неприменимо")</f>
        <v>4.3674158432495638</v>
      </c>
      <c r="AV61" s="68">
        <f ca="1">IFERROR(MAX((Отчетность_по_периодам!AV168-Отчетность_по_периодам!AV147)/Отчетность_по_периодам!AV45,0),"неприменимо")</f>
        <v>3.2353738034965875</v>
      </c>
      <c r="AW61" s="68">
        <f ca="1">IFERROR(MAX((Отчетность_по_периодам!AW168-Отчетность_по_периодам!AW147)/Отчетность_по_периодам!AW45,0),"неприменимо")</f>
        <v>2.2873311255856943</v>
      </c>
      <c r="AX61" s="68">
        <f ca="1">IFERROR(MAX((Отчетность_по_периодам!AX168-Отчетность_по_периодам!AX147)/Отчетность_по_периодам!AX45,0),"неприменимо")</f>
        <v>1.2266404008305973</v>
      </c>
      <c r="AY61" s="68">
        <f ca="1">IFERROR(MAX((Отчетность_по_периодам!AY168-Отчетность_по_периодам!AY147)/Отчетность_по_периодам!AY45,0),"неприменимо")</f>
        <v>0.29725282572901968</v>
      </c>
      <c r="AZ61" s="68">
        <f ca="1">IFERROR(MAX((Отчетность_по_периодам!AZ168-Отчетность_по_периодам!AZ147)/Отчетность_по_периодам!AZ45,0),"неприменимо")</f>
        <v>0</v>
      </c>
      <c r="BA61" s="68">
        <f ca="1">IFERROR(MAX((Отчетность_по_периодам!BA168-Отчетность_по_периодам!BA147)/Отчетность_по_периодам!BA45,0),"неприменимо")</f>
        <v>0</v>
      </c>
      <c r="BB61" s="68">
        <f ca="1">IFERROR(MAX((Отчетность_по_периодам!BB168-Отчетность_по_периодам!BB147)/Отчетность_по_периодам!BB45,0),"неприменимо")</f>
        <v>0</v>
      </c>
      <c r="BC61" s="68">
        <f ca="1">IFERROR(MAX((Отчетность_по_периодам!BC168-Отчетность_по_периодам!BC147)/Отчетность_по_периодам!BC45,0),"неприменимо")</f>
        <v>0</v>
      </c>
      <c r="BD61" s="68">
        <f ca="1">IFERROR(MAX((Отчетность_по_периодам!BD168-Отчетность_по_периодам!BD147)/Отчетность_по_периодам!BD45,0),"неприменимо")</f>
        <v>0</v>
      </c>
      <c r="BE61" s="68">
        <f ca="1">IFERROR(MAX((Отчетность_по_периодам!BE168-Отчетность_по_периодам!BE147)/Отчетность_по_периодам!BE45,0),"неприменимо")</f>
        <v>0</v>
      </c>
      <c r="BF61" s="68">
        <f ca="1">IFERROR(MAX((Отчетность_по_периодам!BF168-Отчетность_по_периодам!BF147)/Отчетность_по_периодам!BF45,0),"неприменимо")</f>
        <v>0</v>
      </c>
      <c r="BG61" s="68">
        <f ca="1">IFERROR(MAX((Отчетность_по_периодам!BG168-Отчетность_по_периодам!BG147)/Отчетность_по_периодам!BG45,0),"неприменимо")</f>
        <v>0</v>
      </c>
      <c r="BH61" s="68">
        <f ca="1">IFERROR(MAX((Отчетность_по_периодам!BH168-Отчетность_по_периодам!BH147)/Отчетность_по_периодам!BH45,0),"неприменимо")</f>
        <v>0</v>
      </c>
      <c r="BI61" s="68">
        <f ca="1">IFERROR(MAX((Отчетность_по_периодам!BI168-Отчетность_по_периодам!BI147)/Отчетность_по_периодам!BI45,0),"неприменимо")</f>
        <v>0</v>
      </c>
      <c r="BJ61" s="68">
        <f ca="1">IFERROR(MAX((Отчетность_по_периодам!BJ168-Отчетность_по_периодам!BJ147)/Отчетность_по_периодам!BJ45,0),"неприменимо")</f>
        <v>0</v>
      </c>
      <c r="BK61" s="68">
        <f ca="1">IFERROR(MAX((Отчетность_по_периодам!BK168-Отчетность_по_периодам!BK147)/Отчетность_по_периодам!BK45,0),"неприменимо")</f>
        <v>0</v>
      </c>
      <c r="BL61" s="68">
        <f ca="1">IFERROR(MAX((Отчетность_по_периодам!BL168-Отчетность_по_периодам!BL147)/Отчетность_по_периодам!BL45,0),"неприменимо")</f>
        <v>0</v>
      </c>
      <c r="BM61" s="68">
        <f ca="1">IFERROR(MAX((Отчетность_по_периодам!BM168-Отчетность_по_периодам!BM147)/Отчетность_по_периодам!BM45,0),"неприменимо")</f>
        <v>0</v>
      </c>
      <c r="BN61" s="68">
        <f ca="1">IFERROR(MAX((Отчетность_по_периодам!BN168-Отчетность_по_периодам!BN147)/Отчетность_по_периодам!BN45,0),"неприменимо")</f>
        <v>0</v>
      </c>
      <c r="BO61" s="68">
        <f ca="1">IFERROR(MAX((Отчетность_по_периодам!BO168-Отчетность_по_периодам!BO147)/Отчетность_по_периодам!BO45,0),"неприменимо")</f>
        <v>0</v>
      </c>
      <c r="BP61" s="68">
        <f ca="1">IFERROR(MAX((Отчетность_по_периодам!BP168-Отчетность_по_периодам!BP147)/Отчетность_по_периодам!BP45,0),"неприменимо")</f>
        <v>0</v>
      </c>
      <c r="BQ61" s="68">
        <f ca="1">IFERROR(MAX((Отчетность_по_периодам!BQ168-Отчетность_по_периодам!BQ147)/Отчетность_по_периодам!BQ45,0),"неприменимо")</f>
        <v>0</v>
      </c>
      <c r="BR61" s="68">
        <f ca="1">IFERROR(MAX((Отчетность_по_периодам!BR168-Отчетность_по_периодам!BR147)/Отчетность_по_периодам!BR45,0),"неприменимо")</f>
        <v>0</v>
      </c>
      <c r="BS61" s="68">
        <f ca="1">IFERROR(MAX((Отчетность_по_периодам!BS168-Отчетность_по_периодам!BS147)/Отчетность_по_периодам!BS45,0),"неприменимо")</f>
        <v>0</v>
      </c>
      <c r="BT61" s="68">
        <f ca="1">IFERROR(MAX((Отчетность_по_периодам!BT168-Отчетность_по_периодам!BT147)/Отчетность_по_периодам!BT45,0),"неприменимо")</f>
        <v>0</v>
      </c>
      <c r="BU61" s="68">
        <f ca="1">IFERROR(MAX((Отчетность_по_периодам!BU168-Отчетность_по_периодам!BU147)/Отчетность_по_периодам!BU45,0),"неприменимо")</f>
        <v>0</v>
      </c>
      <c r="BV61" s="68">
        <f ca="1">IFERROR(MAX((Отчетность_по_периодам!BV168-Отчетность_по_периодам!BV147)/Отчетность_по_периодам!BV45,0),"неприменимо")</f>
        <v>0</v>
      </c>
      <c r="BW61" s="68">
        <f ca="1">IFERROR(MAX((Отчетность_по_периодам!BW168-Отчетность_по_периодам!BW147)/Отчетность_по_периодам!BW45,0),"неприменимо")</f>
        <v>0</v>
      </c>
      <c r="BX61" s="68">
        <f ca="1">IFERROR(MAX((Отчетность_по_периодам!BX168-Отчетность_по_периодам!BX147)/Отчетность_по_периодам!BX45,0),"неприменимо")</f>
        <v>0</v>
      </c>
      <c r="BY61" s="68">
        <f ca="1">IFERROR(MAX((Отчетность_по_периодам!BY168-Отчетность_по_периодам!BY147)/Отчетность_по_периодам!BY45,0),"неприменимо")</f>
        <v>0</v>
      </c>
      <c r="BZ61" s="68">
        <f ca="1">IFERROR(MAX((Отчетность_по_периодам!BZ168-Отчетность_по_периодам!BZ147)/Отчетность_по_периодам!BZ45,0),"неприменимо")</f>
        <v>0</v>
      </c>
      <c r="CA61" s="68">
        <f ca="1">IFERROR(MAX((Отчетность_по_периодам!CA168-Отчетность_по_периодам!CA147)/Отчетность_по_периодам!CA45,0),"неприменимо")</f>
        <v>0</v>
      </c>
      <c r="CB61" s="68">
        <f ca="1">IFERROR(MAX((Отчетность_по_периодам!CB168-Отчетность_по_периодам!CB147)/Отчетность_по_периодам!CB45,0),"неприменимо")</f>
        <v>0</v>
      </c>
      <c r="CC61" s="68">
        <f ca="1">IFERROR(MAX((Отчетность_по_периодам!CC168-Отчетность_по_периодам!CC147)/Отчетность_по_периодам!CC45,0),"неприменимо")</f>
        <v>0</v>
      </c>
      <c r="CD61" s="68">
        <f ca="1">IFERROR(MAX((Отчетность_по_периодам!CD168-Отчетность_по_периодам!CD147)/Отчетность_по_периодам!CD45,0),"неприменимо")</f>
        <v>0</v>
      </c>
      <c r="CE61" s="68">
        <f ca="1">IFERROR(MAX((Отчетность_по_периодам!CE168-Отчетность_по_периодам!CE147)/Отчетность_по_периодам!CE45,0),"неприменимо")</f>
        <v>0</v>
      </c>
      <c r="CF61" s="68">
        <f ca="1">IFERROR(MAX((Отчетность_по_периодам!CF168-Отчетность_по_периодам!CF147)/Отчетность_по_периодам!CF45,0),"неприменимо")</f>
        <v>0</v>
      </c>
      <c r="CG61" s="68">
        <f ca="1">IFERROR(MAX((Отчетность_по_периодам!CG168-Отчетность_по_периодам!CG147)/Отчетность_по_периодам!CG45,0),"неприменимо")</f>
        <v>0</v>
      </c>
      <c r="CH61" s="68">
        <f ca="1">IFERROR(MAX((Отчетность_по_периодам!CH168-Отчетность_по_периодам!CH147)/Отчетность_по_периодам!CH45,0),"неприменимо")</f>
        <v>0</v>
      </c>
      <c r="CI61" s="68">
        <f ca="1">IFERROR(MAX((Отчетность_по_периодам!CI168-Отчетность_по_периодам!CI147)/Отчетность_по_периодам!CI45,0),"неприменимо")</f>
        <v>0</v>
      </c>
      <c r="CJ61" s="68">
        <f ca="1">IFERROR(MAX((Отчетность_по_периодам!CJ168-Отчетность_по_периодам!CJ147)/Отчетность_по_периодам!CJ45,0),"неприменимо")</f>
        <v>0</v>
      </c>
      <c r="CK61" s="68">
        <f ca="1">IFERROR(MAX((Отчетность_по_периодам!CK168-Отчетность_по_периодам!CK147)/Отчетность_по_периодам!CK45,0),"неприменимо")</f>
        <v>0</v>
      </c>
    </row>
    <row r="62" spans="2:89">
      <c r="B62" s="61" t="s">
        <v>589</v>
      </c>
      <c r="C62" s="62"/>
      <c r="D62" s="63"/>
      <c r="E62" s="64"/>
      <c r="F62" s="68">
        <f ca="1">IFERROR(SUM(Отчетность_по_периодам!F178,Отчетность_по_периодам!F168)/Отчетность_по_периодам!F162,"неприменимо")</f>
        <v>21297.636363636364</v>
      </c>
      <c r="G62" s="68">
        <f ca="1">IFERROR(SUM(Отчетность_по_периодам!G178,Отчетность_по_периодам!G168)/Отчетность_по_периодам!G162,"неприменимо")</f>
        <v>-251.947495127823</v>
      </c>
      <c r="H62" s="68">
        <f ca="1">IFERROR(SUM(Отчетность_по_периодам!H178,Отчетность_по_периодам!H168)/Отчетность_по_периодам!H162,"неприменимо")</f>
        <v>-130.55726534099963</v>
      </c>
      <c r="I62" s="68">
        <f ca="1">IFERROR(SUM(Отчетность_по_периодам!I178,Отчетность_по_периодам!I168)/Отчетность_по_периодам!I162,"неприменимо")</f>
        <v>-264.740220719663</v>
      </c>
      <c r="J62" s="68">
        <f ca="1">IFERROR(SUM(Отчетность_по_периодам!J178,Отчетность_по_периодам!J168)/Отчетность_по_периодам!J162,"неприменимо")</f>
        <v>-130.17330686497905</v>
      </c>
      <c r="K62" s="68">
        <f ca="1">IFERROR(SUM(Отчетность_по_периодам!K178,Отчетность_по_периодам!K168)/Отчетность_по_периодам!K162,"неприменимо")</f>
        <v>-88.339229409663631</v>
      </c>
      <c r="L62" s="68">
        <f ca="1">IFERROR(SUM(Отчетность_по_периодам!L178,Отчетность_по_периодам!L168)/Отчетность_по_периодам!L162,"неприменимо")</f>
        <v>-94.047338206086565</v>
      </c>
      <c r="M62" s="68">
        <f ca="1">IFERROR(SUM(Отчетность_по_периодам!M178,Отчетность_по_периодам!M168)/Отчетность_по_периодам!M162,"неприменимо")</f>
        <v>-65.317279118277725</v>
      </c>
      <c r="N62" s="68">
        <f ca="1">IFERROR(SUM(Отчетность_по_периодам!N178,Отчетность_по_периодам!N168)/Отчетность_по_периодам!N162,"неприменимо")</f>
        <v>-49.862891709445144</v>
      </c>
      <c r="O62" s="68">
        <f ca="1">IFERROR(SUM(Отчетность_по_периодам!O178,Отчетность_по_периодам!O168)/Отчетность_по_периодам!O162,"неприменимо")</f>
        <v>-49.713475556703813</v>
      </c>
      <c r="P62" s="68">
        <f ca="1">IFERROR(SUM(Отчетность_по_периодам!P178,Отчетность_по_периодам!P168)/Отчетность_по_периодам!P162,"неприменимо")</f>
        <v>-40.366653396248857</v>
      </c>
      <c r="Q62" s="68">
        <f ca="1">IFERROR(SUM(Отчетность_по_периодам!Q178,Отчетность_по_периодам!Q168)/Отчетность_по_периодам!Q162,"неприменимо")</f>
        <v>-30.965861771571003</v>
      </c>
      <c r="R62" s="68">
        <f ca="1">IFERROR(SUM(Отчетность_по_периодам!R178,Отчетность_по_периодам!R168)/Отчетность_по_периодам!R162,"неприменимо")</f>
        <v>-32.533835530370069</v>
      </c>
      <c r="S62" s="68">
        <f ca="1">IFERROR(SUM(Отчетность_по_периодам!S178,Отчетность_по_периодам!S168)/Отчетность_по_периодам!S162,"неприменимо")</f>
        <v>-33.08725453217847</v>
      </c>
      <c r="T62" s="68">
        <f ca="1">IFERROR(SUM(Отчетность_по_периодам!T178,Отчетность_по_периодам!T168)/Отчетность_по_периодам!T162,"неприменимо")</f>
        <v>-29.488162694427896</v>
      </c>
      <c r="U62" s="68">
        <f ca="1">IFERROR(SUM(Отчетность_по_периодам!U178,Отчетность_по_периодам!U168)/Отчетность_по_периодам!U162,"неприменимо")</f>
        <v>-30.002014872825814</v>
      </c>
      <c r="V62" s="68">
        <f ca="1">IFERROR(SUM(Отчетность_по_периодам!V178,Отчетность_по_периодам!V168)/Отчетность_по_периодам!V162,"неприменимо")</f>
        <v>-30.686610327568641</v>
      </c>
      <c r="W62" s="68">
        <f ca="1">IFERROR(SUM(Отчетность_по_периодам!W178,Отчетность_по_периодам!W168)/Отчетность_по_периодам!W162,"неприменимо")</f>
        <v>-27.764003905403435</v>
      </c>
      <c r="X62" s="68">
        <f ca="1">IFERROR(SUM(Отчетность_по_периодам!X178,Отчетность_по_периодам!X168)/Отчетность_по_периодам!X162,"неприменимо")</f>
        <v>-28.501177231662183</v>
      </c>
      <c r="Y62" s="68">
        <f ca="1">IFERROR(SUM(Отчетность_по_периодам!Y178,Отчетность_по_периодам!Y168)/Отчетность_по_периодам!Y162,"неприменимо")</f>
        <v>-29.61228008870566</v>
      </c>
      <c r="Z62" s="68">
        <f ca="1">IFERROR(SUM(Отчетность_по_периодам!Z178,Отчетность_по_периодам!Z168)/Отчетность_по_периодам!Z162,"неприменимо")</f>
        <v>-27.010572849828801</v>
      </c>
      <c r="AA62" s="68">
        <f ca="1">IFERROR(SUM(Отчетность_по_периодам!AA178,Отчетность_по_периодам!AA168)/Отчетность_по_периодам!AA162,"неприменимо")</f>
        <v>-28.028931827963362</v>
      </c>
      <c r="AB62" s="68">
        <f ca="1">IFERROR(SUM(Отчетность_по_периодам!AB178,Отчетность_по_периодам!AB168)/Отчетность_по_периодам!AB162,"неприменимо")</f>
        <v>-29.815583552956596</v>
      </c>
      <c r="AC62" s="68">
        <f ca="1">IFERROR(SUM(Отчетность_по_периодам!AC178,Отчетность_по_периодам!AC168)/Отчетность_по_периодам!AC162,"неприменимо")</f>
        <v>-31.276380344087261</v>
      </c>
      <c r="AD62" s="68">
        <f ca="1">IFERROR(SUM(Отчетность_по_периодам!AD178,Отчетность_по_периодам!AD168)/Отчетность_по_периодам!AD162,"неприменимо")</f>
        <v>-39.32902841814618</v>
      </c>
      <c r="AE62" s="68">
        <f ca="1">IFERROR(SUM(Отчетность_по_периодам!AE178,Отчетность_по_периодам!AE168)/Отчетность_по_периодам!AE162,"неприменимо")</f>
        <v>-56.446277443065405</v>
      </c>
      <c r="AF62" s="68">
        <f ca="1">IFERROR(SUM(Отчетность_по_периодам!AF178,Отчетность_по_периодам!AF168)/Отчетность_по_периодам!AF162,"неприменимо")</f>
        <v>-122.65601012343144</v>
      </c>
      <c r="AG62" s="68">
        <f ca="1">IFERROR(SUM(Отчетность_по_периодам!AG178,Отчетность_по_периодам!AG168)/Отчетность_по_периодам!AG162,"неприменимо")</f>
        <v>311.07699910165871</v>
      </c>
      <c r="AH62" s="68">
        <f ca="1">IFERROR(SUM(Отчетность_по_периодам!AH178,Отчетность_по_периодам!AH168)/Отчетность_по_периодам!AH162,"неприменимо")</f>
        <v>58.847985514393734</v>
      </c>
      <c r="AI62" s="68">
        <f ca="1">IFERROR(SUM(Отчетность_по_периодам!AI178,Отчетность_по_периодам!AI168)/Отчетность_по_периодам!AI162,"неприменимо")</f>
        <v>29.679364839866647</v>
      </c>
      <c r="AJ62" s="68">
        <f ca="1">IFERROR(SUM(Отчетность_по_периодам!AJ178,Отчетность_по_периодам!AJ168)/Отчетность_по_периодам!AJ162,"неприменимо")</f>
        <v>18.602413647663759</v>
      </c>
      <c r="AK62" s="68">
        <f ca="1">IFERROR(SUM(Отчетность_по_периодам!AK178,Отчетность_по_периодам!AK168)/Отчетность_по_периодам!AK162,"неприменимо")</f>
        <v>12.847968771365554</v>
      </c>
      <c r="AL62" s="68">
        <f ca="1">IFERROR(SUM(Отчетность_по_периодам!AL178,Отчетность_по_периодам!AL168)/Отчетность_по_периодам!AL162,"неприменимо")</f>
        <v>10.018072689485924</v>
      </c>
      <c r="AM62" s="68">
        <f ca="1">IFERROR(SUM(Отчетность_по_периодам!AM178,Отчетность_по_периодам!AM168)/Отчетность_по_периодам!AM162,"неприменимо")</f>
        <v>7.4342292991823138</v>
      </c>
      <c r="AN62" s="68">
        <f ca="1">IFERROR(SUM(Отчетность_по_периодам!AN178,Отчетность_по_периодам!AN168)/Отчетность_по_периодам!AN162,"неприменимо")</f>
        <v>5.7046157152837589</v>
      </c>
      <c r="AO62" s="68">
        <f ca="1">IFERROR(SUM(Отчетность_по_периодам!AO178,Отчетность_по_периодам!AO168)/Отчетность_по_периодам!AO162,"неприменимо")</f>
        <v>4.4261916529161738</v>
      </c>
      <c r="AP62" s="68">
        <f ca="1">IFERROR(SUM(Отчетность_по_периодам!AP178,Отчетность_по_периодам!AP168)/Отчетность_по_периодам!AP162,"неприменимо")</f>
        <v>3.5635127790611252</v>
      </c>
      <c r="AQ62" s="68">
        <f ca="1">IFERROR(SUM(Отчетность_по_периодам!AQ178,Отчетность_по_периодам!AQ168)/Отчетность_по_периодам!AQ162,"неприменимо")</f>
        <v>2.9271693548833064</v>
      </c>
      <c r="AR62" s="68">
        <f ca="1">IFERROR(SUM(Отчетность_по_периодам!AR178,Отчетность_по_периодам!AR168)/Отчетность_по_периодам!AR162,"неприменимо")</f>
        <v>2.6121629580707468</v>
      </c>
      <c r="AS62" s="68">
        <f ca="1">IFERROR(SUM(Отчетность_по_периодам!AS178,Отчетность_по_периодам!AS168)/Отчетность_по_периодам!AS162,"неприменимо")</f>
        <v>2.1938782620662001</v>
      </c>
      <c r="AT62" s="68">
        <f ca="1">IFERROR(SUM(Отчетность_по_периодам!AT178,Отчетность_по_периодам!AT168)/Отчетность_по_периодам!AT162,"неприменимо")</f>
        <v>1.8677705225370957</v>
      </c>
      <c r="AU62" s="68">
        <f ca="1">IFERROR(SUM(Отчетность_по_периодам!AU178,Отчетность_по_периодам!AU168)/Отчетность_по_периодам!AU162,"неприменимо")</f>
        <v>1.6083927517188157</v>
      </c>
      <c r="AV62" s="68">
        <f ca="1">IFERROR(SUM(Отчетность_по_периодам!AV178,Отчетность_по_периодам!AV168)/Отчетность_по_периодам!AV162,"неприменимо")</f>
        <v>1.3884236972856983</v>
      </c>
      <c r="AW62" s="68">
        <f ca="1">IFERROR(SUM(Отчетность_по_периодам!AW178,Отчетность_по_периодам!AW168)/Отчетность_по_периодам!AW162,"неприменимо")</f>
        <v>1.2114796372121313</v>
      </c>
      <c r="AX62" s="68">
        <f ca="1">IFERROR(SUM(Отчетность_по_периодам!AX178,Отчетность_по_периодам!AX168)/Отчетность_по_периодам!AX162,"неприменимо")</f>
        <v>1.1247548635039295</v>
      </c>
      <c r="AY62" s="68">
        <f ca="1">IFERROR(SUM(Отчетность_по_периодам!AY178,Отчетность_по_периодам!AY168)/Отчетность_по_периодам!AY162,"неприменимо")</f>
        <v>0.98379996614559484</v>
      </c>
      <c r="AZ62" s="68">
        <f ca="1">IFERROR(SUM(Отчетность_по_периодам!AZ178,Отчетность_по_периодам!AZ168)/Отчетность_по_периодам!AZ162,"неприменимо")</f>
        <v>0.87113141863161736</v>
      </c>
      <c r="BA62" s="68">
        <f ca="1">IFERROR(SUM(Отчетность_по_периодам!BA178,Отчетность_по_периодам!BA168)/Отчетность_по_периодам!BA162,"неприменимо")</f>
        <v>0.76200033909869758</v>
      </c>
      <c r="BB62" s="68">
        <f ca="1">IFERROR(SUM(Отчетность_по_периодам!BB178,Отчетность_по_периодам!BB168)/Отчетность_по_периодам!BB162,"неприменимо")</f>
        <v>0.67696401248659144</v>
      </c>
      <c r="BC62" s="68">
        <f ca="1">IFERROR(SUM(Отчетность_по_периодам!BC178,Отчетность_по_периодам!BC168)/Отчетность_по_периодам!BC162,"неприменимо")</f>
        <v>0.60146335046086719</v>
      </c>
      <c r="BD62" s="68">
        <f ca="1">IFERROR(SUM(Отчетность_по_периодам!BD178,Отчетность_по_периодам!BD168)/Отчетность_по_периодам!BD162,"неприменимо")</f>
        <v>0.57938349995748517</v>
      </c>
      <c r="BE62" s="68">
        <f ca="1">IFERROR(SUM(Отчетность_по_периодам!BE178,Отчетность_по_периодам!BE168)/Отчетность_по_периодам!BE162,"неприменимо")</f>
        <v>0.51739657799767313</v>
      </c>
      <c r="BF62" s="68">
        <f ca="1">IFERROR(SUM(Отчетность_по_периодам!BF178,Отчетность_по_периодам!BF168)/Отчетность_по_периодам!BF162,"неприменимо")</f>
        <v>0.46473848782208366</v>
      </c>
      <c r="BG62" s="68">
        <f ca="1">IFERROR(SUM(Отчетность_по_периодам!BG178,Отчетность_по_периодам!BG168)/Отчетность_по_периодам!BG162,"неприменимо")</f>
        <v>0.41974149097656555</v>
      </c>
      <c r="BH62" s="68">
        <f ca="1">IFERROR(SUM(Отчетность_по_периодам!BH178,Отчетность_по_периодам!BH168)/Отчетность_по_периодам!BH162,"неприменимо")</f>
        <v>0.37726643871097659</v>
      </c>
      <c r="BI62" s="68">
        <f ca="1">IFERROR(SUM(Отчетность_по_периодам!BI178,Отчетность_по_периодам!BI168)/Отчетность_по_периодам!BI162,"неприменимо")</f>
        <v>0.34179212971697309</v>
      </c>
      <c r="BJ62" s="68">
        <f ca="1">IFERROR(SUM(Отчетность_по_периодам!BJ178,Отчетность_по_периодам!BJ168)/Отчетность_по_периодам!BJ162,"неприменимо")</f>
        <v>0.33274553361921988</v>
      </c>
      <c r="BK62" s="68">
        <f ca="1">IFERROR(SUM(Отчетность_по_периодам!BK178,Отчетность_по_периодам!BK168)/Отчетность_по_периодам!BK162,"неприменимо")</f>
        <v>0.30103292131432757</v>
      </c>
      <c r="BL62" s="68">
        <f ca="1">IFERROR(SUM(Отчетность_по_периодам!BL178,Отчетность_по_периодам!BL168)/Отчетность_по_периодам!BL162,"неприменимо")</f>
        <v>0.2745549072758009</v>
      </c>
      <c r="BM62" s="68">
        <f ca="1">IFERROR(SUM(Отчетность_по_периодам!BM178,Отчетность_по_периодам!BM168)/Отчетность_по_периодам!BM162,"неприменимо")</f>
        <v>0.24633867778743507</v>
      </c>
      <c r="BN62" s="68">
        <f ca="1">IFERROR(SUM(Отчетность_по_периодам!BN178,Отчетность_по_периодам!BN168)/Отчетность_по_периодам!BN162,"неприменимо")</f>
        <v>0.22353784664783677</v>
      </c>
      <c r="BO62" s="68">
        <f ca="1">IFERROR(SUM(Отчетность_по_периодам!BO178,Отчетность_по_периодам!BO168)/Отчетность_по_периодам!BO162,"неприменимо")</f>
        <v>0.20082443749493897</v>
      </c>
      <c r="BP62" s="68">
        <f ca="1">IFERROR(SUM(Отчетность_по_периодам!BP178,Отчетность_по_периодам!BP168)/Отчетность_по_периодам!BP162,"неприменимо")</f>
        <v>0.19968823441092851</v>
      </c>
      <c r="BQ62" s="68">
        <f ca="1">IFERROR(SUM(Отчетность_по_периодам!BQ178,Отчетность_по_периодам!BQ168)/Отчетность_по_периодам!BQ162,"неприменимо")</f>
        <v>0.17926786178629955</v>
      </c>
      <c r="BR62" s="68">
        <f ca="1">IFERROR(SUM(Отчетность_по_периодам!BR178,Отчетность_по_периодам!BR168)/Отчетность_по_периодам!BR162,"неприменимо")</f>
        <v>0.16129171913989143</v>
      </c>
      <c r="BS62" s="68">
        <f ca="1">IFERROR(SUM(Отчетность_по_периодам!BS178,Отчетность_по_периодам!BS168)/Отчетность_по_периодам!BS162,"неприменимо")</f>
        <v>0.14549650525985536</v>
      </c>
      <c r="BT62" s="68">
        <f ca="1">IFERROR(SUM(Отчетность_по_периодам!BT178,Отчетность_по_периодам!BT168)/Отчетность_по_периодам!BT162,"неприменимо")</f>
        <v>0.13215299405250283</v>
      </c>
      <c r="BU62" s="68">
        <f ca="1">IFERROR(SUM(Отчетность_по_периодам!BU178,Отчетность_по_периодам!BU168)/Отчетность_по_периодам!BU162,"неприменимо")</f>
        <v>0.12129462135272874</v>
      </c>
      <c r="BV62" s="68">
        <f ca="1">IFERROR(SUM(Отчетность_по_периодам!BV178,Отчетность_по_периодам!BV168)/Отчетность_по_периодам!BV162,"неприменимо")</f>
        <v>0.12369500576260564</v>
      </c>
      <c r="BW62" s="68">
        <f ca="1">IFERROR(SUM(Отчетность_по_периодам!BW178,Отчетность_по_периодам!BW168)/Отчетность_по_периодам!BW162,"неприменимо")</f>
        <v>0.11288521112151355</v>
      </c>
      <c r="BX62" s="68">
        <f ca="1">IFERROR(SUM(Отчетность_по_периодам!BX178,Отчетность_по_периодам!BX168)/Отчетность_по_периодам!BX162,"неприменимо")</f>
        <v>0.10506865190325895</v>
      </c>
      <c r="BY62" s="68">
        <f ca="1">IFERROR(SUM(Отчетность_по_периодам!BY178,Отчетность_по_периодам!BY168)/Отчетность_по_периодам!BY162,"неприменимо")</f>
        <v>9.3348575822101404E-2</v>
      </c>
      <c r="BZ62" s="68">
        <f ca="1">IFERROR(SUM(Отчетность_по_периодам!BZ178,Отчетность_по_периодам!BZ168)/Отчетность_по_периодам!BZ162,"неприменимо")</f>
        <v>8.5131429975271899E-2</v>
      </c>
      <c r="CA62" s="68">
        <f ca="1">IFERROR(SUM(Отчетность_по_периодам!CA178,Отчетность_по_периодам!CA168)/Отчетность_по_периодам!CA162,"неприменимо")</f>
        <v>7.6124318578403433E-2</v>
      </c>
      <c r="CB62" s="68">
        <f ca="1">IFERROR(SUM(Отчетность_по_периодам!CB178,Отчетность_по_периодам!CB168)/Отчетность_по_периодам!CB162,"неприменимо")</f>
        <v>8.0481082411837712E-2</v>
      </c>
      <c r="CC62" s="68">
        <f ca="1">IFERROR(SUM(Отчетность_по_периодам!CC178,Отчетность_по_периодам!CC168)/Отчетность_по_периодам!CC162,"неприменимо")</f>
        <v>7.1950110272644419E-2</v>
      </c>
      <c r="CD62" s="68">
        <f ca="1">IFERROR(SUM(Отчетность_по_периодам!CD178,Отчетность_по_периодам!CD168)/Отчетность_по_периодам!CD162,"неприменимо")</f>
        <v>6.4523118061336301E-2</v>
      </c>
      <c r="CE62" s="68">
        <f ca="1">IFERROR(SUM(Отчетность_по_периодам!CE178,Отчетность_по_периодам!CE168)/Отчетность_по_периодам!CE162,"неприменимо")</f>
        <v>5.8114709814202435E-2</v>
      </c>
      <c r="CF62" s="68">
        <f ca="1">IFERROR(SUM(Отчетность_по_периодам!CF178,Отчетность_по_периодам!CF168)/Отчетность_по_периодам!CF162,"неприменимо")</f>
        <v>5.0865425037378731E-2</v>
      </c>
      <c r="CG62" s="68">
        <f ca="1">IFERROR(SUM(Отчетность_по_периодам!CG178,Отчетность_по_периодам!CG168)/Отчетность_по_периодам!CG162,"неприменимо")</f>
        <v>4.5145861035810107E-2</v>
      </c>
      <c r="CH62" s="68">
        <f ca="1">IFERROR(SUM(Отчетность_по_периодам!CH178,Отчетность_по_периодам!CH168)/Отчетность_по_периодам!CH162,"неприменимо")</f>
        <v>4.8488392732641925E-2</v>
      </c>
      <c r="CI62" s="68">
        <f ca="1">IFERROR(SUM(Отчетность_по_периодам!CI178,Отчетность_по_периодам!CI168)/Отчетность_по_периодам!CI162,"неприменимо")</f>
        <v>4.2460850634934329E-2</v>
      </c>
      <c r="CJ62" s="68">
        <f ca="1">IFERROR(SUM(Отчетность_по_периодам!CJ178,Отчетность_по_периодам!CJ168)/Отчетность_по_периодам!CJ162,"неприменимо")</f>
        <v>3.8469847960340905E-2</v>
      </c>
      <c r="CK62" s="68">
        <f ca="1">IFERROR(SUM(Отчетность_по_периодам!CK178,Отчетность_по_периодам!CK168)/Отчетность_по_периодам!CK162,"неприменимо")</f>
        <v>3.1323388323231963E-2</v>
      </c>
    </row>
    <row r="63" spans="2:89">
      <c r="B63" s="61" t="s">
        <v>590</v>
      </c>
      <c r="C63" s="62"/>
      <c r="D63" s="63"/>
      <c r="E63" s="64"/>
      <c r="F63" s="68">
        <f ca="1">IFERROR(SUM(Отчетность_по_периодам!F178,Отчетность_по_периодам!F168)/Отчетность_по_периодам!F180,"неприменимо")</f>
        <v>0.99995304863734336</v>
      </c>
      <c r="G63" s="68">
        <f ca="1">IFERROR(SUM(Отчетность_по_периодам!G178,Отчетность_по_периодам!G168)/Отчетность_по_периодам!G180,"неприменимо")</f>
        <v>1.0039848973168297</v>
      </c>
      <c r="H63" s="68">
        <f ca="1">IFERROR(SUM(Отчетность_по_периодам!H178,Отчетность_по_периодам!H168)/Отчетность_по_периодам!H180,"неприменимо")</f>
        <v>1.0077185945332201</v>
      </c>
      <c r="I63" s="68">
        <f ca="1">IFERROR(SUM(Отчетность_по_периодам!I178,Отчетность_по_периодам!I168)/Отчетность_по_периодам!I180,"неприменимо")</f>
        <v>1.003791609779014</v>
      </c>
      <c r="J63" s="68">
        <f ca="1">IFERROR(SUM(Отчетность_по_периодам!J178,Отчетность_по_периодам!J168)/Отчетность_по_периодам!J180,"неприменимо")</f>
        <v>1.007741537507012</v>
      </c>
      <c r="K63" s="68">
        <f ca="1">IFERROR(SUM(Отчетность_по_периодам!K178,Отчетность_по_периодам!K168)/Отчетность_по_периодам!K180,"неприменимо")</f>
        <v>1.0114496086896934</v>
      </c>
      <c r="L63" s="68">
        <f ca="1">IFERROR(SUM(Отчетность_по_периодам!L178,Отчетность_по_периодам!L168)/Отчетность_по_периодам!L180,"неприменимо")</f>
        <v>1.0107472176988572</v>
      </c>
      <c r="M63" s="68">
        <f ca="1">IFERROR(SUM(Отчетность_по_периодам!M178,Отчетность_по_периодам!M168)/Отчетность_по_периодам!M180,"неприменимо")</f>
        <v>1.0155479213938921</v>
      </c>
      <c r="N63" s="68">
        <f ca="1">IFERROR(SUM(Отчетность_по_периодам!N178,Отчетность_по_периодам!N168)/Отчетность_по_периодам!N180,"неприменимо")</f>
        <v>1.020465428160624</v>
      </c>
      <c r="O63" s="68">
        <f ca="1">IFERROR(SUM(Отчетность_по_периодам!O178,Отчетность_по_периодам!O168)/Отчетность_по_периодам!O180,"неприменимо")</f>
        <v>1.0205282006379524</v>
      </c>
      <c r="P63" s="68">
        <f ca="1">IFERROR(SUM(Отчетность_по_периодам!P178,Отчетность_по_периодам!P168)/Отчетность_по_периодам!P180,"неприменимо")</f>
        <v>1.0254022100871618</v>
      </c>
      <c r="Q63" s="68">
        <f ca="1">IFERROR(SUM(Отчетность_по_периодам!Q178,Отчетность_по_периодам!Q168)/Отчетность_по_периодам!Q180,"неприменимо")</f>
        <v>1.0333713079110813</v>
      </c>
      <c r="R63" s="68">
        <f ca="1">IFERROR(SUM(Отчетность_по_периодам!R178,Отчетность_по_периодам!R168)/Отчетность_по_периодам!R180,"неприменимо")</f>
        <v>1.0317119685309737</v>
      </c>
      <c r="S63" s="68">
        <f ca="1">IFERROR(SUM(Отчетность_по_периодам!S178,Отчетность_по_периодам!S168)/Отчетность_по_периодам!S180,"неприменимо")</f>
        <v>1.0311650222052235</v>
      </c>
      <c r="T63" s="68">
        <f ca="1">IFERROR(SUM(Отчетность_по_периодам!T178,Отчетность_по_периодам!T168)/Отчетность_по_периодам!T180,"неприменимо")</f>
        <v>1.0351022988293868</v>
      </c>
      <c r="U63" s="68">
        <f ca="1">IFERROR(SUM(Отчетность_по_периодам!U178,Отчетность_по_периодам!U168)/Отчетность_по_периодам!U180,"неприменимо")</f>
        <v>1.0344803629811588</v>
      </c>
      <c r="V63" s="68">
        <f ca="1">IFERROR(SUM(Отчетность_по_периодам!V178,Отчетность_по_периодам!V168)/Отчетность_по_периодам!V180,"неприменимо")</f>
        <v>1.0336852200020743</v>
      </c>
      <c r="W63" s="68">
        <f ca="1">IFERROR(SUM(Отчетность_по_периодам!W178,Отчетность_по_периодам!W168)/Отчетность_по_периодам!W180,"неприменимо")</f>
        <v>1.0373636173247647</v>
      </c>
      <c r="X63" s="68">
        <f ca="1">IFERROR(SUM(Отчетность_по_периодам!X178,Отчетность_по_периодам!X168)/Отчетность_по_периодам!X180,"неприменимо")</f>
        <v>1.0363620797603055</v>
      </c>
      <c r="Y63" s="68">
        <f ca="1">IFERROR(SUM(Отчетность_по_периодам!Y178,Отчетность_по_периодам!Y168)/Отчетность_по_периодам!Y180,"неприменимо")</f>
        <v>1.0349500283409687</v>
      </c>
      <c r="Z63" s="68">
        <f ca="1">IFERROR(SUM(Отчетность_по_периодам!Z178,Отчетность_по_периодам!Z168)/Отчетность_по_периодам!Z180,"неприменимо")</f>
        <v>1.0384459045086576</v>
      </c>
      <c r="AA63" s="68">
        <f ca="1">IFERROR(SUM(Отчетность_по_периодам!AA178,Отчетность_по_периодам!AA168)/Отчетность_по_периодам!AA180,"неприменимо")</f>
        <v>1.0369973925112879</v>
      </c>
      <c r="AB63" s="68">
        <f ca="1">IFERROR(SUM(Отчетность_по_периодам!AB178,Отчетность_по_периодам!AB168)/Отчетность_по_периодам!AB180,"неприменимо")</f>
        <v>1.0347034443415739</v>
      </c>
      <c r="AC63" s="68">
        <f ca="1">IFERROR(SUM(Отчетность_по_периодам!AC178,Отчетность_по_периодам!AC168)/Отчетность_по_периодам!AC180,"неприменимо")</f>
        <v>1.0330290473509423</v>
      </c>
      <c r="AD63" s="68">
        <f ca="1">IFERROR(SUM(Отчетность_по_периодам!AD178,Отчетность_по_периодам!AD168)/Отчетность_по_периодам!AD180,"неприменимо")</f>
        <v>1.0260898864717001</v>
      </c>
      <c r="AE63" s="68">
        <f ca="1">IFERROR(SUM(Отчетность_по_периодам!AE178,Отчетность_по_периодам!AE168)/Отчетность_по_периодам!AE180,"неприменимо")</f>
        <v>1.0180354758897356</v>
      </c>
      <c r="AF63" s="68">
        <f ca="1">IFERROR(SUM(Отчетность_по_периодам!AF178,Отчетность_по_периодам!AF168)/Отчетность_по_периодам!AF180,"неприменимо")</f>
        <v>1.0082198980468404</v>
      </c>
      <c r="AG63" s="68">
        <f ca="1">IFERROR(SUM(Отчетность_по_периодам!AG178,Отчетность_по_периодам!AG168)/Отчетность_по_периодам!AG180,"неприменимо")</f>
        <v>0.99679566259968355</v>
      </c>
      <c r="AH63" s="68">
        <f ca="1">IFERROR(SUM(Отчетность_по_периодам!AH178,Отчетность_по_периодам!AH168)/Отчетность_по_периодам!AH180,"неприменимо")</f>
        <v>0.98329099983224177</v>
      </c>
      <c r="AI63" s="68">
        <f ca="1">IFERROR(SUM(Отчетность_по_периодам!AI178,Отчетность_по_периодам!AI168)/Отчетность_по_периодам!AI180,"неприменимо")</f>
        <v>0.96740480107004889</v>
      </c>
      <c r="AJ63" s="68">
        <f ca="1">IFERROR(SUM(Отчетность_по_периодам!AJ178,Отчетность_по_периодам!AJ168)/Отчетность_по_периодам!AJ180,"неприменимо")</f>
        <v>0.94898587398602408</v>
      </c>
      <c r="AK63" s="68">
        <f ca="1">IFERROR(SUM(Отчетность_по_периодам!AK178,Отчетность_по_периодам!AK168)/Отчетность_по_периодам!AK180,"неприменимо")</f>
        <v>0.92778724327659001</v>
      </c>
      <c r="AL63" s="68">
        <f ca="1">IFERROR(SUM(Отчетность_по_периодам!AL178,Отчетность_по_периодам!AL168)/Отчетность_по_периодам!AL180,"неприменимо")</f>
        <v>0.9092400251675361</v>
      </c>
      <c r="AM63" s="68">
        <f ca="1">IFERROR(SUM(Отчетность_по_периодам!AM178,Отчетность_по_периодам!AM168)/Отчетность_по_периодам!AM180,"неприменимо")</f>
        <v>0.88143552131112346</v>
      </c>
      <c r="AN63" s="68">
        <f ca="1">IFERROR(SUM(Отчетность_по_периодам!AN178,Отчетность_по_периодам!AN168)/Отчетность_по_периодам!AN180,"неприменимо")</f>
        <v>0.85084902066491108</v>
      </c>
      <c r="AO63" s="68">
        <f ca="1">IFERROR(SUM(Отчетность_по_периодам!AO178,Отчетность_по_периодам!AO168)/Отчетность_по_периодам!AO180,"неприменимо")</f>
        <v>0.8157086841076514</v>
      </c>
      <c r="AP63" s="68">
        <f ca="1">IFERROR(SUM(Отчетность_по_периодам!AP178,Отчетность_по_периодам!AP168)/Отчетность_по_периодам!AP180,"неприменимо")</f>
        <v>0.78087055993612553</v>
      </c>
      <c r="AQ63" s="68">
        <f ca="1">IFERROR(SUM(Отчетность_по_периодам!AQ178,Отчетность_по_периодам!AQ168)/Отчетность_по_периодам!AQ180,"неприменимо")</f>
        <v>0.74536366791604425</v>
      </c>
      <c r="AR63" s="68">
        <f ca="1">IFERROR(SUM(Отчетность_по_периодам!AR178,Отчетность_по_периодам!AR168)/Отчетность_по_периодам!AR180,"неприменимо")</f>
        <v>0.72315756193510738</v>
      </c>
      <c r="AS63" s="68">
        <f ca="1">IFERROR(SUM(Отчетность_по_периодам!AS178,Отчетность_по_периодам!AS168)/Отчетность_по_периодам!AS180,"неприменимо")</f>
        <v>0.6869010281709752</v>
      </c>
      <c r="AT63" s="68">
        <f ca="1">IFERROR(SUM(Отчетность_по_периодам!AT178,Отчетность_по_периодам!AT168)/Отчетность_по_периодам!AT180,"неприменимо")</f>
        <v>0.65129706434275381</v>
      </c>
      <c r="AU63" s="68">
        <f ca="1">IFERROR(SUM(Отчетность_по_периодам!AU178,Отчетность_по_периодам!AU168)/Отчетность_по_периодам!AU180,"неприменимо")</f>
        <v>0.61662215195888581</v>
      </c>
      <c r="AV63" s="68">
        <f ca="1">IFERROR(SUM(Отчетность_по_периодам!AV178,Отчетность_по_периодам!AV168)/Отчетность_по_периодам!AV180,"неприменимо")</f>
        <v>0.58131381750380362</v>
      </c>
      <c r="AW63" s="68">
        <f ca="1">IFERROR(SUM(Отчетность_по_периодам!AW178,Отчетность_по_периодам!AW168)/Отчетность_по_периодам!AW180,"неприменимо")</f>
        <v>0.54781405934144844</v>
      </c>
      <c r="AX63" s="68">
        <f ca="1">IFERROR(SUM(Отчетность_по_периодам!AX178,Отчетность_по_периодам!AX168)/Отчетность_по_периодам!AX180,"неприменимо")</f>
        <v>0.52935747215991691</v>
      </c>
      <c r="AY63" s="68">
        <f ca="1">IFERROR(SUM(Отчетность_по_периодам!AY178,Отчетность_по_периодам!AY168)/Отчетность_по_периодам!AY180,"неприменимо")</f>
        <v>0.49591691850719183</v>
      </c>
      <c r="AZ63" s="68">
        <f ca="1">IFERROR(SUM(Отчетность_по_периодам!AZ178,Отчетность_по_периодам!AZ168)/Отчетность_по_периодам!AZ180,"неприменимо")</f>
        <v>0.46556399510873858</v>
      </c>
      <c r="BA63" s="68">
        <f ca="1">IFERROR(SUM(Отчетность_по_периодам!BA178,Отчетность_по_периодам!BA168)/Отчетность_по_периодам!BA180,"неприменимо")</f>
        <v>0.43246321932518905</v>
      </c>
      <c r="BB63" s="68">
        <f ca="1">IFERROR(SUM(Отчетность_по_периодам!BB178,Отчетность_по_периодам!BB168)/Отчетность_по_периодам!BB180,"неприменимо")</f>
        <v>0.403684281502734</v>
      </c>
      <c r="BC63" s="68">
        <f ca="1">IFERROR(SUM(Отчетность_по_периодам!BC178,Отчетность_по_периодам!BC168)/Отчетность_по_периодам!BC180,"неприменимо")</f>
        <v>0.37557109895008134</v>
      </c>
      <c r="BD63" s="68">
        <f ca="1">IFERROR(SUM(Отчетность_по_периодам!BD178,Отчетность_по_периодам!BD168)/Отчетность_по_периодам!BD180,"неприменимо")</f>
        <v>0.36684155556461195</v>
      </c>
      <c r="BE63" s="68">
        <f ca="1">IFERROR(SUM(Отчетность_по_периодам!BE178,Отчетность_по_периодам!BE168)/Отчетность_по_периодам!BE180,"неприменимо")</f>
        <v>0.34097650245160005</v>
      </c>
      <c r="BF63" s="68">
        <f ca="1">IFERROR(SUM(Отчетность_по_периодам!BF178,Отчетность_по_периодам!BF168)/Отчетность_по_периодам!BF180,"неприменимо")</f>
        <v>0.31728427407755377</v>
      </c>
      <c r="BG63" s="68">
        <f ca="1">IFERROR(SUM(Отчетность_по_периодам!BG178,Отчетность_по_периодам!BG168)/Отчетность_по_периодам!BG180,"неприменимо")</f>
        <v>0.29564642129874463</v>
      </c>
      <c r="BH63" s="68">
        <f ca="1">IFERROR(SUM(Отчетность_по_периодам!BH178,Отчетность_по_периодам!BH168)/Отчетность_по_периодам!BH180,"неприменимо")</f>
        <v>0.273924077511154</v>
      </c>
      <c r="BI63" s="68">
        <f ca="1">IFERROR(SUM(Отчетность_по_периодам!BI178,Отчетность_по_периодам!BI168)/Отчетность_по_периодам!BI180,"неприменимо")</f>
        <v>0.25472807758163551</v>
      </c>
      <c r="BJ63" s="68">
        <f ca="1">IFERROR(SUM(Отчетность_по_периодам!BJ178,Отчетность_по_периодам!BJ168)/Отчетность_по_периодам!BJ180,"неприменимо")</f>
        <v>0.24966921683512386</v>
      </c>
      <c r="BK63" s="68">
        <f ca="1">IFERROR(SUM(Отчетность_по_периодам!BK178,Отчетность_по_периодам!BK168)/Отчетность_по_периодам!BK180,"неприменимо")</f>
        <v>0.23137994156997851</v>
      </c>
      <c r="BL63" s="68">
        <f ca="1">IFERROR(SUM(Отчетность_по_периодам!BL178,Отчетность_по_периодам!BL168)/Отчетность_по_периодам!BL180,"неприменимо")</f>
        <v>0.21541238098767129</v>
      </c>
      <c r="BM63" s="68">
        <f ca="1">IFERROR(SUM(Отчетность_по_периодам!BM178,Отчетность_по_периодам!BM168)/Отчетность_по_периодам!BM180,"неприменимо")</f>
        <v>0.19764987011776627</v>
      </c>
      <c r="BN63" s="68">
        <f ca="1">IFERROR(SUM(Отчетность_по_периодам!BN178,Отчетность_по_периодам!BN168)/Отчетность_по_периодам!BN180,"неприменимо")</f>
        <v>0.18269794208676918</v>
      </c>
      <c r="BO63" s="68">
        <f ca="1">IFERROR(SUM(Отчетность_по_периодам!BO178,Отчетность_по_периодам!BO168)/Отчетность_по_периодам!BO180,"неприменимо")</f>
        <v>0.16723879963159508</v>
      </c>
      <c r="BP63" s="68">
        <f ca="1">IFERROR(SUM(Отчетность_по_периодам!BP178,Отчетность_по_периодам!BP168)/Отчетность_по_периодам!BP180,"неприменимо")</f>
        <v>0.16645010652203282</v>
      </c>
      <c r="BQ63" s="68">
        <f ca="1">IFERROR(SUM(Отчетность_по_периодам!BQ178,Отчетность_по_периодам!BQ168)/Отчетность_по_периодам!BQ180,"неприменимо")</f>
        <v>0.15201623617110452</v>
      </c>
      <c r="BR63" s="68">
        <f ca="1">IFERROR(SUM(Отчетность_по_периодам!BR178,Отчетность_по_периодам!BR168)/Отчетность_по_периодам!BR180,"неприменимо")</f>
        <v>0.1388899244535661</v>
      </c>
      <c r="BS63" s="68">
        <f ca="1">IFERROR(SUM(Отчетность_по_периодам!BS178,Отчетность_по_периодам!BS168)/Отчетность_по_периодам!BS180,"неприменимо")</f>
        <v>0.12701610576005165</v>
      </c>
      <c r="BT63" s="68">
        <f ca="1">IFERROR(SUM(Отчетность_по_периодам!BT178,Отчетность_по_периодам!BT168)/Отчетность_по_периодам!BT180,"неприменимо")</f>
        <v>0.116727151495193</v>
      </c>
      <c r="BU63" s="68">
        <f ca="1">IFERROR(SUM(Отчетность_по_периодам!BU178,Отчетность_по_периодам!BU168)/Отчетность_по_периодам!BU180,"неприменимо")</f>
        <v>0.10817372976104982</v>
      </c>
      <c r="BV63" s="68">
        <f ca="1">IFERROR(SUM(Отчетность_по_периодам!BV178,Отчетность_по_периодам!BV168)/Отчетность_по_периодам!BV180,"неприменимо")</f>
        <v>0.11007880708578831</v>
      </c>
      <c r="BW63" s="68">
        <f ca="1">IFERROR(SUM(Отчетность_по_периодам!BW178,Отчетность_по_периодам!BW168)/Отчетность_по_периодам!BW180,"неприменимо")</f>
        <v>0.10143473018906696</v>
      </c>
      <c r="BX63" s="68">
        <f ca="1">IFERROR(SUM(Отчетность_по_периодам!BX178,Отчетность_по_периодам!BX168)/Отчетность_по_периодам!BX180,"неприменимо")</f>
        <v>9.5078845755238187E-2</v>
      </c>
      <c r="BY63" s="68">
        <f ca="1">IFERROR(SUM(Отчетность_по_периодам!BY178,Отчетность_по_периодам!BY168)/Отчетность_по_периодам!BY180,"неприменимо")</f>
        <v>8.5378604670437813E-2</v>
      </c>
      <c r="BZ63" s="68">
        <f ca="1">IFERROR(SUM(Отчетность_по_периодам!BZ178,Отчетность_по_периодам!BZ168)/Отчетность_по_периодам!BZ180,"неприменимо")</f>
        <v>7.8452644190033172E-2</v>
      </c>
      <c r="CA63" s="68">
        <f ca="1">IFERROR(SUM(Отчетность_по_периодам!CA178,Отчетность_по_периодам!CA168)/Отчетность_по_периодам!CA180,"неприменимо")</f>
        <v>7.0739334911570639E-2</v>
      </c>
      <c r="CB63" s="68">
        <f ca="1">IFERROR(SUM(Отчетность_по_периодам!CB178,Отчетность_по_периодам!CB168)/Отчетность_по_периодам!CB180,"неприменимо")</f>
        <v>7.4486341058548428E-2</v>
      </c>
      <c r="CC63" s="68">
        <f ca="1">IFERROR(SUM(Отчетность_по_периодам!CC178,Отчетность_по_периодам!CC168)/Отчетность_по_периодам!CC180,"неприменимо")</f>
        <v>6.7120763907887765E-2</v>
      </c>
      <c r="CD63" s="68">
        <f ca="1">IFERROR(SUM(Отчетность_по_периодам!CD178,Отчетность_по_периодам!CD168)/Отчетность_по_периодам!CD180,"неприменимо")</f>
        <v>6.0612228110971444E-2</v>
      </c>
      <c r="CE63" s="68">
        <f ca="1">IFERROR(SUM(Отчетность_по_периодам!CE178,Отчетность_по_периодам!CE168)/Отчетность_по_периодам!CE180,"неприменимо")</f>
        <v>5.4922882439094878E-2</v>
      </c>
      <c r="CF63" s="68">
        <f ca="1">IFERROR(SUM(Отчетность_по_периодам!CF178,Отчетность_по_периодам!CF168)/Отчетность_по_периодам!CF180,"неприменимо")</f>
        <v>4.8403367191921336E-2</v>
      </c>
      <c r="CG63" s="68">
        <f ca="1">IFERROR(SUM(Отчетность_по_периодам!CG178,Отчетность_по_периодам!CG168)/Отчетность_по_периодам!CG180,"неприменимо")</f>
        <v>4.3195751635152158E-2</v>
      </c>
      <c r="CH63" s="68">
        <f ca="1">IFERROR(SUM(Отчетность_по_периодам!CH178,Отчетность_по_периодам!CH168)/Отчетность_по_периодам!CH180,"неприменимо")</f>
        <v>4.6245998590664576E-2</v>
      </c>
      <c r="CI63" s="68">
        <f ca="1">IFERROR(SUM(Отчетность_по_периодам!CI178,Отчетность_по_периодам!CI168)/Отчетность_по_периодам!CI180,"неприменимо")</f>
        <v>4.0731362342358073E-2</v>
      </c>
      <c r="CJ63" s="68">
        <f ca="1">IFERROR(SUM(Отчетность_по_периодам!CJ178,Отчетность_по_периодам!CJ168)/Отчетность_по_периодам!CJ180,"неприменимо")</f>
        <v>3.7044742354243168E-2</v>
      </c>
      <c r="CK63" s="68">
        <f ca="1">IFERROR(SUM(Отчетность_по_периодам!CK178,Отчетность_по_периодам!CK168)/Отчетность_по_периодам!CK180,"неприменимо")</f>
        <v>3.037203332909847E-2</v>
      </c>
    </row>
    <row r="64" spans="2:89">
      <c r="B64" s="14"/>
      <c r="C64" s="14"/>
      <c r="D64" s="14"/>
      <c r="E64" s="14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</row>
    <row r="65" spans="2:89" ht="20.25" thickBot="1">
      <c r="B65" s="26" t="s">
        <v>207</v>
      </c>
      <c r="C65" s="26"/>
      <c r="D65" s="26"/>
      <c r="E65" s="26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</row>
    <row r="66" spans="2:89" ht="15.75" thickTop="1">
      <c r="B66" s="14"/>
      <c r="C66" s="14"/>
      <c r="D66" s="14"/>
      <c r="E66" s="14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</row>
    <row r="67" spans="2:89">
      <c r="B67" s="61" t="s">
        <v>204</v>
      </c>
      <c r="C67" s="62"/>
      <c r="D67" s="63"/>
      <c r="E67" s="64"/>
      <c r="F67" s="68">
        <f ca="1">IFERROR(Отчетность_по_периодам!F152/Отчетность_по_периодам!F178,"неприменимо")</f>
        <v>35.638119866139334</v>
      </c>
      <c r="G67" s="68">
        <f ca="1">IFERROR(Отчетность_по_периодам!G152/Отчетность_по_периодам!G178,"неприменимо")</f>
        <v>18.245516793011905</v>
      </c>
      <c r="H67" s="68">
        <f ca="1">IFERROR(Отчетность_по_периодам!H152/Отчетность_по_периодам!H178,"неприменимо")</f>
        <v>12.715086971199117</v>
      </c>
      <c r="I67" s="68">
        <f ca="1">IFERROR(Отчетность_по_периодам!I152/Отчетность_по_периодам!I178,"неприменимо")</f>
        <v>22.110955368771883</v>
      </c>
      <c r="J67" s="68">
        <f ca="1">IFERROR(Отчетность_по_периодам!J152/Отчетность_по_периодам!J178,"неприменимо")</f>
        <v>15.651629283219547</v>
      </c>
      <c r="K67" s="68">
        <f ca="1">IFERROR(Отчетность_по_периодам!K152/Отчетность_по_периодам!K178,"неприменимо")</f>
        <v>12.274539276972147</v>
      </c>
      <c r="L67" s="68">
        <f ca="1">IFERROR(Отчетность_по_периодам!L152/Отчетность_по_периодам!L178,"неприменимо")</f>
        <v>15.309350293057754</v>
      </c>
      <c r="M67" s="68">
        <f ca="1">IFERROR(Отчетность_по_периодам!M152/Отчетность_по_периодам!M178,"неприменимо")</f>
        <v>13.51576788985189</v>
      </c>
      <c r="N67" s="68">
        <f ca="1">IFERROR(Отчетность_по_периодам!N152/Отчетность_по_периодам!N178,"неприменимо")</f>
        <v>12.053120558855762</v>
      </c>
      <c r="O67" s="68">
        <f ca="1">IFERROR(Отчетность_по_периодам!O152/Отчетность_по_периодам!O178,"неприменимо")</f>
        <v>13.925107696338333</v>
      </c>
      <c r="P67" s="68">
        <f ca="1">IFERROR(Отчетность_по_периодам!P152/Отчетность_по_периодам!P178,"неприменимо")</f>
        <v>12.963490641081204</v>
      </c>
      <c r="Q67" s="68" t="str">
        <f ca="1">IFERROR(Отчетность_по_периодам!Q152/Отчетность_по_периодам!Q178,"неприменимо")</f>
        <v>неприменимо</v>
      </c>
      <c r="R67" s="68">
        <f ca="1">IFERROR(Отчетность_по_периодам!R152/Отчетность_по_периодам!R178,"неприменимо")</f>
        <v>3.6794429762078744</v>
      </c>
      <c r="S67" s="68">
        <f ca="1">IFERROR(Отчетность_по_периодам!S152/Отчетность_по_периодам!S178,"неприменимо")</f>
        <v>3.5606010509126071</v>
      </c>
      <c r="T67" s="68">
        <f ca="1">IFERROR(Отчетность_по_периодам!T152/Отчетность_по_периодам!T178,"неприменимо")</f>
        <v>2.9854686344849748</v>
      </c>
      <c r="U67" s="68">
        <f ca="1">IFERROR(Отчетность_по_периодам!U152/Отчетность_по_периодам!U178,"неприменимо")</f>
        <v>3.122728099714152</v>
      </c>
      <c r="V67" s="68">
        <f ca="1">IFERROR(Отчетность_по_периодам!V152/Отчетность_по_периодам!V178,"неприменимо")</f>
        <v>3.2274980604346175</v>
      </c>
      <c r="W67" s="68">
        <f ca="1">IFERROR(Отчетность_по_периодам!W152/Отчетность_по_периодам!W178,"неприменимо")</f>
        <v>2.9515617002090044</v>
      </c>
      <c r="X67" s="68">
        <f ca="1">IFERROR(Отчетность_по_периодам!X152/Отчетность_по_периодам!X178,"неприменимо")</f>
        <v>3.0918200665868056</v>
      </c>
      <c r="Y67" s="68">
        <f ca="1">IFERROR(Отчетность_по_периодам!Y152/Отчетность_по_периодам!Y178,"неприменимо")</f>
        <v>3.1553259069713824</v>
      </c>
      <c r="Z67" s="68">
        <f ca="1">IFERROR(Отчетность_по_периодам!Z152/Отчетность_по_периодам!Z178,"неприменимо")</f>
        <v>2.986393230763102</v>
      </c>
      <c r="AA67" s="68">
        <f ca="1">IFERROR(Отчетность_по_периодам!AA152/Отчетность_по_периодам!AA178,"неприменимо")</f>
        <v>3.0895759628752932</v>
      </c>
      <c r="AB67" s="68">
        <f ca="1">IFERROR(Отчетность_по_периодам!AB152/Отчетность_по_периодам!AB178,"неприменимо")</f>
        <v>3.0633052604225175</v>
      </c>
      <c r="AC67" s="68">
        <f ca="1">IFERROR(Отчетность_по_периодам!AC152/Отчетность_по_периодам!AC178,"неприменимо")</f>
        <v>3.3364262450984703</v>
      </c>
      <c r="AD67" s="68">
        <f ca="1">IFERROR(Отчетность_по_периодам!AD152/Отчетность_по_периодам!AD178,"неприменимо")</f>
        <v>3.1787359585180961</v>
      </c>
      <c r="AE67" s="68">
        <f ca="1">IFERROR(Отчетность_по_периодам!AE152/Отчетность_по_периодам!AE178,"неприменимо")</f>
        <v>3.178955868357034</v>
      </c>
      <c r="AF67" s="68">
        <f ca="1">IFERROR(Отчетность_по_периодам!AF152/Отчетность_по_периодам!AF178,"неприменимо")</f>
        <v>3.1080990731026108</v>
      </c>
      <c r="AG67" s="68">
        <f ca="1">IFERROR(Отчетность_по_периодам!AG152/Отчетность_по_периодам!AG178,"неприменимо")</f>
        <v>3.1849452838783971</v>
      </c>
      <c r="AH67" s="68">
        <f ca="1">IFERROR(Отчетность_по_периодам!AH152/Отчетность_по_периодам!AH178,"неприменимо")</f>
        <v>3.2376246547115706</v>
      </c>
      <c r="AI67" s="68">
        <f ca="1">IFERROR(Отчетность_по_периодам!AI152/Отчетность_по_периодам!AI178,"неприменимо")</f>
        <v>3.2675637481610886</v>
      </c>
      <c r="AJ67" s="68">
        <f ca="1">IFERROR(Отчетность_по_периодам!AJ152/Отчетность_по_периодам!AJ178,"неприменимо")</f>
        <v>3.4432119207327925</v>
      </c>
      <c r="AK67" s="68">
        <f ca="1">IFERROR(Отчетность_по_периодам!AK152/Отчетность_по_периодам!AK178,"неприменимо")</f>
        <v>3.5405056382179882</v>
      </c>
      <c r="AL67" s="68">
        <f ca="1">IFERROR(Отчетность_по_периодам!AL152/Отчетность_по_периодам!AL178,"неприменимо")</f>
        <v>3.4612152016362652</v>
      </c>
      <c r="AM67" s="68">
        <f ca="1">IFERROR(Отчетность_по_периодам!AM152/Отчетность_по_периодам!AM178,"неприменимо")</f>
        <v>3.7321834868485846</v>
      </c>
      <c r="AN67" s="68">
        <f ca="1">IFERROR(Отчетность_по_периодам!AN152/Отчетность_по_периодам!AN178,"неприменимо")</f>
        <v>3.8519085622727687</v>
      </c>
      <c r="AO67" s="68">
        <f ca="1">IFERROR(Отчетность_по_периодам!AO152/Отчетность_по_периодам!AO178,"неприменимо")</f>
        <v>4.3829656359451477</v>
      </c>
      <c r="AP67" s="68">
        <f ca="1">IFERROR(Отчетность_по_периодам!AP152/Отчетность_по_периодам!AP178,"неприменимо")</f>
        <v>4.7700159939508779</v>
      </c>
      <c r="AQ67" s="68">
        <f ca="1">IFERROR(Отчетность_по_периодам!AQ152/Отчетность_по_периодам!AQ178,"неприменимо")</f>
        <v>5.3334463339426792</v>
      </c>
      <c r="AR67" s="68">
        <f ca="1">IFERROR(Отчетность_по_периодам!AR152/Отчетность_по_периодам!AR178,"неприменимо")</f>
        <v>4.8408871031636318</v>
      </c>
      <c r="AS67" s="68">
        <f ca="1">IFERROR(Отчетность_по_периодам!AS152/Отчетность_по_периодам!AS178,"неприменимо")</f>
        <v>5.4626250338410482</v>
      </c>
      <c r="AT67" s="68">
        <f ca="1">IFERROR(Отчетность_по_периодам!AT152/Отчетность_по_периодам!AT178,"неприменимо")</f>
        <v>6.0510538506632985</v>
      </c>
      <c r="AU67" s="68">
        <f ca="1">IFERROR(Отчетность_по_периодам!AU152/Отчетность_по_периодам!AU178,"неприменимо")</f>
        <v>6.5667659903225477</v>
      </c>
      <c r="AV67" s="68">
        <f ca="1">IFERROR(Отчетность_по_периодам!AV152/Отчетность_по_периодам!AV178,"неприменимо")</f>
        <v>7.3808229839980992</v>
      </c>
      <c r="AW67" s="68">
        <f ca="1">IFERROR(Отчетность_по_периодам!AW152/Отчетность_по_периодам!AW178,"неприменимо")</f>
        <v>7.9858538314855538</v>
      </c>
      <c r="AX67" s="68">
        <f ca="1">IFERROR(Отчетность_по_периодам!AX152/Отчетность_по_периодам!AX178,"неприменимо")</f>
        <v>7.1209722810882594</v>
      </c>
      <c r="AY67" s="68">
        <f ca="1">IFERROR(Отчетность_по_периодам!AY152/Отчетность_по_периодам!AY178,"неприменимо")</f>
        <v>7.8824667938339337</v>
      </c>
      <c r="AZ67" s="68">
        <f ca="1">IFERROR(Отчетность_по_периодам!AZ152/Отчетность_по_периодам!AZ178,"неприменимо")</f>
        <v>8.2909063708526212</v>
      </c>
      <c r="BA67" s="68">
        <f ca="1">IFERROR(Отчетность_по_периодам!BA152/Отчетность_по_периодам!BA178,"неприменимо")</f>
        <v>9.5389159527367546</v>
      </c>
      <c r="BB67" s="68">
        <f ca="1">IFERROR(Отчетность_по_периодам!BB152/Отчетность_по_периодам!BB178,"неприменимо")</f>
        <v>10.369912593833268</v>
      </c>
      <c r="BC67" s="68">
        <f ca="1">IFERROR(Отчетность_по_периодам!BC152/Отчетность_по_периодам!BC178,"неприменимо")</f>
        <v>11.600453767543087</v>
      </c>
      <c r="BD67" s="68">
        <f ca="1">IFERROR(Отчетность_по_периодам!BD152/Отчетность_по_периодам!BD178,"неприменимо")</f>
        <v>9.6133152058548106</v>
      </c>
      <c r="BE67" s="68">
        <f ca="1">IFERROR(Отчетность_по_периодам!BE152/Отчетность_по_периодам!BE178,"неприменимо")</f>
        <v>10.717337561578118</v>
      </c>
      <c r="BF67" s="68">
        <f ca="1">IFERROR(Отчетность_по_периодам!BF152/Отчетность_по_периодам!BF178,"неприменимо")</f>
        <v>11.76959827630121</v>
      </c>
      <c r="BG67" s="68">
        <f ca="1">IFERROR(Отчетность_по_периодам!BG152/Отчетность_по_периодам!BG178,"неприменимо")</f>
        <v>12.709939882923612</v>
      </c>
      <c r="BH67" s="68">
        <f ca="1">IFERROR(Отчетность_по_периодам!BH152/Отчетность_по_периодам!BH178,"неприменимо")</f>
        <v>14.155356382663994</v>
      </c>
      <c r="BI67" s="68">
        <f ca="1">IFERROR(Отчетность_по_периодам!BI152/Отчетность_по_периодам!BI178,"неприменимо")</f>
        <v>15.24913411388234</v>
      </c>
      <c r="BJ67" s="68">
        <f ca="1">IFERROR(Отчетность_по_периодам!BJ152/Отчетность_по_периодам!BJ178,"неприменимо")</f>
        <v>12.895291009910197</v>
      </c>
      <c r="BK67" s="68">
        <f ca="1">IFERROR(Отчетность_по_периодам!BK152/Отчетность_по_периодам!BK178,"неприменимо")</f>
        <v>14.009857630702269</v>
      </c>
      <c r="BL67" s="68">
        <f ca="1">IFERROR(Отчетность_по_периодам!BL152/Отчетность_по_периодам!BL178,"неприменимо")</f>
        <v>14.758052523434852</v>
      </c>
      <c r="BM67" s="68">
        <f ca="1">IFERROR(Отчетность_по_периодам!BM152/Отчетность_по_периодам!BM178,"неприменимо")</f>
        <v>16.518923520105201</v>
      </c>
      <c r="BN67" s="68">
        <f ca="1">IFERROR(Отчетность_по_периодам!BN152/Отчетность_по_периодам!BN178,"неприменимо")</f>
        <v>17.660348009989672</v>
      </c>
      <c r="BO67" s="68">
        <f ca="1">IFERROR(Отчетность_по_периодам!BO152/Отчетность_по_периодам!BO178,"неприменимо")</f>
        <v>19.516719742005176</v>
      </c>
      <c r="BP67" s="68">
        <f ca="1">IFERROR(Отчетность_по_периодам!BP152/Отчетность_по_периодам!BP178,"неприменимо")</f>
        <v>15.839749550299537</v>
      </c>
      <c r="BQ67" s="68">
        <f ca="1">IFERROR(Отчетность_по_периодам!BQ152/Отчетность_по_периодам!BQ178,"неприменимо")</f>
        <v>17.310934469451887</v>
      </c>
      <c r="BR67" s="68">
        <f ca="1">IFERROR(Отчетность_по_периодам!BR152/Отчетность_по_периодам!BR178,"неприменимо")</f>
        <v>18.663008913893581</v>
      </c>
      <c r="BS67" s="68">
        <f ca="1">IFERROR(Отчетность_по_периодам!BS152/Отчетность_по_периодам!BS178,"неприменимо")</f>
        <v>19.811016022604139</v>
      </c>
      <c r="BT67" s="68">
        <f ca="1">IFERROR(Отчетность_по_периодам!BT152/Отчетность_по_периодам!BT178,"неприменимо")</f>
        <v>21.805420589476046</v>
      </c>
      <c r="BU67" s="68">
        <f ca="1">IFERROR(Отчетность_по_периодам!BU152/Отчетность_по_периодам!BU178,"неприменимо")</f>
        <v>23.223528936423559</v>
      </c>
      <c r="BV67" s="68">
        <f ca="1">IFERROR(Отчетность_по_периодам!BV152/Отчетность_по_периодам!BV178,"неприменимо")</f>
        <v>19.340606630261707</v>
      </c>
      <c r="BW67" s="68">
        <f ca="1">IFERROR(Отчетность_по_периодам!BW152/Отчетность_по_периодам!BW178,"неприменимо")</f>
        <v>20.790949469270672</v>
      </c>
      <c r="BX67" s="68">
        <f ca="1">IFERROR(Отчетность_по_периодам!BX152/Отчетность_по_периодам!BX178,"неприменимо")</f>
        <v>21.313005104725125</v>
      </c>
      <c r="BY67" s="68">
        <f ca="1">IFERROR(Отчетность_по_периодам!BY152/Отчетность_по_периодам!BY178,"неприменимо")</f>
        <v>24.056285696790514</v>
      </c>
      <c r="BZ67" s="68">
        <f ca="1">IFERROR(Отчетность_по_периодам!BZ152/Отчетность_по_периодам!BZ178,"неприменимо")</f>
        <v>25.494948847145217</v>
      </c>
      <c r="CA67" s="68">
        <f ca="1">IFERROR(Отчетность_по_периодам!CA152/Отчетность_по_периодам!CA178,"неприменимо")</f>
        <v>27.963993225443044</v>
      </c>
      <c r="CB67" s="68">
        <f ca="1">IFERROR(Отчетность_по_периодам!CB152/Отчетность_по_периодам!CB178,"неприменимо")</f>
        <v>22.422562729382189</v>
      </c>
      <c r="CC67" s="68">
        <f ca="1">IFERROR(Отчетность_по_периодам!CC152/Отчетность_по_периодам!CC178,"неприменимо")</f>
        <v>24.332184337040271</v>
      </c>
      <c r="CD67" s="68">
        <f ca="1">IFERROR(Отчетность_по_периодам!CD152/Отчетность_по_периодам!CD178,"неприменимо")</f>
        <v>26.053127876720705</v>
      </c>
      <c r="CE67" s="68">
        <f ca="1">IFERROR(Отчетность_по_периодам!CE152/Отчетность_по_периодам!CE178,"неприменимо")</f>
        <v>27.47173687830292</v>
      </c>
      <c r="CF67" s="68">
        <f ca="1">IFERROR(Отчетность_по_периодам!CF152/Отчетность_по_периодам!CF178,"неприменимо")</f>
        <v>29.972569783657171</v>
      </c>
      <c r="CG67" s="68">
        <f ca="1">IFERROR(Отчетность_по_периодам!CG152/Отчетность_по_периодам!CG178,"неприменимо")</f>
        <v>31.647360877023608</v>
      </c>
      <c r="CH67" s="68">
        <f ca="1">IFERROR(Отчетность_по_периодам!CH152/Отчетность_по_периодам!CH178,"неприменимо")</f>
        <v>26.064540961814398</v>
      </c>
      <c r="CI67" s="68">
        <f ca="1">IFERROR(Отчетность_по_периодам!CI152/Отчетность_по_периодам!CI178,"неприменимо")</f>
        <v>27.801118798974588</v>
      </c>
      <c r="CJ67" s="68">
        <f ca="1">IFERROR(Отчетность_по_периодам!CJ152/Отчетность_по_периодам!CJ178,"неприменимо")</f>
        <v>28.274889414404637</v>
      </c>
      <c r="CK67" s="68">
        <f ca="1">IFERROR(Отчетность_по_периодам!CK152/Отчетность_по_периодам!CK178,"неприменимо")</f>
        <v>31.710851539141267</v>
      </c>
    </row>
    <row r="68" spans="2:89">
      <c r="B68" s="61" t="s">
        <v>205</v>
      </c>
      <c r="C68" s="62"/>
      <c r="D68" s="63"/>
      <c r="E68" s="64"/>
      <c r="F68" s="68">
        <f ca="1">IFERROR((Отчетность_по_периодам!F152-Отчетность_по_периодам!F151)/Отчетность_по_периодам!F178,"неприменимо")</f>
        <v>35.638119866139334</v>
      </c>
      <c r="G68" s="68">
        <f ca="1">IFERROR((Отчетность_по_периодам!G152-Отчетность_по_периодам!G151)/Отчетность_по_периодам!G178,"неприменимо")</f>
        <v>18.245516793011905</v>
      </c>
      <c r="H68" s="68">
        <f ca="1">IFERROR((Отчетность_по_периодам!H152-Отчетность_по_периодам!H151)/Отчетность_по_периодам!H178,"неприменимо")</f>
        <v>12.715086971199117</v>
      </c>
      <c r="I68" s="68">
        <f ca="1">IFERROR((Отчетность_по_периодам!I152-Отчетность_по_периодам!I151)/Отчетность_по_периодам!I178,"неприменимо")</f>
        <v>22.110955368771883</v>
      </c>
      <c r="J68" s="68">
        <f ca="1">IFERROR((Отчетность_по_периодам!J152-Отчетность_по_периодам!J151)/Отчетность_по_периодам!J178,"неприменимо")</f>
        <v>15.651629283219547</v>
      </c>
      <c r="K68" s="68">
        <f ca="1">IFERROR((Отчетность_по_периодам!K152-Отчетность_по_периодам!K151)/Отчетность_по_периодам!K178,"неприменимо")</f>
        <v>12.274539276972147</v>
      </c>
      <c r="L68" s="68">
        <f ca="1">IFERROR((Отчетность_по_периодам!L152-Отчетность_по_периодам!L151)/Отчетность_по_периодам!L178,"неприменимо")</f>
        <v>15.309350293057754</v>
      </c>
      <c r="M68" s="68">
        <f ca="1">IFERROR((Отчетность_по_периодам!M152-Отчетность_по_периодам!M151)/Отчетность_по_периодам!M178,"неприменимо")</f>
        <v>13.51576788985189</v>
      </c>
      <c r="N68" s="68">
        <f ca="1">IFERROR((Отчетность_по_периодам!N152-Отчетность_по_периодам!N151)/Отчетность_по_периодам!N178,"неприменимо")</f>
        <v>12.053120558855762</v>
      </c>
      <c r="O68" s="68">
        <f ca="1">IFERROR((Отчетность_по_периодам!O152-Отчетность_по_периодам!O151)/Отчетность_по_периодам!O178,"неприменимо")</f>
        <v>13.925107696338333</v>
      </c>
      <c r="P68" s="68">
        <f ca="1">IFERROR((Отчетность_по_периодам!P152-Отчетность_по_периодам!P151)/Отчетность_по_периодам!P178,"неприменимо")</f>
        <v>12.963490641081204</v>
      </c>
      <c r="Q68" s="68" t="str">
        <f ca="1">IFERROR((Отчетность_по_периодам!Q152-Отчетность_по_периодам!Q151)/Отчетность_по_периодам!Q178,"неприменимо")</f>
        <v>неприменимо</v>
      </c>
      <c r="R68" s="68">
        <f ca="1">IFERROR((Отчетность_по_периодам!R152-Отчетность_по_периодам!R151)/Отчетность_по_периодам!R178,"неприменимо")</f>
        <v>2.9160857038054511</v>
      </c>
      <c r="S68" s="68">
        <f ca="1">IFERROR((Отчетность_по_периодам!S152-Отчетность_по_периодам!S151)/Отчетность_по_периодам!S178,"неприменимо")</f>
        <v>2.8580811777441659</v>
      </c>
      <c r="T68" s="68">
        <f ca="1">IFERROR((Отчетность_по_периодам!T152-Отчетность_по_периодам!T151)/Отчетность_по_периодам!T178,"неприменимо")</f>
        <v>2.3966586726195782</v>
      </c>
      <c r="U68" s="68">
        <f ca="1">IFERROR((Отчетность_по_периодам!U152-Отчетность_по_периодам!U151)/Отчетность_по_периодам!U178,"неприменимо")</f>
        <v>2.5182500464551421</v>
      </c>
      <c r="V68" s="68">
        <f ca="1">IFERROR((Отчетность_по_периодам!V152-Отчетность_по_периодам!V151)/Отчетность_по_периодам!V178,"неприменимо")</f>
        <v>2.5988392554810948</v>
      </c>
      <c r="W68" s="68">
        <f ca="1">IFERROR((Отчетность_по_периодам!W152-Отчетность_по_периодам!W151)/Отчетность_по_периодам!W178,"неприменимо")</f>
        <v>2.3593774030502281</v>
      </c>
      <c r="X68" s="68">
        <f ca="1">IFERROR((Отчетность_по_периодам!X152-Отчетность_по_периодам!X151)/Отчетность_по_периодам!X178,"неприменимо")</f>
        <v>2.4848124964409708</v>
      </c>
      <c r="Y68" s="68">
        <f ca="1">IFERROR((Отчетность_по_периодам!Y152-Отчетность_по_периодам!Y151)/Отчетность_по_периодам!Y178,"неприменимо")</f>
        <v>2.5186270562063533</v>
      </c>
      <c r="Z68" s="68">
        <f ca="1">IFERROR((Отчетность_по_периодам!Z152-Отчетность_по_периодам!Z151)/Отчетность_по_периодам!Z178,"неприменимо")</f>
        <v>2.3978479309206038</v>
      </c>
      <c r="AA68" s="68">
        <f ca="1">IFERROR((Отчетность_по_периодам!AA152-Отчетность_по_периодам!AA151)/Отчетность_по_периодам!AA178,"неприменимо")</f>
        <v>2.4800633376230894</v>
      </c>
      <c r="AB68" s="68">
        <f ca="1">IFERROR((Отчетность_по_периодам!AB152-Отчетность_по_периодам!AB151)/Отчетность_по_периодам!AB178,"неприменимо")</f>
        <v>2.4116918805197525</v>
      </c>
      <c r="AC68" s="68">
        <f ca="1">IFERROR((Отчетность_по_периодам!AC152-Отчетность_по_периодам!AC151)/Отчетность_по_периодам!AC178,"неприменимо")</f>
        <v>2.6813494556395736</v>
      </c>
      <c r="AD68" s="68">
        <f ca="1">IFERROR((Отчетность_по_периодам!AD152-Отчетность_по_периодам!AD151)/Отчетность_по_периодам!AD178,"неприменимо")</f>
        <v>2.5273720528784596</v>
      </c>
      <c r="AE68" s="68">
        <f ca="1">IFERROR((Отчетность_по_периодам!AE152-Отчетность_по_периодам!AE151)/Отчетность_по_периодам!AE178,"неприменимо")</f>
        <v>2.5381841445125453</v>
      </c>
      <c r="AF68" s="68">
        <f ca="1">IFERROR((Отчетность_по_периодам!AF152-Отчетность_по_периодам!AF151)/Отчетность_по_периодам!AF178,"неприменимо")</f>
        <v>2.4662471872440599</v>
      </c>
      <c r="AG68" s="68">
        <f ca="1">IFERROR((Отчетность_по_периодам!AG152-Отчетность_по_периодам!AG151)/Отчетность_по_периодам!AG178,"неприменимо")</f>
        <v>2.5466211347861321</v>
      </c>
      <c r="AH68" s="68">
        <f ca="1">IFERROR((Отчетность_по_периодам!AH152-Отчетность_по_периодам!AH151)/Отчетность_по_периодам!AH178,"неприменимо")</f>
        <v>2.5983201566425258</v>
      </c>
      <c r="AI68" s="68">
        <f ca="1">IFERROR((Отчетность_по_периодам!AI152-Отчетность_по_периодам!AI151)/Отчетность_по_периодам!AI178,"неприменимо")</f>
        <v>2.6230886817315069</v>
      </c>
      <c r="AJ68" s="68">
        <f ca="1">IFERROR((Отчетность_по_периодам!AJ152-Отчетность_по_периодам!AJ151)/Отчетность_по_периодам!AJ178,"неприменимо")</f>
        <v>2.8035569803637599</v>
      </c>
      <c r="AK68" s="68">
        <f ca="1">IFERROR((Отчетность_по_периодам!AK152-Отчетность_по_периодам!AK151)/Отчетность_по_периодам!AK178,"неприменимо")</f>
        <v>2.8956840218268742</v>
      </c>
      <c r="AL68" s="68">
        <f ca="1">IFERROR((Отчетность_по_периодам!AL152-Отчетность_по_периодам!AL151)/Отчетность_по_периодам!AL178,"неприменимо")</f>
        <v>2.8804135373501976</v>
      </c>
      <c r="AM68" s="68">
        <f ca="1">IFERROR((Отчетность_по_периодам!AM152-Отчетность_по_периодам!AM151)/Отчетность_по_периодам!AM178,"неприменимо")</f>
        <v>3.1418141416538532</v>
      </c>
      <c r="AN68" s="68">
        <f ca="1">IFERROR((Отчетность_по_периодам!AN152-Отчетность_по_периодам!AN151)/Отчетность_по_периодам!AN178,"неприменимо")</f>
        <v>3.2347987290410298</v>
      </c>
      <c r="AO68" s="68">
        <f ca="1">IFERROR((Отчетность_по_периодам!AO152-Отчетность_по_периодам!AO151)/Отчетность_по_периодам!AO178,"неприменимо")</f>
        <v>3.7860849287804261</v>
      </c>
      <c r="AP68" s="68">
        <f ca="1">IFERROR((Отчетность_по_периодам!AP152-Отчетность_по_периодам!AP151)/Отчетность_по_периодам!AP178,"неприменимо")</f>
        <v>4.1633098422021524</v>
      </c>
      <c r="AQ68" s="68">
        <f ca="1">IFERROR((Отчетность_по_периодам!AQ152-Отчетность_по_периодам!AQ151)/Отчетность_по_периодам!AQ178,"неприменимо")</f>
        <v>4.7327609875905985</v>
      </c>
      <c r="AR68" s="68">
        <f ca="1">IFERROR((Отчетность_по_периодам!AR152-Отчетность_по_периодам!AR151)/Отчетность_по_периодам!AR178,"неприменимо")</f>
        <v>4.3283295516076423</v>
      </c>
      <c r="AS68" s="68">
        <f ca="1">IFERROR((Отчетность_по_периодам!AS152-Отчетность_по_периодам!AS151)/Отчетность_по_периодам!AS178,"неприменимо")</f>
        <v>4.9455825480287343</v>
      </c>
      <c r="AT68" s="68">
        <f ca="1">IFERROR((Отчетность_по_периодам!AT152-Отчетность_по_периодам!AT151)/Отчетность_по_периодам!AT178,"неприменимо")</f>
        <v>5.5231981083462243</v>
      </c>
      <c r="AU68" s="68">
        <f ca="1">IFERROR((Отчетность_по_периодам!AU152-Отчетность_по_периодам!AU151)/Отчетность_по_периодам!AU178,"неприменимо")</f>
        <v>6.0221545845197904</v>
      </c>
      <c r="AV68" s="68">
        <f ca="1">IFERROR((Отчетность_по_периодам!AV152-Отчетность_по_периодам!AV151)/Отчетность_по_периодам!AV178,"неприменимо")</f>
        <v>6.8310108602820714</v>
      </c>
      <c r="AW68" s="68">
        <f ca="1">IFERROR((Отчетность_по_периодам!AW152-Отчетность_по_периодам!AW151)/Отчетность_по_периодам!AW178,"неприменимо")</f>
        <v>7.4178421604150095</v>
      </c>
      <c r="AX68" s="68">
        <f ca="1">IFERROR((Отчетность_по_периодам!AX152-Отчетность_по_периодам!AX151)/Отчетность_по_периодам!AX178,"неприменимо")</f>
        <v>6.6651557914626682</v>
      </c>
      <c r="AY68" s="68">
        <f ca="1">IFERROR((Отчетность_по_периодам!AY152-Отчетность_по_периодам!AY151)/Отчетность_по_периодам!AY178,"неприменимо")</f>
        <v>7.4127208864327097</v>
      </c>
      <c r="AZ68" s="68">
        <f ca="1">IFERROR((Отчетность_по_периодам!AZ152-Отчетность_по_периодам!AZ151)/Отчетность_по_периодам!AZ178,"неприменимо")</f>
        <v>7.7847876870011836</v>
      </c>
      <c r="BA68" s="68">
        <f ca="1">IFERROR((Отчетность_по_периодам!BA152-Отчетность_по_периодам!BA151)/Отчетность_по_периодам!BA178,"неприменимо")</f>
        <v>9.0452357849323946</v>
      </c>
      <c r="BB68" s="68">
        <f ca="1">IFERROR((Отчетность_по_периодам!BB152-Отчетность_по_периодам!BB151)/Отчетность_по_периодам!BB178,"неприменимо")</f>
        <v>9.8521632868396978</v>
      </c>
      <c r="BC68" s="68">
        <f ca="1">IFERROR((Отчетность_по_периодам!BC152-Отчетность_по_периодам!BC151)/Отчетность_по_периодам!BC178,"неприменимо")</f>
        <v>11.073026405372669</v>
      </c>
      <c r="BD68" s="68">
        <f ca="1">IFERROR((Отчетность_по_периодам!BD152-Отчетность_по_периодам!BD151)/Отчетность_по_периодам!BD178,"неприменимо")</f>
        <v>9.1882095164658963</v>
      </c>
      <c r="BE68" s="68">
        <f ca="1">IFERROR((Отчетность_по_периодам!BE152-Отчетность_по_периодам!BE151)/Отчетность_по_периодам!BE178,"неприменимо")</f>
        <v>10.282226602115166</v>
      </c>
      <c r="BF68" s="68">
        <f ca="1">IFERROR((Отчетность_по_периодам!BF152-Отчетность_по_периодам!BF151)/Отчетность_по_периодам!BF178,"неприменимо")</f>
        <v>11.315701379876838</v>
      </c>
      <c r="BG68" s="68">
        <f ca="1">IFERROR((Отчетность_по_периодам!BG152-Отчетность_по_периодам!BG151)/Отчетность_по_периодам!BG178,"неприменимо")</f>
        <v>12.228310928227499</v>
      </c>
      <c r="BH68" s="68">
        <f ca="1">IFERROR((Отчетность_по_периодам!BH152-Отчетность_по_периодам!BH151)/Отчетность_по_периодам!BH178,"неприменимо")</f>
        <v>13.659177092305818</v>
      </c>
      <c r="BI68" s="68">
        <f ca="1">IFERROR((Отчетность_по_периодам!BI152-Отчетность_по_периодам!BI151)/Отчетность_по_периодам!BI178,"неприменимо")</f>
        <v>14.721499621089423</v>
      </c>
      <c r="BJ68" s="68">
        <f ca="1">IFERROR((Отчетность_по_периодам!BJ152-Отчетность_по_периодам!BJ151)/Отчетность_по_периодам!BJ178,"неприменимо")</f>
        <v>12.480955838720204</v>
      </c>
      <c r="BK68" s="68">
        <f ca="1">IFERROR((Отчетность_по_периодам!BK152-Отчетность_по_периодам!BK151)/Отчетность_по_периодам!BK178,"неприменимо")</f>
        <v>13.577570757755595</v>
      </c>
      <c r="BL68" s="68">
        <f ca="1">IFERROR((Отчетность_по_периодам!BL152-Отчетность_по_периодам!BL151)/Отчетность_по_периодам!BL178,"неприменимо")</f>
        <v>14.291016980289424</v>
      </c>
      <c r="BM68" s="68">
        <f ca="1">IFERROR((Отчетность_по_периодам!BM152-Отчетность_по_периодам!BM151)/Отчетность_по_периодам!BM178,"неприменимо")</f>
        <v>16.046813198390492</v>
      </c>
      <c r="BN68" s="68">
        <f ca="1">IFERROR((Отчетность_по_периодам!BN152-Отчетность_по_периодам!BN151)/Отчетность_по_периодам!BN178,"неприменимо")</f>
        <v>17.15779096920226</v>
      </c>
      <c r="BO68" s="68">
        <f ca="1">IFERROR((Отчетность_по_периодам!BO152-Отчетность_по_периодам!BO151)/Отчетность_по_периодам!BO178,"неприменимо")</f>
        <v>18.997071519046994</v>
      </c>
      <c r="BP68" s="68">
        <f ca="1">IFERROR((Отчетность_по_периодам!BP152-Отчетность_по_периодам!BP151)/Отчетность_по_периодам!BP178,"неприменимо")</f>
        <v>15.418761581944294</v>
      </c>
      <c r="BQ68" s="68">
        <f ca="1">IFERROR((Отчетность_по_периодам!BQ152-Отчетность_по_периодам!BQ151)/Отчетность_по_периодам!BQ178,"неприменимо")</f>
        <v>16.879424916968134</v>
      </c>
      <c r="BR68" s="68">
        <f ca="1">IFERROR((Отчетность_по_периодам!BR152-Отчетность_по_периодам!BR151)/Отчетность_по_периодам!BR178,"неприменимо")</f>
        <v>18.212103244520282</v>
      </c>
      <c r="BS68" s="68">
        <f ca="1">IFERROR((Отчетность_по_периодам!BS152-Отчетность_по_периодам!BS151)/Отчетность_по_периодам!BS178,"неприменимо")</f>
        <v>19.331638865450646</v>
      </c>
      <c r="BT68" s="68">
        <f ca="1">IFERROR((Отчетность_по_периодам!BT152-Отчетность_по_периодам!BT151)/Отчетность_по_периодам!BT178,"неприменимо")</f>
        <v>21.310614477661378</v>
      </c>
      <c r="BU68" s="68">
        <f ca="1">IFERROR((Отчетность_по_периодам!BU152-Отчетность_по_периодам!BU151)/Отчетность_по_периодам!BU178,"неприменимо")</f>
        <v>22.69619922322925</v>
      </c>
      <c r="BV68" s="68">
        <f ca="1">IFERROR((Отчетность_по_периодам!BV152-Отчетность_по_периодам!BV151)/Отчетность_по_периодам!BV178,"неприменимо")</f>
        <v>18.927930374692139</v>
      </c>
      <c r="BW68" s="68">
        <f ca="1">IFERROR((Отчетность_по_периодам!BW152-Отчетность_по_периодам!BW151)/Отчетность_по_периодам!BW178,"неприменимо")</f>
        <v>20.360055978976781</v>
      </c>
      <c r="BX68" s="68">
        <f ca="1">IFERROR((Отчетность_по_периодам!BX152-Отчетность_по_периодам!BX151)/Отчетность_по_периодам!BX178,"неприменимо")</f>
        <v>20.83887089050587</v>
      </c>
      <c r="BY68" s="68">
        <f ca="1">IFERROR((Отчетность_по_периодам!BY152-Отчетность_по_периодам!BY151)/Отчетность_по_периодам!BY178,"неприменимо")</f>
        <v>23.584882983288864</v>
      </c>
      <c r="BZ68" s="68">
        <f ca="1">IFERROR((Отчетность_по_периодам!BZ152-Отчетность_по_периодам!BZ151)/Отчетность_по_периодам!BZ178,"неприменимо")</f>
        <v>24.992635757811563</v>
      </c>
      <c r="CA68" s="68">
        <f ca="1">IFERROR((Отчетность_по_периодам!CA152-Отчетность_по_периодам!CA151)/Отчетность_по_периодам!CA178,"неприменимо")</f>
        <v>27.444032736903637</v>
      </c>
      <c r="CB68" s="68">
        <f ca="1">IFERROR((Отчетность_по_периодам!CB152-Отчетность_по_периодам!CB151)/Отчетность_по_периодам!CB178,"неприменимо")</f>
        <v>22.002748068364671</v>
      </c>
      <c r="CC68" s="68">
        <f ca="1">IFERROR((Отчетность_по_периодам!CC152-Отчетность_по_периодам!CC151)/Отчетность_по_периодам!CC178,"неприменимо")</f>
        <v>23.901627844794412</v>
      </c>
      <c r="CD68" s="68">
        <f ca="1">IFERROR((Отчетность_по_периодам!CD152-Отчетность_по_периодам!CD151)/Отчетность_по_периодам!CD178,"неприменимо")</f>
        <v>25.602914969945903</v>
      </c>
      <c r="CE68" s="68">
        <f ca="1">IFERROR((Отчетность_по_периодам!CE152-Отчетность_по_периодам!CE151)/Отчетность_по_периодам!CE178,"неприменимо")</f>
        <v>26.992739470871687</v>
      </c>
      <c r="CF68" s="68">
        <f ca="1">IFERROR((Отчетность_по_периодам!CF152-Отчетность_по_периодам!CF151)/Отчетность_по_периодам!CF178,"неприменимо")</f>
        <v>29.477770797771804</v>
      </c>
      <c r="CG68" s="68">
        <f ca="1">IFERROR((Отчетность_по_периодам!CG152-Отчетность_по_периодам!CG151)/Отчетность_по_периодам!CG178,"неприменимо")</f>
        <v>31.119589063781262</v>
      </c>
      <c r="CH68" s="68">
        <f ca="1">IFERROR((Отчетность_по_периодам!CH152-Отчетность_по_периодам!CH151)/Отчетность_по_периодам!CH178,"неприменимо")</f>
        <v>25.652569993849646</v>
      </c>
      <c r="CI68" s="68">
        <f ca="1">IFERROR((Отчетность_по_периодам!CI152-Отчетность_по_периодам!CI151)/Отчетность_по_периодам!CI178,"неприменимо")</f>
        <v>27.370761035273748</v>
      </c>
      <c r="CJ68" s="68">
        <f ca="1">IFERROR((Отчетность_по_периодам!CJ152-Отчетность_по_периодам!CJ151)/Отчетность_по_периодам!CJ178,"неприменимо")</f>
        <v>27.801085368572615</v>
      </c>
      <c r="CK68" s="68">
        <f ca="1">IFERROR((Отчетность_по_периодам!CK152-Отчетность_по_периодам!CK151)/Отчетность_по_периодам!CK178,"неприменимо")</f>
        <v>31.239536499859739</v>
      </c>
    </row>
    <row r="69" spans="2:89">
      <c r="B69" s="61" t="s">
        <v>206</v>
      </c>
      <c r="C69" s="62"/>
      <c r="D69" s="63"/>
      <c r="E69" s="64"/>
      <c r="F69" s="68">
        <f ca="1">IFERROR(Отчетность_по_периодам!F147/Отчетность_по_периодам!F178,"неприменимо")</f>
        <v>23.638119866139334</v>
      </c>
      <c r="G69" s="68">
        <f ca="1">IFERROR(Отчетность_по_периодам!G147/Отчетность_по_периодам!G178,"неприменимо")</f>
        <v>6.2455167930119053</v>
      </c>
      <c r="H69" s="68">
        <f ca="1">IFERROR(Отчетность_по_периодам!H147/Отчетность_по_периодам!H178,"неприменимо")</f>
        <v>0.71508697119911768</v>
      </c>
      <c r="I69" s="68">
        <f ca="1">IFERROR(Отчетность_по_периодам!I147/Отчетность_по_периодам!I178,"неприменимо")</f>
        <v>10.110955368771881</v>
      </c>
      <c r="J69" s="68">
        <f ca="1">IFERROR(Отчетность_по_периодам!J147/Отчетность_по_периодам!J178,"неприменимо")</f>
        <v>3.6516292832195485</v>
      </c>
      <c r="K69" s="68">
        <f ca="1">IFERROR(Отчетность_по_периодам!K147/Отчетность_по_периодам!K178,"неприменимо")</f>
        <v>0.27453927697214631</v>
      </c>
      <c r="L69" s="68">
        <f ca="1">IFERROR(Отчетность_по_периодам!L147/Отчетность_по_периодам!L178,"неприменимо")</f>
        <v>3.3093502930577547</v>
      </c>
      <c r="M69" s="68">
        <f ca="1">IFERROR(Отчетность_по_периодам!M147/Отчетность_по_периодам!M178,"неприменимо")</f>
        <v>1.5157678898518918</v>
      </c>
      <c r="N69" s="68">
        <f ca="1">IFERROR(Отчетность_по_периодам!N147/Отчетность_по_периодам!N178,"неприменимо")</f>
        <v>5.3120558855761939E-2</v>
      </c>
      <c r="O69" s="68">
        <f ca="1">IFERROR(Отчетность_по_периодам!O147/Отчетность_по_периодам!O178,"неприменимо")</f>
        <v>1.9251076963383316</v>
      </c>
      <c r="P69" s="68">
        <f ca="1">IFERROR(Отчетность_по_периодам!P147/Отчетность_по_периодам!P178,"неприменимо")</f>
        <v>0.96349064108120097</v>
      </c>
      <c r="Q69" s="68" t="str">
        <f ca="1">IFERROR(Отчетность_по_периодам!Q147/Отчетность_по_периодам!Q178,"неприменимо")</f>
        <v>неприменимо</v>
      </c>
      <c r="R69" s="68">
        <f ca="1">IFERROR(Отчетность_по_периодам!R147/Отчетность_по_периодам!R178,"неприменимо")</f>
        <v>0.81291440805715165</v>
      </c>
      <c r="S69" s="68">
        <f ca="1">IFERROR(Отчетность_по_периодам!S147/Отчетность_по_периодам!S178,"неприменимо")</f>
        <v>0.92283858604711888</v>
      </c>
      <c r="T69" s="68">
        <f ca="1">IFERROR(Отчетность_по_периодам!T147/Отчетность_по_периодам!T178,"неприменимо")</f>
        <v>0.77490754945443296</v>
      </c>
      <c r="U69" s="68">
        <f ca="1">IFERROR(Отчетность_по_периодам!U147/Отчетность_по_периодам!U178,"неприменимо")</f>
        <v>0.85361284207498034</v>
      </c>
      <c r="V69" s="68">
        <f ca="1">IFERROR(Отчетность_по_периодам!V147/Отчетность_по_периодам!V178,"неприменимо")</f>
        <v>0.86789109006122833</v>
      </c>
      <c r="W69" s="68">
        <f ca="1">IFERROR(Отчетность_по_периодам!W147/Отчетность_по_периодам!W178,"неприменимо")</f>
        <v>0.72911239784716464</v>
      </c>
      <c r="X69" s="68">
        <f ca="1">IFERROR(Отчетность_по_периодам!X147/Отчетность_по_периодам!X178,"неприменимо")</f>
        <v>0.81400880030647282</v>
      </c>
      <c r="Y69" s="68">
        <f ca="1">IFERROR(Отчетность_по_периодам!Y147/Отчетность_по_периодам!Y178,"неприменимо")</f>
        <v>0.76637069630268762</v>
      </c>
      <c r="Z69" s="68">
        <f ca="1">IFERROR(Отчетность_по_периодам!Z147/Отчетность_по_периодам!Z178,"неприменимо")</f>
        <v>0.77837581153000501</v>
      </c>
      <c r="AA69" s="68">
        <f ca="1">IFERROR(Отчетность_по_периодам!AA147/Отчетность_по_периодам!AA178,"неприменимо")</f>
        <v>0.8031674683097082</v>
      </c>
      <c r="AB69" s="68">
        <f ca="1">IFERROR(Отчетность_по_периодам!AB147/Отчетность_по_периодам!AB178,"неприменимо")</f>
        <v>0.61922977021887804</v>
      </c>
      <c r="AC69" s="68">
        <f ca="1">IFERROR(Отчетность_по_периодам!AC147/Отчетность_по_периодам!AC178,"неприменимо")</f>
        <v>0.87965139167538442</v>
      </c>
      <c r="AD69" s="68">
        <f ca="1">IFERROR(Отчетность_по_периодам!AD147/Отчетность_по_периодам!AD178,"неприменимо")</f>
        <v>0.61498488914325633</v>
      </c>
      <c r="AE69" s="68">
        <f ca="1">IFERROR(Отчетность_по_периодам!AE147/Отчетность_по_периодам!AE178,"неприменимо")</f>
        <v>0.65829109682921894</v>
      </c>
      <c r="AF69" s="68">
        <f ca="1">IFERROR(Отчетность_по_периодам!AF147/Отчетность_по_периодам!AF178,"неприменимо")</f>
        <v>0.58170868184184776</v>
      </c>
      <c r="AG69" s="68">
        <f ca="1">IFERROR(Отчетность_по_периодам!AG147/Отчетность_по_периодам!AG178,"неприменимо")</f>
        <v>0.66762602414887995</v>
      </c>
      <c r="AH69" s="68">
        <f ca="1">IFERROR(Отчетность_по_периодам!AH147/Отчетность_по_периодам!AH178,"неприменимо")</f>
        <v>0.70781469989020651</v>
      </c>
      <c r="AI69" s="68">
        <f ca="1">IFERROR(Отчетность_по_периодам!AI147/Отчетность_по_периодам!AI178,"неприменимо")</f>
        <v>0.7047482257062051</v>
      </c>
      <c r="AJ69" s="68">
        <f ca="1">IFERROR(Отчетность_по_периодам!AJ147/Отчетность_по_периодам!AJ178,"неприменимо")</f>
        <v>0.8819083161617508</v>
      </c>
      <c r="AK69" s="68">
        <f ca="1">IFERROR(Отчетность_по_периодам!AK147/Отчетность_по_периодам!AK178,"неприменимо")</f>
        <v>0.93602196255884396</v>
      </c>
      <c r="AL69" s="68">
        <f ca="1">IFERROR(Отчетность_по_периодам!AL147/Отчетность_по_периодам!AL178,"неприменимо")</f>
        <v>1.0888541472448021</v>
      </c>
      <c r="AM69" s="68">
        <f ca="1">IFERROR(Отчетность_по_периодам!AM147/Отчетность_по_периодам!AM178,"неприменимо")</f>
        <v>1.2874268454243982</v>
      </c>
      <c r="AN69" s="68">
        <f ca="1">IFERROR(Отчетность_по_периодам!AN147/Отчетность_по_периодам!AN178,"неприменимо")</f>
        <v>1.2585062017561761</v>
      </c>
      <c r="AO69" s="68">
        <f ca="1">IFERROR(Отчетность_по_периодам!AO147/Отчетность_по_периодам!AO178,"неприменимо")</f>
        <v>1.8262541800643419</v>
      </c>
      <c r="AP69" s="68">
        <f ca="1">IFERROR(Отчетность_по_периодам!AP147/Отчетность_по_периодам!AP178,"неприменимо")</f>
        <v>2.1459886938049579</v>
      </c>
      <c r="AQ69" s="68">
        <f ca="1">IFERROR(Отчетность_по_периодам!AQ147/Отчетность_по_периодам!AQ178,"неприменимо")</f>
        <v>2.7082021913717558</v>
      </c>
      <c r="AR69" s="68">
        <f ca="1">IFERROR(Отчетность_по_периодам!AR147/Отчетность_по_периодам!AR178,"неприменимо")</f>
        <v>2.5770355537000178</v>
      </c>
      <c r="AS69" s="68">
        <f ca="1">IFERROR(Отчетность_по_периодам!AS147/Отчетность_по_периодам!AS178,"неприменимо")</f>
        <v>3.1528208622382161</v>
      </c>
      <c r="AT69" s="68">
        <f ca="1">IFERROR(Отчетность_по_периодам!AT147/Отчетность_по_периодам!AT178,"неприменимо")</f>
        <v>3.6647548405028827</v>
      </c>
      <c r="AU69" s="68">
        <f ca="1">IFERROR(Отчетность_по_периодам!AU147/Отчетность_по_периодам!AU178,"неприменимо")</f>
        <v>4.0750291840985868</v>
      </c>
      <c r="AV69" s="68">
        <f ca="1">IFERROR(Отчетность_по_периодам!AV147/Отчетность_по_периодам!AV178,"неприменимо")</f>
        <v>4.8326282180525242</v>
      </c>
      <c r="AW69" s="68">
        <f ca="1">IFERROR(Отчетность_по_периодам!AW147/Отчетность_по_периодам!AW178,"неприменимо")</f>
        <v>5.3188823962157041</v>
      </c>
      <c r="AX69" s="68">
        <f ca="1">IFERROR(Отчетность_по_периодам!AX147/Отчетность_по_периодам!AX178,"неприменимо")</f>
        <v>4.950699868021367</v>
      </c>
      <c r="AY69" s="68">
        <f ca="1">IFERROR(Отчетность_по_периодам!AY147/Отчетность_по_периодам!AY178,"неприменимо")</f>
        <v>5.6131755197825166</v>
      </c>
      <c r="AZ69" s="68">
        <f ca="1">IFERROR(Отчетность_по_периодам!AZ147/Отчетность_по_периодам!AZ178,"неприменимо")</f>
        <v>5.8124472133254717</v>
      </c>
      <c r="BA69" s="68">
        <f ca="1">IFERROR(Отчетность_по_периодам!BA147/Отчетность_по_периодам!BA178,"неприменимо")</f>
        <v>7.0833935724981076</v>
      </c>
      <c r="BB69" s="68">
        <f ca="1">IFERROR(Отчетность_по_периодам!BB147/Отчетность_по_периодам!BB178,"неприменимо")</f>
        <v>7.7949941812404866</v>
      </c>
      <c r="BC69" s="68">
        <f ca="1">IFERROR(Отчетность_по_периодам!BC147/Отчетность_по_периодам!BC178,"неприменимо")</f>
        <v>8.9777422300274008</v>
      </c>
      <c r="BD69" s="68">
        <f ca="1">IFERROR(Отчетность_по_периодам!BD147/Отчетность_по_периодам!BD178,"неприменимо")</f>
        <v>7.4996776269370722</v>
      </c>
      <c r="BE69" s="68">
        <f ca="1">IFERROR(Отчетность_по_периодам!BE147/Отчетность_по_периодам!BE178,"неприменимо")</f>
        <v>8.5542327969326806</v>
      </c>
      <c r="BF69" s="68">
        <f ca="1">IFERROR(Отчетность_по_периодам!BF147/Отчетность_по_периодам!BF178,"неприменимо")</f>
        <v>9.513392671055275</v>
      </c>
      <c r="BG69" s="68">
        <f ca="1">IFERROR(Отчетность_по_периодам!BG147/Отчетность_по_периодам!BG178,"неприменимо")</f>
        <v>10.316184388309241</v>
      </c>
      <c r="BH69" s="68">
        <f ca="1">IFERROR(Отчетность_по_периодам!BH147/Отчетность_по_периодам!BH178,"неприменимо")</f>
        <v>11.689602268803867</v>
      </c>
      <c r="BI69" s="68">
        <f ca="1">IFERROR(Отчетность_по_периодам!BI147/Отчетность_по_периодам!BI178,"неприменимо")</f>
        <v>12.627391492303191</v>
      </c>
      <c r="BJ69" s="68">
        <f ca="1">IFERROR(Отчетность_по_периодам!BJ147/Отчетность_по_периодам!BJ178,"неприменимо")</f>
        <v>10.836782758287777</v>
      </c>
      <c r="BK69" s="68">
        <f ca="1">IFERROR(Отчетность_по_периодам!BK147/Отчетность_по_периодам!BK178,"неприменимо")</f>
        <v>11.862437842199254</v>
      </c>
      <c r="BL69" s="68">
        <f ca="1">IFERROR(Отчетность_по_периодам!BL147/Отчетность_по_периодам!BL178,"неприменимо")</f>
        <v>12.438295297440421</v>
      </c>
      <c r="BM69" s="68">
        <f ca="1">IFERROR(Отчетность_по_периодам!BM147/Отчетность_по_периодам!BM178,"неприменимо")</f>
        <v>14.174261799309209</v>
      </c>
      <c r="BN69" s="68">
        <f ca="1">IFERROR(Отчетность_по_периодам!BN147/Отчетность_по_периодам!BN178,"неприменимо")</f>
        <v>15.164788335452419</v>
      </c>
      <c r="BO69" s="68">
        <f ca="1">IFERROR(Отчетность_по_периодам!BO147/Отчетность_по_периодам!BO178,"неприменимо")</f>
        <v>16.936622097646115</v>
      </c>
      <c r="BP69" s="68">
        <f ca="1">IFERROR(Отчетность_по_периодам!BP147/Отчетность_по_периодам!BP178,"неприменимо")</f>
        <v>13.749768814136008</v>
      </c>
      <c r="BQ69" s="68">
        <f ca="1">IFERROR(Отчетность_по_периодам!BQ147/Отчетность_по_периодам!BQ178,"неприменимо")</f>
        <v>15.168995386858724</v>
      </c>
      <c r="BR69" s="68">
        <f ca="1">IFERROR(Отчетность_по_периодам!BR147/Отчетность_по_периодам!BR178,"неприменимо")</f>
        <v>16.425078902139717</v>
      </c>
      <c r="BS69" s="68">
        <f ca="1">IFERROR(Отчетность_по_периодам!BS147/Отчетность_по_периодам!BS178,"неприменимо")</f>
        <v>17.432072955311455</v>
      </c>
      <c r="BT69" s="68">
        <f ca="1">IFERROR(Отчетность_по_периодам!BT147/Отчетность_по_периодам!BT178,"неприменимо")</f>
        <v>19.350226241352022</v>
      </c>
      <c r="BU69" s="68">
        <f ca="1">IFERROR(Отчетность_по_периодам!BU147/Отчетность_по_периодам!BU178,"неприменимо")</f>
        <v>20.607280539328023</v>
      </c>
      <c r="BV69" s="68">
        <f ca="1">IFERROR(Отчетность_по_периодам!BV147/Отчетность_по_периодам!BV178,"неприменимо")</f>
        <v>17.293453525509065</v>
      </c>
      <c r="BW69" s="68">
        <f ca="1">IFERROR(Отчетность_по_периодам!BW147/Отчетность_по_периодам!BW178,"неприменимо")</f>
        <v>18.653702373376223</v>
      </c>
      <c r="BX69" s="68">
        <f ca="1">IFERROR(Отчетность_по_периодам!BX147/Отчетность_по_периодам!BX178,"неприменимо")</f>
        <v>18.961556544211543</v>
      </c>
      <c r="BY69" s="68">
        <f ca="1">IFERROR(Отчетность_по_периодам!BY147/Отчетность_по_периодам!BY178,"неприменимо")</f>
        <v>21.718685538429835</v>
      </c>
      <c r="BZ69" s="68">
        <f ca="1">IFERROR(Отчетность_по_периодам!BZ147/Отчетность_по_периодам!BZ178,"неприменимо")</f>
        <v>23.004380768492734</v>
      </c>
      <c r="CA69" s="68">
        <f ca="1">IFERROR(Отчетность_по_периодам!CA147/Отчетность_по_периодам!CA178,"неприменимо")</f>
        <v>25.386258441199551</v>
      </c>
      <c r="CB69" s="68">
        <f ca="1">IFERROR(Отчетность_по_периодам!CB147/Отчетность_по_периодам!CB178,"неприменимо")</f>
        <v>20.341566631218576</v>
      </c>
      <c r="CC69" s="68">
        <f ca="1">IFERROR(Отчетность_по_периодам!CC147/Отчетность_по_периодам!CC178,"неприменимо")</f>
        <v>22.198216953908982</v>
      </c>
      <c r="CD69" s="68">
        <f ca="1">IFERROR(Отчетность_по_периодам!CD147/Отчетность_по_периодам!CD178,"неприменимо")</f>
        <v>23.822025246686515</v>
      </c>
      <c r="CE69" s="68">
        <f ca="1">IFERROR(Отчетность_по_периодам!CE147/Отчетность_по_периодам!CE178,"неприменимо")</f>
        <v>25.098284344401396</v>
      </c>
      <c r="CF69" s="68">
        <f ca="1">IFERROR(Отчетность_по_периодам!CF147/Отчетность_по_периодам!CF178,"неприменимо")</f>
        <v>27.521136013898101</v>
      </c>
      <c r="CG69" s="68">
        <f ca="1">IFERROR(Отчетность_по_периодам!CG147/Отчетность_по_периодам!CG178,"неприменимо")</f>
        <v>29.032892818982869</v>
      </c>
      <c r="CH69" s="68">
        <f ca="1">IFERROR(Отчетность_по_периодам!CH147/Отчетность_по_периодам!CH178,"неприменимо")</f>
        <v>24.023988619958587</v>
      </c>
      <c r="CI69" s="68">
        <f ca="1">IFERROR(Отчетность_по_периодам!CI147/Отчетность_по_периодам!CI178,"неприменимо")</f>
        <v>25.669768911106939</v>
      </c>
      <c r="CJ69" s="68">
        <f ca="1">IFERROR(Отчетность_по_периодам!CJ147/Отчетность_по_периодам!CJ178,"неприменимо")</f>
        <v>25.9286448633714</v>
      </c>
      <c r="CK69" s="68">
        <f ca="1">IFERROR(Отчетность_по_периодам!CK147/Отчетность_по_периодам!CK178,"неприменимо")</f>
        <v>29.377233385290133</v>
      </c>
    </row>
    <row r="70" spans="2:89"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</row>
    <row r="71" spans="2:89"/>
    <row r="72" spans="2:89"/>
  </sheetData>
  <sheetProtection algorithmName="SHA-512" hashValue="LdBVNs6ZsXzhJGtHyfX560VXI83uCQrlA72cpdoV91LfHGRgpS35HNu8inMzPLG6HvfjA95l3Lnw6SubFURDqw==" saltValue="8yHytEGTSXs8bAHde/bUPA==" spinCount="100000" sheet="1" objects="1" scenarios="1"/>
  <mergeCells count="1">
    <mergeCell ref="E1:G2"/>
  </mergeCells>
  <conditionalFormatting sqref="F13:CK14">
    <cfRule type="cellIs" dxfId="7" priority="2" operator="equal">
      <formula>1</formula>
    </cfRule>
  </conditionalFormatting>
  <conditionalFormatting sqref="K1:K2">
    <cfRule type="expression" dxfId="6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66"/>
  </sheetPr>
  <dimension ref="A1:G24"/>
  <sheetViews>
    <sheetView showGridLines="0" zoomScaleNormal="100" workbookViewId="0">
      <pane ySplit="7" topLeftCell="A8" activePane="bottomLeft" state="frozen"/>
      <selection activeCell="D18" sqref="D18"/>
      <selection pane="bottomLeft" activeCell="B2" sqref="B2"/>
    </sheetView>
  </sheetViews>
  <sheetFormatPr defaultColWidth="0" defaultRowHeight="15" zeroHeight="1"/>
  <cols>
    <col min="1" max="1" width="2.5703125" customWidth="1"/>
    <col min="2" max="2" width="42.7109375" bestFit="1" customWidth="1"/>
    <col min="3" max="6" width="12.85546875" customWidth="1"/>
    <col min="7" max="7" width="2.5703125" customWidth="1"/>
    <col min="8" max="16384" width="9.140625" hidden="1"/>
  </cols>
  <sheetData>
    <row r="1" spans="2:6" ht="12" customHeight="1">
      <c r="C1" s="419" t="s">
        <v>183</v>
      </c>
      <c r="D1" s="11"/>
      <c r="E1" s="12" t="s">
        <v>264</v>
      </c>
    </row>
    <row r="2" spans="2:6" ht="12.75" customHeight="1">
      <c r="C2" s="419"/>
      <c r="D2" s="11"/>
      <c r="E2" s="12" t="str">
        <f>Сценарий_название</f>
        <v>Базовый</v>
      </c>
    </row>
    <row r="3" spans="2:6" ht="12.75" customHeight="1"/>
    <row r="4" spans="2:6" ht="12.75" customHeight="1"/>
    <row r="5" spans="2:6" ht="12.75" customHeight="1"/>
    <row r="6" spans="2:6" ht="23.25">
      <c r="B6" s="10" t="s">
        <v>179</v>
      </c>
    </row>
    <row r="7" spans="2:6" ht="3" customHeight="1"/>
    <row r="8" spans="2:6">
      <c r="B8" s="365" t="s">
        <v>180</v>
      </c>
      <c r="C8" s="366"/>
      <c r="D8" s="367"/>
      <c r="E8" s="1" t="s">
        <v>181</v>
      </c>
      <c r="F8" s="1" t="s">
        <v>209</v>
      </c>
    </row>
    <row r="9" spans="2:6">
      <c r="B9" s="2" t="s">
        <v>216</v>
      </c>
      <c r="C9" s="3"/>
      <c r="D9" s="4"/>
      <c r="E9" s="5">
        <f>IF(SUM(Предпосылки!C50:D50)&gt;MIN(Время!E31,Инвестиции:Отчетность_по_периодам!E21,Коэффициенты!E31),0,1)</f>
        <v>1</v>
      </c>
      <c r="F9" s="5" t="str">
        <f>IF(E9=1,"пройдена","ошибка!")</f>
        <v>пройдена</v>
      </c>
    </row>
    <row r="10" spans="2:6">
      <c r="B10" s="2" t="s">
        <v>215</v>
      </c>
      <c r="C10" s="3"/>
      <c r="D10" s="4"/>
      <c r="E10" s="5">
        <f>Инвестиции!E56</f>
        <v>1</v>
      </c>
      <c r="F10" s="5" t="str">
        <f t="shared" ref="F10:F20" si="0">IF(E10=1,"пройдена","ошибка!")</f>
        <v>пройдена</v>
      </c>
    </row>
    <row r="11" spans="2:6">
      <c r="B11" s="2" t="s">
        <v>291</v>
      </c>
      <c r="C11" s="3"/>
      <c r="D11" s="4"/>
      <c r="E11" s="5">
        <f>Инвестиции!E117</f>
        <v>1</v>
      </c>
      <c r="F11" s="5" t="str">
        <f t="shared" si="0"/>
        <v>пройдена</v>
      </c>
    </row>
    <row r="12" spans="2:6">
      <c r="B12" s="2" t="s">
        <v>755</v>
      </c>
      <c r="C12" s="3"/>
      <c r="D12" s="4"/>
      <c r="E12" s="5">
        <f>Финансирование!E73</f>
        <v>1</v>
      </c>
      <c r="F12" s="5" t="str">
        <f t="shared" si="0"/>
        <v>пройдена</v>
      </c>
    </row>
    <row r="13" spans="2:6">
      <c r="B13" s="2" t="s">
        <v>591</v>
      </c>
      <c r="C13" s="3"/>
      <c r="D13" s="4"/>
      <c r="E13" s="5">
        <f ca="1">Отчетность_по_годам!E52</f>
        <v>1</v>
      </c>
      <c r="F13" s="5" t="str">
        <f t="shared" ca="1" si="0"/>
        <v>пройдена</v>
      </c>
    </row>
    <row r="14" spans="2:6">
      <c r="B14" s="2" t="s">
        <v>592</v>
      </c>
      <c r="C14" s="3"/>
      <c r="D14" s="4"/>
      <c r="E14" s="5">
        <f ca="1">Отчетность_по_годам!E121</f>
        <v>1</v>
      </c>
      <c r="F14" s="5" t="str">
        <f t="shared" ca="1" si="0"/>
        <v>пройдена</v>
      </c>
    </row>
    <row r="15" spans="2:6">
      <c r="B15" s="2" t="s">
        <v>593</v>
      </c>
      <c r="C15" s="3"/>
      <c r="D15" s="4"/>
      <c r="E15" s="5">
        <f ca="1">Отчетность_по_периодам!E134</f>
        <v>1</v>
      </c>
      <c r="F15" s="5" t="str">
        <f t="shared" ca="1" si="0"/>
        <v>пройдена</v>
      </c>
    </row>
    <row r="16" spans="2:6">
      <c r="B16" s="2" t="s">
        <v>594</v>
      </c>
      <c r="C16" s="3"/>
      <c r="D16" s="4"/>
      <c r="E16" s="5">
        <f ca="1">Отчетность_по_периодам!E184</f>
        <v>1</v>
      </c>
      <c r="F16" s="5" t="str">
        <f t="shared" ca="1" si="0"/>
        <v>пройдена</v>
      </c>
    </row>
    <row r="17" spans="2:6">
      <c r="B17" s="2" t="s">
        <v>595</v>
      </c>
      <c r="C17" s="3"/>
      <c r="D17" s="4"/>
      <c r="E17" s="5">
        <f ca="1">Отчетность_по_годам!E171</f>
        <v>1</v>
      </c>
      <c r="F17" s="5" t="str">
        <f t="shared" ca="1" si="0"/>
        <v>пройдена</v>
      </c>
    </row>
    <row r="18" spans="2:6">
      <c r="B18" s="2" t="s">
        <v>596</v>
      </c>
      <c r="C18" s="3"/>
      <c r="D18" s="4"/>
      <c r="E18" s="5">
        <f ca="1">Отчетность_по_годам!E226</f>
        <v>1</v>
      </c>
      <c r="F18" s="5" t="str">
        <f t="shared" ca="1" si="0"/>
        <v>пройдена</v>
      </c>
    </row>
    <row r="19" spans="2:6" ht="14.45" customHeight="1">
      <c r="B19" s="2" t="s">
        <v>597</v>
      </c>
      <c r="C19" s="3"/>
      <c r="D19" s="4"/>
      <c r="E19" s="5">
        <f ca="1">Отчетность_по_годам!E227</f>
        <v>1</v>
      </c>
      <c r="F19" s="5" t="str">
        <f t="shared" ca="1" si="0"/>
        <v>пройдена</v>
      </c>
    </row>
    <row r="20" spans="2:6">
      <c r="B20" s="6" t="s">
        <v>598</v>
      </c>
      <c r="C20" s="7"/>
      <c r="D20" s="8"/>
      <c r="E20" s="9">
        <f ca="1">(COUNTIF(E9:E19,1)=COUNT(E9:E19))*1</f>
        <v>1</v>
      </c>
      <c r="F20" s="9" t="str">
        <f t="shared" ca="1" si="0"/>
        <v>пройдена</v>
      </c>
    </row>
    <row r="21" spans="2:6"/>
    <row r="22" spans="2:6"/>
    <row r="23" spans="2:6"/>
    <row r="24" spans="2:6"/>
  </sheetData>
  <sheetProtection algorithmName="SHA-512" hashValue="8B5BohHFy2oUeifwiGUbyjfYP1V86kkCdcw7lxxth6rbArNKjvZqlL7CYPv8Wo68iqCNKToq/wZlXC00PnbCDQ==" saltValue="miO73N76dZINWufR9LCihg==" spinCount="100000" sheet="1" objects="1" scenarios="1"/>
  <mergeCells count="2">
    <mergeCell ref="B8:D8"/>
    <mergeCell ref="C1:C2"/>
  </mergeCells>
  <conditionalFormatting sqref="E13:E16 E18:E19">
    <cfRule type="cellIs" dxfId="5" priority="6" operator="equal">
      <formula>0</formula>
    </cfRule>
  </conditionalFormatting>
  <conditionalFormatting sqref="E9">
    <cfRule type="cellIs" dxfId="4" priority="5" operator="equal">
      <formula>0</formula>
    </cfRule>
  </conditionalFormatting>
  <conditionalFormatting sqref="E17">
    <cfRule type="cellIs" dxfId="3" priority="4" operator="equal">
      <formula>0</formula>
    </cfRule>
  </conditionalFormatting>
  <conditionalFormatting sqref="E10">
    <cfRule type="cellIs" dxfId="2" priority="3" operator="equal">
      <formula>0</formula>
    </cfRule>
  </conditionalFormatting>
  <conditionalFormatting sqref="E11:E12">
    <cfRule type="cellIs" dxfId="1" priority="2" operator="equal">
      <formula>0</formula>
    </cfRule>
  </conditionalFormatting>
  <conditionalFormatting sqref="E20">
    <cfRule type="cellIs" dxfId="0" priority="1" operator="equal">
      <formula>0</formula>
    </cfRule>
  </conditionalFormatting>
  <hyperlinks>
    <hyperlink ref="E1:E2" location="Лист_Сценарии" tooltip="нажмите для перехода к сценариям" display="Текущий сценарий:"/>
    <hyperlink ref="C1:C2" location="Лист_Оглавление" tooltip="нажмите для перехода к оглавлению" display="Æ   Оглавление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9900"/>
  </sheetPr>
  <dimension ref="A1:D29"/>
  <sheetViews>
    <sheetView showGridLines="0" zoomScaleNormal="100" workbookViewId="0">
      <pane ySplit="5" topLeftCell="A24" activePane="bottomLeft" state="frozen"/>
      <selection activeCell="D18" sqref="D18"/>
      <selection pane="bottomLeft" activeCell="B8" sqref="B8"/>
    </sheetView>
  </sheetViews>
  <sheetFormatPr defaultColWidth="0" defaultRowHeight="15" zeroHeight="1"/>
  <cols>
    <col min="1" max="1" width="2.5703125" customWidth="1"/>
    <col min="2" max="2" width="33.85546875" bestFit="1" customWidth="1"/>
    <col min="3" max="3" width="98.7109375" customWidth="1"/>
    <col min="4" max="4" width="2.5703125" customWidth="1"/>
    <col min="5" max="16384" width="9.140625" hidden="1"/>
  </cols>
  <sheetData>
    <row r="1" spans="2:3" ht="12" customHeight="1"/>
    <row r="2" spans="2:3" ht="12.75" customHeight="1"/>
    <row r="3" spans="2:3" ht="23.25">
      <c r="B3" s="10" t="s">
        <v>183</v>
      </c>
      <c r="C3" s="13"/>
    </row>
    <row r="4" spans="2:3" ht="3" customHeight="1">
      <c r="B4" s="254"/>
      <c r="C4" s="254"/>
    </row>
    <row r="5" spans="2:3">
      <c r="B5" s="14" t="s">
        <v>678</v>
      </c>
      <c r="C5" s="14"/>
    </row>
    <row r="6" spans="2:3">
      <c r="B6" s="254"/>
      <c r="C6" s="254"/>
    </row>
    <row r="7" spans="2:3">
      <c r="B7" s="345" t="s">
        <v>183</v>
      </c>
      <c r="C7" s="346" t="s">
        <v>664</v>
      </c>
    </row>
    <row r="8" spans="2:3" ht="25.5">
      <c r="B8" s="345" t="s">
        <v>182</v>
      </c>
      <c r="C8" s="346" t="s">
        <v>681</v>
      </c>
    </row>
    <row r="9" spans="2:3" ht="25.5">
      <c r="B9" s="345" t="s">
        <v>190</v>
      </c>
      <c r="C9" s="346" t="s">
        <v>682</v>
      </c>
    </row>
    <row r="10" spans="2:3" ht="25.5">
      <c r="B10" s="345" t="s">
        <v>189</v>
      </c>
      <c r="C10" s="346" t="s">
        <v>665</v>
      </c>
    </row>
    <row r="11" spans="2:3">
      <c r="B11" s="345" t="s">
        <v>661</v>
      </c>
      <c r="C11" s="346" t="s">
        <v>666</v>
      </c>
    </row>
    <row r="12" spans="2:3" ht="25.5">
      <c r="B12" s="345" t="s">
        <v>1</v>
      </c>
      <c r="C12" s="346" t="s">
        <v>667</v>
      </c>
    </row>
    <row r="13" spans="2:3" ht="25.5">
      <c r="B13" s="345" t="s">
        <v>250</v>
      </c>
      <c r="C13" s="346" t="s">
        <v>668</v>
      </c>
    </row>
    <row r="14" spans="2:3">
      <c r="B14" s="345" t="s">
        <v>59</v>
      </c>
      <c r="C14" s="346" t="s">
        <v>669</v>
      </c>
    </row>
    <row r="15" spans="2:3" ht="25.5">
      <c r="B15" s="345" t="s">
        <v>24</v>
      </c>
      <c r="C15" s="346" t="s">
        <v>677</v>
      </c>
    </row>
    <row r="16" spans="2:3" ht="25.5">
      <c r="B16" s="345" t="s">
        <v>92</v>
      </c>
      <c r="C16" s="346" t="s">
        <v>670</v>
      </c>
    </row>
    <row r="17" spans="2:3" ht="25.5">
      <c r="B17" s="345" t="s">
        <v>663</v>
      </c>
      <c r="C17" s="346" t="s">
        <v>671</v>
      </c>
    </row>
    <row r="18" spans="2:3" ht="25.5">
      <c r="B18" s="345" t="s">
        <v>570</v>
      </c>
      <c r="C18" s="346" t="s">
        <v>672</v>
      </c>
    </row>
    <row r="19" spans="2:3" ht="25.5">
      <c r="B19" s="345" t="s">
        <v>662</v>
      </c>
      <c r="C19" s="346" t="s">
        <v>673</v>
      </c>
    </row>
    <row r="20" spans="2:3" ht="25.5">
      <c r="B20" s="345" t="s">
        <v>166</v>
      </c>
      <c r="C20" s="346" t="s">
        <v>674</v>
      </c>
    </row>
    <row r="21" spans="2:3">
      <c r="B21" s="345" t="s">
        <v>179</v>
      </c>
      <c r="C21" s="346" t="s">
        <v>675</v>
      </c>
    </row>
    <row r="22" spans="2:3" ht="25.5">
      <c r="B22" s="345" t="s">
        <v>504</v>
      </c>
      <c r="C22" s="346" t="s">
        <v>676</v>
      </c>
    </row>
    <row r="23" spans="2:3"/>
    <row r="24" spans="2:3"/>
    <row r="25" spans="2:3"/>
    <row r="26" spans="2:3"/>
    <row r="27" spans="2:3"/>
    <row r="28" spans="2:3"/>
    <row r="29" spans="2:3"/>
  </sheetData>
  <sheetProtection algorithmName="SHA-512" hashValue="2X4pHxI5JK8lud77GaLG2D4amkGz+ZJxCRbwN+teffORLAw8p2X91Xurmpa+VUTzzvh8vgHwIpVpKsweSw/yBg==" saltValue="0tCOdkmowqyIuKlDYevWUA==" spinCount="100000" sheet="1" objects="1" scenarios="1"/>
  <hyperlinks>
    <hyperlink ref="B7:C7" location="Лист_оглавление" tooltip="Нажмите для перехода к листу Оглавление" display="Оглавление"/>
    <hyperlink ref="B8:C8" location="Лист_предпосылки" tooltip="Нажмите для перехода к листу Пердпосылки" display="Предпосылки"/>
    <hyperlink ref="B9:C9" location="Лист_сценарии" tooltip="Нажмите для перехода к листу Сценарии" display="Сценарии"/>
    <hyperlink ref="B10:C10" location="Лист_отчет" tooltip="Нажмите для перехода к листу Отчет" display="Отчет"/>
    <hyperlink ref="B11:C11" location="Лист_время" tooltip="Нажмите для перехода к листу Время" display="Время"/>
    <hyperlink ref="B12:C12" location="Лист_инвестиции" tooltip="Нажмите для перехода к листу Инвестиции" display="Инвестиции"/>
    <hyperlink ref="B13:C13" location="Лист_операции" tooltip="Нажмите для перехода к листу Операции" display="Операции"/>
    <hyperlink ref="B14:C14" location="Лист_налоги" tooltip="Нажмите для перехода к листу Налоги" display="Налоги"/>
    <hyperlink ref="B15:C15" location="Лист_финансирование" tooltip="Нажмите для перехода к листу Финансирование" display="Финансирование"/>
    <hyperlink ref="B16:C16" location="Лист_оборотный_капитал" tooltip="Нажмите для перехода к листу Оборотный капитал" display="Оборотный капитал"/>
    <hyperlink ref="B17:C17" location="Лист_отчетность_по_периодам_планирования" tooltip="Нажмите для перехода к листу Отчетность по периодам" display="Отчетность по периодам планирования"/>
    <hyperlink ref="B18:C18" location="Лист_отчетность_по_годам" tooltip="Нажмите для перехода к листу Отчетность по годам" display="Отчетность по годам"/>
    <hyperlink ref="B19:C19" location="Лист_оценка" tooltip="Нажмите для перехода к листу Оценка" display="Оценка"/>
    <hyperlink ref="B20:C20" location="Лист_коэффициенты" tooltip="Нажмите для перехода к листу Коэффициенты" display="Коэффициенты"/>
    <hyperlink ref="B21:C21" location="Лист_сигналы" tooltip="Нажмите для перехода к листу Сигналы" display="Сигналы"/>
    <hyperlink ref="B22:C22" location="Лист_имена" tooltip="Нажмите для перехода к листу Имена" display="Имена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9900"/>
  </sheetPr>
  <dimension ref="A1:E122"/>
  <sheetViews>
    <sheetView showGridLines="0" zoomScaleNormal="100" workbookViewId="0">
      <pane ySplit="4" topLeftCell="A11" activePane="bottomLeft" state="frozen"/>
      <selection activeCell="D18" sqref="D18"/>
      <selection pane="bottomLeft" activeCell="A123" sqref="A123:XFD1048576"/>
    </sheetView>
  </sheetViews>
  <sheetFormatPr defaultColWidth="0" defaultRowHeight="12.75" customHeight="1" zeroHeight="1"/>
  <cols>
    <col min="1" max="1" width="2.5703125" customWidth="1"/>
    <col min="2" max="2" width="43" bestFit="1" customWidth="1"/>
    <col min="3" max="3" width="26.42578125" bestFit="1" customWidth="1"/>
    <col min="4" max="4" width="18.28515625" bestFit="1" customWidth="1"/>
    <col min="5" max="5" width="2.5703125" customWidth="1"/>
    <col min="6" max="16384" width="9.140625" hidden="1"/>
  </cols>
  <sheetData>
    <row r="1" spans="2:4" ht="12" customHeight="1">
      <c r="D1" s="358" t="s">
        <v>183</v>
      </c>
    </row>
    <row r="2" spans="2:4" ht="12.75" customHeight="1">
      <c r="D2" s="358"/>
    </row>
    <row r="3" spans="2:4" ht="23.25">
      <c r="B3" s="10" t="s">
        <v>353</v>
      </c>
      <c r="C3" s="13"/>
      <c r="D3" s="13"/>
    </row>
    <row r="4" spans="2:4" ht="3" customHeight="1">
      <c r="B4" s="254"/>
      <c r="C4" s="254"/>
      <c r="D4" s="254"/>
    </row>
    <row r="5" spans="2:4" ht="12.75" customHeight="1">
      <c r="B5" s="254"/>
      <c r="C5" s="254"/>
      <c r="D5" s="254"/>
    </row>
    <row r="6" spans="2:4" ht="12.75" customHeight="1">
      <c r="B6" s="357" t="s">
        <v>653</v>
      </c>
      <c r="C6" s="357"/>
      <c r="D6" s="357"/>
    </row>
    <row r="7" spans="2:4" ht="12.75" customHeight="1">
      <c r="B7" s="357"/>
      <c r="C7" s="357"/>
      <c r="D7" s="357"/>
    </row>
    <row r="8" spans="2:4" ht="12.75" customHeight="1">
      <c r="B8" s="254"/>
      <c r="C8" s="254"/>
      <c r="D8" s="254"/>
    </row>
    <row r="9" spans="2:4" ht="15">
      <c r="B9" s="340" t="s">
        <v>657</v>
      </c>
      <c r="C9" s="341"/>
      <c r="D9" s="341"/>
    </row>
    <row r="10" spans="2:4" ht="12.75" customHeight="1">
      <c r="B10" s="341" t="str">
        <f ca="1">LEFT("["&amp;REPLACE(CELL("имяфайла"),SEARCH("[",CELL("имяфайла")),1,""),LEN(CELL("имяфайла"))-5)</f>
        <v>[C:\Users\123\Desktop\Finmodel. Мухи. 26.02.2023. Вариант 1.xlsx]Предпо</v>
      </c>
      <c r="C10" s="341"/>
      <c r="D10" s="341"/>
    </row>
    <row r="11" spans="2:4" ht="12.75" customHeight="1">
      <c r="B11" s="254"/>
      <c r="C11" s="254"/>
      <c r="D11" s="254"/>
    </row>
    <row r="12" spans="2:4" ht="12.75" customHeight="1">
      <c r="B12" s="342" t="s">
        <v>654</v>
      </c>
      <c r="C12" s="342" t="s">
        <v>655</v>
      </c>
      <c r="D12" s="342" t="s">
        <v>656</v>
      </c>
    </row>
    <row r="13" spans="2:4" ht="15">
      <c r="B13" s="343" t="s">
        <v>354</v>
      </c>
      <c r="C13" s="343" t="s">
        <v>355</v>
      </c>
      <c r="D13" s="344" t="str">
        <f t="shared" ref="D13:D44" ca="1" si="0">HYPERLINK($B$10&amp;REPLACE(C13,1,1,""),"Перейти к имени")</f>
        <v>Перейти к имени</v>
      </c>
    </row>
    <row r="14" spans="2:4" ht="15">
      <c r="B14" s="343" t="s">
        <v>356</v>
      </c>
      <c r="C14" s="343" t="s">
        <v>357</v>
      </c>
      <c r="D14" s="344" t="str">
        <f t="shared" ca="1" si="0"/>
        <v>Перейти к имени</v>
      </c>
    </row>
    <row r="15" spans="2:4" ht="15">
      <c r="B15" s="343" t="s">
        <v>358</v>
      </c>
      <c r="C15" s="343" t="s">
        <v>359</v>
      </c>
      <c r="D15" s="344" t="str">
        <f t="shared" ca="1" si="0"/>
        <v>Перейти к имени</v>
      </c>
    </row>
    <row r="16" spans="2:4" ht="15">
      <c r="B16" s="343" t="s">
        <v>360</v>
      </c>
      <c r="C16" s="343" t="s">
        <v>361</v>
      </c>
      <c r="D16" s="344" t="str">
        <f t="shared" ca="1" si="0"/>
        <v>Перейти к имени</v>
      </c>
    </row>
    <row r="17" spans="2:4" ht="15">
      <c r="B17" s="343" t="s">
        <v>362</v>
      </c>
      <c r="C17" s="343" t="s">
        <v>363</v>
      </c>
      <c r="D17" s="344" t="str">
        <f t="shared" ca="1" si="0"/>
        <v>Перейти к имени</v>
      </c>
    </row>
    <row r="18" spans="2:4" ht="15">
      <c r="B18" s="343" t="s">
        <v>364</v>
      </c>
      <c r="C18" s="343" t="s">
        <v>365</v>
      </c>
      <c r="D18" s="344" t="str">
        <f t="shared" ca="1" si="0"/>
        <v>Перейти к имени</v>
      </c>
    </row>
    <row r="19" spans="2:4" ht="15">
      <c r="B19" s="343" t="s">
        <v>366</v>
      </c>
      <c r="C19" s="343" t="s">
        <v>367</v>
      </c>
      <c r="D19" s="344" t="str">
        <f t="shared" ca="1" si="0"/>
        <v>Перейти к имени</v>
      </c>
    </row>
    <row r="20" spans="2:4" ht="15">
      <c r="B20" s="343" t="s">
        <v>368</v>
      </c>
      <c r="C20" s="343" t="s">
        <v>369</v>
      </c>
      <c r="D20" s="344" t="str">
        <f t="shared" ca="1" si="0"/>
        <v>Перейти к имени</v>
      </c>
    </row>
    <row r="21" spans="2:4" ht="15">
      <c r="B21" s="343" t="s">
        <v>370</v>
      </c>
      <c r="C21" s="343" t="s">
        <v>371</v>
      </c>
      <c r="D21" s="344" t="str">
        <f t="shared" ca="1" si="0"/>
        <v>Перейти к имени</v>
      </c>
    </row>
    <row r="22" spans="2:4" ht="15">
      <c r="B22" s="343" t="s">
        <v>372</v>
      </c>
      <c r="C22" s="343" t="s">
        <v>373</v>
      </c>
      <c r="D22" s="344" t="str">
        <f t="shared" ca="1" si="0"/>
        <v>Перейти к имени</v>
      </c>
    </row>
    <row r="23" spans="2:4" ht="15">
      <c r="B23" s="343" t="s">
        <v>374</v>
      </c>
      <c r="C23" s="343" t="s">
        <v>375</v>
      </c>
      <c r="D23" s="344" t="str">
        <f t="shared" ca="1" si="0"/>
        <v>Перейти к имени</v>
      </c>
    </row>
    <row r="24" spans="2:4" ht="15">
      <c r="B24" s="343" t="s">
        <v>376</v>
      </c>
      <c r="C24" s="343" t="s">
        <v>377</v>
      </c>
      <c r="D24" s="344" t="str">
        <f t="shared" ca="1" si="0"/>
        <v>Перейти к имени</v>
      </c>
    </row>
    <row r="25" spans="2:4" ht="15">
      <c r="B25" s="343" t="s">
        <v>378</v>
      </c>
      <c r="C25" s="343" t="s">
        <v>379</v>
      </c>
      <c r="D25" s="344" t="str">
        <f t="shared" ca="1" si="0"/>
        <v>Перейти к имени</v>
      </c>
    </row>
    <row r="26" spans="2:4" ht="15">
      <c r="B26" s="343" t="s">
        <v>380</v>
      </c>
      <c r="C26" s="343" t="s">
        <v>381</v>
      </c>
      <c r="D26" s="344" t="str">
        <f t="shared" ca="1" si="0"/>
        <v>Перейти к имени</v>
      </c>
    </row>
    <row r="27" spans="2:4" ht="15">
      <c r="B27" s="343" t="s">
        <v>382</v>
      </c>
      <c r="C27" s="343" t="s">
        <v>383</v>
      </c>
      <c r="D27" s="344" t="str">
        <f t="shared" ca="1" si="0"/>
        <v>Перейти к имени</v>
      </c>
    </row>
    <row r="28" spans="2:4" ht="12.75" customHeight="1">
      <c r="B28" s="343" t="s">
        <v>384</v>
      </c>
      <c r="C28" s="343" t="s">
        <v>385</v>
      </c>
      <c r="D28" s="344" t="str">
        <f t="shared" ca="1" si="0"/>
        <v>Перейти к имени</v>
      </c>
    </row>
    <row r="29" spans="2:4" ht="12.75" customHeight="1">
      <c r="B29" s="343" t="s">
        <v>386</v>
      </c>
      <c r="C29" s="343" t="s">
        <v>387</v>
      </c>
      <c r="D29" s="344" t="str">
        <f t="shared" ca="1" si="0"/>
        <v>Перейти к имени</v>
      </c>
    </row>
    <row r="30" spans="2:4" ht="12.75" customHeight="1">
      <c r="B30" s="343" t="s">
        <v>388</v>
      </c>
      <c r="C30" s="343" t="s">
        <v>389</v>
      </c>
      <c r="D30" s="344" t="str">
        <f t="shared" ca="1" si="0"/>
        <v>Перейти к имени</v>
      </c>
    </row>
    <row r="31" spans="2:4" ht="12.75" customHeight="1">
      <c r="B31" s="343" t="s">
        <v>390</v>
      </c>
      <c r="C31" s="343" t="s">
        <v>391</v>
      </c>
      <c r="D31" s="344" t="str">
        <f t="shared" ca="1" si="0"/>
        <v>Перейти к имени</v>
      </c>
    </row>
    <row r="32" spans="2:4" ht="12.75" customHeight="1">
      <c r="B32" s="343" t="s">
        <v>392</v>
      </c>
      <c r="C32" s="343" t="s">
        <v>393</v>
      </c>
      <c r="D32" s="344" t="str">
        <f t="shared" ca="1" si="0"/>
        <v>Перейти к имени</v>
      </c>
    </row>
    <row r="33" spans="2:4" ht="12.75" customHeight="1">
      <c r="B33" s="343" t="s">
        <v>394</v>
      </c>
      <c r="C33" s="343" t="s">
        <v>395</v>
      </c>
      <c r="D33" s="344" t="str">
        <f t="shared" ca="1" si="0"/>
        <v>Перейти к имени</v>
      </c>
    </row>
    <row r="34" spans="2:4" ht="12.75" customHeight="1">
      <c r="B34" s="343" t="s">
        <v>396</v>
      </c>
      <c r="C34" s="343" t="s">
        <v>397</v>
      </c>
      <c r="D34" s="344" t="str">
        <f t="shared" ca="1" si="0"/>
        <v>Перейти к имени</v>
      </c>
    </row>
    <row r="35" spans="2:4" ht="12.75" customHeight="1">
      <c r="B35" s="343" t="s">
        <v>398</v>
      </c>
      <c r="C35" s="343" t="s">
        <v>399</v>
      </c>
      <c r="D35" s="344" t="str">
        <f t="shared" ca="1" si="0"/>
        <v>Перейти к имени</v>
      </c>
    </row>
    <row r="36" spans="2:4" ht="12.75" customHeight="1">
      <c r="B36" s="343" t="s">
        <v>606</v>
      </c>
      <c r="C36" s="343" t="s">
        <v>607</v>
      </c>
      <c r="D36" s="344" t="str">
        <f t="shared" ca="1" si="0"/>
        <v>Перейти к имени</v>
      </c>
    </row>
    <row r="37" spans="2:4" ht="12.75" customHeight="1">
      <c r="B37" s="343" t="s">
        <v>505</v>
      </c>
      <c r="C37" s="343" t="s">
        <v>658</v>
      </c>
      <c r="D37" s="344" t="str">
        <f t="shared" ca="1" si="0"/>
        <v>Перейти к имени</v>
      </c>
    </row>
    <row r="38" spans="2:4" ht="12.75" customHeight="1">
      <c r="B38" s="343" t="s">
        <v>608</v>
      </c>
      <c r="C38" s="343" t="s">
        <v>609</v>
      </c>
      <c r="D38" s="344" t="str">
        <f t="shared" ca="1" si="0"/>
        <v>Перейти к имени</v>
      </c>
    </row>
    <row r="39" spans="2:4" ht="12.75" customHeight="1">
      <c r="B39" s="343" t="s">
        <v>610</v>
      </c>
      <c r="C39" s="343" t="s">
        <v>611</v>
      </c>
      <c r="D39" s="344" t="str">
        <f t="shared" ca="1" si="0"/>
        <v>Перейти к имени</v>
      </c>
    </row>
    <row r="40" spans="2:4" ht="12.75" customHeight="1">
      <c r="B40" s="343" t="s">
        <v>683</v>
      </c>
      <c r="C40" s="343" t="s">
        <v>684</v>
      </c>
      <c r="D40" s="344" t="str">
        <f t="shared" ca="1" si="0"/>
        <v>Перейти к имени</v>
      </c>
    </row>
    <row r="41" spans="2:4" ht="12.75" customHeight="1">
      <c r="B41" s="343" t="s">
        <v>612</v>
      </c>
      <c r="C41" s="343" t="s">
        <v>613</v>
      </c>
      <c r="D41" s="344" t="str">
        <f t="shared" ca="1" si="0"/>
        <v>Перейти к имени</v>
      </c>
    </row>
    <row r="42" spans="2:4" ht="12.75" customHeight="1">
      <c r="B42" s="343" t="s">
        <v>614</v>
      </c>
      <c r="C42" s="343" t="s">
        <v>615</v>
      </c>
      <c r="D42" s="344" t="str">
        <f t="shared" ca="1" si="0"/>
        <v>Перейти к имени</v>
      </c>
    </row>
    <row r="43" spans="2:4" ht="12.75" customHeight="1">
      <c r="B43" s="343" t="s">
        <v>616</v>
      </c>
      <c r="C43" s="343" t="s">
        <v>680</v>
      </c>
      <c r="D43" s="344" t="str">
        <f t="shared" ca="1" si="0"/>
        <v>Перейти к имени</v>
      </c>
    </row>
    <row r="44" spans="2:4" ht="12.75" customHeight="1">
      <c r="B44" s="343" t="s">
        <v>617</v>
      </c>
      <c r="C44" s="343" t="s">
        <v>618</v>
      </c>
      <c r="D44" s="344" t="str">
        <f t="shared" ca="1" si="0"/>
        <v>Перейти к имени</v>
      </c>
    </row>
    <row r="45" spans="2:4" ht="12.75" customHeight="1">
      <c r="B45" s="343" t="s">
        <v>659</v>
      </c>
      <c r="C45" s="343" t="s">
        <v>660</v>
      </c>
      <c r="D45" s="344" t="str">
        <f t="shared" ref="D45:D73" ca="1" si="1">HYPERLINK($B$10&amp;REPLACE(C45,1,1,""),"Перейти к имени")</f>
        <v>Перейти к имени</v>
      </c>
    </row>
    <row r="46" spans="2:4" ht="12.75" customHeight="1">
      <c r="B46" s="343" t="s">
        <v>619</v>
      </c>
      <c r="C46" s="343" t="s">
        <v>620</v>
      </c>
      <c r="D46" s="344" t="str">
        <f t="shared" ca="1" si="1"/>
        <v>Перейти к имени</v>
      </c>
    </row>
    <row r="47" spans="2:4" ht="12.75" customHeight="1">
      <c r="B47" s="343" t="s">
        <v>621</v>
      </c>
      <c r="C47" s="343" t="s">
        <v>622</v>
      </c>
      <c r="D47" s="344" t="str">
        <f t="shared" ca="1" si="1"/>
        <v>Перейти к имени</v>
      </c>
    </row>
    <row r="48" spans="2:4" ht="12.75" customHeight="1">
      <c r="B48" s="343" t="s">
        <v>623</v>
      </c>
      <c r="C48" s="343" t="s">
        <v>624</v>
      </c>
      <c r="D48" s="344" t="str">
        <f t="shared" ca="1" si="1"/>
        <v>Перейти к имени</v>
      </c>
    </row>
    <row r="49" spans="2:4" ht="12.75" customHeight="1">
      <c r="B49" s="343" t="s">
        <v>625</v>
      </c>
      <c r="C49" s="343" t="s">
        <v>626</v>
      </c>
      <c r="D49" s="344" t="str">
        <f t="shared" ca="1" si="1"/>
        <v>Перейти к имени</v>
      </c>
    </row>
    <row r="50" spans="2:4" ht="12.75" customHeight="1">
      <c r="B50" s="343" t="s">
        <v>627</v>
      </c>
      <c r="C50" s="343" t="s">
        <v>628</v>
      </c>
      <c r="D50" s="344" t="str">
        <f t="shared" ca="1" si="1"/>
        <v>Перейти к имени</v>
      </c>
    </row>
    <row r="51" spans="2:4" ht="12.75" customHeight="1">
      <c r="B51" s="343" t="s">
        <v>629</v>
      </c>
      <c r="C51" s="343" t="s">
        <v>630</v>
      </c>
      <c r="D51" s="344" t="str">
        <f t="shared" ca="1" si="1"/>
        <v>Перейти к имени</v>
      </c>
    </row>
    <row r="52" spans="2:4" ht="12.75" customHeight="1">
      <c r="B52" s="343" t="s">
        <v>631</v>
      </c>
      <c r="C52" s="343" t="s">
        <v>632</v>
      </c>
      <c r="D52" s="344" t="str">
        <f t="shared" ca="1" si="1"/>
        <v>Перейти к имени</v>
      </c>
    </row>
    <row r="53" spans="2:4" ht="12.75" customHeight="1">
      <c r="B53" s="343" t="s">
        <v>400</v>
      </c>
      <c r="C53" s="343" t="s">
        <v>401</v>
      </c>
      <c r="D53" s="344" t="str">
        <f t="shared" ca="1" si="1"/>
        <v>Перейти к имени</v>
      </c>
    </row>
    <row r="54" spans="2:4" ht="12.75" customHeight="1">
      <c r="B54" s="343" t="s">
        <v>402</v>
      </c>
      <c r="C54" s="343" t="s">
        <v>403</v>
      </c>
      <c r="D54" s="344" t="str">
        <f t="shared" ca="1" si="1"/>
        <v>Перейти к имени</v>
      </c>
    </row>
    <row r="55" spans="2:4" ht="12.75" customHeight="1">
      <c r="B55" s="343" t="s">
        <v>404</v>
      </c>
      <c r="C55" s="343" t="s">
        <v>405</v>
      </c>
      <c r="D55" s="344" t="str">
        <f t="shared" ca="1" si="1"/>
        <v>Перейти к имени</v>
      </c>
    </row>
    <row r="56" spans="2:4" ht="12.75" customHeight="1">
      <c r="B56" s="343" t="s">
        <v>406</v>
      </c>
      <c r="C56" s="343" t="s">
        <v>407</v>
      </c>
      <c r="D56" s="344" t="str">
        <f t="shared" ca="1" si="1"/>
        <v>Перейти к имени</v>
      </c>
    </row>
    <row r="57" spans="2:4" ht="12.75" customHeight="1">
      <c r="B57" s="343" t="s">
        <v>408</v>
      </c>
      <c r="C57" s="343" t="s">
        <v>409</v>
      </c>
      <c r="D57" s="344" t="str">
        <f t="shared" ca="1" si="1"/>
        <v>Перейти к имени</v>
      </c>
    </row>
    <row r="58" spans="2:4" ht="12.75" customHeight="1">
      <c r="B58" s="343" t="s">
        <v>410</v>
      </c>
      <c r="C58" s="343" t="s">
        <v>411</v>
      </c>
      <c r="D58" s="344" t="str">
        <f t="shared" ca="1" si="1"/>
        <v>Перейти к имени</v>
      </c>
    </row>
    <row r="59" spans="2:4" ht="12.75" customHeight="1">
      <c r="B59" s="343" t="s">
        <v>412</v>
      </c>
      <c r="C59" s="343" t="s">
        <v>413</v>
      </c>
      <c r="D59" s="344" t="str">
        <f t="shared" ca="1" si="1"/>
        <v>Перейти к имени</v>
      </c>
    </row>
    <row r="60" spans="2:4" ht="12.75" customHeight="1">
      <c r="B60" s="343" t="s">
        <v>414</v>
      </c>
      <c r="C60" s="343" t="s">
        <v>415</v>
      </c>
      <c r="D60" s="344" t="str">
        <f t="shared" ca="1" si="1"/>
        <v>Перейти к имени</v>
      </c>
    </row>
    <row r="61" spans="2:4" ht="12.75" customHeight="1">
      <c r="B61" s="343" t="s">
        <v>416</v>
      </c>
      <c r="C61" s="343" t="s">
        <v>417</v>
      </c>
      <c r="D61" s="344" t="str">
        <f t="shared" ca="1" si="1"/>
        <v>Перейти к имени</v>
      </c>
    </row>
    <row r="62" spans="2:4" ht="12.75" customHeight="1">
      <c r="B62" s="343" t="s">
        <v>418</v>
      </c>
      <c r="C62" s="343" t="s">
        <v>419</v>
      </c>
      <c r="D62" s="344" t="str">
        <f t="shared" ca="1" si="1"/>
        <v>Перейти к имени</v>
      </c>
    </row>
    <row r="63" spans="2:4" ht="12.75" customHeight="1">
      <c r="B63" s="343" t="s">
        <v>420</v>
      </c>
      <c r="C63" s="343" t="s">
        <v>421</v>
      </c>
      <c r="D63" s="344" t="str">
        <f t="shared" ca="1" si="1"/>
        <v>Перейти к имени</v>
      </c>
    </row>
    <row r="64" spans="2:4" ht="12.75" customHeight="1">
      <c r="B64" s="343" t="s">
        <v>422</v>
      </c>
      <c r="C64" s="343" t="s">
        <v>423</v>
      </c>
      <c r="D64" s="344" t="str">
        <f t="shared" ca="1" si="1"/>
        <v>Перейти к имени</v>
      </c>
    </row>
    <row r="65" spans="2:4" ht="12.75" customHeight="1">
      <c r="B65" s="343" t="s">
        <v>424</v>
      </c>
      <c r="C65" s="343" t="s">
        <v>425</v>
      </c>
      <c r="D65" s="344" t="str">
        <f t="shared" ca="1" si="1"/>
        <v>Перейти к имени</v>
      </c>
    </row>
    <row r="66" spans="2:4" ht="12.75" customHeight="1">
      <c r="B66" s="343" t="s">
        <v>426</v>
      </c>
      <c r="C66" s="343" t="s">
        <v>427</v>
      </c>
      <c r="D66" s="344" t="str">
        <f t="shared" ca="1" si="1"/>
        <v>Перейти к имени</v>
      </c>
    </row>
    <row r="67" spans="2:4" ht="12.75" customHeight="1">
      <c r="B67" s="343" t="s">
        <v>428</v>
      </c>
      <c r="C67" s="343" t="s">
        <v>429</v>
      </c>
      <c r="D67" s="344" t="str">
        <f t="shared" ca="1" si="1"/>
        <v>Перейти к имени</v>
      </c>
    </row>
    <row r="68" spans="2:4" ht="12.75" customHeight="1">
      <c r="B68" s="343" t="s">
        <v>430</v>
      </c>
      <c r="C68" s="343" t="s">
        <v>431</v>
      </c>
      <c r="D68" s="344" t="str">
        <f t="shared" ca="1" si="1"/>
        <v>Перейти к имени</v>
      </c>
    </row>
    <row r="69" spans="2:4" ht="12.75" customHeight="1">
      <c r="B69" s="343" t="s">
        <v>432</v>
      </c>
      <c r="C69" s="343" t="s">
        <v>433</v>
      </c>
      <c r="D69" s="344" t="str">
        <f t="shared" ca="1" si="1"/>
        <v>Перейти к имени</v>
      </c>
    </row>
    <row r="70" spans="2:4" ht="12.75" customHeight="1">
      <c r="B70" s="343" t="s">
        <v>434</v>
      </c>
      <c r="C70" s="343" t="s">
        <v>435</v>
      </c>
      <c r="D70" s="344" t="str">
        <f t="shared" ca="1" si="1"/>
        <v>Перейти к имени</v>
      </c>
    </row>
    <row r="71" spans="2:4" ht="12.75" customHeight="1">
      <c r="B71" s="343" t="s">
        <v>436</v>
      </c>
      <c r="C71" s="343" t="s">
        <v>437</v>
      </c>
      <c r="D71" s="344" t="str">
        <f t="shared" ca="1" si="1"/>
        <v>Перейти к имени</v>
      </c>
    </row>
    <row r="72" spans="2:4" ht="12.75" customHeight="1">
      <c r="B72" s="343" t="s">
        <v>438</v>
      </c>
      <c r="C72" s="343" t="s">
        <v>439</v>
      </c>
      <c r="D72" s="344" t="str">
        <f t="shared" ca="1" si="1"/>
        <v>Перейти к имени</v>
      </c>
    </row>
    <row r="73" spans="2:4" ht="12.75" customHeight="1">
      <c r="B73" s="343" t="s">
        <v>440</v>
      </c>
      <c r="C73" s="343" t="s">
        <v>441</v>
      </c>
      <c r="D73" s="344" t="str">
        <f t="shared" ca="1" si="1"/>
        <v>Перейти к имени</v>
      </c>
    </row>
    <row r="74" spans="2:4" ht="12.75" customHeight="1">
      <c r="B74" s="343" t="s">
        <v>442</v>
      </c>
      <c r="C74" s="343" t="s">
        <v>443</v>
      </c>
      <c r="D74" s="344" t="str">
        <f t="shared" ref="D74:D105" ca="1" si="2">HYPERLINK($B$10&amp;REPLACE(C74,1,1,""),"Перейти к имени")</f>
        <v>Перейти к имени</v>
      </c>
    </row>
    <row r="75" spans="2:4" ht="12.75" customHeight="1">
      <c r="B75" s="343" t="s">
        <v>444</v>
      </c>
      <c r="C75" s="343" t="s">
        <v>445</v>
      </c>
      <c r="D75" s="344" t="str">
        <f t="shared" ca="1" si="2"/>
        <v>Перейти к имени</v>
      </c>
    </row>
    <row r="76" spans="2:4" ht="12.75" customHeight="1">
      <c r="B76" s="343" t="s">
        <v>446</v>
      </c>
      <c r="C76" s="343" t="s">
        <v>447</v>
      </c>
      <c r="D76" s="344" t="str">
        <f t="shared" ca="1" si="2"/>
        <v>Перейти к имени</v>
      </c>
    </row>
    <row r="77" spans="2:4" ht="12.75" customHeight="1">
      <c r="B77" s="343" t="s">
        <v>448</v>
      </c>
      <c r="C77" s="343" t="s">
        <v>449</v>
      </c>
      <c r="D77" s="344" t="str">
        <f t="shared" ca="1" si="2"/>
        <v>Перейти к имени</v>
      </c>
    </row>
    <row r="78" spans="2:4" ht="12.75" customHeight="1">
      <c r="B78" s="343" t="s">
        <v>450</v>
      </c>
      <c r="C78" s="343" t="s">
        <v>451</v>
      </c>
      <c r="D78" s="344" t="str">
        <f t="shared" ca="1" si="2"/>
        <v>Перейти к имени</v>
      </c>
    </row>
    <row r="79" spans="2:4" ht="12.75" customHeight="1">
      <c r="B79" s="343" t="s">
        <v>452</v>
      </c>
      <c r="C79" s="343" t="s">
        <v>453</v>
      </c>
      <c r="D79" s="344" t="str">
        <f t="shared" ca="1" si="2"/>
        <v>Перейти к имени</v>
      </c>
    </row>
    <row r="80" spans="2:4" ht="12.75" customHeight="1">
      <c r="B80" s="343" t="s">
        <v>454</v>
      </c>
      <c r="C80" s="343" t="s">
        <v>455</v>
      </c>
      <c r="D80" s="344" t="str">
        <f t="shared" ca="1" si="2"/>
        <v>Перейти к имени</v>
      </c>
    </row>
    <row r="81" spans="2:4" ht="12.75" customHeight="1">
      <c r="B81" s="343" t="s">
        <v>456</v>
      </c>
      <c r="C81" s="343" t="s">
        <v>457</v>
      </c>
      <c r="D81" s="344" t="str">
        <f t="shared" ca="1" si="2"/>
        <v>Перейти к имени</v>
      </c>
    </row>
    <row r="82" spans="2:4" ht="12.75" customHeight="1">
      <c r="B82" s="343" t="s">
        <v>458</v>
      </c>
      <c r="C82" s="343" t="s">
        <v>459</v>
      </c>
      <c r="D82" s="344" t="str">
        <f t="shared" ca="1" si="2"/>
        <v>Перейти к имени</v>
      </c>
    </row>
    <row r="83" spans="2:4" ht="12.75" customHeight="1">
      <c r="B83" s="343" t="s">
        <v>460</v>
      </c>
      <c r="C83" s="343" t="s">
        <v>461</v>
      </c>
      <c r="D83" s="344" t="str">
        <f t="shared" ca="1" si="2"/>
        <v>Перейти к имени</v>
      </c>
    </row>
    <row r="84" spans="2:4" ht="12.75" customHeight="1">
      <c r="B84" s="343" t="s">
        <v>462</v>
      </c>
      <c r="C84" s="343" t="s">
        <v>463</v>
      </c>
      <c r="D84" s="344" t="str">
        <f t="shared" ca="1" si="2"/>
        <v>Перейти к имени</v>
      </c>
    </row>
    <row r="85" spans="2:4" ht="12.75" customHeight="1">
      <c r="B85" s="343" t="s">
        <v>464</v>
      </c>
      <c r="C85" s="343" t="s">
        <v>465</v>
      </c>
      <c r="D85" s="344" t="str">
        <f t="shared" ca="1" si="2"/>
        <v>Перейти к имени</v>
      </c>
    </row>
    <row r="86" spans="2:4" ht="12.75" customHeight="1">
      <c r="B86" s="343" t="s">
        <v>466</v>
      </c>
      <c r="C86" s="343" t="s">
        <v>467</v>
      </c>
      <c r="D86" s="344" t="str">
        <f t="shared" ca="1" si="2"/>
        <v>Перейти к имени</v>
      </c>
    </row>
    <row r="87" spans="2:4" ht="12.75" customHeight="1">
      <c r="B87" s="343" t="s">
        <v>468</v>
      </c>
      <c r="C87" s="343" t="s">
        <v>469</v>
      </c>
      <c r="D87" s="344" t="str">
        <f t="shared" ca="1" si="2"/>
        <v>Перейти к имени</v>
      </c>
    </row>
    <row r="88" spans="2:4" ht="12.75" customHeight="1">
      <c r="B88" s="343" t="s">
        <v>470</v>
      </c>
      <c r="C88" s="343" t="s">
        <v>471</v>
      </c>
      <c r="D88" s="344" t="str">
        <f t="shared" ca="1" si="2"/>
        <v>Перейти к имени</v>
      </c>
    </row>
    <row r="89" spans="2:4" ht="12.75" customHeight="1">
      <c r="B89" s="343" t="s">
        <v>472</v>
      </c>
      <c r="C89" s="343" t="s">
        <v>473</v>
      </c>
      <c r="D89" s="344" t="str">
        <f t="shared" ca="1" si="2"/>
        <v>Перейти к имени</v>
      </c>
    </row>
    <row r="90" spans="2:4" ht="12.75" customHeight="1">
      <c r="B90" s="343" t="s">
        <v>474</v>
      </c>
      <c r="C90" s="343" t="s">
        <v>475</v>
      </c>
      <c r="D90" s="344" t="str">
        <f t="shared" ca="1" si="2"/>
        <v>Перейти к имени</v>
      </c>
    </row>
    <row r="91" spans="2:4" ht="12.75" customHeight="1">
      <c r="B91" s="343" t="s">
        <v>476</v>
      </c>
      <c r="C91" s="343" t="s">
        <v>477</v>
      </c>
      <c r="D91" s="344" t="str">
        <f t="shared" ca="1" si="2"/>
        <v>Перейти к имени</v>
      </c>
    </row>
    <row r="92" spans="2:4" ht="12.75" customHeight="1">
      <c r="B92" s="343" t="s">
        <v>478</v>
      </c>
      <c r="C92" s="343" t="s">
        <v>479</v>
      </c>
      <c r="D92" s="344" t="str">
        <f t="shared" ca="1" si="2"/>
        <v>Перейти к имени</v>
      </c>
    </row>
    <row r="93" spans="2:4" ht="12.75" customHeight="1">
      <c r="B93" s="343" t="s">
        <v>480</v>
      </c>
      <c r="C93" s="343" t="s">
        <v>481</v>
      </c>
      <c r="D93" s="344" t="str">
        <f t="shared" ca="1" si="2"/>
        <v>Перейти к имени</v>
      </c>
    </row>
    <row r="94" spans="2:4" ht="12.75" customHeight="1">
      <c r="B94" s="343" t="s">
        <v>482</v>
      </c>
      <c r="C94" s="343" t="s">
        <v>483</v>
      </c>
      <c r="D94" s="344" t="str">
        <f t="shared" ca="1" si="2"/>
        <v>Перейти к имени</v>
      </c>
    </row>
    <row r="95" spans="2:4" ht="12.75" customHeight="1">
      <c r="B95" s="343" t="s">
        <v>484</v>
      </c>
      <c r="C95" s="343" t="s">
        <v>485</v>
      </c>
      <c r="D95" s="344" t="str">
        <f t="shared" ca="1" si="2"/>
        <v>Перейти к имени</v>
      </c>
    </row>
    <row r="96" spans="2:4" ht="12.75" customHeight="1">
      <c r="B96" s="343" t="s">
        <v>486</v>
      </c>
      <c r="C96" s="343" t="s">
        <v>633</v>
      </c>
      <c r="D96" s="344" t="str">
        <f t="shared" ca="1" si="2"/>
        <v>Перейти к имени</v>
      </c>
    </row>
    <row r="97" spans="2:4" ht="12.75" customHeight="1">
      <c r="B97" s="343" t="s">
        <v>634</v>
      </c>
      <c r="C97" s="343" t="s">
        <v>635</v>
      </c>
      <c r="D97" s="344" t="str">
        <f t="shared" ca="1" si="2"/>
        <v>Перейти к имени</v>
      </c>
    </row>
    <row r="98" spans="2:4" ht="12.75" customHeight="1">
      <c r="B98" s="343" t="s">
        <v>636</v>
      </c>
      <c r="C98" s="343" t="s">
        <v>637</v>
      </c>
      <c r="D98" s="344" t="str">
        <f t="shared" ca="1" si="2"/>
        <v>Перейти к имени</v>
      </c>
    </row>
    <row r="99" spans="2:4" ht="12.75" customHeight="1">
      <c r="B99" s="343" t="s">
        <v>487</v>
      </c>
      <c r="C99" s="343" t="s">
        <v>638</v>
      </c>
      <c r="D99" s="344" t="str">
        <f t="shared" ca="1" si="2"/>
        <v>Перейти к имени</v>
      </c>
    </row>
    <row r="100" spans="2:4" ht="12.75" customHeight="1">
      <c r="B100" s="343" t="s">
        <v>488</v>
      </c>
      <c r="C100" s="343" t="s">
        <v>639</v>
      </c>
      <c r="D100" s="344" t="str">
        <f t="shared" ca="1" si="2"/>
        <v>Перейти к имени</v>
      </c>
    </row>
    <row r="101" spans="2:4" ht="12.75" customHeight="1">
      <c r="B101" s="343" t="s">
        <v>640</v>
      </c>
      <c r="C101" s="343" t="s">
        <v>641</v>
      </c>
      <c r="D101" s="344" t="str">
        <f t="shared" ca="1" si="2"/>
        <v>Перейти к имени</v>
      </c>
    </row>
    <row r="102" spans="2:4" ht="12.75" customHeight="1">
      <c r="B102" s="343" t="s">
        <v>642</v>
      </c>
      <c r="C102" s="343" t="s">
        <v>643</v>
      </c>
      <c r="D102" s="344" t="str">
        <f t="shared" ca="1" si="2"/>
        <v>Перейти к имени</v>
      </c>
    </row>
    <row r="103" spans="2:4" ht="12.75" customHeight="1">
      <c r="B103" s="343" t="s">
        <v>644</v>
      </c>
      <c r="C103" s="343" t="s">
        <v>645</v>
      </c>
      <c r="D103" s="344" t="str">
        <f t="shared" ca="1" si="2"/>
        <v>Перейти к имени</v>
      </c>
    </row>
    <row r="104" spans="2:4" ht="12.75" customHeight="1">
      <c r="B104" s="343" t="s">
        <v>646</v>
      </c>
      <c r="C104" s="343" t="s">
        <v>647</v>
      </c>
      <c r="D104" s="344" t="str">
        <f t="shared" ca="1" si="2"/>
        <v>Перейти к имени</v>
      </c>
    </row>
    <row r="105" spans="2:4" ht="12.75" customHeight="1">
      <c r="B105" s="343" t="s">
        <v>489</v>
      </c>
      <c r="C105" s="343" t="s">
        <v>648</v>
      </c>
      <c r="D105" s="344" t="str">
        <f t="shared" ca="1" si="2"/>
        <v>Перейти к имени</v>
      </c>
    </row>
    <row r="106" spans="2:4" ht="12.75" customHeight="1">
      <c r="B106" s="343" t="s">
        <v>649</v>
      </c>
      <c r="C106" s="343" t="s">
        <v>650</v>
      </c>
      <c r="D106" s="344" t="str">
        <f t="shared" ref="D106:D114" ca="1" si="3">HYPERLINK($B$10&amp;REPLACE(C106,1,1,""),"Перейти к имени")</f>
        <v>Перейти к имени</v>
      </c>
    </row>
    <row r="107" spans="2:4" ht="12.75" customHeight="1">
      <c r="B107" s="343" t="s">
        <v>651</v>
      </c>
      <c r="C107" s="343" t="s">
        <v>652</v>
      </c>
      <c r="D107" s="344" t="str">
        <f t="shared" ca="1" si="3"/>
        <v>Перейти к имени</v>
      </c>
    </row>
    <row r="108" spans="2:4" ht="12.75" customHeight="1">
      <c r="B108" s="343" t="s">
        <v>490</v>
      </c>
      <c r="C108" s="343" t="s">
        <v>491</v>
      </c>
      <c r="D108" s="344" t="str">
        <f t="shared" ca="1" si="3"/>
        <v>Перейти к имени</v>
      </c>
    </row>
    <row r="109" spans="2:4" ht="12.75" customHeight="1">
      <c r="B109" s="343" t="s">
        <v>492</v>
      </c>
      <c r="C109" s="343" t="s">
        <v>493</v>
      </c>
      <c r="D109" s="344" t="str">
        <f t="shared" ca="1" si="3"/>
        <v>Перейти к имени</v>
      </c>
    </row>
    <row r="110" spans="2:4" ht="12.75" customHeight="1">
      <c r="B110" s="343" t="s">
        <v>494</v>
      </c>
      <c r="C110" s="343" t="s">
        <v>495</v>
      </c>
      <c r="D110" s="344" t="str">
        <f t="shared" ca="1" si="3"/>
        <v>Перейти к имени</v>
      </c>
    </row>
    <row r="111" spans="2:4" ht="12.75" customHeight="1">
      <c r="B111" s="343" t="s">
        <v>496</v>
      </c>
      <c r="C111" s="343" t="s">
        <v>497</v>
      </c>
      <c r="D111" s="344" t="str">
        <f t="shared" ca="1" si="3"/>
        <v>Перейти к имени</v>
      </c>
    </row>
    <row r="112" spans="2:4" ht="12.75" customHeight="1">
      <c r="B112" s="343" t="s">
        <v>498</v>
      </c>
      <c r="C112" s="343" t="s">
        <v>499</v>
      </c>
      <c r="D112" s="344" t="str">
        <f t="shared" ca="1" si="3"/>
        <v>Перейти к имени</v>
      </c>
    </row>
    <row r="113" spans="2:4" ht="12.75" customHeight="1">
      <c r="B113" s="343" t="s">
        <v>500</v>
      </c>
      <c r="C113" s="343" t="s">
        <v>501</v>
      </c>
      <c r="D113" s="344" t="str">
        <f t="shared" ca="1" si="3"/>
        <v>Перейти к имени</v>
      </c>
    </row>
    <row r="114" spans="2:4" ht="12.75" customHeight="1">
      <c r="B114" s="343" t="s">
        <v>502</v>
      </c>
      <c r="C114" s="343" t="s">
        <v>503</v>
      </c>
      <c r="D114" s="344" t="str">
        <f t="shared" ca="1" si="3"/>
        <v>Перейти к имени</v>
      </c>
    </row>
    <row r="115" spans="2:4" ht="12.75" customHeight="1"/>
    <row r="116" spans="2:4" ht="12.75" customHeight="1"/>
    <row r="117" spans="2:4" ht="12.75" customHeight="1"/>
    <row r="118" spans="2:4" ht="12.75" customHeight="1"/>
    <row r="119" spans="2:4" ht="12.75" customHeight="1"/>
    <row r="120" spans="2:4" ht="12.75" customHeight="1"/>
    <row r="121" spans="2:4" ht="12.75" customHeight="1"/>
    <row r="122" spans="2:4" ht="12.75" customHeight="1"/>
  </sheetData>
  <sheetProtection algorithmName="SHA-512" hashValue="GOrUJLNMJyU0OIZ+vqy6k5yww4sao6148Vv2DSi1mqzMopaYIlg+tE9DuNwwARSu8bKromYnCrM6PfRCr+sN+g==" saltValue="oVYgHjk21WnyDcYPAFcsyw==" spinCount="100000" sheet="1" objects="1" scenarios="1"/>
  <mergeCells count="2">
    <mergeCell ref="B6:D7"/>
    <mergeCell ref="D1:D2"/>
  </mergeCells>
  <hyperlinks>
    <hyperlink ref="D1:D2" location="Лист_оглавление" tooltip="нажмите для перехода к оглавлению" display="Оглавле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3300"/>
  </sheetPr>
  <dimension ref="A1:L222"/>
  <sheetViews>
    <sheetView showGridLines="0" zoomScaleNormal="100" zoomScaleSheetLayoutView="100" workbookViewId="0">
      <pane ySplit="4" topLeftCell="A5" activePane="bottomLeft" state="frozen"/>
      <selection activeCell="D18" sqref="D18"/>
      <selection pane="bottomLeft" activeCell="B111" sqref="B111"/>
    </sheetView>
  </sheetViews>
  <sheetFormatPr defaultColWidth="0" defaultRowHeight="15" zeroHeight="1"/>
  <cols>
    <col min="1" max="1" width="2.5703125" customWidth="1"/>
    <col min="2" max="2" width="35.7109375" customWidth="1"/>
    <col min="3" max="3" width="15.140625" customWidth="1"/>
    <col min="4" max="4" width="15" bestFit="1" customWidth="1"/>
    <col min="5" max="5" width="18" customWidth="1"/>
    <col min="6" max="6" width="16.140625" customWidth="1"/>
    <col min="7" max="7" width="15.42578125" customWidth="1"/>
    <col min="8" max="8" width="14.7109375" customWidth="1"/>
    <col min="9" max="10" width="15.140625" customWidth="1"/>
    <col min="11" max="11" width="13.85546875" customWidth="1"/>
    <col min="12" max="12" width="9.140625" customWidth="1"/>
    <col min="13" max="16384" width="6.42578125" hidden="1"/>
  </cols>
  <sheetData>
    <row r="1" spans="2:11" ht="12" customHeight="1">
      <c r="D1" s="358" t="s">
        <v>183</v>
      </c>
      <c r="E1" s="72"/>
      <c r="F1" s="12" t="s">
        <v>264</v>
      </c>
      <c r="G1" s="11"/>
      <c r="H1" s="12" t="s">
        <v>515</v>
      </c>
    </row>
    <row r="2" spans="2:11" ht="12.75" customHeight="1">
      <c r="D2" s="358"/>
      <c r="E2" s="72"/>
      <c r="F2" s="12" t="str">
        <f>Сценарий_название</f>
        <v>Базовый</v>
      </c>
      <c r="G2" s="11"/>
      <c r="H2" s="12" t="str">
        <f ca="1">IF(Сигналы!$E$20=1,"пройдена","ошибка!")</f>
        <v>пройдена</v>
      </c>
    </row>
    <row r="3" spans="2:11" ht="23.25">
      <c r="B3" s="10" t="s">
        <v>189</v>
      </c>
      <c r="C3" s="13"/>
      <c r="D3" s="13"/>
      <c r="E3" s="13"/>
      <c r="F3" s="13"/>
      <c r="G3" s="13"/>
      <c r="H3" s="13"/>
    </row>
    <row r="4" spans="2:11" ht="3" customHeight="1">
      <c r="B4" s="254"/>
      <c r="C4" s="254"/>
      <c r="D4" s="254"/>
      <c r="E4" s="254"/>
      <c r="F4" s="254"/>
      <c r="G4" s="254"/>
      <c r="H4" s="254"/>
    </row>
    <row r="5" spans="2:11" ht="20.25" thickBot="1">
      <c r="B5" s="26" t="s">
        <v>186</v>
      </c>
      <c r="C5" s="26"/>
      <c r="D5" s="26"/>
      <c r="E5" s="26"/>
      <c r="F5" s="26"/>
      <c r="G5" s="26"/>
      <c r="H5" s="26"/>
      <c r="I5" s="26"/>
      <c r="J5" s="26"/>
      <c r="K5" s="26"/>
    </row>
    <row r="6" spans="2:11" ht="15.75" thickTop="1">
      <c r="B6" s="255"/>
      <c r="C6" s="256"/>
      <c r="D6" s="256"/>
      <c r="E6" s="256"/>
      <c r="F6" s="256"/>
      <c r="G6" s="256"/>
      <c r="H6" s="256"/>
    </row>
    <row r="7" spans="2:11" ht="18" thickBot="1">
      <c r="B7" s="212" t="s">
        <v>187</v>
      </c>
      <c r="C7" s="212"/>
      <c r="D7" s="256"/>
      <c r="H7" s="212" t="s">
        <v>5</v>
      </c>
      <c r="I7" s="212"/>
      <c r="J7" s="212"/>
      <c r="K7" s="212"/>
    </row>
    <row r="8" spans="2:11" ht="15.75" thickTop="1">
      <c r="B8" s="255"/>
      <c r="C8" s="256"/>
      <c r="D8" s="256"/>
      <c r="H8" s="256"/>
      <c r="I8" s="256"/>
      <c r="J8" s="256"/>
      <c r="K8" s="256"/>
    </row>
    <row r="9" spans="2:11" ht="15" customHeight="1">
      <c r="B9" s="196" t="s">
        <v>202</v>
      </c>
      <c r="C9" s="359" t="str">
        <f>Компания</f>
        <v>Компания УЛА ФАРМС</v>
      </c>
      <c r="D9" s="369"/>
      <c r="E9" s="369"/>
      <c r="F9" s="360"/>
      <c r="H9" s="257"/>
      <c r="I9" s="258"/>
      <c r="J9" s="259" t="str">
        <f t="array" ref="J9:K12">Предпосылки!C48:D51</f>
        <v>Инвестиции</v>
      </c>
      <c r="K9" s="259" t="str">
        <v>Операции</v>
      </c>
    </row>
    <row r="10" spans="2:11" ht="66.599999999999994" customHeight="1">
      <c r="B10" s="196" t="s">
        <v>38</v>
      </c>
      <c r="C10" s="370" t="str">
        <f>Проект</f>
        <v>Организация безотходного производства белково–липидного концентрата, зоогумуса, кормовых и пищевых добавок из насекомых, продуктов пчеловодства, выращивание аквакультур в установках замкнутого водоснабжения на основе кормов из личинки Black Soldier Fly (Hermetia illucens) в Кардымовском районе Смоленской области</v>
      </c>
      <c r="D10" s="371"/>
      <c r="E10" s="371"/>
      <c r="F10" s="372"/>
      <c r="H10" s="155" t="s">
        <v>191</v>
      </c>
      <c r="I10" s="261"/>
      <c r="J10" s="262">
        <v>45017</v>
      </c>
      <c r="K10" s="262">
        <v>45383</v>
      </c>
    </row>
    <row r="11" spans="2:11" ht="15" customHeight="1">
      <c r="B11" s="263"/>
      <c r="C11" s="263"/>
      <c r="D11" s="263"/>
      <c r="H11" s="155" t="str">
        <f>"Длительность, в "&amp;Ед_измерения_периода</f>
        <v>Длительность, в мес.</v>
      </c>
      <c r="I11" s="261"/>
      <c r="J11" s="264">
        <v>12</v>
      </c>
      <c r="K11" s="264">
        <v>72</v>
      </c>
    </row>
    <row r="12" spans="2:11" ht="15" customHeight="1">
      <c r="B12" s="196" t="s">
        <v>209</v>
      </c>
      <c r="C12" s="199" t="str">
        <f ca="1">Предпосылки!$K$2</f>
        <v>пройдена</v>
      </c>
      <c r="D12" s="260"/>
      <c r="H12" s="155" t="s">
        <v>2</v>
      </c>
      <c r="I12" s="261"/>
      <c r="J12" s="262">
        <v>45382</v>
      </c>
      <c r="K12" s="262">
        <v>47573</v>
      </c>
    </row>
    <row r="13" spans="2:11">
      <c r="B13" s="254"/>
      <c r="C13" s="254"/>
      <c r="D13" s="263"/>
      <c r="E13" s="263"/>
      <c r="F13" s="254"/>
      <c r="G13" s="263"/>
      <c r="H13" s="263"/>
    </row>
    <row r="14" spans="2:11" ht="18" thickBot="1">
      <c r="B14" s="212" t="s">
        <v>192</v>
      </c>
      <c r="C14" s="212"/>
      <c r="D14" s="212"/>
      <c r="E14" s="212"/>
      <c r="F14" s="212"/>
      <c r="G14" s="212"/>
      <c r="H14" s="212"/>
      <c r="I14" s="212"/>
      <c r="J14" s="212"/>
      <c r="K14" s="212"/>
    </row>
    <row r="15" spans="2:11" ht="15.75" thickTop="1">
      <c r="B15" s="265"/>
      <c r="C15" s="263"/>
      <c r="D15" s="263"/>
      <c r="E15" s="263"/>
      <c r="F15" s="263"/>
      <c r="G15" s="266"/>
      <c r="H15" s="266"/>
    </row>
    <row r="16" spans="2:11" ht="15" customHeight="1">
      <c r="B16" s="368" t="str">
        <f>Предпосылки!B12</f>
        <v>Миссия Предприятия состоит в улучшении уровня жизни населения на конкретной территории путем решения экологических проблем этих территорий, а также концептуальных экономических и социальных задач через использование местных ресурсов и содействие реализации стратегий по сокращению пищевых отходов и продовольственных потерь. 
Цели проекта:
- Быстрый выход на запланированные мощности.
- Внедрение инновационных технологий промышленного производства белково-липидного концентрата, биополимеров (хитина, хитазана), меланина, кормовых и пищевых добавок из насекомых, гранулированного зоогумуса.
- Внедрение в сельское хозяйство ресурсосберегающей технологии переработки отходов пищевой промышленности и продовольственных потерь сельского хозяйства с помощью биомассы личинок мух Hermetia illucens в высокоэфективные корма для промышленного разведения аквакультур, птицы и др. животных.
- Внедрение инновационных технологий зеленой энергетики (возобновляемые источники энергии) и новых управленческих решений на их основе.
- Внедрение инновационных решений в промышленном пчеловодстве.
- Внедрение новой технологии выращивания аквакультур на кормах из живых насекомых.
- Создание научно-исследовательской лаборатории для проведения собственных исследований и разработок инновационных биотехнологий.
- Производство высококачественной низкозатратной агропродукции. 
- Создание условий для импортозамещения и снижения цен на продукцию на внутреннем рынке.
- Создание не менее 150 новых качественных рабочих мест.
- Получение конкурентных преимуществ на внешних рынках. 
Сильные стороны проекта:
- растущий рынок, перспектива стабильного высокого спроса на продукцию при стабильно высоких ценах;
- современное оборудование, высокий технологический уровень производства;
- высокий уровень автоматизации технологических процессов;
- высокое качество продукции, ее экспортоориентированность;
- энергоэффективность производства, использование альтернативной энергетики для производства электрической и тепловой энергии;
- наличие достаточной сырьевой базы в регионе предполагаемого размещения производства;
- выгодное месторасположение участка для размещения производства, наличие инфраструктуры и путей сообщения, возможность построения эффективных логистических схем материально-технического снабжения производства и сбыта продукции;
- наличие у Инициатора необходимых компетенций и управленческого опыта по созданию и эффективному ведению бизнеса.                Поручитель по кредиту  банка и инвестор проекта (25%) -  ООО "ОНИКС"</v>
      </c>
      <c r="C16" s="368"/>
      <c r="D16" s="368"/>
      <c r="E16" s="368"/>
      <c r="F16" s="368"/>
      <c r="G16" s="368"/>
      <c r="H16" s="368"/>
      <c r="I16" s="368"/>
      <c r="J16" s="368"/>
      <c r="K16" s="368"/>
    </row>
    <row r="17" spans="2:11" ht="37.9" customHeight="1">
      <c r="B17" s="368"/>
      <c r="C17" s="368"/>
      <c r="D17" s="368"/>
      <c r="E17" s="368"/>
      <c r="F17" s="368"/>
      <c r="G17" s="368"/>
      <c r="H17" s="368"/>
      <c r="I17" s="368"/>
      <c r="J17" s="368"/>
      <c r="K17" s="368"/>
    </row>
    <row r="18" spans="2:11" ht="36.6" customHeight="1">
      <c r="B18" s="368"/>
      <c r="C18" s="368"/>
      <c r="D18" s="368"/>
      <c r="E18" s="368"/>
      <c r="F18" s="368"/>
      <c r="G18" s="368"/>
      <c r="H18" s="368"/>
      <c r="I18" s="368"/>
      <c r="J18" s="368"/>
      <c r="K18" s="368"/>
    </row>
    <row r="19" spans="2:11" ht="40.9" customHeight="1">
      <c r="B19" s="368"/>
      <c r="C19" s="368"/>
      <c r="D19" s="368"/>
      <c r="E19" s="368"/>
      <c r="F19" s="368"/>
      <c r="G19" s="368"/>
      <c r="H19" s="368"/>
      <c r="I19" s="368"/>
      <c r="J19" s="368"/>
      <c r="K19" s="368"/>
    </row>
    <row r="20" spans="2:11" ht="15" customHeight="1">
      <c r="B20" s="368"/>
      <c r="C20" s="368"/>
      <c r="D20" s="368"/>
      <c r="E20" s="368"/>
      <c r="F20" s="368"/>
      <c r="G20" s="368"/>
      <c r="H20" s="368"/>
      <c r="I20" s="368"/>
      <c r="J20" s="368"/>
      <c r="K20" s="368"/>
    </row>
    <row r="21" spans="2:11" ht="15" customHeight="1">
      <c r="B21" s="368"/>
      <c r="C21" s="368"/>
      <c r="D21" s="368"/>
      <c r="E21" s="368"/>
      <c r="F21" s="368"/>
      <c r="G21" s="368"/>
      <c r="H21" s="368"/>
      <c r="I21" s="368"/>
      <c r="J21" s="368"/>
      <c r="K21" s="368"/>
    </row>
    <row r="22" spans="2:11" ht="15" customHeight="1">
      <c r="B22" s="368"/>
      <c r="C22" s="368"/>
      <c r="D22" s="368"/>
      <c r="E22" s="368"/>
      <c r="F22" s="368"/>
      <c r="G22" s="368"/>
      <c r="H22" s="368"/>
      <c r="I22" s="368"/>
      <c r="J22" s="368"/>
      <c r="K22" s="368"/>
    </row>
    <row r="23" spans="2:11" ht="15" customHeight="1">
      <c r="B23" s="368"/>
      <c r="C23" s="368"/>
      <c r="D23" s="368"/>
      <c r="E23" s="368"/>
      <c r="F23" s="368"/>
      <c r="G23" s="368"/>
      <c r="H23" s="368"/>
      <c r="I23" s="368"/>
      <c r="J23" s="368"/>
      <c r="K23" s="368"/>
    </row>
    <row r="24" spans="2:11" ht="15" customHeight="1">
      <c r="B24" s="368"/>
      <c r="C24" s="368"/>
      <c r="D24" s="368"/>
      <c r="E24" s="368"/>
      <c r="F24" s="368"/>
      <c r="G24" s="368"/>
      <c r="H24" s="368"/>
      <c r="I24" s="368"/>
      <c r="J24" s="368"/>
      <c r="K24" s="368"/>
    </row>
    <row r="25" spans="2:11" ht="15" customHeight="1">
      <c r="B25" s="368"/>
      <c r="C25" s="368"/>
      <c r="D25" s="368"/>
      <c r="E25" s="368"/>
      <c r="F25" s="368"/>
      <c r="G25" s="368"/>
      <c r="H25" s="368"/>
      <c r="I25" s="368"/>
      <c r="J25" s="368"/>
      <c r="K25" s="368"/>
    </row>
    <row r="26" spans="2:11" ht="15" customHeight="1">
      <c r="B26" s="368"/>
      <c r="C26" s="368"/>
      <c r="D26" s="368"/>
      <c r="E26" s="368"/>
      <c r="F26" s="368"/>
      <c r="G26" s="368"/>
      <c r="H26" s="368"/>
      <c r="I26" s="368"/>
      <c r="J26" s="368"/>
      <c r="K26" s="368"/>
    </row>
    <row r="27" spans="2:11" ht="15" customHeight="1">
      <c r="B27" s="368"/>
      <c r="C27" s="368"/>
      <c r="D27" s="368"/>
      <c r="E27" s="368"/>
      <c r="F27" s="368"/>
      <c r="G27" s="368"/>
      <c r="H27" s="368"/>
      <c r="I27" s="368"/>
      <c r="J27" s="368"/>
      <c r="K27" s="368"/>
    </row>
    <row r="28" spans="2:11" ht="15" customHeight="1">
      <c r="B28" s="368"/>
      <c r="C28" s="368"/>
      <c r="D28" s="368"/>
      <c r="E28" s="368"/>
      <c r="F28" s="368"/>
      <c r="G28" s="368"/>
      <c r="H28" s="368"/>
      <c r="I28" s="368"/>
      <c r="J28" s="368"/>
      <c r="K28" s="368"/>
    </row>
    <row r="29" spans="2:11" ht="15" customHeight="1">
      <c r="B29" s="368"/>
      <c r="C29" s="368"/>
      <c r="D29" s="368"/>
      <c r="E29" s="368"/>
      <c r="F29" s="368"/>
      <c r="G29" s="368"/>
      <c r="H29" s="368"/>
      <c r="I29" s="368"/>
      <c r="J29" s="368"/>
      <c r="K29" s="368"/>
    </row>
    <row r="30" spans="2:11" ht="15" customHeight="1">
      <c r="B30" s="368"/>
      <c r="C30" s="368"/>
      <c r="D30" s="368"/>
      <c r="E30" s="368"/>
      <c r="F30" s="368"/>
      <c r="G30" s="368"/>
      <c r="H30" s="368"/>
      <c r="I30" s="368"/>
      <c r="J30" s="368"/>
      <c r="K30" s="368"/>
    </row>
    <row r="31" spans="2:11" ht="15" customHeight="1">
      <c r="B31" s="368"/>
      <c r="C31" s="368"/>
      <c r="D31" s="368"/>
      <c r="E31" s="368"/>
      <c r="F31" s="368"/>
      <c r="G31" s="368"/>
      <c r="H31" s="368"/>
      <c r="I31" s="368"/>
      <c r="J31" s="368"/>
      <c r="K31" s="368"/>
    </row>
    <row r="32" spans="2:11" ht="15" customHeight="1">
      <c r="B32" s="368"/>
      <c r="C32" s="368"/>
      <c r="D32" s="368"/>
      <c r="E32" s="368"/>
      <c r="F32" s="368"/>
      <c r="G32" s="368"/>
      <c r="H32" s="368"/>
      <c r="I32" s="368"/>
      <c r="J32" s="368"/>
      <c r="K32" s="368"/>
    </row>
    <row r="33" spans="2:11" ht="15" customHeight="1">
      <c r="B33" s="368"/>
      <c r="C33" s="368"/>
      <c r="D33" s="368"/>
      <c r="E33" s="368"/>
      <c r="F33" s="368"/>
      <c r="G33" s="368"/>
      <c r="H33" s="368"/>
      <c r="I33" s="368"/>
      <c r="J33" s="368"/>
      <c r="K33" s="368"/>
    </row>
    <row r="34" spans="2:11" ht="15" customHeight="1">
      <c r="B34" s="368"/>
      <c r="C34" s="368"/>
      <c r="D34" s="368"/>
      <c r="E34" s="368"/>
      <c r="F34" s="368"/>
      <c r="G34" s="368"/>
      <c r="H34" s="368"/>
      <c r="I34" s="368"/>
      <c r="J34" s="368"/>
      <c r="K34" s="368"/>
    </row>
    <row r="35" spans="2:11" ht="15" customHeight="1">
      <c r="B35" s="368"/>
      <c r="C35" s="368"/>
      <c r="D35" s="368"/>
      <c r="E35" s="368"/>
      <c r="F35" s="368"/>
      <c r="G35" s="368"/>
      <c r="H35" s="368"/>
      <c r="I35" s="368"/>
      <c r="J35" s="368"/>
      <c r="K35" s="368"/>
    </row>
    <row r="36" spans="2:11" ht="15" customHeight="1">
      <c r="B36" s="368"/>
      <c r="C36" s="368"/>
      <c r="D36" s="368"/>
      <c r="E36" s="368"/>
      <c r="F36" s="368"/>
      <c r="G36" s="368"/>
      <c r="H36" s="368"/>
      <c r="I36" s="368"/>
      <c r="J36" s="368"/>
      <c r="K36" s="368"/>
    </row>
    <row r="37" spans="2:11" ht="15" customHeight="1">
      <c r="B37" s="368"/>
      <c r="C37" s="368"/>
      <c r="D37" s="368"/>
      <c r="E37" s="368"/>
      <c r="F37" s="368"/>
      <c r="G37" s="368"/>
      <c r="H37" s="368"/>
      <c r="I37" s="368"/>
      <c r="J37" s="368"/>
      <c r="K37" s="368"/>
    </row>
    <row r="38" spans="2:11">
      <c r="B38" s="263"/>
      <c r="C38" s="263"/>
      <c r="D38" s="263"/>
      <c r="E38" s="263"/>
      <c r="F38" s="263"/>
      <c r="G38" s="263"/>
      <c r="H38" s="263"/>
    </row>
    <row r="39" spans="2:11" ht="18" thickBot="1">
      <c r="B39" s="212" t="s">
        <v>599</v>
      </c>
      <c r="C39" s="212"/>
      <c r="D39" s="212"/>
      <c r="E39" s="212"/>
      <c r="F39" s="212"/>
      <c r="G39" s="212"/>
      <c r="H39" s="212"/>
      <c r="I39" s="212"/>
      <c r="J39" s="212"/>
      <c r="K39" s="212"/>
    </row>
    <row r="40" spans="2:11" ht="15.75" thickTop="1">
      <c r="B40" s="263"/>
      <c r="C40" s="263"/>
      <c r="D40" s="263"/>
      <c r="E40" s="263"/>
      <c r="F40" s="263"/>
      <c r="G40" s="263"/>
      <c r="H40" s="263"/>
    </row>
    <row r="41" spans="2:11" ht="25.5" customHeight="1">
      <c r="B41" s="365" t="s">
        <v>347</v>
      </c>
      <c r="C41" s="366"/>
      <c r="D41" s="367"/>
      <c r="E41" s="365" t="s">
        <v>601</v>
      </c>
      <c r="F41" s="367"/>
      <c r="G41" s="365" t="s">
        <v>602</v>
      </c>
      <c r="H41" s="367"/>
    </row>
    <row r="42" spans="2:11">
      <c r="B42" s="27" t="str">
        <f t="array" ref="B42:B46">Отчетность_по_годам!B192:B196</f>
        <v>Аккумулированный денежный поток (до дисконтирования), в  руб.</v>
      </c>
      <c r="C42" s="267"/>
      <c r="D42" s="217"/>
      <c r="E42" s="359">
        <f ca="1">Отчетность_по_годам!F192</f>
        <v>11812900146.040365</v>
      </c>
      <c r="F42" s="360"/>
      <c r="G42" s="359">
        <f ca="1">Отчетность_по_годам!F218</f>
        <v>11150171743.210157</v>
      </c>
      <c r="H42" s="360"/>
    </row>
    <row r="43" spans="2:11">
      <c r="B43" s="27" t="str">
        <v>Чистая приведенная стоимость (NPV), в  руб.</v>
      </c>
      <c r="C43" s="267"/>
      <c r="D43" s="217"/>
      <c r="E43" s="359">
        <f ca="1">Отчетность_по_годам!F193</f>
        <v>9361946480.9014187</v>
      </c>
      <c r="F43" s="360"/>
      <c r="G43" s="359">
        <f ca="1">Отчетность_по_годам!F219</f>
        <v>6100908547.7679863</v>
      </c>
      <c r="H43" s="360"/>
    </row>
    <row r="44" spans="2:11">
      <c r="B44" s="27" t="str">
        <v>Внутренняя норма доходности (IRR)</v>
      </c>
      <c r="C44" s="267"/>
      <c r="D44" s="217"/>
      <c r="E44" s="375">
        <f ca="1">Отчетность_по_годам!F194</f>
        <v>0.32349848151206972</v>
      </c>
      <c r="F44" s="376"/>
      <c r="G44" s="375">
        <f ca="1">Отчетность_по_годам!F220</f>
        <v>2.9802322387695314E-9</v>
      </c>
      <c r="H44" s="376"/>
    </row>
    <row r="45" spans="2:11">
      <c r="B45" s="27" t="str">
        <v>Простой период окупаемости (PP), в годах</v>
      </c>
      <c r="C45" s="267"/>
      <c r="D45" s="217"/>
      <c r="E45" s="359">
        <f ca="1">Отчетность_по_годам!F195</f>
        <v>3.6666666666666665</v>
      </c>
      <c r="F45" s="360"/>
      <c r="G45" s="359">
        <f ca="1">Отчетность_по_годам!F221</f>
        <v>8.3333333333333329E-2</v>
      </c>
      <c r="H45" s="360"/>
    </row>
    <row r="46" spans="2:11">
      <c r="B46" s="27" t="str">
        <v>Дисконтированный период окупаемости (DPP), в годах</v>
      </c>
      <c r="C46" s="267"/>
      <c r="D46" s="217"/>
      <c r="E46" s="359">
        <f ca="1">Отчетность_по_годам!F196</f>
        <v>3.75</v>
      </c>
      <c r="F46" s="360"/>
      <c r="G46" s="359">
        <f ca="1">Отчетность_по_годам!F222</f>
        <v>8.3333333333333329E-2</v>
      </c>
      <c r="H46" s="360"/>
    </row>
    <row r="47" spans="2:11">
      <c r="B47" s="263"/>
      <c r="C47" s="263"/>
      <c r="D47" s="263"/>
      <c r="E47" s="263"/>
      <c r="F47" s="254"/>
      <c r="G47" s="263"/>
      <c r="H47" s="263"/>
    </row>
    <row r="48" spans="2:11" ht="18" thickBot="1">
      <c r="B48" s="212" t="str">
        <f>"Капитальные вложения, в "&amp;Ед_измерения_денег</f>
        <v>Капитальные вложения, в  руб.</v>
      </c>
      <c r="C48" s="212"/>
      <c r="D48" s="256"/>
      <c r="E48" s="212" t="str">
        <f>"Финансирование капитальных затрат, в "&amp;Ед_измерения_денег</f>
        <v>Финансирование капитальных затрат, в  руб.</v>
      </c>
      <c r="F48" s="212"/>
      <c r="G48" s="212"/>
      <c r="H48" s="212"/>
    </row>
    <row r="49" spans="2:11" ht="15.75" thickTop="1">
      <c r="B49" s="263"/>
      <c r="C49" s="263"/>
      <c r="D49" s="263"/>
      <c r="E49" s="254"/>
      <c r="F49" s="263"/>
      <c r="G49" s="263"/>
      <c r="H49" s="268"/>
    </row>
    <row r="50" spans="2:11">
      <c r="B50" s="269" t="s">
        <v>347</v>
      </c>
      <c r="C50" s="269" t="s">
        <v>600</v>
      </c>
      <c r="D50" s="263"/>
      <c r="E50" s="361" t="s">
        <v>347</v>
      </c>
      <c r="F50" s="362"/>
      <c r="G50" s="269" t="s">
        <v>181</v>
      </c>
      <c r="H50" s="269" t="s">
        <v>188</v>
      </c>
    </row>
    <row r="51" spans="2:11">
      <c r="B51" s="196" t="s">
        <v>54</v>
      </c>
      <c r="C51" s="199">
        <f>-Отчетность_по_годам!D92</f>
        <v>1160000000</v>
      </c>
      <c r="D51" s="263"/>
      <c r="E51" s="27" t="s">
        <v>538</v>
      </c>
      <c r="F51" s="270"/>
      <c r="G51" s="199">
        <f ca="1">Отчетность_по_годам!D100</f>
        <v>10000</v>
      </c>
      <c r="H51" s="271">
        <f ca="1">G51/$G$53</f>
        <v>8.3332638894675877E-6</v>
      </c>
    </row>
    <row r="52" spans="2:11" ht="15.75" thickBot="1">
      <c r="B52" s="272" t="s">
        <v>138</v>
      </c>
      <c r="C52" s="273">
        <f ca="1">G53-C51</f>
        <v>40010000</v>
      </c>
      <c r="D52" s="263"/>
      <c r="E52" s="274" t="s">
        <v>100</v>
      </c>
      <c r="F52" s="275"/>
      <c r="G52" s="273">
        <f>Отчетность_по_годам!D101</f>
        <v>1200000000</v>
      </c>
      <c r="H52" s="276">
        <f ca="1">G52/$G$53</f>
        <v>0.99999166673611051</v>
      </c>
    </row>
    <row r="53" spans="2:11" ht="15.75" thickTop="1">
      <c r="B53" s="232" t="s">
        <v>210</v>
      </c>
      <c r="C53" s="277">
        <f ca="1">SUM(C51:C52)</f>
        <v>1200010000</v>
      </c>
      <c r="D53" s="263"/>
      <c r="E53" s="278" t="s">
        <v>193</v>
      </c>
      <c r="F53" s="279"/>
      <c r="G53" s="277">
        <f ca="1">SUM(G51:G52)</f>
        <v>1200010000</v>
      </c>
      <c r="H53" s="280">
        <f ca="1">SUM(H51:H52)</f>
        <v>1</v>
      </c>
    </row>
    <row r="54" spans="2:11" ht="15" customHeight="1"/>
    <row r="55" spans="2:11" ht="15" customHeight="1" thickBot="1">
      <c r="B55" s="212" t="s">
        <v>177</v>
      </c>
      <c r="C55" s="212"/>
      <c r="D55" s="212"/>
      <c r="E55" s="212"/>
      <c r="F55" s="212"/>
      <c r="G55" s="212"/>
      <c r="H55" s="212"/>
      <c r="I55" s="212"/>
      <c r="J55" s="212"/>
      <c r="K55" s="212"/>
    </row>
    <row r="56" spans="2:11" ht="15" customHeight="1" thickTop="1">
      <c r="B56" s="281"/>
      <c r="C56" s="263"/>
      <c r="D56" s="263"/>
      <c r="E56" s="263"/>
      <c r="F56" s="263"/>
    </row>
    <row r="57" spans="2:11" ht="15" customHeight="1">
      <c r="B57" s="363" t="s">
        <v>347</v>
      </c>
      <c r="C57" s="364"/>
      <c r="D57" s="205" t="s">
        <v>178</v>
      </c>
      <c r="E57" s="202" t="s">
        <v>175</v>
      </c>
      <c r="F57" s="202" t="s">
        <v>176</v>
      </c>
    </row>
    <row r="58" spans="2:11" ht="15" customHeight="1">
      <c r="B58" s="27" t="str">
        <f t="array" ref="B58:B66">Сценарии!B28:B37</f>
        <v>Выручка (суммарно), в  руб.</v>
      </c>
      <c r="C58" s="217"/>
      <c r="D58" s="282">
        <f t="array" ref="D58:F67">Сценарии_результаты</f>
        <v>11534929222.630032</v>
      </c>
      <c r="E58" s="283">
        <v>12353909197.436762</v>
      </c>
      <c r="F58" s="283">
        <v>10739019106.26856</v>
      </c>
    </row>
    <row r="59" spans="2:11" ht="15" customHeight="1">
      <c r="B59" s="27" t="str">
        <v>EBITDA (суммарно), в  руб.</v>
      </c>
      <c r="C59" s="217"/>
      <c r="D59" s="282">
        <v>5366621073.6345043</v>
      </c>
      <c r="E59" s="283">
        <v>6044629483.4864578</v>
      </c>
      <c r="F59" s="283">
        <v>4721622319.1513376</v>
      </c>
    </row>
    <row r="60" spans="2:11" ht="15" customHeight="1">
      <c r="B60" s="27" t="str">
        <v>Чистая прибыль (суммарно), в  руб.</v>
      </c>
      <c r="C60" s="217"/>
      <c r="D60" s="282">
        <v>3961103468.1441517</v>
      </c>
      <c r="E60" s="283">
        <v>4642951683.7440596</v>
      </c>
      <c r="F60" s="283">
        <v>3309996462.9748669</v>
      </c>
    </row>
    <row r="61" spans="2:11" ht="15" customHeight="1">
      <c r="B61" s="27" t="str">
        <v>EBITDA к выручке</v>
      </c>
      <c r="C61" s="217"/>
      <c r="D61" s="284">
        <v>0.4652495884505205</v>
      </c>
      <c r="E61" s="285">
        <v>0.48928880622990345</v>
      </c>
      <c r="F61" s="285">
        <v>0.43966979408717516</v>
      </c>
    </row>
    <row r="62" spans="2:11" ht="15" customHeight="1">
      <c r="B62" s="27" t="str">
        <v>Чистая прибыль к выручке</v>
      </c>
      <c r="C62" s="217"/>
      <c r="D62" s="284">
        <v>0.34340076056756219</v>
      </c>
      <c r="E62" s="285">
        <v>0.37582854216764017</v>
      </c>
      <c r="F62" s="285">
        <v>0.30822148933907401</v>
      </c>
    </row>
    <row r="63" spans="2:11" ht="15" customHeight="1">
      <c r="B63" s="27" t="str">
        <v>Чистая приведенная стоимость (общая), в  руб.</v>
      </c>
      <c r="C63" s="217"/>
      <c r="D63" s="282">
        <v>9361946480.9014187</v>
      </c>
      <c r="E63" s="283">
        <v>10797646623.209692</v>
      </c>
      <c r="F63" s="283">
        <v>7990235225.4128971</v>
      </c>
    </row>
    <row r="64" spans="2:11" ht="15" customHeight="1">
      <c r="B64" s="27" t="str">
        <v>Внутренняя норма доходности (общая)</v>
      </c>
      <c r="C64" s="217"/>
      <c r="D64" s="284">
        <v>0.32349848151206972</v>
      </c>
      <c r="E64" s="285">
        <v>0.41181867718696596</v>
      </c>
      <c r="F64" s="285">
        <v>0.24031290411949155</v>
      </c>
    </row>
    <row r="65" spans="2:11" ht="15" customHeight="1">
      <c r="B65" s="27" t="str">
        <v>Простой период окупаемости (общая), в мес.</v>
      </c>
      <c r="C65" s="217"/>
      <c r="D65" s="286">
        <v>44</v>
      </c>
      <c r="E65" s="287">
        <v>41</v>
      </c>
      <c r="F65" s="287">
        <v>47</v>
      </c>
    </row>
    <row r="66" spans="2:11" ht="15" customHeight="1">
      <c r="B66" s="27" t="str">
        <v>Дисконтированный период окупаемости (общий), в мес.</v>
      </c>
      <c r="C66" s="217"/>
      <c r="D66" s="286">
        <v>45</v>
      </c>
      <c r="E66" s="287">
        <v>42</v>
      </c>
      <c r="F66" s="287">
        <v>49</v>
      </c>
    </row>
    <row r="67" spans="2:11" ht="15" customHeight="1">
      <c r="B67" s="27" t="str">
        <f t="array" ref="B67">Сценарии!B37:B46</f>
        <v>Окупаемость для всех участников</v>
      </c>
      <c r="C67" s="217"/>
      <c r="D67" s="286" t="str">
        <v>да</v>
      </c>
      <c r="E67" s="287" t="str">
        <v>да</v>
      </c>
      <c r="F67" s="287" t="str">
        <v>да</v>
      </c>
    </row>
    <row r="68" spans="2:11" ht="15" customHeight="1"/>
    <row r="69" spans="2:11" ht="20.25" thickBot="1">
      <c r="B69" s="26" t="str">
        <f>"Отчет о прибылях и убытках, в "&amp;Ед_измерения_денег</f>
        <v>Отчет о прибылях и убытках, в  руб.</v>
      </c>
      <c r="C69" s="26"/>
      <c r="D69" s="26"/>
      <c r="E69" s="26"/>
      <c r="F69" s="26"/>
      <c r="G69" s="26"/>
      <c r="H69" s="26"/>
      <c r="I69" s="26"/>
      <c r="J69" s="26"/>
      <c r="K69" s="26"/>
    </row>
    <row r="70" spans="2:11" ht="15" customHeight="1" thickTop="1">
      <c r="B70" s="281"/>
      <c r="C70" s="263"/>
      <c r="D70" s="263"/>
      <c r="E70" s="263"/>
      <c r="F70" s="263"/>
      <c r="G70" s="266"/>
      <c r="H70" s="266"/>
      <c r="I70" s="254"/>
      <c r="J70" s="254"/>
      <c r="K70" s="254"/>
    </row>
    <row r="71" spans="2:11">
      <c r="B71" s="288" t="s">
        <v>347</v>
      </c>
      <c r="C71" s="289" t="s">
        <v>604</v>
      </c>
      <c r="D71" s="290">
        <f>Отчетность_по_годам!F$13</f>
        <v>2023</v>
      </c>
      <c r="E71" s="290">
        <f>Отчетность_по_годам!G$13</f>
        <v>2024</v>
      </c>
      <c r="F71" s="290">
        <f>Отчетность_по_годам!H$13</f>
        <v>2025</v>
      </c>
      <c r="G71" s="290">
        <f>Отчетность_по_годам!I$13</f>
        <v>2026</v>
      </c>
      <c r="H71" s="290">
        <f>Отчетность_по_годам!J$13</f>
        <v>2027</v>
      </c>
      <c r="I71" s="290">
        <f>Отчетность_по_годам!K$13</f>
        <v>2028</v>
      </c>
      <c r="J71" s="290">
        <f>Отчетность_по_годам!L$13</f>
        <v>2029</v>
      </c>
      <c r="K71" s="290">
        <f>Отчетность_по_годам!M$13</f>
        <v>2030</v>
      </c>
    </row>
    <row r="72" spans="2:11" ht="3" customHeight="1">
      <c r="B72" s="291"/>
      <c r="C72" s="263"/>
      <c r="D72" s="263"/>
      <c r="E72" s="263"/>
      <c r="F72" s="263"/>
      <c r="G72" s="266"/>
      <c r="H72" s="292"/>
      <c r="I72" s="254"/>
      <c r="J72" s="254"/>
      <c r="K72" s="254"/>
    </row>
    <row r="73" spans="2:11">
      <c r="B73" s="293" t="s">
        <v>48</v>
      </c>
      <c r="C73" s="294">
        <f ca="1">SUM(D73:K73)</f>
        <v>11534929222.630032</v>
      </c>
      <c r="D73" s="295">
        <f ca="1">Отчетность_по_годам!F18</f>
        <v>0</v>
      </c>
      <c r="E73" s="296">
        <f ca="1">Отчетность_по_годам!G18</f>
        <v>703565942.23282135</v>
      </c>
      <c r="F73" s="296">
        <f ca="1">Отчетность_по_годам!H18</f>
        <v>1165729957.4916103</v>
      </c>
      <c r="G73" s="296">
        <f ca="1">Отчетность_по_годам!I18</f>
        <v>1832895628.8621254</v>
      </c>
      <c r="H73" s="296">
        <f ca="1">Отчетность_по_годам!J18</f>
        <v>2270539970.1139717</v>
      </c>
      <c r="I73" s="296">
        <f ca="1">Отчетность_по_годам!K18</f>
        <v>2396946229.4748225</v>
      </c>
      <c r="J73" s="296">
        <f ca="1">Отчетность_по_годам!L18</f>
        <v>2516667745.1710176</v>
      </c>
      <c r="K73" s="296">
        <f ca="1">Отчетность_по_годам!M18</f>
        <v>648583749.28366172</v>
      </c>
    </row>
    <row r="74" spans="2:11">
      <c r="B74" s="293" t="s">
        <v>194</v>
      </c>
      <c r="C74" s="294">
        <f t="shared" ref="C74:C75" ca="1" si="0">SUM(D74:K74)</f>
        <v>-4969898461.7632771</v>
      </c>
      <c r="D74" s="295">
        <f ca="1">Отчетность_по_годам!F20</f>
        <v>0</v>
      </c>
      <c r="E74" s="296">
        <f ca="1">Отчетность_по_годам!G20</f>
        <v>-401542302.79874337</v>
      </c>
      <c r="F74" s="296">
        <f ca="1">Отчетность_по_годам!H20</f>
        <v>-624795628.20475423</v>
      </c>
      <c r="G74" s="296">
        <f ca="1">Отчетность_по_годам!I20</f>
        <v>-833482533.812621</v>
      </c>
      <c r="H74" s="296">
        <f ca="1">Отчетность_по_годам!J20</f>
        <v>-902452554.48030567</v>
      </c>
      <c r="I74" s="296">
        <f ca="1">Отчетность_по_годам!K20</f>
        <v>-950183152.4505626</v>
      </c>
      <c r="J74" s="296">
        <f ca="1">Отчетность_по_годам!L20</f>
        <v>-999540777.59566367</v>
      </c>
      <c r="K74" s="296">
        <f ca="1">Отчетность_по_годам!M20</f>
        <v>-257901512.42062691</v>
      </c>
    </row>
    <row r="75" spans="2:11">
      <c r="B75" s="297" t="s">
        <v>74</v>
      </c>
      <c r="C75" s="298">
        <f t="shared" ca="1" si="0"/>
        <v>6565030760.8667526</v>
      </c>
      <c r="D75" s="299">
        <f ca="1">SUM(D73:D74)</f>
        <v>0</v>
      </c>
      <c r="E75" s="300">
        <f ca="1">SUM(E73:E74)</f>
        <v>302023639.43407798</v>
      </c>
      <c r="F75" s="300">
        <f ca="1">SUM(F73:F74)</f>
        <v>540934329.28685606</v>
      </c>
      <c r="G75" s="300">
        <f ca="1">SUM(G73:G74)</f>
        <v>999413095.0495044</v>
      </c>
      <c r="H75" s="300">
        <f ca="1">SUM(H73:H74)</f>
        <v>1368087415.633666</v>
      </c>
      <c r="I75" s="300">
        <f t="shared" ref="I75:K75" ca="1" si="1">SUM(I73:I74)</f>
        <v>1446763077.02426</v>
      </c>
      <c r="J75" s="300">
        <f t="shared" ca="1" si="1"/>
        <v>1517126967.5753541</v>
      </c>
      <c r="K75" s="300">
        <f t="shared" ca="1" si="1"/>
        <v>390682236.86303484</v>
      </c>
    </row>
    <row r="76" spans="2:11">
      <c r="B76" s="301" t="s">
        <v>562</v>
      </c>
      <c r="C76" s="302">
        <f t="shared" ref="C76:H76" ca="1" si="2">IFERROR(C75/C$73,"неприменимо")</f>
        <v>0.56914356682718226</v>
      </c>
      <c r="D76" s="303" t="str">
        <f t="shared" ca="1" si="2"/>
        <v>неприменимо</v>
      </c>
      <c r="E76" s="303">
        <f t="shared" ca="1" si="2"/>
        <v>0.42927552529842822</v>
      </c>
      <c r="F76" s="303">
        <f t="shared" ca="1" si="2"/>
        <v>0.46403056369146206</v>
      </c>
      <c r="G76" s="303">
        <f t="shared" ca="1" si="2"/>
        <v>0.54526459625524182</v>
      </c>
      <c r="H76" s="303">
        <f t="shared" ca="1" si="2"/>
        <v>0.60253835371371756</v>
      </c>
      <c r="I76" s="303">
        <f t="shared" ref="I76:K76" ca="1" si="3">IFERROR(I75/I$73,"неприменимо")</f>
        <v>0.60358595417522143</v>
      </c>
      <c r="J76" s="303">
        <f t="shared" ca="1" si="3"/>
        <v>0.60283164930548239</v>
      </c>
      <c r="K76" s="303">
        <f t="shared" ca="1" si="3"/>
        <v>0.60236205007376431</v>
      </c>
    </row>
    <row r="77" spans="2:11" ht="3" customHeight="1">
      <c r="B77" s="304"/>
      <c r="C77" s="305"/>
      <c r="D77" s="305"/>
      <c r="E77" s="305"/>
      <c r="F77" s="305"/>
      <c r="G77" s="305"/>
      <c r="H77" s="306"/>
      <c r="I77" s="306"/>
      <c r="J77" s="306"/>
      <c r="K77" s="306"/>
    </row>
    <row r="78" spans="2:11">
      <c r="B78" s="293" t="s">
        <v>16</v>
      </c>
      <c r="C78" s="294">
        <f t="shared" ref="C78:C80" ca="1" si="4">SUM(D78:K78)</f>
        <v>-116604878.96066675</v>
      </c>
      <c r="D78" s="295">
        <f ca="1">Отчетность_по_годам!F24</f>
        <v>0</v>
      </c>
      <c r="E78" s="296">
        <f ca="1">Отчетность_по_годам!G24</f>
        <v>-12880368.023436259</v>
      </c>
      <c r="F78" s="296">
        <f ca="1">Отчетность_по_годам!H24</f>
        <v>-17877963.656467658</v>
      </c>
      <c r="G78" s="296">
        <f ca="1">Отчетность_по_годам!I24</f>
        <v>-18718227.948321618</v>
      </c>
      <c r="H78" s="296">
        <f ca="1">Отчетность_по_годам!J24</f>
        <v>-19597984.66189272</v>
      </c>
      <c r="I78" s="296">
        <f ca="1">Отчетность_по_годам!K24</f>
        <v>-20520055.775934979</v>
      </c>
      <c r="J78" s="296">
        <f ca="1">Отчетность_по_годам!L24</f>
        <v>-21483487.168228723</v>
      </c>
      <c r="K78" s="296">
        <f ca="1">Отчетность_по_годам!M24</f>
        <v>-5526791.7263847869</v>
      </c>
    </row>
    <row r="79" spans="2:11">
      <c r="B79" s="293" t="s">
        <v>203</v>
      </c>
      <c r="C79" s="294">
        <f t="shared" ca="1" si="4"/>
        <v>-1081804808.2715821</v>
      </c>
      <c r="D79" s="295">
        <f ca="1">SUM(Отчетность_по_годам!F25:F27)</f>
        <v>0</v>
      </c>
      <c r="E79" s="296">
        <f ca="1">SUM(Отчетность_по_годам!G25:G27)</f>
        <v>-122874814.49726707</v>
      </c>
      <c r="F79" s="296">
        <f ca="1">SUM(Отчетность_по_годам!H25:H27)</f>
        <v>-163314482.16308355</v>
      </c>
      <c r="G79" s="296">
        <f ca="1">SUM(Отчетность_по_годам!I25:I27)</f>
        <v>-175451171.74052495</v>
      </c>
      <c r="H79" s="296">
        <f ca="1">SUM(Отчетность_по_годам!J25:J27)</f>
        <v>-182469218.61014587</v>
      </c>
      <c r="I79" s="296">
        <f ca="1">SUM(Отчетность_по_годам!K25:K27)</f>
        <v>-189775621.3048206</v>
      </c>
      <c r="J79" s="296">
        <f ca="1">SUM(Отчетность_по_годам!L25:L27)</f>
        <v>-197358706.8487336</v>
      </c>
      <c r="K79" s="296">
        <f ca="1">SUM(Отчетность_по_годам!M25:M27)</f>
        <v>-50560793.107006609</v>
      </c>
    </row>
    <row r="80" spans="2:11">
      <c r="B80" s="297" t="s">
        <v>75</v>
      </c>
      <c r="C80" s="298">
        <f t="shared" ca="1" si="4"/>
        <v>5366621073.6345043</v>
      </c>
      <c r="D80" s="299">
        <f ca="1">SUM(D75,D78:D79)</f>
        <v>0</v>
      </c>
      <c r="E80" s="300">
        <f ca="1">SUM(E75,E78:E79)</f>
        <v>166268456.91337466</v>
      </c>
      <c r="F80" s="300">
        <f ca="1">SUM(F75,F78:F79)</f>
        <v>359741883.46730483</v>
      </c>
      <c r="G80" s="300">
        <f ca="1">SUM(G75,G78:G79)</f>
        <v>805243695.36065793</v>
      </c>
      <c r="H80" s="300">
        <f ca="1">SUM(H75,H78:H79)</f>
        <v>1166020212.3616276</v>
      </c>
      <c r="I80" s="300">
        <f t="shared" ref="I80:K80" ca="1" si="5">SUM(I75,I78:I79)</f>
        <v>1236467399.9435046</v>
      </c>
      <c r="J80" s="300">
        <f t="shared" ca="1" si="5"/>
        <v>1298284773.5583918</v>
      </c>
      <c r="K80" s="300">
        <f t="shared" ca="1" si="5"/>
        <v>334594652.02964348</v>
      </c>
    </row>
    <row r="81" spans="2:11">
      <c r="B81" s="301" t="s">
        <v>510</v>
      </c>
      <c r="C81" s="302">
        <f t="shared" ref="C81:H81" ca="1" si="6">IFERROR(C80/C$73,"неприменимо")</f>
        <v>0.4652495884505205</v>
      </c>
      <c r="D81" s="303" t="str">
        <f t="shared" ca="1" si="6"/>
        <v>неприменимо</v>
      </c>
      <c r="E81" s="303">
        <f t="shared" ca="1" si="6"/>
        <v>0.23632249222540358</v>
      </c>
      <c r="F81" s="303">
        <f t="shared" ca="1" si="6"/>
        <v>0.30859795714728716</v>
      </c>
      <c r="G81" s="303">
        <f t="shared" ca="1" si="6"/>
        <v>0.43932872264012052</v>
      </c>
      <c r="H81" s="303">
        <f t="shared" ca="1" si="6"/>
        <v>0.51354313410439467</v>
      </c>
      <c r="I81" s="303">
        <f t="shared" ref="I81:K81" ca="1" si="7">IFERROR(I80/I$73,"неприменимо")</f>
        <v>0.51585112120534216</v>
      </c>
      <c r="J81" s="303">
        <f t="shared" ca="1" si="7"/>
        <v>0.51587452338495643</v>
      </c>
      <c r="K81" s="303">
        <f t="shared" ca="1" si="7"/>
        <v>0.51588503782154838</v>
      </c>
    </row>
    <row r="82" spans="2:11" ht="3" customHeight="1">
      <c r="B82" s="304"/>
      <c r="C82" s="305"/>
      <c r="D82" s="305"/>
      <c r="E82" s="305"/>
      <c r="F82" s="305"/>
      <c r="G82" s="305"/>
      <c r="H82" s="306"/>
      <c r="I82" s="306"/>
      <c r="J82" s="306"/>
      <c r="K82" s="306"/>
    </row>
    <row r="83" spans="2:11">
      <c r="B83" s="293" t="s">
        <v>56</v>
      </c>
      <c r="C83" s="294">
        <f t="shared" ref="C83:C84" ca="1" si="8">SUM(D83:K83)</f>
        <v>-903896103.89610386</v>
      </c>
      <c r="D83" s="295">
        <f ca="1">Отчетность_по_годам!F31</f>
        <v>0</v>
      </c>
      <c r="E83" s="296">
        <f ca="1">Отчетность_по_годам!G31</f>
        <v>-112987012.98701298</v>
      </c>
      <c r="F83" s="296">
        <f ca="1">Отчетность_по_годам!H31</f>
        <v>-150649350.64935064</v>
      </c>
      <c r="G83" s="296">
        <f ca="1">Отчетность_по_годам!I31</f>
        <v>-150649350.64935064</v>
      </c>
      <c r="H83" s="296">
        <f ca="1">Отчетность_по_годам!J31</f>
        <v>-150649350.64935064</v>
      </c>
      <c r="I83" s="296">
        <f ca="1">Отчетность_по_годам!K31</f>
        <v>-150649350.64935064</v>
      </c>
      <c r="J83" s="296">
        <f ca="1">Отчетность_по_годам!L31</f>
        <v>-150649350.64935064</v>
      </c>
      <c r="K83" s="296">
        <f ca="1">Отчетность_по_годам!M31</f>
        <v>-37662337.662337661</v>
      </c>
    </row>
    <row r="84" spans="2:11">
      <c r="B84" s="297" t="s">
        <v>76</v>
      </c>
      <c r="C84" s="298">
        <f t="shared" ca="1" si="8"/>
        <v>4462724969.7384014</v>
      </c>
      <c r="D84" s="299">
        <f ca="1">SUM(D80,D83)</f>
        <v>0</v>
      </c>
      <c r="E84" s="300">
        <f ca="1">SUM(E80,E83)</f>
        <v>53281443.92636168</v>
      </c>
      <c r="F84" s="300">
        <f ca="1">SUM(F80,F83)</f>
        <v>209092532.81795418</v>
      </c>
      <c r="G84" s="300">
        <f ca="1">SUM(G80,G83)</f>
        <v>654594344.71130729</v>
      </c>
      <c r="H84" s="300">
        <f ca="1">SUM(H80,H83)</f>
        <v>1015370861.7122769</v>
      </c>
      <c r="I84" s="300">
        <f t="shared" ref="I84:K84" ca="1" si="9">SUM(I80,I83)</f>
        <v>1085818049.2941539</v>
      </c>
      <c r="J84" s="300">
        <f t="shared" ca="1" si="9"/>
        <v>1147635422.9090412</v>
      </c>
      <c r="K84" s="300">
        <f t="shared" ca="1" si="9"/>
        <v>296932314.36730582</v>
      </c>
    </row>
    <row r="85" spans="2:11">
      <c r="B85" s="301" t="s">
        <v>563</v>
      </c>
      <c r="C85" s="302">
        <f t="shared" ref="C85:H85" ca="1" si="10">IFERROR(C84/C$73,"неприменимо")</f>
        <v>0.38688793694400092</v>
      </c>
      <c r="D85" s="303" t="str">
        <f t="shared" ca="1" si="10"/>
        <v>неприменимо</v>
      </c>
      <c r="E85" s="303">
        <f t="shared" ca="1" si="10"/>
        <v>7.5730561597778412E-2</v>
      </c>
      <c r="F85" s="303">
        <f t="shared" ca="1" si="10"/>
        <v>0.1793661829433246</v>
      </c>
      <c r="G85" s="303">
        <f t="shared" ca="1" si="10"/>
        <v>0.35713672639269922</v>
      </c>
      <c r="H85" s="303">
        <f t="shared" ca="1" si="10"/>
        <v>0.44719356412004035</v>
      </c>
      <c r="I85" s="303">
        <f t="shared" ref="I85:K85" ca="1" si="11">IFERROR(I84/I$73,"неприменимо")</f>
        <v>0.45300058713960373</v>
      </c>
      <c r="J85" s="303">
        <f t="shared" ca="1" si="11"/>
        <v>0.45601387990573017</v>
      </c>
      <c r="K85" s="303">
        <f t="shared" ca="1" si="11"/>
        <v>0.45781645731219334</v>
      </c>
    </row>
    <row r="86" spans="2:11" ht="3" customHeight="1">
      <c r="B86" s="304"/>
      <c r="C86" s="305"/>
      <c r="D86" s="305"/>
      <c r="E86" s="305"/>
      <c r="F86" s="305"/>
      <c r="G86" s="305"/>
      <c r="H86" s="306"/>
      <c r="I86" s="306"/>
      <c r="J86" s="306"/>
      <c r="K86" s="306"/>
    </row>
    <row r="87" spans="2:11">
      <c r="B87" s="293" t="s">
        <v>77</v>
      </c>
      <c r="C87" s="294">
        <f t="shared" ref="C87:C88" si="12">SUM(D87:K87)</f>
        <v>-267718562.89499864</v>
      </c>
      <c r="D87" s="295">
        <f>Отчетность_по_годам!F35</f>
        <v>-20901123.287671231</v>
      </c>
      <c r="E87" s="296">
        <f>Отчетность_по_годам!G35</f>
        <v>-74585956.284153</v>
      </c>
      <c r="F87" s="296">
        <f>Отчетность_по_годам!H35</f>
        <v>-66549021.526418798</v>
      </c>
      <c r="G87" s="296">
        <f>Отчетность_по_годам!I35</f>
        <v>-50007925.636007845</v>
      </c>
      <c r="H87" s="296">
        <f>Отчетность_по_годам!J35</f>
        <v>-33079354.207436424</v>
      </c>
      <c r="I87" s="296">
        <f>Отчетность_по_годам!K35</f>
        <v>-16365729.898516797</v>
      </c>
      <c r="J87" s="296">
        <f>Отчетность_по_годам!L35</f>
        <v>-5921232.8767123464</v>
      </c>
      <c r="K87" s="296">
        <f>Отчетность_по_годам!M35</f>
        <v>-308219.17808219575</v>
      </c>
    </row>
    <row r="88" spans="2:11">
      <c r="B88" s="297" t="s">
        <v>69</v>
      </c>
      <c r="C88" s="298">
        <f t="shared" ca="1" si="12"/>
        <v>4195006406.8434024</v>
      </c>
      <c r="D88" s="299">
        <f ca="1">SUM(D84,D87)</f>
        <v>-20901123.287671231</v>
      </c>
      <c r="E88" s="300">
        <f ca="1">SUM(E84,E87)</f>
        <v>-21304512.357791319</v>
      </c>
      <c r="F88" s="300">
        <f ca="1">SUM(F84,F87)</f>
        <v>142543511.29153538</v>
      </c>
      <c r="G88" s="300">
        <f ca="1">SUM(G84,G87)</f>
        <v>604586419.0752995</v>
      </c>
      <c r="H88" s="300">
        <f ca="1">SUM(H84,H87)</f>
        <v>982291507.50484049</v>
      </c>
      <c r="I88" s="300">
        <f t="shared" ref="I88:K88" ca="1" si="13">SUM(I84,I87)</f>
        <v>1069452319.3956372</v>
      </c>
      <c r="J88" s="300">
        <f t="shared" ca="1" si="13"/>
        <v>1141714190.0323288</v>
      </c>
      <c r="K88" s="300">
        <f t="shared" ca="1" si="13"/>
        <v>296624095.18922365</v>
      </c>
    </row>
    <row r="89" spans="2:11">
      <c r="B89" s="301" t="s">
        <v>564</v>
      </c>
      <c r="C89" s="302">
        <f t="shared" ref="C89:H89" ca="1" si="14">IFERROR(C88/C$73,"неприменимо")</f>
        <v>0.36367855631167162</v>
      </c>
      <c r="D89" s="303" t="str">
        <f t="shared" ca="1" si="14"/>
        <v>неприменимо</v>
      </c>
      <c r="E89" s="303">
        <f t="shared" ca="1" si="14"/>
        <v>-3.0280761303169094E-2</v>
      </c>
      <c r="F89" s="303">
        <f t="shared" ca="1" si="14"/>
        <v>0.12227832902077689</v>
      </c>
      <c r="G89" s="303">
        <f t="shared" ca="1" si="14"/>
        <v>0.32985316215229943</v>
      </c>
      <c r="H89" s="303">
        <f t="shared" ca="1" si="14"/>
        <v>0.43262462693203924</v>
      </c>
      <c r="I89" s="303">
        <f t="shared" ref="I89:K89" ca="1" si="15">IFERROR(I88/I$73,"неприменимо")</f>
        <v>0.44617284536664681</v>
      </c>
      <c r="J89" s="303">
        <f t="shared" ca="1" si="15"/>
        <v>0.45366107314843213</v>
      </c>
      <c r="K89" s="303">
        <f t="shared" ca="1" si="15"/>
        <v>0.45734123853216285</v>
      </c>
    </row>
    <row r="90" spans="2:11" ht="3" customHeight="1">
      <c r="B90" s="304"/>
      <c r="C90" s="305"/>
      <c r="D90" s="305"/>
      <c r="E90" s="305"/>
      <c r="F90" s="305"/>
      <c r="G90" s="305"/>
      <c r="H90" s="306"/>
      <c r="I90" s="306"/>
      <c r="J90" s="306"/>
      <c r="K90" s="306"/>
    </row>
    <row r="91" spans="2:11">
      <c r="B91" s="307" t="s">
        <v>29</v>
      </c>
      <c r="C91" s="308">
        <f t="shared" ref="C91:C93" ca="1" si="16">SUM(D91:K91)</f>
        <v>0</v>
      </c>
      <c r="D91" s="309">
        <f ca="1">Отчетность_по_годам!F39</f>
        <v>0</v>
      </c>
      <c r="E91" s="310">
        <f ca="1">Отчетность_по_годам!G39</f>
        <v>0</v>
      </c>
      <c r="F91" s="310">
        <f ca="1">Отчетность_по_годам!H39</f>
        <v>0</v>
      </c>
      <c r="G91" s="310">
        <f ca="1">Отчетность_по_годам!I39</f>
        <v>0</v>
      </c>
      <c r="H91" s="310">
        <f ca="1">Отчетность_по_годам!J39</f>
        <v>0</v>
      </c>
      <c r="I91" s="310">
        <f ca="1">Отчетность_по_годам!K39</f>
        <v>0</v>
      </c>
      <c r="J91" s="310">
        <f ca="1">Отчетность_по_годам!L39</f>
        <v>0</v>
      </c>
      <c r="K91" s="310">
        <f ca="1">Отчетность_по_годам!M39</f>
        <v>0</v>
      </c>
    </row>
    <row r="92" spans="2:11" ht="15.75" thickBot="1">
      <c r="B92" s="307" t="s">
        <v>717</v>
      </c>
      <c r="C92" s="308">
        <f t="shared" ref="C92" ca="1" si="17">SUM(D92:K92)</f>
        <v>-233902938.69925067</v>
      </c>
      <c r="D92" s="309">
        <f ca="1">Отчетность_по_годам!F40</f>
        <v>0</v>
      </c>
      <c r="E92" s="310">
        <f ca="1">Отчетность_по_годам!G40</f>
        <v>0</v>
      </c>
      <c r="F92" s="310">
        <f ca="1">Отчетность_по_годам!H40</f>
        <v>-6020272.5387643678</v>
      </c>
      <c r="G92" s="310">
        <f ca="1">Отчетность_по_годам!I40</f>
        <v>-36275185.144517958</v>
      </c>
      <c r="H92" s="310">
        <f ca="1">Отчетность_по_годам!J40</f>
        <v>-58937490.450290404</v>
      </c>
      <c r="I92" s="310">
        <f ca="1">Отчетность_по_годам!K40</f>
        <v>-64167139.163738221</v>
      </c>
      <c r="J92" s="310">
        <f ca="1">Отчетность_по_годам!L40</f>
        <v>-68502851.40193972</v>
      </c>
      <c r="K92" s="310">
        <f ca="1">Отчетность_по_годам!M40</f>
        <v>0</v>
      </c>
    </row>
    <row r="93" spans="2:11" ht="15.75" thickTop="1">
      <c r="B93" s="311" t="s">
        <v>78</v>
      </c>
      <c r="C93" s="312">
        <f t="shared" ca="1" si="16"/>
        <v>3961103468.1441522</v>
      </c>
      <c r="D93" s="313">
        <f ca="1">SUM(D88,D91,D92)</f>
        <v>-20901123.287671231</v>
      </c>
      <c r="E93" s="313">
        <f t="shared" ref="E93:K93" ca="1" si="18">SUM(E88,E91,E92)</f>
        <v>-21304512.357791319</v>
      </c>
      <c r="F93" s="313">
        <f t="shared" ca="1" si="18"/>
        <v>136523238.75277102</v>
      </c>
      <c r="G93" s="313">
        <f t="shared" ca="1" si="18"/>
        <v>568311233.9307816</v>
      </c>
      <c r="H93" s="313">
        <f t="shared" ca="1" si="18"/>
        <v>923354017.05455005</v>
      </c>
      <c r="I93" s="313">
        <f t="shared" ca="1" si="18"/>
        <v>1005285180.2318989</v>
      </c>
      <c r="J93" s="313">
        <f t="shared" ca="1" si="18"/>
        <v>1073211338.6303891</v>
      </c>
      <c r="K93" s="313">
        <f t="shared" ca="1" si="18"/>
        <v>296624095.18922365</v>
      </c>
    </row>
    <row r="94" spans="2:11" ht="15.75" thickBot="1">
      <c r="B94" s="314" t="s">
        <v>511</v>
      </c>
      <c r="C94" s="315">
        <f t="shared" ref="C94:H94" ca="1" si="19">IFERROR(C93/C$73,"неприменимо")</f>
        <v>0.34340076056756225</v>
      </c>
      <c r="D94" s="316" t="str">
        <f t="shared" ca="1" si="19"/>
        <v>неприменимо</v>
      </c>
      <c r="E94" s="317">
        <f t="shared" ca="1" si="19"/>
        <v>-3.0280761303169094E-2</v>
      </c>
      <c r="F94" s="317">
        <f t="shared" ca="1" si="19"/>
        <v>0.11711394896854023</v>
      </c>
      <c r="G94" s="317">
        <f t="shared" ca="1" si="19"/>
        <v>0.31006197242316152</v>
      </c>
      <c r="H94" s="317">
        <f t="shared" ca="1" si="19"/>
        <v>0.40666714931611686</v>
      </c>
      <c r="I94" s="317">
        <f t="shared" ref="I94:K94" ca="1" si="20">IFERROR(I93/I$73,"неприменимо")</f>
        <v>0.41940247464464803</v>
      </c>
      <c r="J94" s="317">
        <f t="shared" ca="1" si="20"/>
        <v>0.42644140875952624</v>
      </c>
      <c r="K94" s="317">
        <f t="shared" ca="1" si="20"/>
        <v>0.45734123853216285</v>
      </c>
    </row>
    <row r="95" spans="2:11" ht="15.75" thickTop="1"/>
    <row r="96" spans="2:11" ht="20.25" thickBot="1">
      <c r="B96" s="26" t="str">
        <f>"Баланс, в "&amp;Ед_измерения_денег</f>
        <v>Баланс, в  руб.</v>
      </c>
      <c r="C96" s="26"/>
      <c r="D96" s="26"/>
      <c r="E96" s="26"/>
      <c r="F96" s="26"/>
      <c r="G96" s="26"/>
      <c r="H96" s="26"/>
      <c r="I96" s="26"/>
      <c r="J96" s="26"/>
      <c r="K96" s="26"/>
    </row>
    <row r="97" spans="2:11" ht="15" customHeight="1" thickTop="1">
      <c r="B97" s="281"/>
      <c r="C97" s="263"/>
      <c r="D97" s="263"/>
      <c r="E97" s="263"/>
      <c r="F97" s="263"/>
      <c r="G97" s="266"/>
      <c r="H97" s="266"/>
      <c r="I97" s="254"/>
      <c r="J97" s="254"/>
      <c r="K97" s="254"/>
    </row>
    <row r="98" spans="2:11">
      <c r="B98" s="373" t="s">
        <v>347</v>
      </c>
      <c r="C98" s="374"/>
      <c r="D98" s="290">
        <f>Отчетность_по_годам!F$13</f>
        <v>2023</v>
      </c>
      <c r="E98" s="290">
        <f>Отчетность_по_годам!G$13</f>
        <v>2024</v>
      </c>
      <c r="F98" s="290">
        <f>Отчетность_по_годам!H$13</f>
        <v>2025</v>
      </c>
      <c r="G98" s="290">
        <f>Отчетность_по_годам!I$13</f>
        <v>2026</v>
      </c>
      <c r="H98" s="290">
        <f>Отчетность_по_годам!J$13</f>
        <v>2027</v>
      </c>
      <c r="I98" s="290">
        <f>Отчетность_по_годам!K$13</f>
        <v>2028</v>
      </c>
      <c r="J98" s="290">
        <f>Отчетность_по_годам!L$13</f>
        <v>2029</v>
      </c>
      <c r="K98" s="290">
        <f>Отчетность_по_годам!M$13</f>
        <v>2030</v>
      </c>
    </row>
    <row r="99" spans="2:11" ht="3" customHeight="1">
      <c r="B99" s="291"/>
      <c r="C99" s="263"/>
      <c r="D99" s="263"/>
      <c r="E99" s="263"/>
      <c r="F99" s="263"/>
      <c r="G99" s="266"/>
      <c r="H99" s="292"/>
      <c r="I99" s="292"/>
      <c r="J99" s="292"/>
      <c r="K99" s="292"/>
    </row>
    <row r="100" spans="2:11">
      <c r="B100" s="318" t="s">
        <v>195</v>
      </c>
      <c r="C100" s="263"/>
      <c r="D100" s="263"/>
      <c r="E100" s="263"/>
      <c r="F100" s="263"/>
      <c r="G100" s="263"/>
      <c r="H100" s="319"/>
      <c r="I100" s="319"/>
      <c r="J100" s="319"/>
      <c r="K100" s="319"/>
    </row>
    <row r="101" spans="2:11">
      <c r="B101" s="27" t="s">
        <v>113</v>
      </c>
      <c r="C101" s="217"/>
      <c r="D101" s="282">
        <f ca="1">Отчетность_по_годам!F130</f>
        <v>0</v>
      </c>
      <c r="E101" s="282">
        <f ca="1">Отчетность_по_годам!G130</f>
        <v>941558441.55844152</v>
      </c>
      <c r="F101" s="282">
        <f ca="1">Отчетность_по_годам!H130</f>
        <v>790909090.90909088</v>
      </c>
      <c r="G101" s="282">
        <f ca="1">Отчетность_по_годам!I130</f>
        <v>640259740.25974023</v>
      </c>
      <c r="H101" s="282">
        <f ca="1">Отчетность_по_годам!J130</f>
        <v>489610389.61038959</v>
      </c>
      <c r="I101" s="282">
        <f ca="1">Отчетность_по_годам!K130</f>
        <v>338961038.96103895</v>
      </c>
      <c r="J101" s="282">
        <f ca="1">Отчетность_по_годам!L130</f>
        <v>188311688.3116883</v>
      </c>
      <c r="K101" s="282">
        <f ca="1">Отчетность_по_годам!M130</f>
        <v>150649350.64935064</v>
      </c>
    </row>
    <row r="102" spans="2:11" ht="15.75" thickBot="1">
      <c r="B102" s="274" t="s">
        <v>108</v>
      </c>
      <c r="C102" s="320"/>
      <c r="D102" s="321">
        <f ca="1">Отчетность_по_годам!F139</f>
        <v>1020800694.8941469</v>
      </c>
      <c r="E102" s="321">
        <f ca="1">Отчетность_по_годам!G139</f>
        <v>155974213.34269631</v>
      </c>
      <c r="F102" s="321">
        <f ca="1">Отчетность_по_годам!H139</f>
        <v>248399296.75221232</v>
      </c>
      <c r="G102" s="321">
        <f ca="1">Отчетность_по_годам!I139</f>
        <v>767685351.48352981</v>
      </c>
      <c r="H102" s="321">
        <f ca="1">Отчетность_по_годам!J139</f>
        <v>1624114503.0335755</v>
      </c>
      <c r="I102" s="321">
        <f ca="1">Отчетность_по_годам!K139</f>
        <v>2572845146.7517877</v>
      </c>
      <c r="J102" s="321">
        <f ca="1">Отчетность_по_годам!L139</f>
        <v>3653862884.5236707</v>
      </c>
      <c r="K102" s="321">
        <f ca="1">Отчетность_по_годам!M139</f>
        <v>3934539612.8498645</v>
      </c>
    </row>
    <row r="103" spans="2:11" ht="15.75" thickTop="1">
      <c r="B103" s="322" t="s">
        <v>196</v>
      </c>
      <c r="C103" s="323"/>
      <c r="D103" s="324">
        <f ca="1">SUM(D101:D102)</f>
        <v>1020800694.8941469</v>
      </c>
      <c r="E103" s="324">
        <f ca="1">SUM(E101:E102)</f>
        <v>1097532654.9011378</v>
      </c>
      <c r="F103" s="324">
        <f ca="1">SUM(F101:F102)</f>
        <v>1039308387.6613032</v>
      </c>
      <c r="G103" s="324">
        <f ca="1">SUM(G101:G102)</f>
        <v>1407945091.7432699</v>
      </c>
      <c r="H103" s="324">
        <f ca="1">SUM(H101:H102)</f>
        <v>2113724892.6439652</v>
      </c>
      <c r="I103" s="324">
        <f t="shared" ref="I103:K103" ca="1" si="21">SUM(I101:I102)</f>
        <v>2911806185.7128267</v>
      </c>
      <c r="J103" s="324">
        <f t="shared" ca="1" si="21"/>
        <v>3842174572.8353591</v>
      </c>
      <c r="K103" s="324">
        <f t="shared" ca="1" si="21"/>
        <v>4085188963.4992151</v>
      </c>
    </row>
    <row r="104" spans="2:11" ht="3" customHeight="1">
      <c r="B104" s="325"/>
      <c r="C104" s="263"/>
      <c r="D104" s="326"/>
      <c r="E104" s="326"/>
      <c r="F104" s="326"/>
      <c r="G104" s="326"/>
      <c r="H104" s="327"/>
      <c r="I104" s="327"/>
      <c r="J104" s="327"/>
      <c r="K104" s="327"/>
    </row>
    <row r="105" spans="2:11">
      <c r="B105" s="318" t="s">
        <v>571</v>
      </c>
      <c r="C105" s="263"/>
      <c r="D105" s="326"/>
      <c r="E105" s="326"/>
      <c r="F105" s="326"/>
      <c r="G105" s="326"/>
      <c r="H105" s="327"/>
      <c r="I105" s="327"/>
      <c r="J105" s="327"/>
      <c r="K105" s="327"/>
    </row>
    <row r="106" spans="2:11">
      <c r="B106" s="27" t="s">
        <v>124</v>
      </c>
      <c r="C106" s="217"/>
      <c r="D106" s="282">
        <f ca="1">Отчетность_по_годам!F149</f>
        <v>-20891123.287671231</v>
      </c>
      <c r="E106" s="282">
        <f ca="1">Отчетность_по_годам!G149</f>
        <v>-42195635.645462602</v>
      </c>
      <c r="F106" s="282">
        <f ca="1">Отчетность_по_годам!H149</f>
        <v>94327603.107308447</v>
      </c>
      <c r="G106" s="282">
        <f ca="1">Отчетность_по_годам!I149</f>
        <v>662638837.03808975</v>
      </c>
      <c r="H106" s="282">
        <f ca="1">Отчетность_по_годам!J149</f>
        <v>1585992854.0926387</v>
      </c>
      <c r="I106" s="282">
        <f ca="1">Отчетность_по_годам!K149</f>
        <v>2591278034.3245382</v>
      </c>
      <c r="J106" s="282">
        <f ca="1">Отчетность_по_годам!L149</f>
        <v>3664489372.9549274</v>
      </c>
      <c r="K106" s="282">
        <f ca="1">Отчетность_по_годам!M149</f>
        <v>3961113468.1441512</v>
      </c>
    </row>
    <row r="107" spans="2:11">
      <c r="B107" s="27" t="s">
        <v>121</v>
      </c>
      <c r="C107" s="217"/>
      <c r="D107" s="282">
        <f>Отчетность_по_годам!F155</f>
        <v>957000000</v>
      </c>
      <c r="E107" s="282">
        <f>Отчетность_по_годам!G155</f>
        <v>1087500000</v>
      </c>
      <c r="F107" s="282">
        <f>Отчетность_по_годам!H155</f>
        <v>873214285.71428525</v>
      </c>
      <c r="G107" s="282">
        <f>Отчетность_по_годам!I155</f>
        <v>637499999.99999893</v>
      </c>
      <c r="H107" s="282">
        <f>Отчетность_по_годам!J155</f>
        <v>401785714.28571302</v>
      </c>
      <c r="I107" s="282">
        <f>Отчетность_по_годам!K155</f>
        <v>187499999.99999881</v>
      </c>
      <c r="J107" s="282">
        <f>Отчетность_по_годам!L155</f>
        <v>37499999.999998808</v>
      </c>
      <c r="K107" s="282">
        <f>Отчетность_по_годам!M155</f>
        <v>-1.1920928955078125E-6</v>
      </c>
    </row>
    <row r="108" spans="2:11" ht="15.75" thickBot="1">
      <c r="B108" s="274" t="s">
        <v>117</v>
      </c>
      <c r="C108" s="320"/>
      <c r="D108" s="321">
        <f ca="1">Отчетность_по_годам!F165</f>
        <v>84691818.181818187</v>
      </c>
      <c r="E108" s="321">
        <f ca="1">Отчетность_по_годам!G165</f>
        <v>52228290.546600521</v>
      </c>
      <c r="F108" s="321">
        <f ca="1">Отчетность_по_годам!H165</f>
        <v>71766498.839709044</v>
      </c>
      <c r="G108" s="321">
        <f ca="1">Отчетность_по_годам!I165</f>
        <v>107806254.70518032</v>
      </c>
      <c r="H108" s="321">
        <f ca="1">Отчетность_по_годам!J165</f>
        <v>125946324.26561157</v>
      </c>
      <c r="I108" s="321">
        <f ca="1">Отчетность_по_годам!K165</f>
        <v>133028151.38828835</v>
      </c>
      <c r="J108" s="321">
        <f ca="1">Отчетность_по_годам!L165</f>
        <v>140185199.88043246</v>
      </c>
      <c r="K108" s="321">
        <f ca="1">Отчетность_по_годам!M165</f>
        <v>124075495.35506457</v>
      </c>
    </row>
    <row r="109" spans="2:11" ht="15.75" thickTop="1">
      <c r="B109" s="322" t="s">
        <v>197</v>
      </c>
      <c r="C109" s="323"/>
      <c r="D109" s="324">
        <f ca="1">SUM(D106:D108)</f>
        <v>1020800694.8941469</v>
      </c>
      <c r="E109" s="324">
        <f ca="1">SUM(E106:E108)</f>
        <v>1097532654.9011378</v>
      </c>
      <c r="F109" s="324">
        <f ca="1">SUM(F106:F108)</f>
        <v>1039308387.6613028</v>
      </c>
      <c r="G109" s="324">
        <f ca="1">SUM(G106:G108)</f>
        <v>1407945091.7432692</v>
      </c>
      <c r="H109" s="324">
        <f ca="1">SUM(H106:H108)</f>
        <v>2113724892.6439633</v>
      </c>
      <c r="I109" s="324">
        <f t="shared" ref="I109:K109" ca="1" si="22">SUM(I106:I108)</f>
        <v>2911806185.7128258</v>
      </c>
      <c r="J109" s="324">
        <f t="shared" ca="1" si="22"/>
        <v>3842174572.8353591</v>
      </c>
      <c r="K109" s="324">
        <f t="shared" ca="1" si="22"/>
        <v>4085188963.4992142</v>
      </c>
    </row>
    <row r="110" spans="2:11">
      <c r="B110" s="328"/>
      <c r="C110" s="263"/>
      <c r="D110" s="263"/>
      <c r="E110" s="263"/>
      <c r="F110" s="263"/>
      <c r="G110" s="263"/>
      <c r="H110" s="263"/>
      <c r="I110" s="254"/>
      <c r="J110" s="254"/>
      <c r="K110" s="254"/>
    </row>
    <row r="111" spans="2:11" ht="20.25" thickBot="1">
      <c r="B111" s="26" t="str">
        <f>"Отчет от движении денежных средств, в "&amp;Ед_измерения_денег</f>
        <v>Отчет от движении денежных средств, в  руб.</v>
      </c>
      <c r="C111" s="26"/>
      <c r="D111" s="26"/>
      <c r="E111" s="26"/>
      <c r="F111" s="26"/>
      <c r="G111" s="26"/>
      <c r="H111" s="26"/>
      <c r="I111" s="26"/>
      <c r="J111" s="26"/>
      <c r="K111" s="26"/>
    </row>
    <row r="112" spans="2:11" ht="15" customHeight="1" thickTop="1">
      <c r="B112" s="281"/>
      <c r="C112" s="263"/>
      <c r="D112" s="263"/>
      <c r="E112" s="263"/>
      <c r="F112" s="263"/>
      <c r="G112" s="266"/>
      <c r="H112" s="266"/>
      <c r="I112" s="254"/>
      <c r="J112" s="254"/>
      <c r="K112" s="254"/>
    </row>
    <row r="113" spans="2:11">
      <c r="B113" s="373" t="s">
        <v>347</v>
      </c>
      <c r="C113" s="374"/>
      <c r="D113" s="290">
        <f>Отчетность_по_годам!F$13</f>
        <v>2023</v>
      </c>
      <c r="E113" s="290">
        <f>Отчетность_по_годам!G$13</f>
        <v>2024</v>
      </c>
      <c r="F113" s="290">
        <f>Отчетность_по_годам!H$13</f>
        <v>2025</v>
      </c>
      <c r="G113" s="290">
        <f>Отчетность_по_годам!I$13</f>
        <v>2026</v>
      </c>
      <c r="H113" s="290">
        <f>Отчетность_по_годам!J$13</f>
        <v>2027</v>
      </c>
      <c r="I113" s="290">
        <f>Отчетность_по_годам!K$13</f>
        <v>2028</v>
      </c>
      <c r="J113" s="290">
        <f>Отчетность_по_годам!L$13</f>
        <v>2029</v>
      </c>
      <c r="K113" s="290">
        <f>Отчетность_по_годам!M$13</f>
        <v>2030</v>
      </c>
    </row>
    <row r="114" spans="2:11" ht="3" customHeight="1">
      <c r="B114" s="325"/>
      <c r="C114" s="263"/>
      <c r="D114" s="326"/>
      <c r="E114" s="326"/>
      <c r="F114" s="326"/>
      <c r="G114" s="326"/>
      <c r="H114" s="327"/>
      <c r="I114" s="327"/>
      <c r="J114" s="327"/>
      <c r="K114" s="327"/>
    </row>
    <row r="115" spans="2:11">
      <c r="B115" s="318" t="s">
        <v>79</v>
      </c>
      <c r="C115" s="263"/>
      <c r="D115" s="263"/>
      <c r="E115" s="263"/>
      <c r="F115" s="263"/>
      <c r="G115" s="263"/>
      <c r="H115" s="319"/>
      <c r="I115" s="319"/>
      <c r="J115" s="319"/>
      <c r="K115" s="319"/>
    </row>
    <row r="116" spans="2:11">
      <c r="B116" s="27" t="s">
        <v>198</v>
      </c>
      <c r="C116" s="329">
        <f ca="1">SUM(D116:K116)</f>
        <v>12457355963.45153</v>
      </c>
      <c r="D116" s="282">
        <f ca="1">Отчетность_по_годам!F63</f>
        <v>0</v>
      </c>
      <c r="E116" s="282">
        <f ca="1">Отчетность_по_годам!G63</f>
        <v>689340276.07245231</v>
      </c>
      <c r="F116" s="282">
        <f ca="1">Отчетность_по_годам!H63</f>
        <v>1238311268.7331538</v>
      </c>
      <c r="G116" s="282">
        <f ca="1">Отчетность_по_годам!I63</f>
        <v>1959930064.6762886</v>
      </c>
      <c r="H116" s="282">
        <f ca="1">Отчетность_по_годам!J63</f>
        <v>2475345483.1517553</v>
      </c>
      <c r="I116" s="282">
        <f ca="1">Отчетность_по_годам!K63</f>
        <v>2626286974.6254582</v>
      </c>
      <c r="J116" s="282">
        <f ca="1">Отчетность_по_годам!L63</f>
        <v>2757462948.00143</v>
      </c>
      <c r="K116" s="282">
        <f ca="1">Отчетность_по_годам!M63</f>
        <v>710678948.190992</v>
      </c>
    </row>
    <row r="117" spans="2:11" ht="15.75" thickBot="1">
      <c r="B117" s="274" t="s">
        <v>199</v>
      </c>
      <c r="C117" s="330">
        <f t="shared" ref="C117:C118" ca="1" si="23">SUM(D117:K117)</f>
        <v>-7384652616.1153173</v>
      </c>
      <c r="D117" s="321">
        <f ca="1">SUM(Отчетность_по_годам!F75,Отчетность_по_годам!F83)</f>
        <v>0</v>
      </c>
      <c r="E117" s="321">
        <f ca="1">SUM(Отчетность_по_годам!G75,Отчетность_по_годам!G83)</f>
        <v>-480709958.46159309</v>
      </c>
      <c r="F117" s="321">
        <f ca="1">SUM(Отчетность_по_годам!H75,Отчетность_по_годам!H83)</f>
        <v>-919986521.06519938</v>
      </c>
      <c r="G117" s="321">
        <f ca="1">SUM(Отчетность_по_годам!I75,Отчетность_по_годам!I83)</f>
        <v>-1218634692.2800374</v>
      </c>
      <c r="H117" s="321">
        <f ca="1">SUM(Отчетность_по_годам!J75,Отчетность_по_годам!J83)</f>
        <v>-1375415298.8995457</v>
      </c>
      <c r="I117" s="321">
        <f ca="1">SUM(Отчетность_по_годам!K75,Отчетность_по_годам!K83)</f>
        <v>-1459972332.0947797</v>
      </c>
      <c r="J117" s="321">
        <f ca="1">SUM(Отчетность_по_годам!L75,Отчетность_по_годам!L83)</f>
        <v>-1534250222.1283369</v>
      </c>
      <c r="K117" s="321">
        <f ca="1">SUM(Отчетность_по_годам!M75,Отчетность_по_годам!M83)</f>
        <v>-395683591.18582559</v>
      </c>
    </row>
    <row r="118" spans="2:11" ht="15.75" thickTop="1">
      <c r="B118" s="331" t="s">
        <v>200</v>
      </c>
      <c r="C118" s="332">
        <f t="shared" ca="1" si="23"/>
        <v>5072703347.3362131</v>
      </c>
      <c r="D118" s="333">
        <f ca="1">SUM(D116:D117)</f>
        <v>0</v>
      </c>
      <c r="E118" s="333">
        <f ca="1">SUM(E116:E117)</f>
        <v>208630317.61085922</v>
      </c>
      <c r="F118" s="333">
        <f ca="1">SUM(F116:F117)</f>
        <v>318324747.66795444</v>
      </c>
      <c r="G118" s="333">
        <f ca="1">SUM(G116:G117)</f>
        <v>741295372.3962512</v>
      </c>
      <c r="H118" s="333">
        <f ca="1">SUM(H116:H117)</f>
        <v>1099930184.2522097</v>
      </c>
      <c r="I118" s="333">
        <f t="shared" ref="I118:K118" ca="1" si="24">SUM(I116:I117)</f>
        <v>1166314642.5306785</v>
      </c>
      <c r="J118" s="333">
        <f t="shared" ca="1" si="24"/>
        <v>1223212725.8730931</v>
      </c>
      <c r="K118" s="333">
        <f t="shared" ca="1" si="24"/>
        <v>314995357.00516641</v>
      </c>
    </row>
    <row r="119" spans="2:11" ht="3" customHeight="1">
      <c r="B119" s="325"/>
      <c r="C119" s="263"/>
      <c r="D119" s="326"/>
      <c r="E119" s="326"/>
      <c r="F119" s="326"/>
      <c r="G119" s="326"/>
      <c r="H119" s="327"/>
      <c r="I119" s="327"/>
      <c r="J119" s="327"/>
      <c r="K119" s="327"/>
    </row>
    <row r="120" spans="2:11">
      <c r="B120" s="318" t="s">
        <v>82</v>
      </c>
      <c r="C120" s="326"/>
      <c r="D120" s="326"/>
      <c r="E120" s="326"/>
      <c r="F120" s="326"/>
      <c r="G120" s="326"/>
      <c r="H120" s="327"/>
      <c r="I120" s="327"/>
      <c r="J120" s="327"/>
      <c r="K120" s="327"/>
    </row>
    <row r="121" spans="2:11">
      <c r="B121" s="27" t="s">
        <v>198</v>
      </c>
      <c r="C121" s="329">
        <f t="shared" ref="C121:C123" si="25">SUM(D121:K121)</f>
        <v>0</v>
      </c>
      <c r="D121" s="282"/>
      <c r="E121" s="282"/>
      <c r="F121" s="282"/>
      <c r="G121" s="282"/>
      <c r="H121" s="282"/>
      <c r="I121" s="282"/>
      <c r="J121" s="282"/>
      <c r="K121" s="282"/>
    </row>
    <row r="122" spans="2:11" ht="15.75" thickBot="1">
      <c r="B122" s="274" t="s">
        <v>199</v>
      </c>
      <c r="C122" s="330">
        <f t="shared" si="25"/>
        <v>-1160000000</v>
      </c>
      <c r="D122" s="321">
        <f>Отчетность_по_годам!F92</f>
        <v>-931610000</v>
      </c>
      <c r="E122" s="321">
        <f>Отчетность_по_годам!G92</f>
        <v>-228390000</v>
      </c>
      <c r="F122" s="321">
        <f>Отчетность_по_годам!H92</f>
        <v>0</v>
      </c>
      <c r="G122" s="321">
        <f>Отчетность_по_годам!I92</f>
        <v>0</v>
      </c>
      <c r="H122" s="321">
        <f>Отчетность_по_годам!J92</f>
        <v>0</v>
      </c>
      <c r="I122" s="321">
        <f>Отчетность_по_годам!K92</f>
        <v>0</v>
      </c>
      <c r="J122" s="321">
        <f>Отчетность_по_годам!L92</f>
        <v>0</v>
      </c>
      <c r="K122" s="321">
        <f>Отчетность_по_годам!M92</f>
        <v>0</v>
      </c>
    </row>
    <row r="123" spans="2:11" ht="15.75" thickTop="1">
      <c r="B123" s="331" t="s">
        <v>200</v>
      </c>
      <c r="C123" s="332">
        <f t="shared" si="25"/>
        <v>-1160000000</v>
      </c>
      <c r="D123" s="333">
        <f>SUM(D121:D122)</f>
        <v>-931610000</v>
      </c>
      <c r="E123" s="333">
        <f>SUM(E121:E122)</f>
        <v>-228390000</v>
      </c>
      <c r="F123" s="333">
        <f>SUM(F121:F122)</f>
        <v>0</v>
      </c>
      <c r="G123" s="333">
        <f>SUM(G121:G122)</f>
        <v>0</v>
      </c>
      <c r="H123" s="333">
        <f>SUM(H121:H122)</f>
        <v>0</v>
      </c>
      <c r="I123" s="333">
        <f t="shared" ref="I123:K123" si="26">SUM(I121:I122)</f>
        <v>0</v>
      </c>
      <c r="J123" s="333">
        <f t="shared" si="26"/>
        <v>0</v>
      </c>
      <c r="K123" s="333">
        <f t="shared" si="26"/>
        <v>0</v>
      </c>
    </row>
    <row r="124" spans="2:11" ht="3" customHeight="1">
      <c r="B124" s="325"/>
      <c r="C124" s="263"/>
      <c r="D124" s="326"/>
      <c r="E124" s="326"/>
      <c r="F124" s="326"/>
      <c r="G124" s="326"/>
      <c r="H124" s="327"/>
      <c r="I124" s="327"/>
      <c r="J124" s="327"/>
      <c r="K124" s="327"/>
    </row>
    <row r="125" spans="2:11">
      <c r="B125" s="318" t="s">
        <v>84</v>
      </c>
      <c r="C125" s="326"/>
      <c r="D125" s="326"/>
      <c r="E125" s="326"/>
      <c r="F125" s="326"/>
      <c r="G125" s="326"/>
      <c r="H125" s="327"/>
      <c r="I125" s="327"/>
      <c r="J125" s="327"/>
      <c r="K125" s="327"/>
    </row>
    <row r="126" spans="2:11">
      <c r="B126" s="27" t="s">
        <v>198</v>
      </c>
      <c r="C126" s="329">
        <f t="shared" ref="C126:C128" ca="1" si="27">SUM(D126:K126)</f>
        <v>1200010000</v>
      </c>
      <c r="D126" s="282">
        <f ca="1">Отчетность_по_годам!F102</f>
        <v>957010000</v>
      </c>
      <c r="E126" s="282">
        <f ca="1">Отчетность_по_годам!G102</f>
        <v>243000000</v>
      </c>
      <c r="F126" s="282">
        <f ca="1">Отчетность_по_годам!H102</f>
        <v>0</v>
      </c>
      <c r="G126" s="282">
        <f ca="1">Отчетность_по_годам!I102</f>
        <v>0</v>
      </c>
      <c r="H126" s="282">
        <f ca="1">Отчетность_по_годам!J102</f>
        <v>0</v>
      </c>
      <c r="I126" s="282">
        <f ca="1">Отчетность_по_годам!K102</f>
        <v>0</v>
      </c>
      <c r="J126" s="282">
        <f ca="1">Отчетность_по_годам!L102</f>
        <v>0</v>
      </c>
      <c r="K126" s="282">
        <f ca="1">Отчетность_по_годам!M102</f>
        <v>0</v>
      </c>
    </row>
    <row r="127" spans="2:11" ht="15.75" thickBot="1">
      <c r="B127" s="274" t="s">
        <v>199</v>
      </c>
      <c r="C127" s="330">
        <f t="shared" si="27"/>
        <v>-1467718562.8949983</v>
      </c>
      <c r="D127" s="321">
        <f>Отчетность_по_годам!F108</f>
        <v>-20901123.287671231</v>
      </c>
      <c r="E127" s="321">
        <f>Отчетность_по_годам!G108</f>
        <v>-187085956.28415298</v>
      </c>
      <c r="F127" s="321">
        <f>Отчетность_по_годам!H108</f>
        <v>-280834735.81213301</v>
      </c>
      <c r="G127" s="321">
        <f>Отчетность_по_годам!I108</f>
        <v>-285722211.35029352</v>
      </c>
      <c r="H127" s="321">
        <f>Отчетность_по_годам!J108</f>
        <v>-268793639.92172205</v>
      </c>
      <c r="I127" s="321">
        <f>Отчетность_по_годам!K108</f>
        <v>-230651444.18423104</v>
      </c>
      <c r="J127" s="321">
        <f>Отчетность_по_годам!L108</f>
        <v>-155921232.87671235</v>
      </c>
      <c r="K127" s="321">
        <f>Отчетность_по_годам!M108</f>
        <v>-37808219.178082198</v>
      </c>
    </row>
    <row r="128" spans="2:11" ht="15.75" thickTop="1">
      <c r="B128" s="331" t="s">
        <v>200</v>
      </c>
      <c r="C128" s="332">
        <f t="shared" ca="1" si="27"/>
        <v>-267708562.89499831</v>
      </c>
      <c r="D128" s="333">
        <f ca="1">SUM(D126:D127)</f>
        <v>936108876.71232879</v>
      </c>
      <c r="E128" s="333">
        <f ca="1">SUM(E126:E127)</f>
        <v>55914043.715847015</v>
      </c>
      <c r="F128" s="333">
        <f ca="1">SUM(F126:F127)</f>
        <v>-280834735.81213301</v>
      </c>
      <c r="G128" s="333">
        <f ca="1">SUM(G126:G127)</f>
        <v>-285722211.35029352</v>
      </c>
      <c r="H128" s="333">
        <f ca="1">SUM(H126:H127)</f>
        <v>-268793639.92172205</v>
      </c>
      <c r="I128" s="333">
        <f t="shared" ref="I128:K128" ca="1" si="28">SUM(I126:I127)</f>
        <v>-230651444.18423104</v>
      </c>
      <c r="J128" s="333">
        <f t="shared" ca="1" si="28"/>
        <v>-155921232.87671235</v>
      </c>
      <c r="K128" s="333">
        <f t="shared" ca="1" si="28"/>
        <v>-37808219.178082198</v>
      </c>
    </row>
    <row r="129" spans="2:11">
      <c r="B129" s="334"/>
      <c r="C129" s="263"/>
      <c r="D129" s="263"/>
      <c r="E129" s="263"/>
      <c r="F129" s="263"/>
      <c r="G129" s="263"/>
      <c r="H129" s="319"/>
      <c r="I129" s="319"/>
      <c r="J129" s="319"/>
      <c r="K129" s="319"/>
    </row>
    <row r="130" spans="2:11" ht="15.75" thickBot="1">
      <c r="B130" s="318" t="s">
        <v>568</v>
      </c>
      <c r="C130" s="326"/>
      <c r="D130" s="326"/>
      <c r="E130" s="326"/>
      <c r="F130" s="326"/>
      <c r="G130" s="326"/>
      <c r="H130" s="327"/>
      <c r="I130" s="327"/>
      <c r="J130" s="327"/>
      <c r="K130" s="327"/>
    </row>
    <row r="131" spans="2:11" ht="15.75" thickTop="1">
      <c r="B131" s="331" t="s">
        <v>201</v>
      </c>
      <c r="C131" s="332">
        <f ca="1">SUM(D131:K131)</f>
        <v>3644994784.4412141</v>
      </c>
      <c r="D131" s="333">
        <f ca="1">SUM(D118,D123,D128)</f>
        <v>4498876.7123287916</v>
      </c>
      <c r="E131" s="333">
        <f ca="1">SUM(E118,E123,E128)</f>
        <v>36154361.326706231</v>
      </c>
      <c r="F131" s="333">
        <f ca="1">SUM(F118,F123,F128)</f>
        <v>37490011.855821431</v>
      </c>
      <c r="G131" s="333">
        <f ca="1">SUM(G118,G123,G128)</f>
        <v>455573161.04595768</v>
      </c>
      <c r="H131" s="333">
        <f ca="1">SUM(H118,H123,H128)</f>
        <v>831136544.33048761</v>
      </c>
      <c r="I131" s="333">
        <f t="shared" ref="I131:K131" ca="1" si="29">SUM(I118,I123,I128)</f>
        <v>935663198.34644747</v>
      </c>
      <c r="J131" s="333">
        <f t="shared" ca="1" si="29"/>
        <v>1067291492.9963808</v>
      </c>
      <c r="K131" s="333">
        <f t="shared" ca="1" si="29"/>
        <v>277187137.82708418</v>
      </c>
    </row>
    <row r="132" spans="2:11">
      <c r="B132" s="335" t="s">
        <v>57</v>
      </c>
      <c r="C132" s="329">
        <v>0</v>
      </c>
      <c r="D132" s="336">
        <v>0</v>
      </c>
      <c r="E132" s="336">
        <f ca="1">D133</f>
        <v>4498876.7123287916</v>
      </c>
      <c r="F132" s="336">
        <f ca="1">E133</f>
        <v>40653238.039035022</v>
      </c>
      <c r="G132" s="336">
        <f ca="1">F133</f>
        <v>78143249.894856453</v>
      </c>
      <c r="H132" s="336">
        <f ca="1">G133</f>
        <v>533716410.94081414</v>
      </c>
      <c r="I132" s="336">
        <f t="shared" ref="I132:K132" ca="1" si="30">H133</f>
        <v>1364852955.2713017</v>
      </c>
      <c r="J132" s="336">
        <f t="shared" ca="1" si="30"/>
        <v>2300516153.6177492</v>
      </c>
      <c r="K132" s="336">
        <f t="shared" ca="1" si="30"/>
        <v>3367807646.61413</v>
      </c>
    </row>
    <row r="133" spans="2:11" ht="15.75" thickBot="1">
      <c r="B133" s="337" t="s">
        <v>58</v>
      </c>
      <c r="C133" s="338">
        <f t="shared" ref="C133:H133" ca="1" si="31">SUM(C131:C132)</f>
        <v>3644994784.4412141</v>
      </c>
      <c r="D133" s="339">
        <f t="shared" ca="1" si="31"/>
        <v>4498876.7123287916</v>
      </c>
      <c r="E133" s="339">
        <f t="shared" ca="1" si="31"/>
        <v>40653238.039035022</v>
      </c>
      <c r="F133" s="339">
        <f t="shared" ca="1" si="31"/>
        <v>78143249.894856453</v>
      </c>
      <c r="G133" s="339">
        <f t="shared" ca="1" si="31"/>
        <v>533716410.94081414</v>
      </c>
      <c r="H133" s="339">
        <f t="shared" ca="1" si="31"/>
        <v>1364852955.2713017</v>
      </c>
      <c r="I133" s="339">
        <f t="shared" ref="I133:K133" ca="1" si="32">SUM(I131:I132)</f>
        <v>2300516153.6177492</v>
      </c>
      <c r="J133" s="339">
        <f t="shared" ca="1" si="32"/>
        <v>3367807646.61413</v>
      </c>
      <c r="K133" s="339">
        <f t="shared" ca="1" si="32"/>
        <v>3644994784.4412141</v>
      </c>
    </row>
    <row r="134" spans="2:11" ht="15.75" thickTop="1">
      <c r="B134" s="254"/>
      <c r="C134" s="254"/>
      <c r="D134" s="254"/>
      <c r="E134" s="254"/>
      <c r="F134" s="254"/>
      <c r="G134" s="254"/>
      <c r="H134" s="254"/>
      <c r="I134" s="254"/>
      <c r="J134" s="254"/>
      <c r="K134" s="254"/>
    </row>
    <row r="135" spans="2:11" ht="20.25" thickBot="1">
      <c r="B135" s="26" t="s">
        <v>211</v>
      </c>
      <c r="C135" s="26"/>
      <c r="D135" s="26"/>
      <c r="E135" s="26"/>
      <c r="F135" s="26"/>
      <c r="G135" s="26"/>
      <c r="H135" s="26"/>
      <c r="I135" s="26"/>
      <c r="J135" s="26"/>
      <c r="K135" s="26"/>
    </row>
    <row r="136" spans="2:11" ht="15.75" thickTop="1"/>
    <row r="137" spans="2:11">
      <c r="B137" t="s">
        <v>347</v>
      </c>
      <c r="C137">
        <f>D71</f>
        <v>2023</v>
      </c>
      <c r="D137">
        <f>E71</f>
        <v>2024</v>
      </c>
      <c r="E137">
        <f>F71</f>
        <v>2025</v>
      </c>
      <c r="F137">
        <f>G71</f>
        <v>2026</v>
      </c>
      <c r="G137">
        <f>H71</f>
        <v>2027</v>
      </c>
      <c r="H137">
        <f t="shared" ref="H137:I137" si="33">I71</f>
        <v>2028</v>
      </c>
      <c r="I137">
        <f t="shared" si="33"/>
        <v>2029</v>
      </c>
      <c r="J137">
        <f>K71</f>
        <v>2030</v>
      </c>
    </row>
    <row r="138" spans="2:11">
      <c r="B138" t="s">
        <v>15</v>
      </c>
      <c r="C138">
        <f t="array" aca="1" ref="C138:J138" ca="1">-D74:K74</f>
        <v>0</v>
      </c>
      <c r="D138">
        <f ca="1"/>
        <v>401542302.79874337</v>
      </c>
      <c r="E138">
        <f ca="1"/>
        <v>624795628.20475423</v>
      </c>
      <c r="F138">
        <f ca="1"/>
        <v>833482533.812621</v>
      </c>
      <c r="G138">
        <f ca="1"/>
        <v>902452554.48030567</v>
      </c>
      <c r="H138">
        <f ca="1"/>
        <v>950183152.4505626</v>
      </c>
      <c r="I138">
        <f ca="1"/>
        <v>999540777.59566367</v>
      </c>
      <c r="J138">
        <f ca="1"/>
        <v>257901512.42062691</v>
      </c>
    </row>
    <row r="139" spans="2:11">
      <c r="B139" t="s">
        <v>16</v>
      </c>
      <c r="C139">
        <f t="array" aca="1" ref="C139:J139" ca="1">-D78:K78</f>
        <v>0</v>
      </c>
      <c r="D139">
        <f ca="1"/>
        <v>12880368.023436259</v>
      </c>
      <c r="E139">
        <f ca="1"/>
        <v>17877963.656467658</v>
      </c>
      <c r="F139">
        <f ca="1"/>
        <v>18718227.948321618</v>
      </c>
      <c r="G139">
        <f ca="1"/>
        <v>19597984.66189272</v>
      </c>
      <c r="H139">
        <f ca="1"/>
        <v>20520055.775934979</v>
      </c>
      <c r="I139">
        <f ca="1"/>
        <v>21483487.168228723</v>
      </c>
      <c r="J139">
        <f ca="1"/>
        <v>5526791.7263847869</v>
      </c>
    </row>
    <row r="140" spans="2:11">
      <c r="B140" t="s">
        <v>203</v>
      </c>
      <c r="C140">
        <f t="array" aca="1" ref="C140:J140" ca="1">-D79:K79</f>
        <v>0</v>
      </c>
      <c r="D140">
        <f ca="1"/>
        <v>122874814.49726707</v>
      </c>
      <c r="E140">
        <f ca="1"/>
        <v>163314482.16308355</v>
      </c>
      <c r="F140">
        <f ca="1"/>
        <v>175451171.74052495</v>
      </c>
      <c r="G140">
        <f ca="1"/>
        <v>182469218.61014587</v>
      </c>
      <c r="H140">
        <f ca="1"/>
        <v>189775621.3048206</v>
      </c>
      <c r="I140">
        <f ca="1"/>
        <v>197358706.8487336</v>
      </c>
      <c r="J140">
        <f ca="1"/>
        <v>50560793.107006609</v>
      </c>
    </row>
    <row r="141" spans="2:11">
      <c r="B141" t="s">
        <v>56</v>
      </c>
      <c r="C141">
        <f t="array" aca="1" ref="C141:J141" ca="1">-D83:K83</f>
        <v>0</v>
      </c>
      <c r="D141">
        <f ca="1"/>
        <v>112987012.98701298</v>
      </c>
      <c r="E141">
        <f ca="1"/>
        <v>150649350.64935064</v>
      </c>
      <c r="F141">
        <f ca="1"/>
        <v>150649350.64935064</v>
      </c>
      <c r="G141">
        <f ca="1"/>
        <v>150649350.64935064</v>
      </c>
      <c r="H141">
        <f ca="1"/>
        <v>150649350.64935064</v>
      </c>
      <c r="I141">
        <f ca="1"/>
        <v>150649350.64935064</v>
      </c>
      <c r="J141">
        <f ca="1"/>
        <v>37662337.662337661</v>
      </c>
    </row>
    <row r="142" spans="2:11">
      <c r="B142" t="s">
        <v>77</v>
      </c>
      <c r="C142">
        <f t="array" ref="C142:J142">-D87:K87</f>
        <v>20901123.287671231</v>
      </c>
      <c r="D142">
        <v>74585956.284153</v>
      </c>
      <c r="E142">
        <v>66549021.526418798</v>
      </c>
      <c r="F142">
        <v>50007925.636007845</v>
      </c>
      <c r="G142">
        <v>33079354.207436424</v>
      </c>
      <c r="H142">
        <v>16365729.898516797</v>
      </c>
      <c r="I142">
        <v>5921232.8767123464</v>
      </c>
      <c r="J142">
        <v>308219.17808219575</v>
      </c>
    </row>
    <row r="143" spans="2:11">
      <c r="B143" t="s">
        <v>29</v>
      </c>
      <c r="C143">
        <f t="array" aca="1" ref="C143:J143" ca="1">-D91:K91</f>
        <v>0</v>
      </c>
      <c r="D143">
        <f ca="1"/>
        <v>0</v>
      </c>
      <c r="E143">
        <f ca="1"/>
        <v>0</v>
      </c>
      <c r="F143">
        <f ca="1"/>
        <v>0</v>
      </c>
      <c r="G143">
        <f ca="1"/>
        <v>0</v>
      </c>
      <c r="H143">
        <f ca="1"/>
        <v>0</v>
      </c>
      <c r="I143">
        <f ca="1"/>
        <v>0</v>
      </c>
      <c r="J143">
        <f ca="1"/>
        <v>0</v>
      </c>
    </row>
    <row r="144" spans="2:11">
      <c r="B144" t="s">
        <v>78</v>
      </c>
      <c r="C144">
        <f t="array" aca="1" ref="C144:J144" ca="1">D93:K93</f>
        <v>-20901123.287671231</v>
      </c>
      <c r="D144">
        <f ca="1"/>
        <v>-21304512.357791319</v>
      </c>
      <c r="E144">
        <f ca="1"/>
        <v>136523238.75277102</v>
      </c>
      <c r="F144">
        <f ca="1"/>
        <v>568311233.9307816</v>
      </c>
      <c r="G144">
        <f ca="1"/>
        <v>923354017.05455005</v>
      </c>
      <c r="H144">
        <f ca="1"/>
        <v>1005285180.2318989</v>
      </c>
      <c r="I144">
        <f ca="1"/>
        <v>1073211338.6303891</v>
      </c>
      <c r="J144">
        <f ca="1"/>
        <v>296624095.18922365</v>
      </c>
    </row>
    <row r="145" spans="2:10">
      <c r="B145" t="s">
        <v>48</v>
      </c>
      <c r="C145">
        <f t="array" aca="1" ref="C145:J145" ca="1">D73:K73</f>
        <v>0</v>
      </c>
      <c r="D145">
        <f ca="1"/>
        <v>703565942.23282135</v>
      </c>
      <c r="E145">
        <f ca="1"/>
        <v>1165729957.4916103</v>
      </c>
      <c r="F145">
        <f ca="1"/>
        <v>1832895628.8621254</v>
      </c>
      <c r="G145">
        <f ca="1"/>
        <v>2270539970.1139717</v>
      </c>
      <c r="H145">
        <f ca="1"/>
        <v>2396946229.4748225</v>
      </c>
      <c r="I145">
        <f ca="1"/>
        <v>2516667745.1710176</v>
      </c>
      <c r="J145">
        <f ca="1"/>
        <v>648583749.28366172</v>
      </c>
    </row>
    <row r="146" spans="2:10"/>
    <row r="147" spans="2:10"/>
    <row r="148" spans="2:10"/>
    <row r="149" spans="2:10"/>
    <row r="150" spans="2:10"/>
    <row r="151" spans="2:10"/>
    <row r="152" spans="2:10"/>
    <row r="153" spans="2:10"/>
    <row r="154" spans="2:10"/>
    <row r="155" spans="2:10"/>
    <row r="156" spans="2:10"/>
    <row r="157" spans="2:10"/>
    <row r="158" spans="2:10"/>
    <row r="159" spans="2:10"/>
    <row r="160" spans="2:1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</sheetData>
  <sheetProtection algorithmName="SHA-512" hashValue="90K6rccdqDRwZ0v3xEoQlWnbcs5MDVMhSHh1JMrQjMiF2zi4B19DBow9M4Y1q4J3zYrqfzs9W2GoKXL+BZaEbQ==" saltValue="kLcjvCabrjXqa6WxBayiOw==" spinCount="100000" sheet="1" objects="1" scenarios="1"/>
  <mergeCells count="21">
    <mergeCell ref="B98:C98"/>
    <mergeCell ref="B113:C113"/>
    <mergeCell ref="E43:F43"/>
    <mergeCell ref="G43:H43"/>
    <mergeCell ref="E44:F44"/>
    <mergeCell ref="G44:H44"/>
    <mergeCell ref="E45:F45"/>
    <mergeCell ref="G45:H45"/>
    <mergeCell ref="D1:D2"/>
    <mergeCell ref="E46:F46"/>
    <mergeCell ref="G46:H46"/>
    <mergeCell ref="E50:F50"/>
    <mergeCell ref="B57:C57"/>
    <mergeCell ref="B41:D41"/>
    <mergeCell ref="E41:F41"/>
    <mergeCell ref="G41:H41"/>
    <mergeCell ref="E42:F42"/>
    <mergeCell ref="G42:H42"/>
    <mergeCell ref="B16:K37"/>
    <mergeCell ref="C9:F9"/>
    <mergeCell ref="C10:F10"/>
  </mergeCells>
  <conditionalFormatting sqref="H1:H2">
    <cfRule type="expression" dxfId="43" priority="1">
      <formula>$H$2="ошибка!"</formula>
    </cfRule>
  </conditionalFormatting>
  <hyperlinks>
    <hyperlink ref="H1" location="Лист_Сигналы" tooltip="нажмите здесь для перехода к листу Сигналы" display="Лист_Сигналы"/>
    <hyperlink ref="H2" location="Лист_Сигналы" tooltip="нажмите здесь для перехода к листу Сигналы" display="Лист_Сигналы"/>
    <hyperlink ref="F1:F2" location="Лист_Сценарии" tooltip="нажмите для перехода к сценариям" display="Текущий сценарий:"/>
    <hyperlink ref="D1:D2" location="Лист_оглавление" tooltip="нажмите для перехода к оглавлению" display="Оглавление"/>
  </hyperlinks>
  <pageMargins left="0.7" right="0.7" top="0.75" bottom="0.75" header="0.3" footer="0.3"/>
  <pageSetup paperSize="9" scale="70" orientation="landscape" r:id="rId1"/>
  <rowBreaks count="6" manualBreakCount="6">
    <brk id="38" max="16383" man="1"/>
    <brk id="68" max="16383" man="1"/>
    <brk id="110" max="16383" man="1"/>
    <brk id="134" max="16383" man="1"/>
    <brk id="166" max="16383" man="1"/>
    <brk id="19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0.79998168889431442"/>
  </sheetPr>
  <dimension ref="A1:CS274"/>
  <sheetViews>
    <sheetView showGridLines="0" tabSelected="1" zoomScaleNormal="100" workbookViewId="0">
      <pane ySplit="3" topLeftCell="A12" activePane="bottomLeft" state="frozen"/>
      <selection activeCell="D18" sqref="D18"/>
      <selection pane="bottomLeft" activeCell="B12" sqref="B12:M33"/>
    </sheetView>
  </sheetViews>
  <sheetFormatPr defaultColWidth="0" defaultRowHeight="15" zeroHeight="1"/>
  <cols>
    <col min="1" max="1" width="2.5703125" customWidth="1"/>
    <col min="2" max="2" width="39.28515625" customWidth="1"/>
    <col min="3" max="3" width="12.85546875" customWidth="1"/>
    <col min="4" max="4" width="27.42578125" customWidth="1"/>
    <col min="5" max="5" width="19.42578125" customWidth="1"/>
    <col min="6" max="6" width="14" customWidth="1"/>
    <col min="7" max="7" width="25.85546875" customWidth="1"/>
    <col min="8" max="69" width="12.85546875" customWidth="1"/>
    <col min="70" max="94" width="9.140625" customWidth="1"/>
    <col min="95" max="95" width="9" hidden="1" customWidth="1"/>
    <col min="96" max="97" width="4.5703125" hidden="1" customWidth="1"/>
    <col min="98" max="16384" width="9" hidden="1"/>
  </cols>
  <sheetData>
    <row r="1" spans="2:13" ht="12" customHeight="1">
      <c r="E1" s="379" t="s">
        <v>183</v>
      </c>
      <c r="F1" s="379"/>
      <c r="G1" s="379"/>
      <c r="H1" s="72"/>
      <c r="I1" s="211" t="s">
        <v>264</v>
      </c>
      <c r="J1" s="73"/>
      <c r="K1" s="211" t="s">
        <v>515</v>
      </c>
    </row>
    <row r="2" spans="2:13" ht="12.75" customHeight="1">
      <c r="E2" s="379"/>
      <c r="F2" s="379"/>
      <c r="G2" s="379"/>
      <c r="H2" s="72"/>
      <c r="I2" s="211" t="str">
        <f>Сценарий_название</f>
        <v>Базовый</v>
      </c>
      <c r="J2" s="73"/>
      <c r="K2" s="211" t="str">
        <f ca="1">IF(Сигналы!$E$20=1,"пройдена","ошибка!")</f>
        <v>пройдена</v>
      </c>
    </row>
    <row r="3" spans="2:13" ht="23.25">
      <c r="B3" s="10" t="s">
        <v>182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2:1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2:13" ht="20.25" thickBot="1">
      <c r="B5" s="26" t="s">
        <v>240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2:13" ht="15.75" thickTop="1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2:13">
      <c r="B7" s="196" t="s">
        <v>202</v>
      </c>
      <c r="C7" s="401" t="s">
        <v>763</v>
      </c>
      <c r="D7" s="402"/>
      <c r="E7" s="402"/>
      <c r="F7" s="402"/>
      <c r="G7" s="198" t="s">
        <v>244</v>
      </c>
      <c r="H7" s="13"/>
      <c r="I7" s="13"/>
      <c r="J7" s="13"/>
      <c r="K7" s="13"/>
      <c r="L7" s="13"/>
      <c r="M7" s="13"/>
    </row>
    <row r="8" spans="2:13" ht="67.150000000000006" customHeight="1">
      <c r="B8" s="196" t="s">
        <v>38</v>
      </c>
      <c r="C8" s="403" t="s">
        <v>761</v>
      </c>
      <c r="D8" s="404"/>
      <c r="E8" s="404"/>
      <c r="F8" s="404"/>
      <c r="G8" s="198" t="s">
        <v>245</v>
      </c>
      <c r="H8" s="13"/>
      <c r="I8" s="13"/>
      <c r="J8" s="13"/>
      <c r="K8" s="13"/>
      <c r="L8" s="13"/>
      <c r="M8" s="13"/>
    </row>
    <row r="9" spans="2:13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</row>
    <row r="10" spans="2:13" ht="18" thickBot="1">
      <c r="B10" s="212" t="s">
        <v>192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2:13" ht="15.75" thickTop="1">
      <c r="B11" s="198" t="s">
        <v>246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</row>
    <row r="12" spans="2:13" ht="12.75" customHeight="1">
      <c r="B12" s="408" t="s">
        <v>764</v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10"/>
    </row>
    <row r="13" spans="2:13">
      <c r="B13" s="411"/>
      <c r="C13" s="412"/>
      <c r="D13" s="412"/>
      <c r="E13" s="412"/>
      <c r="F13" s="412"/>
      <c r="G13" s="412"/>
      <c r="H13" s="412"/>
      <c r="I13" s="412"/>
      <c r="J13" s="412"/>
      <c r="K13" s="412"/>
      <c r="L13" s="412"/>
      <c r="M13" s="413"/>
    </row>
    <row r="14" spans="2:13">
      <c r="B14" s="411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3"/>
    </row>
    <row r="15" spans="2:13">
      <c r="B15" s="411"/>
      <c r="C15" s="412"/>
      <c r="D15" s="412"/>
      <c r="E15" s="412"/>
      <c r="F15" s="412"/>
      <c r="G15" s="412"/>
      <c r="H15" s="412"/>
      <c r="I15" s="412"/>
      <c r="J15" s="412"/>
      <c r="K15" s="412"/>
      <c r="L15" s="412"/>
      <c r="M15" s="413"/>
    </row>
    <row r="16" spans="2:13">
      <c r="B16" s="411"/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3"/>
    </row>
    <row r="17" spans="2:13">
      <c r="B17" s="411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3"/>
    </row>
    <row r="18" spans="2:13">
      <c r="B18" s="411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3"/>
    </row>
    <row r="19" spans="2:13">
      <c r="B19" s="411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3"/>
    </row>
    <row r="20" spans="2:13">
      <c r="B20" s="411"/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3"/>
    </row>
    <row r="21" spans="2:13">
      <c r="B21" s="411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3"/>
    </row>
    <row r="22" spans="2:13">
      <c r="B22" s="411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3"/>
    </row>
    <row r="23" spans="2:13">
      <c r="B23" s="411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3"/>
    </row>
    <row r="24" spans="2:13">
      <c r="B24" s="411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3"/>
    </row>
    <row r="25" spans="2:13">
      <c r="B25" s="411"/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3"/>
    </row>
    <row r="26" spans="2:13">
      <c r="B26" s="411"/>
      <c r="C26" s="412"/>
      <c r="D26" s="412"/>
      <c r="E26" s="412"/>
      <c r="F26" s="412"/>
      <c r="G26" s="412"/>
      <c r="H26" s="412"/>
      <c r="I26" s="412"/>
      <c r="J26" s="412"/>
      <c r="K26" s="412"/>
      <c r="L26" s="412"/>
      <c r="M26" s="413"/>
    </row>
    <row r="27" spans="2:13">
      <c r="B27" s="411"/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3"/>
    </row>
    <row r="28" spans="2:13">
      <c r="B28" s="411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3"/>
    </row>
    <row r="29" spans="2:13">
      <c r="B29" s="411"/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3"/>
    </row>
    <row r="30" spans="2:13">
      <c r="B30" s="411"/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413"/>
    </row>
    <row r="31" spans="2:13">
      <c r="B31" s="411"/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3"/>
    </row>
    <row r="32" spans="2:13">
      <c r="B32" s="411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3"/>
    </row>
    <row r="33" spans="2:13">
      <c r="B33" s="414"/>
      <c r="C33" s="415"/>
      <c r="D33" s="415"/>
      <c r="E33" s="415"/>
      <c r="F33" s="415"/>
      <c r="G33" s="415"/>
      <c r="H33" s="415"/>
      <c r="I33" s="415"/>
      <c r="J33" s="415"/>
      <c r="K33" s="415"/>
      <c r="L33" s="415"/>
      <c r="M33" s="416"/>
    </row>
    <row r="34" spans="2:13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spans="2:13">
      <c r="B35" s="377" t="s">
        <v>255</v>
      </c>
      <c r="C35" s="378"/>
      <c r="D35" s="197" t="s">
        <v>257</v>
      </c>
      <c r="E35" s="198" t="s">
        <v>258</v>
      </c>
      <c r="F35" s="13"/>
      <c r="G35" s="13"/>
      <c r="H35" s="13"/>
      <c r="I35" s="13"/>
      <c r="J35" s="13"/>
      <c r="K35" s="13"/>
      <c r="L35" s="13"/>
      <c r="M35" s="13"/>
    </row>
    <row r="36" spans="2:13">
      <c r="B36" s="377" t="s">
        <v>256</v>
      </c>
      <c r="C36" s="378"/>
      <c r="D36" s="197"/>
      <c r="E36" s="198" t="s">
        <v>259</v>
      </c>
      <c r="F36" s="13"/>
      <c r="G36" s="13"/>
      <c r="H36" s="13"/>
      <c r="I36" s="13"/>
      <c r="J36" s="13"/>
      <c r="K36" s="13"/>
      <c r="L36" s="13"/>
      <c r="M36" s="13"/>
    </row>
    <row r="37" spans="2:13">
      <c r="B37" s="377" t="s">
        <v>261</v>
      </c>
      <c r="C37" s="378"/>
      <c r="D37" s="199" t="str">
        <f>D36&amp;" "&amp;D35</f>
        <v xml:space="preserve"> руб.</v>
      </c>
      <c r="E37" s="198" t="s">
        <v>260</v>
      </c>
      <c r="F37" s="13"/>
      <c r="G37" s="13"/>
      <c r="H37" s="13"/>
      <c r="I37" s="13"/>
      <c r="J37" s="13"/>
      <c r="K37" s="13"/>
      <c r="L37" s="13"/>
      <c r="M37" s="13"/>
    </row>
    <row r="38" spans="2:13">
      <c r="B38" s="377" t="s">
        <v>309</v>
      </c>
      <c r="C38" s="378"/>
      <c r="D38" s="197" t="s">
        <v>702</v>
      </c>
      <c r="E38" s="198" t="s">
        <v>310</v>
      </c>
      <c r="F38" s="13"/>
      <c r="G38" s="13"/>
      <c r="H38" s="13"/>
      <c r="I38" s="13"/>
      <c r="J38" s="13"/>
      <c r="K38" s="13"/>
      <c r="L38" s="13"/>
      <c r="M38" s="13"/>
    </row>
    <row r="39" spans="2:13">
      <c r="B39" s="377" t="s">
        <v>311</v>
      </c>
      <c r="C39" s="378"/>
      <c r="D39" s="199" t="str">
        <f>Ед_измерения_денег&amp;"/"&amp;Ед_измерения_продукции</f>
        <v xml:space="preserve"> руб./шт.(т, пч/семьи, пч/пакеты)</v>
      </c>
      <c r="E39" s="198" t="s">
        <v>260</v>
      </c>
      <c r="F39" s="13"/>
      <c r="G39" s="13"/>
      <c r="H39" s="13"/>
      <c r="I39" s="13"/>
      <c r="J39" s="13"/>
      <c r="K39" s="13"/>
      <c r="L39" s="13"/>
      <c r="M39" s="13"/>
    </row>
    <row r="40" spans="2:13">
      <c r="B40" s="377" t="s">
        <v>330</v>
      </c>
      <c r="C40" s="378"/>
      <c r="D40" s="199" t="str">
        <f>Ед_измерения_денег&amp;"/"&amp;Ед_измерения_периода</f>
        <v xml:space="preserve"> руб./мес.</v>
      </c>
      <c r="E40" s="198" t="s">
        <v>260</v>
      </c>
      <c r="F40" s="13"/>
      <c r="G40" s="13"/>
      <c r="H40" s="13"/>
      <c r="I40" s="13"/>
      <c r="J40" s="13"/>
      <c r="K40" s="13"/>
      <c r="L40" s="13"/>
      <c r="M40" s="13"/>
    </row>
    <row r="41" spans="2:13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spans="2:13" ht="20.25" thickBot="1">
      <c r="B42" s="26" t="s">
        <v>0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</row>
    <row r="43" spans="2:13" ht="15.75" thickTop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spans="2:13">
      <c r="B44" s="196" t="s">
        <v>3</v>
      </c>
      <c r="C44" s="405">
        <v>45016</v>
      </c>
      <c r="D44" s="405"/>
      <c r="E44" s="198" t="s">
        <v>243</v>
      </c>
      <c r="F44" s="13"/>
      <c r="G44" s="13"/>
      <c r="H44" s="13"/>
      <c r="I44" s="13"/>
      <c r="J44" s="13"/>
      <c r="K44" s="13"/>
      <c r="L44" s="13"/>
      <c r="M44" s="13"/>
    </row>
    <row r="45" spans="2:13">
      <c r="B45" s="196" t="s">
        <v>241</v>
      </c>
      <c r="C45" s="390" t="s">
        <v>242</v>
      </c>
      <c r="D45" s="390"/>
      <c r="E45" s="213"/>
      <c r="F45" s="13"/>
      <c r="G45" s="13"/>
      <c r="H45" s="13"/>
      <c r="I45" s="13"/>
      <c r="J45" s="13"/>
      <c r="K45" s="13"/>
      <c r="L45" s="13"/>
      <c r="M45" s="13"/>
    </row>
    <row r="46" spans="2:13">
      <c r="B46" s="196" t="s">
        <v>332</v>
      </c>
      <c r="C46" s="390" t="s">
        <v>331</v>
      </c>
      <c r="D46" s="390"/>
      <c r="E46" s="213"/>
      <c r="F46" s="13"/>
      <c r="G46" s="13"/>
      <c r="H46" s="13"/>
      <c r="I46" s="13"/>
      <c r="J46" s="13"/>
      <c r="K46" s="13"/>
      <c r="L46" s="13"/>
      <c r="M46" s="13"/>
    </row>
    <row r="47" spans="2:13">
      <c r="B47" s="13"/>
      <c r="C47" s="13"/>
      <c r="D47" s="13"/>
      <c r="E47" s="213"/>
      <c r="F47" s="13"/>
      <c r="G47" s="13"/>
      <c r="H47" s="13"/>
      <c r="I47" s="13"/>
      <c r="J47" s="13"/>
      <c r="K47" s="13"/>
      <c r="L47" s="13"/>
      <c r="M47" s="13"/>
    </row>
    <row r="48" spans="2:13">
      <c r="B48" s="196" t="s">
        <v>247</v>
      </c>
      <c r="C48" s="214" t="s">
        <v>1</v>
      </c>
      <c r="D48" s="214" t="s">
        <v>250</v>
      </c>
      <c r="E48" s="13"/>
      <c r="F48" s="13"/>
      <c r="G48" s="13"/>
      <c r="H48" s="13"/>
      <c r="I48" s="13"/>
      <c r="J48" s="13"/>
      <c r="K48" s="13"/>
      <c r="L48" s="13"/>
      <c r="M48" s="13"/>
    </row>
    <row r="49" spans="2:89">
      <c r="B49" s="196" t="s">
        <v>212</v>
      </c>
      <c r="C49" s="215">
        <f>EOMONTH(C44,0)+1</f>
        <v>45017</v>
      </c>
      <c r="D49" s="215">
        <f>Конец_инвест+1</f>
        <v>45383</v>
      </c>
      <c r="E49" s="198" t="s">
        <v>274</v>
      </c>
      <c r="F49" s="13"/>
      <c r="G49" s="13"/>
      <c r="H49" s="13"/>
      <c r="I49" s="13"/>
      <c r="J49" s="13"/>
      <c r="K49" s="13"/>
      <c r="L49" s="13"/>
      <c r="M49" s="13"/>
    </row>
    <row r="50" spans="2:89">
      <c r="B50" s="196" t="s">
        <v>248</v>
      </c>
      <c r="C50" s="197">
        <v>12</v>
      </c>
      <c r="D50" s="197">
        <v>72</v>
      </c>
      <c r="E50" s="198" t="str">
        <f>CONCATENATE("укажите длительность каждого периода в единицах планирования (",C45,")")</f>
        <v>укажите длительность каждого периода в единицах планирования (календарный месяц)</v>
      </c>
      <c r="F50" s="13"/>
      <c r="G50" s="13"/>
      <c r="H50" s="13"/>
      <c r="I50" s="13"/>
      <c r="J50" s="13"/>
      <c r="K50" s="13"/>
      <c r="L50" s="13"/>
      <c r="M50" s="13"/>
    </row>
    <row r="51" spans="2:89">
      <c r="B51" s="196" t="s">
        <v>249</v>
      </c>
      <c r="C51" s="215">
        <f>EOMONTH(Начало_инвест,C50-1)</f>
        <v>45382</v>
      </c>
      <c r="D51" s="215">
        <f>EOMONTH(Начало_тек,D50-1)</f>
        <v>47573</v>
      </c>
      <c r="E51" s="198" t="s">
        <v>251</v>
      </c>
      <c r="F51" s="13"/>
      <c r="G51" s="13"/>
      <c r="H51" s="13"/>
      <c r="I51" s="13"/>
      <c r="J51" s="13"/>
      <c r="K51" s="13"/>
      <c r="L51" s="13"/>
      <c r="M51" s="13"/>
    </row>
    <row r="52" spans="2:89">
      <c r="B52" s="196" t="s">
        <v>252</v>
      </c>
      <c r="C52" s="406" t="str">
        <f>IF(SUM(C50:D50)&gt;MIN(Время!E31,Инвестиции:Отчетность_по_периодам!E21,Коэффициенты!E31),"ошибка!","проверка пройдена")</f>
        <v>проверка пройдена</v>
      </c>
      <c r="D52" s="407"/>
      <c r="E52" s="198" t="s">
        <v>253</v>
      </c>
      <c r="F52" s="13"/>
      <c r="G52" s="13"/>
      <c r="H52" s="13"/>
      <c r="I52" s="13"/>
      <c r="J52" s="13"/>
      <c r="K52" s="13"/>
      <c r="L52" s="13"/>
      <c r="M52" s="13"/>
    </row>
    <row r="53" spans="2:89">
      <c r="B53" s="13"/>
      <c r="C53" s="216"/>
      <c r="D53" s="216"/>
      <c r="E53" s="13"/>
      <c r="F53" s="13"/>
      <c r="G53" s="13"/>
      <c r="H53" s="13"/>
      <c r="I53" s="13"/>
      <c r="J53" s="13"/>
      <c r="K53" s="13"/>
      <c r="L53" s="13"/>
      <c r="M53" s="13"/>
    </row>
    <row r="54" spans="2:89">
      <c r="B54" s="196" t="s">
        <v>237</v>
      </c>
      <c r="C54" s="217"/>
      <c r="D54" s="199">
        <v>12</v>
      </c>
      <c r="E54" s="198" t="s">
        <v>254</v>
      </c>
      <c r="F54" s="13"/>
      <c r="G54" s="13"/>
      <c r="H54" s="13"/>
      <c r="I54" s="13"/>
      <c r="J54" s="13"/>
      <c r="K54" s="13"/>
      <c r="L54" s="13"/>
      <c r="M54" s="13"/>
    </row>
    <row r="55" spans="2:89">
      <c r="B55" s="196" t="s">
        <v>726</v>
      </c>
      <c r="C55" s="217"/>
      <c r="D55" s="199">
        <v>2</v>
      </c>
      <c r="E55" s="198" t="s">
        <v>254</v>
      </c>
      <c r="F55" s="13"/>
      <c r="G55" s="13"/>
      <c r="H55" s="13"/>
      <c r="I55" s="13"/>
      <c r="J55" s="13"/>
      <c r="K55" s="13"/>
      <c r="L55" s="13"/>
      <c r="M55" s="13"/>
    </row>
    <row r="56" spans="2:89">
      <c r="B56" s="196" t="s">
        <v>238</v>
      </c>
      <c r="C56" s="217"/>
      <c r="D56" s="199">
        <v>4</v>
      </c>
      <c r="E56" s="198" t="s">
        <v>254</v>
      </c>
      <c r="F56" s="13"/>
      <c r="G56" s="13"/>
      <c r="H56" s="13"/>
      <c r="I56" s="13"/>
      <c r="J56" s="13"/>
      <c r="K56" s="13"/>
      <c r="L56" s="13"/>
      <c r="M56" s="13"/>
    </row>
    <row r="57" spans="2:89">
      <c r="B57" s="196" t="s">
        <v>727</v>
      </c>
      <c r="C57" s="217"/>
      <c r="D57" s="199">
        <v>6</v>
      </c>
      <c r="E57" s="198" t="s">
        <v>254</v>
      </c>
      <c r="F57" s="13"/>
      <c r="G57" s="13"/>
      <c r="H57" s="13"/>
      <c r="I57" s="13"/>
      <c r="J57" s="13"/>
      <c r="K57" s="13"/>
      <c r="L57" s="13"/>
      <c r="M57" s="13"/>
    </row>
    <row r="58" spans="2:89">
      <c r="B58" s="196" t="s">
        <v>239</v>
      </c>
      <c r="C58" s="217"/>
      <c r="D58" s="199">
        <v>3</v>
      </c>
      <c r="E58" s="198" t="s">
        <v>254</v>
      </c>
      <c r="F58" s="13"/>
      <c r="G58" s="13"/>
      <c r="H58" s="13"/>
      <c r="I58" s="13"/>
      <c r="J58" s="13"/>
      <c r="K58" s="13"/>
      <c r="L58" s="13"/>
      <c r="M58" s="13"/>
    </row>
    <row r="59" spans="2:89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spans="2:89" ht="20.25" thickBot="1">
      <c r="B60" s="26" t="s">
        <v>1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2:89" ht="15.75" thickTop="1"/>
    <row r="62" spans="2:89" ht="18" thickBot="1">
      <c r="B62" s="212" t="s">
        <v>10</v>
      </c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</row>
    <row r="63" spans="2:89" ht="15.75" thickTop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</row>
    <row r="64" spans="2:89" ht="15.75" thickBot="1">
      <c r="B64" s="218" t="s">
        <v>279</v>
      </c>
      <c r="C64" s="218"/>
      <c r="D64" s="219"/>
      <c r="E64" s="13"/>
      <c r="F64" s="13"/>
      <c r="G64" s="13"/>
      <c r="H64" s="13"/>
      <c r="I64" s="218" t="s">
        <v>269</v>
      </c>
      <c r="J64" s="218"/>
      <c r="K64" s="218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</row>
    <row r="65" spans="2:93" ht="15" customHeight="1">
      <c r="B65" s="198" t="s">
        <v>283</v>
      </c>
      <c r="C65" s="13"/>
      <c r="D65" s="220"/>
      <c r="E65" s="221"/>
      <c r="F65" s="13"/>
      <c r="G65" s="13"/>
      <c r="H65" s="13"/>
      <c r="I65" s="198" t="s">
        <v>284</v>
      </c>
      <c r="J65" s="13"/>
      <c r="K65" s="13"/>
      <c r="L65" s="13"/>
      <c r="M65" s="13"/>
      <c r="N65" s="13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</row>
    <row r="66" spans="2:93">
      <c r="B66" s="384" t="s">
        <v>266</v>
      </c>
      <c r="C66" s="392" t="s">
        <v>262</v>
      </c>
      <c r="D66" s="392"/>
      <c r="E66" s="393" t="s">
        <v>265</v>
      </c>
      <c r="F66" s="392" t="s">
        <v>263</v>
      </c>
      <c r="G66" s="392"/>
      <c r="H66" s="13"/>
      <c r="I66" s="387" t="s">
        <v>268</v>
      </c>
      <c r="J66" s="223" t="s">
        <v>267</v>
      </c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4"/>
      <c r="BN66" s="224"/>
      <c r="BO66" s="224"/>
      <c r="BP66" s="224"/>
      <c r="BQ66" s="225"/>
      <c r="BR66" s="225"/>
      <c r="BS66" s="225"/>
      <c r="BT66" s="225"/>
      <c r="BU66" s="225"/>
      <c r="BV66" s="225"/>
      <c r="BW66" s="225"/>
      <c r="BX66" s="225"/>
      <c r="BY66" s="225"/>
      <c r="BZ66" s="225"/>
      <c r="CA66" s="225"/>
      <c r="CB66" s="225"/>
      <c r="CC66" s="225"/>
      <c r="CD66" s="225"/>
      <c r="CE66" s="225"/>
      <c r="CF66" s="225"/>
      <c r="CG66" s="225"/>
      <c r="CH66" s="225"/>
      <c r="CI66" s="225"/>
      <c r="CJ66" s="225"/>
      <c r="CK66" s="225"/>
      <c r="CL66" s="225"/>
      <c r="CM66" s="225"/>
      <c r="CN66" s="225"/>
      <c r="CO66" s="225"/>
    </row>
    <row r="67" spans="2:93">
      <c r="B67" s="385"/>
      <c r="C67" s="395" t="str">
        <f>"в "&amp;Ед_измерения_денег&amp;" (в т.ч. НДС)"</f>
        <v>в  руб. (в т.ч. НДС)</v>
      </c>
      <c r="D67" s="395"/>
      <c r="E67" s="394"/>
      <c r="F67" s="395" t="str">
        <f>"в "&amp;Ед_измерения_денег&amp;" (в т.ч. НДС)"</f>
        <v>в  руб. (в т.ч. НДС)</v>
      </c>
      <c r="G67" s="395"/>
      <c r="H67" s="13"/>
      <c r="I67" s="388"/>
      <c r="J67" s="226">
        <f>1</f>
        <v>1</v>
      </c>
      <c r="K67" s="227">
        <f t="shared" ref="K67:AH67" si="0">J67+1</f>
        <v>2</v>
      </c>
      <c r="L67" s="227">
        <f t="shared" si="0"/>
        <v>3</v>
      </c>
      <c r="M67" s="227">
        <f t="shared" si="0"/>
        <v>4</v>
      </c>
      <c r="N67" s="227">
        <f>M67+1</f>
        <v>5</v>
      </c>
      <c r="O67" s="227">
        <f>N67+1</f>
        <v>6</v>
      </c>
      <c r="P67" s="227">
        <f t="shared" si="0"/>
        <v>7</v>
      </c>
      <c r="Q67" s="227">
        <f t="shared" si="0"/>
        <v>8</v>
      </c>
      <c r="R67" s="227">
        <f t="shared" si="0"/>
        <v>9</v>
      </c>
      <c r="S67" s="227">
        <f t="shared" si="0"/>
        <v>10</v>
      </c>
      <c r="T67" s="227">
        <f t="shared" si="0"/>
        <v>11</v>
      </c>
      <c r="U67" s="227">
        <f t="shared" si="0"/>
        <v>12</v>
      </c>
      <c r="V67" s="227">
        <f t="shared" si="0"/>
        <v>13</v>
      </c>
      <c r="W67" s="227">
        <f t="shared" si="0"/>
        <v>14</v>
      </c>
      <c r="X67" s="227">
        <f t="shared" si="0"/>
        <v>15</v>
      </c>
      <c r="Y67" s="227">
        <f t="shared" si="0"/>
        <v>16</v>
      </c>
      <c r="Z67" s="227">
        <f t="shared" si="0"/>
        <v>17</v>
      </c>
      <c r="AA67" s="227">
        <f t="shared" si="0"/>
        <v>18</v>
      </c>
      <c r="AB67" s="227">
        <f t="shared" si="0"/>
        <v>19</v>
      </c>
      <c r="AC67" s="227">
        <f t="shared" si="0"/>
        <v>20</v>
      </c>
      <c r="AD67" s="227">
        <f t="shared" si="0"/>
        <v>21</v>
      </c>
      <c r="AE67" s="227">
        <f t="shared" si="0"/>
        <v>22</v>
      </c>
      <c r="AF67" s="227">
        <f t="shared" si="0"/>
        <v>23</v>
      </c>
      <c r="AG67" s="227">
        <f t="shared" si="0"/>
        <v>24</v>
      </c>
      <c r="AH67" s="227">
        <f t="shared" si="0"/>
        <v>25</v>
      </c>
      <c r="AI67" s="227">
        <f t="shared" ref="AI67:BQ67" si="1">AH67+1</f>
        <v>26</v>
      </c>
      <c r="AJ67" s="227">
        <f t="shared" si="1"/>
        <v>27</v>
      </c>
      <c r="AK67" s="227">
        <f t="shared" si="1"/>
        <v>28</v>
      </c>
      <c r="AL67" s="227">
        <f t="shared" si="1"/>
        <v>29</v>
      </c>
      <c r="AM67" s="227">
        <f t="shared" si="1"/>
        <v>30</v>
      </c>
      <c r="AN67" s="227">
        <f t="shared" si="1"/>
        <v>31</v>
      </c>
      <c r="AO67" s="227">
        <f t="shared" si="1"/>
        <v>32</v>
      </c>
      <c r="AP67" s="227">
        <f t="shared" si="1"/>
        <v>33</v>
      </c>
      <c r="AQ67" s="227">
        <f t="shared" si="1"/>
        <v>34</v>
      </c>
      <c r="AR67" s="227">
        <f t="shared" si="1"/>
        <v>35</v>
      </c>
      <c r="AS67" s="227">
        <f t="shared" si="1"/>
        <v>36</v>
      </c>
      <c r="AT67" s="227">
        <f t="shared" si="1"/>
        <v>37</v>
      </c>
      <c r="AU67" s="227">
        <f t="shared" si="1"/>
        <v>38</v>
      </c>
      <c r="AV67" s="227">
        <f t="shared" si="1"/>
        <v>39</v>
      </c>
      <c r="AW67" s="227">
        <f t="shared" si="1"/>
        <v>40</v>
      </c>
      <c r="AX67" s="227">
        <f t="shared" si="1"/>
        <v>41</v>
      </c>
      <c r="AY67" s="227">
        <f t="shared" si="1"/>
        <v>42</v>
      </c>
      <c r="AZ67" s="227">
        <f t="shared" si="1"/>
        <v>43</v>
      </c>
      <c r="BA67" s="227">
        <f t="shared" si="1"/>
        <v>44</v>
      </c>
      <c r="BB67" s="227">
        <f t="shared" si="1"/>
        <v>45</v>
      </c>
      <c r="BC67" s="227">
        <f t="shared" si="1"/>
        <v>46</v>
      </c>
      <c r="BD67" s="227">
        <f t="shared" si="1"/>
        <v>47</v>
      </c>
      <c r="BE67" s="227">
        <f t="shared" si="1"/>
        <v>48</v>
      </c>
      <c r="BF67" s="227">
        <f t="shared" si="1"/>
        <v>49</v>
      </c>
      <c r="BG67" s="227">
        <f t="shared" si="1"/>
        <v>50</v>
      </c>
      <c r="BH67" s="227">
        <f t="shared" si="1"/>
        <v>51</v>
      </c>
      <c r="BI67" s="227">
        <f t="shared" si="1"/>
        <v>52</v>
      </c>
      <c r="BJ67" s="227">
        <f t="shared" si="1"/>
        <v>53</v>
      </c>
      <c r="BK67" s="227">
        <f t="shared" si="1"/>
        <v>54</v>
      </c>
      <c r="BL67" s="227">
        <f t="shared" si="1"/>
        <v>55</v>
      </c>
      <c r="BM67" s="227">
        <f t="shared" si="1"/>
        <v>56</v>
      </c>
      <c r="BN67" s="227">
        <f t="shared" si="1"/>
        <v>57</v>
      </c>
      <c r="BO67" s="227">
        <f t="shared" si="1"/>
        <v>58</v>
      </c>
      <c r="BP67" s="227">
        <f t="shared" si="1"/>
        <v>59</v>
      </c>
      <c r="BQ67" s="227">
        <f t="shared" si="1"/>
        <v>60</v>
      </c>
      <c r="BR67" s="227">
        <f t="shared" ref="BR67" si="2">BQ67+1</f>
        <v>61</v>
      </c>
      <c r="BS67" s="227">
        <f t="shared" ref="BS67" si="3">BR67+1</f>
        <v>62</v>
      </c>
      <c r="BT67" s="227">
        <f t="shared" ref="BT67" si="4">BS67+1</f>
        <v>63</v>
      </c>
      <c r="BU67" s="227">
        <f t="shared" ref="BU67" si="5">BT67+1</f>
        <v>64</v>
      </c>
      <c r="BV67" s="227">
        <f t="shared" ref="BV67" si="6">BU67+1</f>
        <v>65</v>
      </c>
      <c r="BW67" s="227">
        <f t="shared" ref="BW67" si="7">BV67+1</f>
        <v>66</v>
      </c>
      <c r="BX67" s="227">
        <f t="shared" ref="BX67" si="8">BW67+1</f>
        <v>67</v>
      </c>
      <c r="BY67" s="227">
        <f t="shared" ref="BY67" si="9">BX67+1</f>
        <v>68</v>
      </c>
      <c r="BZ67" s="227">
        <f t="shared" ref="BZ67" si="10">BY67+1</f>
        <v>69</v>
      </c>
      <c r="CA67" s="227">
        <f t="shared" ref="CA67" si="11">BZ67+1</f>
        <v>70</v>
      </c>
      <c r="CB67" s="227">
        <f t="shared" ref="CB67" si="12">CA67+1</f>
        <v>71</v>
      </c>
      <c r="CC67" s="227">
        <f t="shared" ref="CC67" si="13">CB67+1</f>
        <v>72</v>
      </c>
      <c r="CD67" s="227">
        <f t="shared" ref="CD67" si="14">CC67+1</f>
        <v>73</v>
      </c>
      <c r="CE67" s="227">
        <f t="shared" ref="CE67" si="15">CD67+1</f>
        <v>74</v>
      </c>
      <c r="CF67" s="227">
        <f t="shared" ref="CF67" si="16">CE67+1</f>
        <v>75</v>
      </c>
      <c r="CG67" s="227">
        <f t="shared" ref="CG67" si="17">CF67+1</f>
        <v>76</v>
      </c>
      <c r="CH67" s="227">
        <f t="shared" ref="CH67" si="18">CG67+1</f>
        <v>77</v>
      </c>
      <c r="CI67" s="227">
        <f t="shared" ref="CI67" si="19">CH67+1</f>
        <v>78</v>
      </c>
      <c r="CJ67" s="227">
        <f t="shared" ref="CJ67" si="20">CI67+1</f>
        <v>79</v>
      </c>
      <c r="CK67" s="227">
        <f t="shared" ref="CK67" si="21">CJ67+1</f>
        <v>80</v>
      </c>
      <c r="CL67" s="227">
        <f t="shared" ref="CL67" si="22">CK67+1</f>
        <v>81</v>
      </c>
      <c r="CM67" s="227">
        <f t="shared" ref="CM67" si="23">CL67+1</f>
        <v>82</v>
      </c>
      <c r="CN67" s="227">
        <f t="shared" ref="CN67" si="24">CM67+1</f>
        <v>83</v>
      </c>
      <c r="CO67" s="227">
        <f t="shared" ref="CO67" si="25">CN67+1</f>
        <v>84</v>
      </c>
    </row>
    <row r="68" spans="2:93">
      <c r="B68" s="228" t="s">
        <v>685</v>
      </c>
      <c r="C68" s="389">
        <v>3000000</v>
      </c>
      <c r="D68" s="389"/>
      <c r="E68" s="203">
        <f t="shared" ref="E68:E73" si="26">INDEX(Сценарий_капитальные_затраты,1,MATCH(Сценарий,Сценарий_номера,0))</f>
        <v>0</v>
      </c>
      <c r="F68" s="390">
        <f t="shared" ref="F68:F73" si="27">C68*(1+E68)</f>
        <v>3000000</v>
      </c>
      <c r="G68" s="390"/>
      <c r="H68" s="13"/>
      <c r="I68" s="172">
        <f t="shared" ref="I68:I73" si="28">SUM(J68:CO68)</f>
        <v>1</v>
      </c>
      <c r="J68" s="229">
        <v>0.33</v>
      </c>
      <c r="K68" s="204">
        <v>0.33</v>
      </c>
      <c r="L68" s="204">
        <v>0.34</v>
      </c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</row>
    <row r="69" spans="2:93">
      <c r="B69" s="228" t="s">
        <v>686</v>
      </c>
      <c r="C69" s="389">
        <v>450000000</v>
      </c>
      <c r="D69" s="389"/>
      <c r="E69" s="203">
        <f t="shared" si="26"/>
        <v>0</v>
      </c>
      <c r="F69" s="390">
        <f t="shared" si="27"/>
        <v>450000000</v>
      </c>
      <c r="G69" s="390"/>
      <c r="H69" s="13"/>
      <c r="I69" s="172">
        <f t="shared" si="28"/>
        <v>1.0000000000000002</v>
      </c>
      <c r="J69" s="229">
        <v>0.04</v>
      </c>
      <c r="K69" s="204">
        <v>0.04</v>
      </c>
      <c r="L69" s="204">
        <v>0.03</v>
      </c>
      <c r="M69" s="204">
        <v>0.15</v>
      </c>
      <c r="N69" s="204">
        <v>0.15</v>
      </c>
      <c r="O69" s="204">
        <v>0.15</v>
      </c>
      <c r="P69" s="204">
        <v>7.0000000000000007E-2</v>
      </c>
      <c r="Q69" s="204">
        <v>7.0000000000000007E-2</v>
      </c>
      <c r="R69" s="204">
        <v>0.08</v>
      </c>
      <c r="S69" s="204">
        <v>7.0000000000000007E-2</v>
      </c>
      <c r="T69" s="204">
        <v>7.0000000000000007E-2</v>
      </c>
      <c r="U69" s="204">
        <v>0.08</v>
      </c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</row>
    <row r="70" spans="2:93">
      <c r="B70" s="228" t="s">
        <v>687</v>
      </c>
      <c r="C70" s="389">
        <v>570000000</v>
      </c>
      <c r="D70" s="389"/>
      <c r="E70" s="203">
        <f t="shared" si="26"/>
        <v>0</v>
      </c>
      <c r="F70" s="390">
        <f t="shared" si="27"/>
        <v>570000000</v>
      </c>
      <c r="G70" s="390"/>
      <c r="H70" s="13"/>
      <c r="I70" s="172">
        <f t="shared" si="28"/>
        <v>1</v>
      </c>
      <c r="J70" s="229">
        <v>7.0000000000000007E-2</v>
      </c>
      <c r="K70" s="204">
        <v>7.0000000000000007E-2</v>
      </c>
      <c r="L70" s="204">
        <v>7.0000000000000007E-2</v>
      </c>
      <c r="M70" s="204">
        <v>0.12</v>
      </c>
      <c r="N70" s="204">
        <v>0.12</v>
      </c>
      <c r="O70" s="204">
        <v>0.11</v>
      </c>
      <c r="P70" s="204">
        <v>0.11</v>
      </c>
      <c r="Q70" s="204">
        <v>0.12</v>
      </c>
      <c r="R70" s="204">
        <v>0.12</v>
      </c>
      <c r="S70" s="204">
        <v>0.02</v>
      </c>
      <c r="T70" s="204">
        <v>0.03</v>
      </c>
      <c r="U70" s="204">
        <v>0.04</v>
      </c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</row>
    <row r="71" spans="2:93">
      <c r="B71" s="228" t="s">
        <v>688</v>
      </c>
      <c r="C71" s="389">
        <v>137000000</v>
      </c>
      <c r="D71" s="389"/>
      <c r="E71" s="203">
        <f t="shared" si="26"/>
        <v>0</v>
      </c>
      <c r="F71" s="390">
        <f t="shared" si="27"/>
        <v>137000000</v>
      </c>
      <c r="G71" s="390"/>
      <c r="H71" s="13"/>
      <c r="I71" s="172">
        <f t="shared" si="28"/>
        <v>1</v>
      </c>
      <c r="J71" s="229">
        <v>0.05</v>
      </c>
      <c r="K71" s="204">
        <v>0.05</v>
      </c>
      <c r="L71" s="204">
        <v>0.05</v>
      </c>
      <c r="M71" s="204">
        <v>0.09</v>
      </c>
      <c r="N71" s="204">
        <v>0.09</v>
      </c>
      <c r="O71" s="204">
        <v>0.1</v>
      </c>
      <c r="P71" s="204"/>
      <c r="Q71" s="204"/>
      <c r="R71" s="204"/>
      <c r="S71" s="204">
        <v>0.18</v>
      </c>
      <c r="T71" s="204">
        <v>0.19</v>
      </c>
      <c r="U71" s="204">
        <v>0.2</v>
      </c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</row>
    <row r="72" spans="2:93">
      <c r="B72" s="230" t="s">
        <v>12</v>
      </c>
      <c r="C72" s="389">
        <v>0</v>
      </c>
      <c r="D72" s="389"/>
      <c r="E72" s="203">
        <f t="shared" si="26"/>
        <v>0</v>
      </c>
      <c r="F72" s="390">
        <f t="shared" si="27"/>
        <v>0</v>
      </c>
      <c r="G72" s="390"/>
      <c r="H72" s="13"/>
      <c r="I72" s="172">
        <f t="shared" si="28"/>
        <v>0</v>
      </c>
      <c r="J72" s="229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</row>
    <row r="73" spans="2:93" ht="15.75" thickBot="1">
      <c r="B73" s="230" t="s">
        <v>12</v>
      </c>
      <c r="C73" s="399">
        <v>0</v>
      </c>
      <c r="D73" s="399"/>
      <c r="E73" s="231">
        <f t="shared" si="26"/>
        <v>0</v>
      </c>
      <c r="F73" s="400">
        <f t="shared" si="27"/>
        <v>0</v>
      </c>
      <c r="G73" s="400"/>
      <c r="H73" s="13"/>
      <c r="I73" s="172">
        <f t="shared" si="28"/>
        <v>0</v>
      </c>
      <c r="J73" s="229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  <c r="BP73" s="204"/>
      <c r="BQ73" s="204"/>
      <c r="BR73" s="204"/>
      <c r="BS73" s="204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</row>
    <row r="74" spans="2:93" ht="15.75" thickTop="1">
      <c r="B74" s="232" t="s">
        <v>11</v>
      </c>
      <c r="C74" s="396">
        <f>SUM(C68:C73)</f>
        <v>1160000000</v>
      </c>
      <c r="D74" s="396"/>
      <c r="E74" s="232"/>
      <c r="F74" s="396">
        <f>SUM(F68:F73)</f>
        <v>1160000000</v>
      </c>
      <c r="G74" s="396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</row>
    <row r="75" spans="2:9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</row>
    <row r="76" spans="2:93" ht="15.75" thickBot="1">
      <c r="B76" s="218" t="s">
        <v>56</v>
      </c>
      <c r="C76" s="13"/>
      <c r="D76" s="13"/>
      <c r="E76" s="13"/>
      <c r="F76" s="13"/>
      <c r="G76" s="13"/>
      <c r="H76" s="13"/>
      <c r="I76" s="218" t="s">
        <v>61</v>
      </c>
      <c r="J76" s="218"/>
      <c r="K76" s="218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</row>
    <row r="77" spans="2:93">
      <c r="B77" s="198"/>
      <c r="C77" s="13"/>
      <c r="D77" s="13"/>
      <c r="E77" s="13"/>
      <c r="F77" s="13"/>
      <c r="G77" s="13"/>
      <c r="H77" s="13"/>
      <c r="I77" s="198" t="s">
        <v>277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</row>
    <row r="78" spans="2:93">
      <c r="B78" s="27" t="s">
        <v>270</v>
      </c>
      <c r="C78" s="217"/>
      <c r="D78" s="197">
        <v>7</v>
      </c>
      <c r="E78" s="198" t="s">
        <v>272</v>
      </c>
      <c r="F78" s="13"/>
      <c r="G78" s="13"/>
      <c r="H78" s="13"/>
      <c r="I78" s="202">
        <f>YEAR(Начальная_дата)</f>
        <v>2023</v>
      </c>
      <c r="J78" s="202">
        <f t="shared" ref="J78:P78" si="29">I78+1</f>
        <v>2024</v>
      </c>
      <c r="K78" s="202">
        <f t="shared" si="29"/>
        <v>2025</v>
      </c>
      <c r="L78" s="202">
        <f t="shared" si="29"/>
        <v>2026</v>
      </c>
      <c r="M78" s="202">
        <f t="shared" si="29"/>
        <v>2027</v>
      </c>
      <c r="N78" s="202">
        <f t="shared" si="29"/>
        <v>2028</v>
      </c>
      <c r="O78" s="202">
        <f t="shared" si="29"/>
        <v>2029</v>
      </c>
      <c r="P78" s="202">
        <f t="shared" si="29"/>
        <v>2030</v>
      </c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</row>
    <row r="79" spans="2:93">
      <c r="B79" s="27" t="s">
        <v>271</v>
      </c>
      <c r="C79" s="217"/>
      <c r="D79" s="203">
        <f>1/D78</f>
        <v>0.14285714285714285</v>
      </c>
      <c r="E79" s="198" t="s">
        <v>273</v>
      </c>
      <c r="F79" s="13"/>
      <c r="G79" s="13"/>
      <c r="H79" s="13"/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</row>
    <row r="80" spans="2:9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</row>
    <row r="81" spans="2:93">
      <c r="B81" s="398" t="s">
        <v>282</v>
      </c>
      <c r="C81" s="398"/>
      <c r="D81" s="398"/>
      <c r="E81" s="398"/>
      <c r="F81" s="398"/>
      <c r="G81" s="398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</row>
    <row r="82" spans="2:93">
      <c r="B82" s="398"/>
      <c r="C82" s="398"/>
      <c r="D82" s="398"/>
      <c r="E82" s="398"/>
      <c r="F82" s="398"/>
      <c r="G82" s="398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</row>
    <row r="83" spans="2:93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</row>
    <row r="84" spans="2:93" ht="18" thickBot="1">
      <c r="B84" s="212" t="s">
        <v>275</v>
      </c>
      <c r="C84" s="212"/>
      <c r="D84" s="212"/>
      <c r="E84" s="212"/>
      <c r="F84" s="212"/>
      <c r="G84" s="212"/>
      <c r="H84" s="212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  <c r="BP84" s="212"/>
      <c r="BQ84" s="212"/>
      <c r="BR84" s="212"/>
      <c r="BS84" s="212"/>
      <c r="BT84" s="212"/>
      <c r="BU84" s="212"/>
      <c r="BV84" s="212"/>
      <c r="BW84" s="212"/>
      <c r="BX84" s="212"/>
      <c r="BY84" s="212"/>
      <c r="BZ84" s="212"/>
      <c r="CA84" s="212"/>
      <c r="CB84" s="212"/>
      <c r="CC84" s="212"/>
      <c r="CD84" s="212"/>
      <c r="CE84" s="212"/>
      <c r="CF84" s="212"/>
      <c r="CG84" s="212"/>
      <c r="CH84" s="212"/>
      <c r="CI84" s="212"/>
      <c r="CJ84" s="212"/>
      <c r="CK84" s="212"/>
    </row>
    <row r="85" spans="2:93" ht="15.75" thickTop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</row>
    <row r="86" spans="2:93" ht="15.75" thickBot="1">
      <c r="B86" s="218" t="s">
        <v>280</v>
      </c>
      <c r="C86" s="218"/>
      <c r="D86" s="219"/>
      <c r="E86" s="218"/>
      <c r="F86" s="13"/>
      <c r="G86" s="13"/>
      <c r="H86" s="13"/>
      <c r="I86" s="218" t="s">
        <v>236</v>
      </c>
      <c r="J86" s="218"/>
      <c r="K86" s="218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</row>
    <row r="87" spans="2:93" ht="15" customHeight="1">
      <c r="B87" s="198" t="s">
        <v>304</v>
      </c>
      <c r="C87" s="13"/>
      <c r="D87" s="220"/>
      <c r="E87" s="221"/>
      <c r="F87" s="13"/>
      <c r="G87" s="13"/>
      <c r="H87" s="13"/>
      <c r="I87" s="198" t="s">
        <v>305</v>
      </c>
      <c r="J87" s="13"/>
      <c r="K87" s="13"/>
      <c r="L87" s="13"/>
      <c r="M87" s="13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222"/>
      <c r="AF87" s="222"/>
      <c r="AG87" s="222"/>
      <c r="AH87" s="222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</row>
    <row r="88" spans="2:93" ht="12.75" customHeight="1">
      <c r="B88" s="384"/>
      <c r="C88" s="392" t="s">
        <v>262</v>
      </c>
      <c r="D88" s="392"/>
      <c r="E88" s="393" t="s">
        <v>265</v>
      </c>
      <c r="F88" s="392" t="s">
        <v>263</v>
      </c>
      <c r="G88" s="392"/>
      <c r="H88" s="13"/>
      <c r="I88" s="387" t="s">
        <v>268</v>
      </c>
      <c r="J88" s="223" t="s">
        <v>267</v>
      </c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/>
      <c r="AI88" s="224"/>
      <c r="AJ88" s="224"/>
      <c r="AK88" s="224"/>
      <c r="AL88" s="224"/>
      <c r="AM88" s="224"/>
      <c r="AN88" s="224"/>
      <c r="AO88" s="224"/>
      <c r="AP88" s="224"/>
      <c r="AQ88" s="224"/>
      <c r="AR88" s="224"/>
      <c r="AS88" s="224"/>
      <c r="AT88" s="224"/>
      <c r="AU88" s="224"/>
      <c r="AV88" s="224"/>
      <c r="AW88" s="224"/>
      <c r="AX88" s="224"/>
      <c r="AY88" s="224"/>
      <c r="AZ88" s="224"/>
      <c r="BA88" s="224"/>
      <c r="BB88" s="224"/>
      <c r="BC88" s="224"/>
      <c r="BD88" s="224"/>
      <c r="BE88" s="224"/>
      <c r="BF88" s="224"/>
      <c r="BG88" s="224"/>
      <c r="BH88" s="224"/>
      <c r="BI88" s="224"/>
      <c r="BJ88" s="224"/>
      <c r="BK88" s="224"/>
      <c r="BL88" s="224"/>
      <c r="BM88" s="224"/>
      <c r="BN88" s="224"/>
      <c r="BO88" s="224"/>
      <c r="BP88" s="224"/>
      <c r="BQ88" s="225"/>
      <c r="BR88" s="225"/>
      <c r="BS88" s="225"/>
      <c r="BT88" s="225"/>
      <c r="BU88" s="225"/>
      <c r="BV88" s="225"/>
      <c r="BW88" s="225"/>
      <c r="BX88" s="225"/>
      <c r="BY88" s="225"/>
      <c r="BZ88" s="225"/>
      <c r="CA88" s="225"/>
      <c r="CB88" s="225"/>
      <c r="CC88" s="225"/>
      <c r="CD88" s="225"/>
      <c r="CE88" s="225"/>
      <c r="CF88" s="225"/>
      <c r="CG88" s="225"/>
      <c r="CH88" s="225"/>
      <c r="CI88" s="225"/>
      <c r="CJ88" s="225"/>
      <c r="CK88" s="225"/>
      <c r="CL88" s="225"/>
      <c r="CM88" s="225"/>
      <c r="CN88" s="225"/>
      <c r="CO88" s="225"/>
    </row>
    <row r="89" spans="2:93">
      <c r="B89" s="385"/>
      <c r="C89" s="395" t="str">
        <f>"в "&amp;Ед_измерения_денег&amp;" (в т.ч. НДС)"</f>
        <v>в  руб. (в т.ч. НДС)</v>
      </c>
      <c r="D89" s="395"/>
      <c r="E89" s="394"/>
      <c r="F89" s="395" t="str">
        <f>"в "&amp;Ед_измерения_денег&amp;" (в т.ч. НДС)"</f>
        <v>в  руб. (в т.ч. НДС)</v>
      </c>
      <c r="G89" s="395"/>
      <c r="H89" s="13"/>
      <c r="I89" s="388"/>
      <c r="J89" s="226">
        <f>1</f>
        <v>1</v>
      </c>
      <c r="K89" s="227">
        <f t="shared" ref="K89:AP89" si="30">J89+1</f>
        <v>2</v>
      </c>
      <c r="L89" s="227">
        <f t="shared" si="30"/>
        <v>3</v>
      </c>
      <c r="M89" s="227">
        <f t="shared" si="30"/>
        <v>4</v>
      </c>
      <c r="N89" s="227">
        <f t="shared" si="30"/>
        <v>5</v>
      </c>
      <c r="O89" s="227">
        <f t="shared" si="30"/>
        <v>6</v>
      </c>
      <c r="P89" s="227">
        <f t="shared" si="30"/>
        <v>7</v>
      </c>
      <c r="Q89" s="227">
        <f t="shared" si="30"/>
        <v>8</v>
      </c>
      <c r="R89" s="227">
        <f t="shared" si="30"/>
        <v>9</v>
      </c>
      <c r="S89" s="227">
        <f t="shared" si="30"/>
        <v>10</v>
      </c>
      <c r="T89" s="227">
        <f t="shared" si="30"/>
        <v>11</v>
      </c>
      <c r="U89" s="227">
        <f t="shared" si="30"/>
        <v>12</v>
      </c>
      <c r="V89" s="227">
        <f t="shared" si="30"/>
        <v>13</v>
      </c>
      <c r="W89" s="227">
        <f t="shared" si="30"/>
        <v>14</v>
      </c>
      <c r="X89" s="227">
        <f t="shared" si="30"/>
        <v>15</v>
      </c>
      <c r="Y89" s="227">
        <f t="shared" si="30"/>
        <v>16</v>
      </c>
      <c r="Z89" s="227">
        <f t="shared" si="30"/>
        <v>17</v>
      </c>
      <c r="AA89" s="227">
        <f t="shared" si="30"/>
        <v>18</v>
      </c>
      <c r="AB89" s="227">
        <f t="shared" si="30"/>
        <v>19</v>
      </c>
      <c r="AC89" s="227">
        <f t="shared" si="30"/>
        <v>20</v>
      </c>
      <c r="AD89" s="227">
        <f t="shared" si="30"/>
        <v>21</v>
      </c>
      <c r="AE89" s="227">
        <f t="shared" si="30"/>
        <v>22</v>
      </c>
      <c r="AF89" s="227">
        <f t="shared" si="30"/>
        <v>23</v>
      </c>
      <c r="AG89" s="227">
        <f t="shared" si="30"/>
        <v>24</v>
      </c>
      <c r="AH89" s="227">
        <f t="shared" si="30"/>
        <v>25</v>
      </c>
      <c r="AI89" s="227">
        <f t="shared" si="30"/>
        <v>26</v>
      </c>
      <c r="AJ89" s="227">
        <f t="shared" si="30"/>
        <v>27</v>
      </c>
      <c r="AK89" s="227">
        <f t="shared" si="30"/>
        <v>28</v>
      </c>
      <c r="AL89" s="227">
        <f t="shared" si="30"/>
        <v>29</v>
      </c>
      <c r="AM89" s="227">
        <f t="shared" si="30"/>
        <v>30</v>
      </c>
      <c r="AN89" s="227">
        <f t="shared" si="30"/>
        <v>31</v>
      </c>
      <c r="AO89" s="227">
        <f t="shared" si="30"/>
        <v>32</v>
      </c>
      <c r="AP89" s="227">
        <f t="shared" si="30"/>
        <v>33</v>
      </c>
      <c r="AQ89" s="227">
        <f t="shared" ref="AQ89:BQ89" si="31">AP89+1</f>
        <v>34</v>
      </c>
      <c r="AR89" s="227">
        <f t="shared" si="31"/>
        <v>35</v>
      </c>
      <c r="AS89" s="227">
        <f t="shared" si="31"/>
        <v>36</v>
      </c>
      <c r="AT89" s="227">
        <f t="shared" si="31"/>
        <v>37</v>
      </c>
      <c r="AU89" s="227">
        <f t="shared" si="31"/>
        <v>38</v>
      </c>
      <c r="AV89" s="227">
        <f t="shared" si="31"/>
        <v>39</v>
      </c>
      <c r="AW89" s="227">
        <f t="shared" si="31"/>
        <v>40</v>
      </c>
      <c r="AX89" s="227">
        <f t="shared" si="31"/>
        <v>41</v>
      </c>
      <c r="AY89" s="227">
        <f t="shared" si="31"/>
        <v>42</v>
      </c>
      <c r="AZ89" s="227">
        <f t="shared" si="31"/>
        <v>43</v>
      </c>
      <c r="BA89" s="227">
        <f t="shared" si="31"/>
        <v>44</v>
      </c>
      <c r="BB89" s="227">
        <f t="shared" si="31"/>
        <v>45</v>
      </c>
      <c r="BC89" s="227">
        <f t="shared" si="31"/>
        <v>46</v>
      </c>
      <c r="BD89" s="227">
        <f t="shared" si="31"/>
        <v>47</v>
      </c>
      <c r="BE89" s="227">
        <f t="shared" si="31"/>
        <v>48</v>
      </c>
      <c r="BF89" s="227">
        <f t="shared" si="31"/>
        <v>49</v>
      </c>
      <c r="BG89" s="227">
        <f t="shared" si="31"/>
        <v>50</v>
      </c>
      <c r="BH89" s="227">
        <f t="shared" si="31"/>
        <v>51</v>
      </c>
      <c r="BI89" s="227">
        <f t="shared" si="31"/>
        <v>52</v>
      </c>
      <c r="BJ89" s="227">
        <f t="shared" si="31"/>
        <v>53</v>
      </c>
      <c r="BK89" s="227">
        <f t="shared" si="31"/>
        <v>54</v>
      </c>
      <c r="BL89" s="227">
        <f t="shared" si="31"/>
        <v>55</v>
      </c>
      <c r="BM89" s="227">
        <f t="shared" si="31"/>
        <v>56</v>
      </c>
      <c r="BN89" s="227">
        <f t="shared" si="31"/>
        <v>57</v>
      </c>
      <c r="BO89" s="227">
        <f t="shared" si="31"/>
        <v>58</v>
      </c>
      <c r="BP89" s="227">
        <f t="shared" si="31"/>
        <v>59</v>
      </c>
      <c r="BQ89" s="227">
        <f t="shared" si="31"/>
        <v>60</v>
      </c>
      <c r="BR89" s="227">
        <f t="shared" ref="BR89" si="32">BQ89+1</f>
        <v>61</v>
      </c>
      <c r="BS89" s="227">
        <f t="shared" ref="BS89" si="33">BR89+1</f>
        <v>62</v>
      </c>
      <c r="BT89" s="227">
        <f t="shared" ref="BT89" si="34">BS89+1</f>
        <v>63</v>
      </c>
      <c r="BU89" s="227">
        <f t="shared" ref="BU89" si="35">BT89+1</f>
        <v>64</v>
      </c>
      <c r="BV89" s="227">
        <f t="shared" ref="BV89" si="36">BU89+1</f>
        <v>65</v>
      </c>
      <c r="BW89" s="227">
        <f t="shared" ref="BW89" si="37">BV89+1</f>
        <v>66</v>
      </c>
      <c r="BX89" s="227">
        <f t="shared" ref="BX89" si="38">BW89+1</f>
        <v>67</v>
      </c>
      <c r="BY89" s="227">
        <f t="shared" ref="BY89" si="39">BX89+1</f>
        <v>68</v>
      </c>
      <c r="BZ89" s="227">
        <f t="shared" ref="BZ89" si="40">BY89+1</f>
        <v>69</v>
      </c>
      <c r="CA89" s="227">
        <f t="shared" ref="CA89" si="41">BZ89+1</f>
        <v>70</v>
      </c>
      <c r="CB89" s="227">
        <f t="shared" ref="CB89" si="42">CA89+1</f>
        <v>71</v>
      </c>
      <c r="CC89" s="227">
        <f t="shared" ref="CC89" si="43">CB89+1</f>
        <v>72</v>
      </c>
      <c r="CD89" s="227">
        <f t="shared" ref="CD89" si="44">CC89+1</f>
        <v>73</v>
      </c>
      <c r="CE89" s="227">
        <f t="shared" ref="CE89" si="45">CD89+1</f>
        <v>74</v>
      </c>
      <c r="CF89" s="227">
        <f t="shared" ref="CF89" si="46">CE89+1</f>
        <v>75</v>
      </c>
      <c r="CG89" s="227">
        <f t="shared" ref="CG89" si="47">CF89+1</f>
        <v>76</v>
      </c>
      <c r="CH89" s="227">
        <f t="shared" ref="CH89" si="48">CG89+1</f>
        <v>77</v>
      </c>
      <c r="CI89" s="227">
        <f t="shared" ref="CI89" si="49">CH89+1</f>
        <v>78</v>
      </c>
      <c r="CJ89" s="227">
        <f t="shared" ref="CJ89" si="50">CI89+1</f>
        <v>79</v>
      </c>
      <c r="CK89" s="227">
        <f t="shared" ref="CK89" si="51">CJ89+1</f>
        <v>80</v>
      </c>
      <c r="CL89" s="227">
        <f t="shared" ref="CL89" si="52">CK89+1</f>
        <v>81</v>
      </c>
      <c r="CM89" s="227">
        <f t="shared" ref="CM89" si="53">CL89+1</f>
        <v>82</v>
      </c>
      <c r="CN89" s="227">
        <f t="shared" ref="CN89" si="54">CM89+1</f>
        <v>83</v>
      </c>
      <c r="CO89" s="227">
        <f t="shared" ref="CO89" si="55">CN89+1</f>
        <v>84</v>
      </c>
    </row>
    <row r="90" spans="2:93">
      <c r="B90" s="228" t="s">
        <v>690</v>
      </c>
      <c r="C90" s="389">
        <v>1000000</v>
      </c>
      <c r="D90" s="389"/>
      <c r="E90" s="203">
        <f t="shared" ref="E90:E95" si="56">INDEX(Сценарий_затраты_на_первоначальный_склад,1,MATCH(Сценарий,Сценарий_номера,0))</f>
        <v>0</v>
      </c>
      <c r="F90" s="390">
        <f t="shared" ref="F90:F95" si="57">C90*(1+E90)</f>
        <v>1000000</v>
      </c>
      <c r="G90" s="390"/>
      <c r="H90" s="13"/>
      <c r="I90" s="172">
        <f t="shared" ref="I90:I95" si="58">SUM(J90:AK90)</f>
        <v>1</v>
      </c>
      <c r="J90" s="229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>
        <v>1</v>
      </c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</row>
    <row r="91" spans="2:93">
      <c r="B91" s="228" t="s">
        <v>12</v>
      </c>
      <c r="C91" s="389">
        <v>0</v>
      </c>
      <c r="D91" s="389"/>
      <c r="E91" s="203">
        <f t="shared" si="56"/>
        <v>0</v>
      </c>
      <c r="F91" s="390">
        <f t="shared" si="57"/>
        <v>0</v>
      </c>
      <c r="G91" s="390"/>
      <c r="H91" s="13"/>
      <c r="I91" s="172">
        <f t="shared" si="58"/>
        <v>0</v>
      </c>
      <c r="J91" s="229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</row>
    <row r="92" spans="2:93">
      <c r="B92" s="228" t="s">
        <v>12</v>
      </c>
      <c r="C92" s="389">
        <v>0</v>
      </c>
      <c r="D92" s="389"/>
      <c r="E92" s="203">
        <f t="shared" si="56"/>
        <v>0</v>
      </c>
      <c r="F92" s="390">
        <f t="shared" si="57"/>
        <v>0</v>
      </c>
      <c r="G92" s="390"/>
      <c r="H92" s="13"/>
      <c r="I92" s="172">
        <f t="shared" si="58"/>
        <v>0</v>
      </c>
      <c r="J92" s="229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</row>
    <row r="93" spans="2:93">
      <c r="B93" s="228" t="s">
        <v>12</v>
      </c>
      <c r="C93" s="389">
        <v>0</v>
      </c>
      <c r="D93" s="389"/>
      <c r="E93" s="203">
        <f t="shared" si="56"/>
        <v>0</v>
      </c>
      <c r="F93" s="390">
        <f t="shared" si="57"/>
        <v>0</v>
      </c>
      <c r="G93" s="390"/>
      <c r="H93" s="13"/>
      <c r="I93" s="172">
        <f t="shared" si="58"/>
        <v>0</v>
      </c>
      <c r="J93" s="229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</row>
    <row r="94" spans="2:93">
      <c r="B94" s="228" t="s">
        <v>12</v>
      </c>
      <c r="C94" s="389">
        <v>0</v>
      </c>
      <c r="D94" s="389"/>
      <c r="E94" s="203">
        <f t="shared" si="56"/>
        <v>0</v>
      </c>
      <c r="F94" s="390">
        <f t="shared" si="57"/>
        <v>0</v>
      </c>
      <c r="G94" s="390"/>
      <c r="H94" s="13"/>
      <c r="I94" s="172">
        <f t="shared" si="58"/>
        <v>0</v>
      </c>
      <c r="J94" s="229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</row>
    <row r="95" spans="2:93" ht="15.75" thickBot="1">
      <c r="B95" s="228" t="s">
        <v>12</v>
      </c>
      <c r="C95" s="389">
        <v>0</v>
      </c>
      <c r="D95" s="389"/>
      <c r="E95" s="203">
        <f t="shared" si="56"/>
        <v>0</v>
      </c>
      <c r="F95" s="390">
        <f t="shared" si="57"/>
        <v>0</v>
      </c>
      <c r="G95" s="390"/>
      <c r="H95" s="13"/>
      <c r="I95" s="172">
        <f t="shared" si="58"/>
        <v>0</v>
      </c>
      <c r="J95" s="229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</row>
    <row r="96" spans="2:93" ht="15.75" thickTop="1">
      <c r="B96" s="232" t="s">
        <v>11</v>
      </c>
      <c r="C96" s="396">
        <f>SUM(C90:C95)</f>
        <v>1000000</v>
      </c>
      <c r="D96" s="396"/>
      <c r="E96" s="232"/>
      <c r="F96" s="396">
        <f>SUM(F90:F95)</f>
        <v>1000000</v>
      </c>
      <c r="G96" s="396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</row>
    <row r="97" spans="2:70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</row>
    <row r="98" spans="2:70" ht="15.75" customHeight="1" thickBot="1">
      <c r="B98" s="13"/>
      <c r="C98" s="233"/>
      <c r="D98" s="233"/>
      <c r="E98" s="233"/>
      <c r="F98" s="233"/>
      <c r="G98" s="233"/>
      <c r="H98" s="13"/>
      <c r="I98" s="218" t="s">
        <v>306</v>
      </c>
      <c r="J98" s="218"/>
      <c r="K98" s="218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</row>
    <row r="99" spans="2:70" ht="12.75" customHeight="1">
      <c r="B99" s="397" t="s">
        <v>281</v>
      </c>
      <c r="C99" s="397"/>
      <c r="D99" s="397"/>
      <c r="E99" s="397"/>
      <c r="F99" s="397"/>
      <c r="G99" s="397"/>
      <c r="H99" s="13"/>
      <c r="I99" s="198" t="s">
        <v>278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</row>
    <row r="100" spans="2:70">
      <c r="B100" s="397"/>
      <c r="C100" s="397"/>
      <c r="D100" s="397"/>
      <c r="E100" s="397"/>
      <c r="F100" s="397"/>
      <c r="G100" s="397"/>
      <c r="H100" s="234"/>
      <c r="I100" s="202">
        <f>YEAR(Начальная_дата)</f>
        <v>2023</v>
      </c>
      <c r="J100" s="202">
        <f t="shared" ref="J100:P100" si="59">I100+1</f>
        <v>2024</v>
      </c>
      <c r="K100" s="202">
        <f t="shared" si="59"/>
        <v>2025</v>
      </c>
      <c r="L100" s="202">
        <f t="shared" si="59"/>
        <v>2026</v>
      </c>
      <c r="M100" s="202">
        <f t="shared" si="59"/>
        <v>2027</v>
      </c>
      <c r="N100" s="202">
        <f t="shared" si="59"/>
        <v>2028</v>
      </c>
      <c r="O100" s="202">
        <f t="shared" si="59"/>
        <v>2029</v>
      </c>
      <c r="P100" s="202">
        <f t="shared" si="59"/>
        <v>2030</v>
      </c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</row>
    <row r="101" spans="2:70">
      <c r="B101" s="397"/>
      <c r="C101" s="397"/>
      <c r="D101" s="397"/>
      <c r="E101" s="397"/>
      <c r="F101" s="397"/>
      <c r="G101" s="397"/>
      <c r="H101" s="13"/>
      <c r="I101" s="204">
        <v>0.03</v>
      </c>
      <c r="J101" s="204">
        <v>0.03</v>
      </c>
      <c r="K101" s="204">
        <v>0.03</v>
      </c>
      <c r="L101" s="204">
        <v>0.03</v>
      </c>
      <c r="M101" s="204">
        <v>0.03</v>
      </c>
      <c r="N101" s="204">
        <v>0.03</v>
      </c>
      <c r="O101" s="204">
        <v>0.03</v>
      </c>
      <c r="P101" s="204">
        <v>0.03</v>
      </c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</row>
    <row r="102" spans="2:70"/>
    <row r="103" spans="2:70" ht="20.25" thickBot="1">
      <c r="B103" s="26" t="s">
        <v>13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</row>
    <row r="104" spans="2:70" ht="15.75" thickTop="1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</row>
    <row r="105" spans="2:70" ht="18" thickBot="1">
      <c r="B105" s="212" t="s">
        <v>307</v>
      </c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</row>
    <row r="106" spans="2:70" ht="15.75" thickTop="1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</row>
    <row r="107" spans="2:70" ht="15.75" thickBot="1">
      <c r="B107" s="218" t="s">
        <v>43</v>
      </c>
      <c r="C107" s="213"/>
      <c r="D107" s="235"/>
      <c r="E107" s="221"/>
      <c r="F107" s="13"/>
      <c r="G107" s="13"/>
      <c r="H107" s="13"/>
      <c r="I107" s="13"/>
      <c r="J107" s="13"/>
      <c r="K107" s="13"/>
      <c r="L107" s="13"/>
      <c r="M107" s="13"/>
      <c r="N107" s="13"/>
      <c r="O107" s="13"/>
    </row>
    <row r="108" spans="2:70" ht="15.75" thickBot="1">
      <c r="B108" s="198" t="s">
        <v>313</v>
      </c>
      <c r="C108" s="13"/>
      <c r="D108" s="13"/>
      <c r="E108" s="13"/>
      <c r="F108" s="13"/>
      <c r="G108" s="13"/>
      <c r="H108" s="13"/>
      <c r="I108" s="218" t="s">
        <v>315</v>
      </c>
      <c r="J108" s="218"/>
      <c r="K108" s="13"/>
      <c r="L108" s="13"/>
      <c r="M108" s="13"/>
      <c r="N108" s="13"/>
      <c r="O108" s="13"/>
    </row>
    <row r="109" spans="2:70" ht="12.75" customHeight="1">
      <c r="B109" s="391"/>
      <c r="C109" s="392" t="s">
        <v>316</v>
      </c>
      <c r="D109" s="392"/>
      <c r="E109" s="393" t="s">
        <v>265</v>
      </c>
      <c r="F109" s="392" t="s">
        <v>317</v>
      </c>
      <c r="G109" s="392"/>
      <c r="H109" s="13"/>
      <c r="I109" s="198" t="s">
        <v>314</v>
      </c>
      <c r="J109" s="13"/>
      <c r="K109" s="13"/>
      <c r="L109" s="13"/>
      <c r="M109" s="13"/>
      <c r="N109" s="13"/>
      <c r="O109" s="13"/>
    </row>
    <row r="110" spans="2:70" ht="12.75" customHeight="1">
      <c r="B110" s="391"/>
      <c r="C110" s="395" t="str">
        <f>"в "&amp;Ед_измерения_продукции&amp;" в "&amp;Ед_измерения_периода&amp;""</f>
        <v>в шт.(т, пч/семьи, пч/пакеты) в мес.</v>
      </c>
      <c r="D110" s="395"/>
      <c r="E110" s="394"/>
      <c r="F110" s="395" t="str">
        <f>"в "&amp;Ед_измерения_продукции&amp;" в "&amp;Ед_измерения_периода&amp;" "</f>
        <v xml:space="preserve">в шт.(т, пч/семьи, пч/пакеты) в мес. </v>
      </c>
      <c r="G110" s="395"/>
      <c r="H110" s="13"/>
      <c r="I110" s="202">
        <f>H111+1</f>
        <v>1</v>
      </c>
      <c r="J110" s="202">
        <f t="shared" ref="J110:O110" si="60">I110+1</f>
        <v>2</v>
      </c>
      <c r="K110" s="202">
        <f t="shared" si="60"/>
        <v>3</v>
      </c>
      <c r="L110" s="202">
        <f t="shared" si="60"/>
        <v>4</v>
      </c>
      <c r="M110" s="202">
        <f t="shared" si="60"/>
        <v>5</v>
      </c>
      <c r="N110" s="202">
        <f t="shared" si="60"/>
        <v>6</v>
      </c>
      <c r="O110" s="202">
        <f t="shared" si="60"/>
        <v>7</v>
      </c>
    </row>
    <row r="111" spans="2:70">
      <c r="B111" s="228" t="s">
        <v>691</v>
      </c>
      <c r="C111" s="389">
        <v>125</v>
      </c>
      <c r="D111" s="389"/>
      <c r="E111" s="203">
        <f t="shared" ref="E111:E121" si="61">INDEX(Сценарий_объем_продаж,1,MATCH(Сценарий,Сценарий_номера,0))</f>
        <v>0</v>
      </c>
      <c r="F111" s="390">
        <f t="shared" ref="F111:F121" si="62">C111*(1+E111)</f>
        <v>125</v>
      </c>
      <c r="G111" s="390"/>
      <c r="H111" s="13"/>
      <c r="I111" s="204">
        <v>0</v>
      </c>
      <c r="J111" s="204">
        <v>0.34</v>
      </c>
      <c r="K111" s="204">
        <v>0</v>
      </c>
      <c r="L111" s="204">
        <v>0</v>
      </c>
      <c r="M111" s="204">
        <v>0</v>
      </c>
      <c r="N111" s="204">
        <v>0</v>
      </c>
      <c r="O111" s="204">
        <v>0</v>
      </c>
    </row>
    <row r="112" spans="2:70">
      <c r="B112" s="228" t="s">
        <v>692</v>
      </c>
      <c r="C112" s="389">
        <v>525</v>
      </c>
      <c r="D112" s="389"/>
      <c r="E112" s="203">
        <f t="shared" si="61"/>
        <v>0</v>
      </c>
      <c r="F112" s="390">
        <f t="shared" si="62"/>
        <v>525</v>
      </c>
      <c r="G112" s="390"/>
      <c r="H112" s="13"/>
      <c r="I112" s="204">
        <v>0</v>
      </c>
      <c r="J112" s="204">
        <v>0.19</v>
      </c>
      <c r="K112" s="204">
        <v>0</v>
      </c>
      <c r="L112" s="204">
        <v>0</v>
      </c>
      <c r="M112" s="204">
        <v>0</v>
      </c>
      <c r="N112" s="204">
        <v>0</v>
      </c>
      <c r="O112" s="204">
        <v>0</v>
      </c>
    </row>
    <row r="113" spans="2:15">
      <c r="B113" s="228" t="s">
        <v>693</v>
      </c>
      <c r="C113" s="389">
        <v>25</v>
      </c>
      <c r="D113" s="389"/>
      <c r="E113" s="203">
        <f t="shared" si="61"/>
        <v>0</v>
      </c>
      <c r="F113" s="390">
        <f t="shared" si="62"/>
        <v>25</v>
      </c>
      <c r="G113" s="390"/>
      <c r="H113" s="13"/>
      <c r="I113" s="204">
        <v>0</v>
      </c>
      <c r="J113" s="204">
        <v>0</v>
      </c>
      <c r="K113" s="204">
        <v>0</v>
      </c>
      <c r="L113" s="204">
        <v>0</v>
      </c>
      <c r="M113" s="204">
        <v>0</v>
      </c>
      <c r="N113" s="204">
        <v>0</v>
      </c>
      <c r="O113" s="204">
        <v>0</v>
      </c>
    </row>
    <row r="114" spans="2:15">
      <c r="B114" s="228" t="s">
        <v>694</v>
      </c>
      <c r="C114" s="389">
        <v>8</v>
      </c>
      <c r="D114" s="389"/>
      <c r="E114" s="203">
        <f t="shared" si="61"/>
        <v>0</v>
      </c>
      <c r="F114" s="390">
        <f t="shared" si="62"/>
        <v>8</v>
      </c>
      <c r="G114" s="390"/>
      <c r="H114" s="13"/>
      <c r="I114" s="204">
        <v>0</v>
      </c>
      <c r="J114" s="204">
        <v>0</v>
      </c>
      <c r="K114" s="204">
        <v>0</v>
      </c>
      <c r="L114" s="204">
        <v>0</v>
      </c>
      <c r="M114" s="204">
        <v>0</v>
      </c>
      <c r="N114" s="204">
        <v>0</v>
      </c>
      <c r="O114" s="204">
        <v>0</v>
      </c>
    </row>
    <row r="115" spans="2:15">
      <c r="B115" s="228" t="s">
        <v>695</v>
      </c>
      <c r="C115" s="389">
        <v>4</v>
      </c>
      <c r="D115" s="389"/>
      <c r="E115" s="203">
        <f t="shared" si="61"/>
        <v>0</v>
      </c>
      <c r="F115" s="390">
        <f t="shared" si="62"/>
        <v>4</v>
      </c>
      <c r="G115" s="390"/>
      <c r="H115" s="13"/>
      <c r="I115" s="204">
        <v>-1</v>
      </c>
      <c r="J115" s="204">
        <v>5.84</v>
      </c>
      <c r="K115" s="204">
        <v>0</v>
      </c>
      <c r="L115" s="204">
        <v>0</v>
      </c>
      <c r="M115" s="204">
        <v>0</v>
      </c>
      <c r="N115" s="204">
        <v>0</v>
      </c>
      <c r="O115" s="204">
        <v>0</v>
      </c>
    </row>
    <row r="116" spans="2:15">
      <c r="B116" s="228" t="s">
        <v>696</v>
      </c>
      <c r="C116" s="389">
        <v>5</v>
      </c>
      <c r="D116" s="389"/>
      <c r="E116" s="203">
        <f t="shared" si="61"/>
        <v>0</v>
      </c>
      <c r="F116" s="390">
        <f t="shared" si="62"/>
        <v>5</v>
      </c>
      <c r="G116" s="390"/>
      <c r="H116" s="13"/>
      <c r="I116" s="204">
        <v>0</v>
      </c>
      <c r="J116" s="204">
        <v>0.72</v>
      </c>
      <c r="K116" s="204">
        <v>0</v>
      </c>
      <c r="L116" s="204">
        <v>0</v>
      </c>
      <c r="M116" s="204">
        <v>0</v>
      </c>
      <c r="N116" s="204">
        <v>0</v>
      </c>
      <c r="O116" s="204">
        <v>0</v>
      </c>
    </row>
    <row r="117" spans="2:15">
      <c r="B117" s="228" t="s">
        <v>697</v>
      </c>
      <c r="C117" s="389">
        <v>25</v>
      </c>
      <c r="D117" s="389"/>
      <c r="E117" s="203">
        <f t="shared" si="61"/>
        <v>0</v>
      </c>
      <c r="F117" s="390">
        <f t="shared" si="62"/>
        <v>25</v>
      </c>
      <c r="G117" s="390"/>
      <c r="H117" s="13"/>
      <c r="I117" s="204">
        <v>0</v>
      </c>
      <c r="J117" s="204">
        <v>1.66</v>
      </c>
      <c r="K117" s="204">
        <v>0</v>
      </c>
      <c r="L117" s="204">
        <v>0</v>
      </c>
      <c r="M117" s="204">
        <v>0</v>
      </c>
      <c r="N117" s="204">
        <v>0</v>
      </c>
      <c r="O117" s="204">
        <v>0</v>
      </c>
    </row>
    <row r="118" spans="2:15">
      <c r="B118" s="228" t="s">
        <v>698</v>
      </c>
      <c r="C118" s="389">
        <v>125</v>
      </c>
      <c r="D118" s="389"/>
      <c r="E118" s="203">
        <f t="shared" si="61"/>
        <v>0</v>
      </c>
      <c r="F118" s="390">
        <f t="shared" si="62"/>
        <v>125</v>
      </c>
      <c r="G118" s="390"/>
      <c r="H118" s="13"/>
      <c r="I118" s="204">
        <v>0</v>
      </c>
      <c r="J118" s="204">
        <v>0.33</v>
      </c>
      <c r="K118" s="204">
        <v>0</v>
      </c>
      <c r="L118" s="204">
        <v>0</v>
      </c>
      <c r="M118" s="204">
        <v>0</v>
      </c>
      <c r="N118" s="204">
        <v>0</v>
      </c>
      <c r="O118" s="204">
        <v>0</v>
      </c>
    </row>
    <row r="119" spans="2:15">
      <c r="B119" s="228" t="s">
        <v>699</v>
      </c>
      <c r="C119" s="389">
        <v>125</v>
      </c>
      <c r="D119" s="389"/>
      <c r="E119" s="203">
        <f t="shared" si="61"/>
        <v>0</v>
      </c>
      <c r="F119" s="390">
        <f t="shared" si="62"/>
        <v>125</v>
      </c>
      <c r="G119" s="390"/>
      <c r="H119" s="13"/>
      <c r="I119" s="204">
        <v>0</v>
      </c>
      <c r="J119" s="204">
        <v>1</v>
      </c>
      <c r="K119" s="204">
        <v>0</v>
      </c>
      <c r="L119" s="204">
        <v>0</v>
      </c>
      <c r="M119" s="204">
        <v>0</v>
      </c>
      <c r="N119" s="204">
        <v>0</v>
      </c>
      <c r="O119" s="204">
        <v>0</v>
      </c>
    </row>
    <row r="120" spans="2:15">
      <c r="B120" s="228" t="s">
        <v>700</v>
      </c>
      <c r="C120" s="389">
        <v>3</v>
      </c>
      <c r="D120" s="389"/>
      <c r="E120" s="203">
        <f t="shared" si="61"/>
        <v>0</v>
      </c>
      <c r="F120" s="390">
        <f t="shared" si="62"/>
        <v>3</v>
      </c>
      <c r="G120" s="390"/>
      <c r="H120" s="13"/>
      <c r="I120" s="204">
        <v>0</v>
      </c>
      <c r="J120" s="204">
        <v>0.33</v>
      </c>
      <c r="K120" s="204">
        <v>0</v>
      </c>
      <c r="L120" s="204">
        <v>0</v>
      </c>
      <c r="M120" s="204">
        <v>0</v>
      </c>
      <c r="N120" s="204">
        <v>0</v>
      </c>
      <c r="O120" s="204">
        <v>0</v>
      </c>
    </row>
    <row r="121" spans="2:15">
      <c r="B121" s="228" t="s">
        <v>701</v>
      </c>
      <c r="C121" s="389">
        <v>42</v>
      </c>
      <c r="D121" s="389"/>
      <c r="E121" s="203">
        <f t="shared" si="61"/>
        <v>0</v>
      </c>
      <c r="F121" s="390">
        <f t="shared" si="62"/>
        <v>42</v>
      </c>
      <c r="G121" s="390"/>
      <c r="H121" s="13"/>
      <c r="I121" s="204">
        <v>-1</v>
      </c>
      <c r="J121" s="204">
        <v>5.84</v>
      </c>
      <c r="K121" s="204">
        <v>1</v>
      </c>
      <c r="L121" s="204">
        <v>0</v>
      </c>
      <c r="M121" s="204">
        <v>0</v>
      </c>
      <c r="N121" s="204">
        <v>0</v>
      </c>
      <c r="O121" s="204">
        <v>0</v>
      </c>
    </row>
    <row r="122" spans="2:15"/>
    <row r="123" spans="2:15" ht="15.75" thickBot="1">
      <c r="B123" s="218" t="s">
        <v>14</v>
      </c>
      <c r="C123" s="213"/>
      <c r="D123" s="235"/>
      <c r="E123" s="221"/>
      <c r="F123" s="13"/>
      <c r="G123" s="13"/>
      <c r="H123" s="13"/>
      <c r="I123" s="218" t="s">
        <v>36</v>
      </c>
      <c r="J123" s="218"/>
      <c r="K123" s="13"/>
      <c r="L123" s="13"/>
      <c r="M123" s="13"/>
      <c r="N123" s="13"/>
      <c r="O123" s="13"/>
    </row>
    <row r="124" spans="2:15">
      <c r="B124" s="198" t="s">
        <v>318</v>
      </c>
      <c r="C124" s="13"/>
      <c r="D124" s="13"/>
      <c r="E124" s="13"/>
      <c r="F124" s="13"/>
      <c r="G124" s="13"/>
      <c r="H124" s="13"/>
      <c r="I124" s="198" t="s">
        <v>322</v>
      </c>
      <c r="J124" s="13"/>
      <c r="K124" s="13"/>
      <c r="L124" s="13"/>
      <c r="M124" s="13"/>
      <c r="N124" s="13"/>
      <c r="O124" s="13"/>
    </row>
    <row r="125" spans="2:15">
      <c r="B125" s="391"/>
      <c r="C125" s="392" t="s">
        <v>308</v>
      </c>
      <c r="D125" s="392"/>
      <c r="E125" s="393" t="s">
        <v>265</v>
      </c>
      <c r="F125" s="392" t="s">
        <v>312</v>
      </c>
      <c r="G125" s="392"/>
      <c r="H125" s="13"/>
      <c r="I125" s="202">
        <f>YEAR(Начало_инвест)</f>
        <v>2023</v>
      </c>
      <c r="J125" s="202">
        <f t="shared" ref="J125:O125" si="63">I125+1</f>
        <v>2024</v>
      </c>
      <c r="K125" s="202">
        <f t="shared" si="63"/>
        <v>2025</v>
      </c>
      <c r="L125" s="202">
        <f t="shared" si="63"/>
        <v>2026</v>
      </c>
      <c r="M125" s="202">
        <f t="shared" si="63"/>
        <v>2027</v>
      </c>
      <c r="N125" s="202">
        <f t="shared" si="63"/>
        <v>2028</v>
      </c>
      <c r="O125" s="202">
        <f t="shared" si="63"/>
        <v>2029</v>
      </c>
    </row>
    <row r="126" spans="2:15">
      <c r="B126" s="391"/>
      <c r="C126" s="395" t="str">
        <f>"в "&amp;Ед_измерения_цен&amp;" (в т.ч. НДС)"</f>
        <v>в  руб./шт.(т, пч/семьи, пч/пакеты) (в т.ч. НДС)</v>
      </c>
      <c r="D126" s="395"/>
      <c r="E126" s="394"/>
      <c r="F126" s="395" t="str">
        <f>"в "&amp;Ед_измерения_цен&amp;" (в т.ч. НДС)"</f>
        <v>в  руб./шт.(т, пч/семьи, пч/пакеты) (в т.ч. НДС)</v>
      </c>
      <c r="G126" s="395"/>
      <c r="H126" s="13"/>
      <c r="I126" s="204">
        <v>0.05</v>
      </c>
      <c r="J126" s="204">
        <v>0.05</v>
      </c>
      <c r="K126" s="204">
        <v>0.05</v>
      </c>
      <c r="L126" s="204">
        <v>0.05</v>
      </c>
      <c r="M126" s="204">
        <v>0.05</v>
      </c>
      <c r="N126" s="204">
        <v>0.05</v>
      </c>
      <c r="O126" s="204">
        <v>0.05</v>
      </c>
    </row>
    <row r="127" spans="2:15">
      <c r="B127" s="196" t="str">
        <f t="array" ref="B127:B137">Продажи_наименования</f>
        <v>БЛК</v>
      </c>
      <c r="C127" s="389">
        <v>225000</v>
      </c>
      <c r="D127" s="389"/>
      <c r="E127" s="203">
        <f t="shared" ref="E127:E137" si="64">INDEX(Сценарий_цена,1,MATCH(Сценарий,Сценарий_номера,0))</f>
        <v>0</v>
      </c>
      <c r="F127" s="390">
        <f t="shared" ref="F127:F137" si="65">C127*(1+E127)</f>
        <v>225000</v>
      </c>
      <c r="G127" s="390"/>
    </row>
    <row r="128" spans="2:15">
      <c r="B128" s="196" t="str">
        <v>Зоогумус</v>
      </c>
      <c r="C128" s="389">
        <v>23250</v>
      </c>
      <c r="D128" s="389"/>
      <c r="E128" s="203">
        <f t="shared" si="64"/>
        <v>0</v>
      </c>
      <c r="F128" s="390">
        <f t="shared" si="65"/>
        <v>23250</v>
      </c>
      <c r="G128" s="390"/>
    </row>
    <row r="129" spans="2:16">
      <c r="B129" s="196" t="str">
        <v>Протеиновая мука</v>
      </c>
      <c r="C129" s="389">
        <v>1275000</v>
      </c>
      <c r="D129" s="389"/>
      <c r="E129" s="203">
        <f t="shared" si="64"/>
        <v>0</v>
      </c>
      <c r="F129" s="390">
        <f t="shared" si="65"/>
        <v>1275000</v>
      </c>
      <c r="G129" s="390"/>
    </row>
    <row r="130" spans="2:16">
      <c r="B130" s="196" t="str">
        <v>Жир светлый из предкуколки ЧЛ</v>
      </c>
      <c r="C130" s="389">
        <v>750000</v>
      </c>
      <c r="D130" s="389"/>
      <c r="E130" s="203">
        <f t="shared" si="64"/>
        <v>0</v>
      </c>
      <c r="F130" s="390">
        <f t="shared" si="65"/>
        <v>750000</v>
      </c>
      <c r="G130" s="390"/>
    </row>
    <row r="131" spans="2:16">
      <c r="B131" s="196" t="str">
        <v>Крем-мыло из светлого жира предкуколки ЧЛ</v>
      </c>
      <c r="C131" s="389">
        <v>2100000</v>
      </c>
      <c r="D131" s="389"/>
      <c r="E131" s="203">
        <f t="shared" si="64"/>
        <v>0</v>
      </c>
      <c r="F131" s="390">
        <f t="shared" si="65"/>
        <v>2100000</v>
      </c>
      <c r="G131" s="390"/>
    </row>
    <row r="132" spans="2:16">
      <c r="B132" s="196" t="str">
        <v>Продукты пчеловодства</v>
      </c>
      <c r="C132" s="389">
        <v>300000</v>
      </c>
      <c r="D132" s="389"/>
      <c r="E132" s="203">
        <f t="shared" si="64"/>
        <v>0</v>
      </c>
      <c r="F132" s="390">
        <f t="shared" si="65"/>
        <v>300000</v>
      </c>
      <c r="G132" s="390"/>
    </row>
    <row r="133" spans="2:16">
      <c r="B133" s="196" t="str">
        <v>Опылительная деятельность</v>
      </c>
      <c r="C133" s="389">
        <v>345</v>
      </c>
      <c r="D133" s="389"/>
      <c r="E133" s="203">
        <f t="shared" si="64"/>
        <v>0</v>
      </c>
      <c r="F133" s="390">
        <f t="shared" si="65"/>
        <v>345</v>
      </c>
      <c r="G133" s="390"/>
    </row>
    <row r="134" spans="2:16">
      <c r="B134" s="196" t="str">
        <v>Реализация пчелопакетов</v>
      </c>
      <c r="C134" s="389">
        <v>3000</v>
      </c>
      <c r="D134" s="389"/>
      <c r="E134" s="203">
        <f t="shared" si="64"/>
        <v>0</v>
      </c>
      <c r="F134" s="390">
        <f t="shared" si="65"/>
        <v>3000</v>
      </c>
      <c r="G134" s="390"/>
    </row>
    <row r="135" spans="2:16">
      <c r="B135" s="196" t="str">
        <v>Реализация пчеломаток</v>
      </c>
      <c r="C135" s="389">
        <v>750</v>
      </c>
      <c r="D135" s="389"/>
      <c r="E135" s="203">
        <f t="shared" si="64"/>
        <v>0</v>
      </c>
      <c r="F135" s="390">
        <f t="shared" si="65"/>
        <v>750</v>
      </c>
      <c r="G135" s="390"/>
    </row>
    <row r="136" spans="2:16">
      <c r="B136" s="196" t="str">
        <v>Реализация с/х продукции</v>
      </c>
      <c r="C136" s="389">
        <v>17250</v>
      </c>
      <c r="D136" s="389"/>
      <c r="E136" s="203">
        <f t="shared" si="64"/>
        <v>0</v>
      </c>
      <c r="F136" s="390">
        <f t="shared" si="65"/>
        <v>17250</v>
      </c>
      <c r="G136" s="390"/>
    </row>
    <row r="137" spans="2:16">
      <c r="B137" s="196" t="str">
        <v>Форель</v>
      </c>
      <c r="C137" s="389">
        <v>807750</v>
      </c>
      <c r="D137" s="389"/>
      <c r="E137" s="203">
        <f t="shared" si="64"/>
        <v>0</v>
      </c>
      <c r="F137" s="390">
        <f t="shared" si="65"/>
        <v>807750</v>
      </c>
      <c r="G137" s="390"/>
    </row>
    <row r="138" spans="2:16"/>
    <row r="139" spans="2:16" ht="18" thickBot="1">
      <c r="B139" s="212" t="s">
        <v>15</v>
      </c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</row>
    <row r="140" spans="2:16" ht="15.75" thickTop="1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</row>
    <row r="141" spans="2:16" ht="15.75" thickBot="1">
      <c r="B141" s="218" t="s">
        <v>232</v>
      </c>
      <c r="C141" s="236"/>
      <c r="D141" s="219"/>
      <c r="E141" s="221"/>
      <c r="F141" s="13"/>
      <c r="G141" s="13"/>
      <c r="H141" s="13"/>
      <c r="I141" s="218" t="s">
        <v>323</v>
      </c>
      <c r="J141" s="218"/>
      <c r="K141" s="218"/>
      <c r="L141" s="218"/>
      <c r="M141" s="13"/>
      <c r="N141" s="13"/>
      <c r="O141" s="13"/>
      <c r="P141" s="13"/>
    </row>
    <row r="142" spans="2:16">
      <c r="B142" s="198" t="s">
        <v>321</v>
      </c>
      <c r="C142" s="13"/>
      <c r="D142" s="13"/>
      <c r="E142" s="13"/>
      <c r="F142" s="13"/>
      <c r="G142" s="13"/>
      <c r="H142" s="13"/>
      <c r="I142" s="198" t="s">
        <v>322</v>
      </c>
      <c r="J142" s="13"/>
      <c r="K142" s="13"/>
      <c r="L142" s="13"/>
      <c r="M142" s="13"/>
      <c r="N142" s="13"/>
      <c r="O142" s="13"/>
      <c r="P142" s="13"/>
    </row>
    <row r="143" spans="2:16">
      <c r="B143" s="391"/>
      <c r="C143" s="392" t="s">
        <v>319</v>
      </c>
      <c r="D143" s="392"/>
      <c r="E143" s="393" t="s">
        <v>265</v>
      </c>
      <c r="F143" s="392" t="s">
        <v>320</v>
      </c>
      <c r="G143" s="392"/>
      <c r="H143" s="13"/>
      <c r="I143" s="202">
        <f>YEAR(Начало_инвест)</f>
        <v>2023</v>
      </c>
      <c r="J143" s="202">
        <f t="shared" ref="J143:P143" si="66">I143+1</f>
        <v>2024</v>
      </c>
      <c r="K143" s="202">
        <f t="shared" si="66"/>
        <v>2025</v>
      </c>
      <c r="L143" s="202">
        <f t="shared" si="66"/>
        <v>2026</v>
      </c>
      <c r="M143" s="202">
        <f t="shared" si="66"/>
        <v>2027</v>
      </c>
      <c r="N143" s="202">
        <f t="shared" si="66"/>
        <v>2028</v>
      </c>
      <c r="O143" s="202">
        <f t="shared" si="66"/>
        <v>2029</v>
      </c>
      <c r="P143" s="202">
        <f t="shared" si="66"/>
        <v>2030</v>
      </c>
    </row>
    <row r="144" spans="2:16">
      <c r="B144" s="391"/>
      <c r="C144" s="395" t="str">
        <f>"в "&amp;Ед_измерения_цен&amp;" (в т.ч. НДС)"</f>
        <v>в  руб./шт.(т, пч/семьи, пч/пакеты) (в т.ч. НДС)</v>
      </c>
      <c r="D144" s="395"/>
      <c r="E144" s="394"/>
      <c r="F144" s="395" t="str">
        <f>"в "&amp;Ед_измерения_цен&amp;" (в т.ч. НДС)"</f>
        <v>в  руб./шт.(т, пч/семьи, пч/пакеты) (в т.ч. НДС)</v>
      </c>
      <c r="G144" s="395"/>
      <c r="H144" s="13"/>
      <c r="I144" s="204">
        <v>5.1999999999999998E-2</v>
      </c>
      <c r="J144" s="204">
        <v>5.1999999999999998E-2</v>
      </c>
      <c r="K144" s="204">
        <v>5.1999999999999998E-2</v>
      </c>
      <c r="L144" s="204">
        <v>5.1999999999999998E-2</v>
      </c>
      <c r="M144" s="204">
        <v>5.1999999999999998E-2</v>
      </c>
      <c r="N144" s="204">
        <v>5.1999999999999998E-2</v>
      </c>
      <c r="O144" s="204">
        <v>5.1999999999999998E-2</v>
      </c>
      <c r="P144" s="204">
        <v>5.1999999999999998E-2</v>
      </c>
    </row>
    <row r="145" spans="2:16">
      <c r="B145" s="228" t="s">
        <v>703</v>
      </c>
      <c r="C145" s="389">
        <v>270</v>
      </c>
      <c r="D145" s="389"/>
      <c r="E145" s="203">
        <f t="shared" ref="E145:E154" si="67">INDEX(Сценарий_переменные_материальные_затраты,1,MATCH(Сценарий,Сценарий_номера,0))</f>
        <v>0</v>
      </c>
      <c r="F145" s="390">
        <f t="shared" ref="F145:F154" si="68">C145*(1+E145)</f>
        <v>270</v>
      </c>
      <c r="G145" s="390"/>
      <c r="H145" s="234" t="s">
        <v>704</v>
      </c>
      <c r="I145" s="13"/>
      <c r="J145" s="13"/>
      <c r="K145" s="13"/>
      <c r="L145" s="13"/>
      <c r="M145" s="13"/>
      <c r="N145" s="13"/>
      <c r="O145" s="13"/>
      <c r="P145" s="13"/>
    </row>
    <row r="146" spans="2:16">
      <c r="B146" s="228" t="s">
        <v>705</v>
      </c>
      <c r="C146" s="389">
        <v>19656</v>
      </c>
      <c r="D146" s="389"/>
      <c r="E146" s="203">
        <f t="shared" si="67"/>
        <v>0</v>
      </c>
      <c r="F146" s="390">
        <f t="shared" si="68"/>
        <v>19656</v>
      </c>
      <c r="G146" s="390"/>
      <c r="H146" s="234" t="s">
        <v>704</v>
      </c>
      <c r="I146" s="13"/>
      <c r="J146" s="13"/>
      <c r="K146" s="13"/>
      <c r="L146" s="13"/>
      <c r="M146" s="13"/>
      <c r="N146" s="13"/>
      <c r="O146" s="13"/>
      <c r="P146" s="13"/>
    </row>
    <row r="147" spans="2:16">
      <c r="B147" s="228" t="s">
        <v>708</v>
      </c>
      <c r="C147" s="389">
        <v>5000</v>
      </c>
      <c r="D147" s="389"/>
      <c r="E147" s="203">
        <f t="shared" si="67"/>
        <v>0</v>
      </c>
      <c r="F147" s="390">
        <f t="shared" si="68"/>
        <v>5000</v>
      </c>
      <c r="G147" s="390"/>
      <c r="H147" s="234" t="s">
        <v>707</v>
      </c>
      <c r="I147" s="13"/>
      <c r="J147" s="13"/>
      <c r="K147" s="13"/>
      <c r="L147" s="13"/>
      <c r="M147" s="13"/>
      <c r="N147" s="13"/>
      <c r="O147" s="13"/>
      <c r="P147" s="13"/>
    </row>
    <row r="148" spans="2:16">
      <c r="B148" s="228" t="s">
        <v>706</v>
      </c>
      <c r="C148" s="389">
        <v>22350</v>
      </c>
      <c r="D148" s="389"/>
      <c r="E148" s="203">
        <f t="shared" si="67"/>
        <v>0</v>
      </c>
      <c r="F148" s="390">
        <f t="shared" si="68"/>
        <v>22350</v>
      </c>
      <c r="G148" s="390"/>
      <c r="H148" s="234" t="s">
        <v>707</v>
      </c>
      <c r="I148" s="13"/>
      <c r="J148" s="13"/>
      <c r="K148" s="13"/>
      <c r="L148" s="13"/>
      <c r="M148" s="13"/>
      <c r="N148" s="13"/>
      <c r="O148" s="13"/>
      <c r="P148" s="13"/>
    </row>
    <row r="149" spans="2:16">
      <c r="B149" s="228" t="s">
        <v>12</v>
      </c>
      <c r="C149" s="389"/>
      <c r="D149" s="389"/>
      <c r="E149" s="203">
        <f t="shared" si="67"/>
        <v>0</v>
      </c>
      <c r="F149" s="390">
        <f t="shared" si="68"/>
        <v>0</v>
      </c>
      <c r="G149" s="390"/>
      <c r="H149" s="13"/>
      <c r="I149" s="13"/>
      <c r="J149" s="13"/>
      <c r="K149" s="13"/>
      <c r="L149" s="13"/>
      <c r="M149" s="13"/>
      <c r="N149" s="13"/>
      <c r="O149" s="13"/>
      <c r="P149" s="13"/>
    </row>
    <row r="150" spans="2:16">
      <c r="B150" s="228" t="s">
        <v>12</v>
      </c>
      <c r="C150" s="389"/>
      <c r="D150" s="389"/>
      <c r="E150" s="203">
        <f t="shared" si="67"/>
        <v>0</v>
      </c>
      <c r="F150" s="390">
        <f t="shared" si="68"/>
        <v>0</v>
      </c>
      <c r="G150" s="390"/>
      <c r="H150" s="13"/>
      <c r="I150" s="13"/>
      <c r="J150" s="13"/>
      <c r="K150" s="13"/>
      <c r="L150" s="13"/>
      <c r="M150" s="13"/>
      <c r="N150" s="13"/>
      <c r="O150" s="13"/>
      <c r="P150" s="13"/>
    </row>
    <row r="151" spans="2:16">
      <c r="B151" s="228" t="s">
        <v>12</v>
      </c>
      <c r="C151" s="389"/>
      <c r="D151" s="389"/>
      <c r="E151" s="203">
        <f t="shared" si="67"/>
        <v>0</v>
      </c>
      <c r="F151" s="390">
        <f t="shared" si="68"/>
        <v>0</v>
      </c>
      <c r="G151" s="390"/>
      <c r="H151" s="13"/>
      <c r="I151" s="13"/>
      <c r="J151" s="13"/>
      <c r="K151" s="13"/>
      <c r="L151" s="13"/>
      <c r="M151" s="13"/>
      <c r="N151" s="13"/>
      <c r="O151" s="13"/>
      <c r="P151" s="13"/>
    </row>
    <row r="152" spans="2:16">
      <c r="B152" s="228" t="s">
        <v>12</v>
      </c>
      <c r="C152" s="389"/>
      <c r="D152" s="389"/>
      <c r="E152" s="203">
        <f t="shared" si="67"/>
        <v>0</v>
      </c>
      <c r="F152" s="390">
        <f t="shared" si="68"/>
        <v>0</v>
      </c>
      <c r="G152" s="390"/>
      <c r="H152" s="13"/>
      <c r="I152" s="13"/>
      <c r="J152" s="13"/>
      <c r="K152" s="13"/>
      <c r="L152" s="13"/>
      <c r="M152" s="13"/>
      <c r="N152" s="13"/>
      <c r="O152" s="13"/>
      <c r="P152" s="13"/>
    </row>
    <row r="153" spans="2:16">
      <c r="B153" s="228" t="s">
        <v>12</v>
      </c>
      <c r="C153" s="389"/>
      <c r="D153" s="389"/>
      <c r="E153" s="203">
        <f t="shared" si="67"/>
        <v>0</v>
      </c>
      <c r="F153" s="390">
        <f t="shared" si="68"/>
        <v>0</v>
      </c>
      <c r="G153" s="390"/>
      <c r="H153" s="13"/>
      <c r="I153" s="13"/>
      <c r="J153" s="13"/>
      <c r="K153" s="13"/>
      <c r="L153" s="13"/>
      <c r="M153" s="13"/>
      <c r="N153" s="13"/>
      <c r="O153" s="13"/>
      <c r="P153" s="13"/>
    </row>
    <row r="154" spans="2:16">
      <c r="B154" s="228" t="s">
        <v>12</v>
      </c>
      <c r="C154" s="389"/>
      <c r="D154" s="389"/>
      <c r="E154" s="203">
        <f t="shared" si="67"/>
        <v>0</v>
      </c>
      <c r="F154" s="390">
        <f t="shared" si="68"/>
        <v>0</v>
      </c>
      <c r="G154" s="390"/>
      <c r="H154" s="13"/>
      <c r="I154" s="13"/>
      <c r="J154" s="13"/>
      <c r="K154" s="13"/>
      <c r="L154" s="13"/>
      <c r="M154" s="13"/>
      <c r="N154" s="13"/>
      <c r="O154" s="13"/>
      <c r="P154" s="13"/>
    </row>
    <row r="155" spans="2:16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</row>
    <row r="156" spans="2:16" ht="15.75" thickBot="1">
      <c r="B156" s="218" t="s">
        <v>233</v>
      </c>
      <c r="C156" s="236"/>
      <c r="D156" s="219"/>
      <c r="E156" s="221"/>
      <c r="F156" s="13"/>
      <c r="G156" s="13"/>
      <c r="H156" s="13"/>
      <c r="I156" s="218" t="s">
        <v>324</v>
      </c>
      <c r="J156" s="218"/>
      <c r="K156" s="218"/>
      <c r="L156" s="218"/>
      <c r="M156" s="13"/>
      <c r="N156" s="13"/>
      <c r="O156" s="13"/>
      <c r="P156" s="13"/>
    </row>
    <row r="157" spans="2:16">
      <c r="B157" s="198" t="s">
        <v>321</v>
      </c>
      <c r="C157" s="13"/>
      <c r="D157" s="13"/>
      <c r="E157" s="13"/>
      <c r="F157" s="13"/>
      <c r="G157" s="13"/>
      <c r="H157" s="13"/>
      <c r="I157" s="198" t="s">
        <v>322</v>
      </c>
      <c r="J157" s="13"/>
      <c r="K157" s="13"/>
      <c r="L157" s="13"/>
      <c r="M157" s="13"/>
      <c r="N157" s="13"/>
      <c r="O157" s="13"/>
      <c r="P157" s="13"/>
    </row>
    <row r="158" spans="2:16">
      <c r="B158" s="391"/>
      <c r="C158" s="392" t="s">
        <v>319</v>
      </c>
      <c r="D158" s="392"/>
      <c r="E158" s="393" t="s">
        <v>265</v>
      </c>
      <c r="F158" s="392" t="s">
        <v>320</v>
      </c>
      <c r="G158" s="392"/>
      <c r="H158" s="13"/>
      <c r="I158" s="202">
        <f>YEAR(Начало_инвест)</f>
        <v>2023</v>
      </c>
      <c r="J158" s="202">
        <f t="shared" ref="J158:P158" si="69">I158+1</f>
        <v>2024</v>
      </c>
      <c r="K158" s="202">
        <f t="shared" si="69"/>
        <v>2025</v>
      </c>
      <c r="L158" s="202">
        <f t="shared" si="69"/>
        <v>2026</v>
      </c>
      <c r="M158" s="202">
        <f t="shared" si="69"/>
        <v>2027</v>
      </c>
      <c r="N158" s="202">
        <f t="shared" si="69"/>
        <v>2028</v>
      </c>
      <c r="O158" s="202">
        <f t="shared" si="69"/>
        <v>2029</v>
      </c>
      <c r="P158" s="202">
        <f t="shared" si="69"/>
        <v>2030</v>
      </c>
    </row>
    <row r="159" spans="2:16">
      <c r="B159" s="391"/>
      <c r="C159" s="395" t="str">
        <f>"в "&amp;Ед_измерения_цен&amp;" (в т.ч. НДС)"</f>
        <v>в  руб./шт.(т, пч/семьи, пч/пакеты) (в т.ч. НДС)</v>
      </c>
      <c r="D159" s="395"/>
      <c r="E159" s="394"/>
      <c r="F159" s="395" t="str">
        <f>"в "&amp;Ед_измерения_цен&amp;" (в т.ч. НДС)"</f>
        <v>в  руб./шт.(т, пч/семьи, пч/пакеты) (в т.ч. НДС)</v>
      </c>
      <c r="G159" s="395"/>
      <c r="H159" s="13"/>
      <c r="I159" s="204">
        <v>4.4999999999999998E-2</v>
      </c>
      <c r="J159" s="204">
        <v>4.4999999999999998E-2</v>
      </c>
      <c r="K159" s="204">
        <v>4.4999999999999998E-2</v>
      </c>
      <c r="L159" s="204">
        <v>4.4999999999999998E-2</v>
      </c>
      <c r="M159" s="204">
        <v>4.4999999999999998E-2</v>
      </c>
      <c r="N159" s="204">
        <v>4.4999999999999998E-2</v>
      </c>
      <c r="O159" s="204">
        <v>4.4999999999999998E-2</v>
      </c>
      <c r="P159" s="204">
        <v>4.4999999999999998E-2</v>
      </c>
    </row>
    <row r="160" spans="2:16">
      <c r="B160" s="228" t="s">
        <v>12</v>
      </c>
      <c r="C160" s="389"/>
      <c r="D160" s="389"/>
      <c r="E160" s="203">
        <f>INDEX(Сценарий_переменные_нематериальные_затраты,1,MATCH(Сценарий,Сценарий_номера,0))</f>
        <v>0</v>
      </c>
      <c r="F160" s="390">
        <f>C160*(1+E160)</f>
        <v>0</v>
      </c>
      <c r="G160" s="390"/>
      <c r="H160" s="13"/>
      <c r="I160" s="13"/>
      <c r="J160" s="13"/>
      <c r="K160" s="13"/>
      <c r="L160" s="13"/>
      <c r="M160" s="13"/>
      <c r="N160" s="13"/>
      <c r="O160" s="13"/>
      <c r="P160" s="13"/>
    </row>
    <row r="161" spans="2:16">
      <c r="B161" s="228" t="s">
        <v>12</v>
      </c>
      <c r="C161" s="389"/>
      <c r="D161" s="389"/>
      <c r="E161" s="203">
        <f>INDEX(Сценарий_переменные_нематериальные_затраты,1,MATCH(Сценарий,Сценарий_номера,0))</f>
        <v>0</v>
      </c>
      <c r="F161" s="390">
        <f>C161*(1+E161)</f>
        <v>0</v>
      </c>
      <c r="G161" s="390"/>
      <c r="H161" s="13"/>
      <c r="I161" s="13"/>
      <c r="J161" s="13"/>
      <c r="K161" s="13"/>
      <c r="L161" s="13"/>
      <c r="M161" s="13"/>
      <c r="N161" s="13"/>
      <c r="O161" s="13"/>
      <c r="P161" s="13"/>
    </row>
    <row r="162" spans="2:16">
      <c r="B162" s="228" t="s">
        <v>12</v>
      </c>
      <c r="C162" s="389"/>
      <c r="D162" s="389"/>
      <c r="E162" s="203">
        <f>INDEX(Сценарий_переменные_нематериальные_затраты,1,MATCH(Сценарий,Сценарий_номера,0))</f>
        <v>0</v>
      </c>
      <c r="F162" s="390">
        <f>C162*(1+E162)</f>
        <v>0</v>
      </c>
      <c r="G162" s="390"/>
      <c r="H162" s="13"/>
      <c r="I162" s="13"/>
      <c r="J162" s="13"/>
      <c r="K162" s="13"/>
      <c r="L162" s="13"/>
      <c r="M162" s="13"/>
      <c r="N162" s="13"/>
      <c r="O162" s="13"/>
      <c r="P162" s="13"/>
    </row>
    <row r="163" spans="2:16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</row>
    <row r="164" spans="2:16" ht="18" thickBot="1">
      <c r="B164" s="212" t="s">
        <v>16</v>
      </c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</row>
    <row r="165" spans="2:16" ht="15.75" thickTop="1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</row>
    <row r="166" spans="2:16" ht="15.75" thickBot="1">
      <c r="B166" s="218" t="s">
        <v>328</v>
      </c>
      <c r="C166" s="236"/>
      <c r="D166" s="219"/>
      <c r="E166" s="221"/>
      <c r="F166" s="13"/>
      <c r="G166" s="13"/>
      <c r="H166" s="13"/>
      <c r="I166" s="218" t="s">
        <v>37</v>
      </c>
      <c r="J166" s="218"/>
      <c r="K166" s="218"/>
      <c r="L166" s="218"/>
      <c r="M166" s="13"/>
      <c r="N166" s="13"/>
      <c r="O166" s="13"/>
      <c r="P166" s="13"/>
    </row>
    <row r="167" spans="2:16">
      <c r="B167" s="198" t="s">
        <v>325</v>
      </c>
      <c r="C167" s="13"/>
      <c r="D167" s="13"/>
      <c r="E167" s="13"/>
      <c r="F167" s="13"/>
      <c r="G167" s="13"/>
      <c r="H167" s="13"/>
      <c r="I167" s="198" t="s">
        <v>322</v>
      </c>
      <c r="J167" s="13"/>
      <c r="K167" s="13"/>
      <c r="L167" s="13"/>
      <c r="M167" s="13"/>
      <c r="N167" s="13"/>
      <c r="O167" s="13"/>
      <c r="P167" s="13"/>
    </row>
    <row r="168" spans="2:16">
      <c r="B168" s="391"/>
      <c r="C168" s="392" t="s">
        <v>319</v>
      </c>
      <c r="D168" s="392"/>
      <c r="E168" s="393" t="s">
        <v>265</v>
      </c>
      <c r="F168" s="392" t="s">
        <v>320</v>
      </c>
      <c r="G168" s="392"/>
      <c r="H168" s="13"/>
      <c r="I168" s="202">
        <f>YEAR(Начало_инвест)</f>
        <v>2023</v>
      </c>
      <c r="J168" s="202">
        <f t="shared" ref="J168:P168" si="70">I168+1</f>
        <v>2024</v>
      </c>
      <c r="K168" s="202">
        <f t="shared" si="70"/>
        <v>2025</v>
      </c>
      <c r="L168" s="202">
        <f t="shared" si="70"/>
        <v>2026</v>
      </c>
      <c r="M168" s="202">
        <f t="shared" si="70"/>
        <v>2027</v>
      </c>
      <c r="N168" s="202">
        <f t="shared" si="70"/>
        <v>2028</v>
      </c>
      <c r="O168" s="202">
        <f t="shared" si="70"/>
        <v>2029</v>
      </c>
      <c r="P168" s="202">
        <f t="shared" si="70"/>
        <v>2030</v>
      </c>
    </row>
    <row r="169" spans="2:16" ht="12.75" customHeight="1">
      <c r="B169" s="391"/>
      <c r="C169" s="395" t="str">
        <f>"в "&amp;Ед_измерения_регулярных_платежей&amp;" (в т.ч. НДС)"</f>
        <v>в  руб./мес. (в т.ч. НДС)</v>
      </c>
      <c r="D169" s="395"/>
      <c r="E169" s="394"/>
      <c r="F169" s="395" t="str">
        <f>"в "&amp;Ед_измерения_регулярных_платежей&amp;" (в т.ч. НДС)"</f>
        <v>в  руб./мес. (в т.ч. НДС)</v>
      </c>
      <c r="G169" s="395"/>
      <c r="H169" s="13"/>
      <c r="I169" s="204">
        <v>4.7E-2</v>
      </c>
      <c r="J169" s="204">
        <v>4.7E-2</v>
      </c>
      <c r="K169" s="204">
        <v>4.7E-2</v>
      </c>
      <c r="L169" s="204">
        <v>4.7E-2</v>
      </c>
      <c r="M169" s="204">
        <v>4.7E-2</v>
      </c>
      <c r="N169" s="204">
        <v>4.7E-2</v>
      </c>
      <c r="O169" s="204">
        <v>4.7E-2</v>
      </c>
      <c r="P169" s="204">
        <v>4.7E-2</v>
      </c>
    </row>
    <row r="170" spans="2:16">
      <c r="B170" s="228" t="s">
        <v>709</v>
      </c>
      <c r="C170" s="389">
        <v>53000</v>
      </c>
      <c r="D170" s="389"/>
      <c r="E170" s="203">
        <f t="shared" ref="E170:E178" si="71">INDEX(Сценарий_постоянные_затраты,1,MATCH(Сценарий,Сценарий_номера,0))</f>
        <v>0</v>
      </c>
      <c r="F170" s="390">
        <f t="shared" ref="F170:F178" si="72">C170*(1+E170)</f>
        <v>53000</v>
      </c>
      <c r="G170" s="390"/>
      <c r="H170" s="234"/>
      <c r="I170" s="13"/>
      <c r="J170" s="13"/>
      <c r="K170" s="13"/>
      <c r="L170" s="13"/>
      <c r="M170" s="13"/>
      <c r="N170" s="13"/>
      <c r="O170" s="13"/>
      <c r="P170" s="13"/>
    </row>
    <row r="171" spans="2:16">
      <c r="B171" s="228" t="s">
        <v>689</v>
      </c>
      <c r="C171" s="389">
        <v>6250</v>
      </c>
      <c r="D171" s="389"/>
      <c r="E171" s="203">
        <f t="shared" si="71"/>
        <v>0</v>
      </c>
      <c r="F171" s="390">
        <f t="shared" si="72"/>
        <v>6250</v>
      </c>
      <c r="G171" s="390"/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2:16">
      <c r="B172" s="228" t="s">
        <v>710</v>
      </c>
      <c r="C172" s="389">
        <v>25000</v>
      </c>
      <c r="D172" s="389"/>
      <c r="E172" s="203">
        <f t="shared" si="71"/>
        <v>0</v>
      </c>
      <c r="F172" s="390">
        <f t="shared" si="72"/>
        <v>25000</v>
      </c>
      <c r="G172" s="390"/>
      <c r="H172" s="13"/>
      <c r="I172" s="13"/>
      <c r="J172" s="13"/>
      <c r="K172" s="13"/>
      <c r="L172" s="13"/>
      <c r="M172" s="13"/>
      <c r="N172" s="13"/>
      <c r="O172" s="13"/>
      <c r="P172" s="13"/>
    </row>
    <row r="173" spans="2:16">
      <c r="B173" s="228" t="s">
        <v>711</v>
      </c>
      <c r="C173" s="389">
        <v>3125</v>
      </c>
      <c r="D173" s="389"/>
      <c r="E173" s="203">
        <f t="shared" si="71"/>
        <v>0</v>
      </c>
      <c r="F173" s="390">
        <f t="shared" si="72"/>
        <v>3125</v>
      </c>
      <c r="G173" s="390"/>
      <c r="H173" s="13"/>
      <c r="I173" s="13"/>
      <c r="J173" s="13"/>
      <c r="K173" s="13"/>
      <c r="L173" s="13"/>
      <c r="M173" s="13"/>
      <c r="N173" s="13"/>
      <c r="O173" s="13"/>
      <c r="P173" s="13"/>
    </row>
    <row r="174" spans="2:16">
      <c r="B174" s="228" t="s">
        <v>712</v>
      </c>
      <c r="C174" s="389">
        <v>387500</v>
      </c>
      <c r="D174" s="389"/>
      <c r="E174" s="203">
        <f t="shared" si="71"/>
        <v>0</v>
      </c>
      <c r="F174" s="390">
        <f t="shared" si="72"/>
        <v>387500</v>
      </c>
      <c r="G174" s="390"/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2:16">
      <c r="B175" s="228" t="s">
        <v>713</v>
      </c>
      <c r="C175" s="389">
        <v>1000000</v>
      </c>
      <c r="D175" s="389"/>
      <c r="E175" s="203">
        <f t="shared" si="71"/>
        <v>0</v>
      </c>
      <c r="F175" s="390">
        <f t="shared" si="72"/>
        <v>1000000</v>
      </c>
      <c r="G175" s="390"/>
      <c r="H175" s="13"/>
      <c r="I175" s="13"/>
      <c r="J175" s="13"/>
      <c r="K175" s="13"/>
      <c r="L175" s="13"/>
      <c r="M175" s="13"/>
      <c r="N175" s="13"/>
      <c r="O175" s="13"/>
      <c r="P175" s="13"/>
    </row>
    <row r="176" spans="2:16">
      <c r="B176" s="228" t="s">
        <v>12</v>
      </c>
      <c r="C176" s="389">
        <v>0</v>
      </c>
      <c r="D176" s="389"/>
      <c r="E176" s="203">
        <f t="shared" si="71"/>
        <v>0</v>
      </c>
      <c r="F176" s="390">
        <f t="shared" si="72"/>
        <v>0</v>
      </c>
      <c r="G176" s="390"/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2:16">
      <c r="B177" s="228" t="s">
        <v>12</v>
      </c>
      <c r="C177" s="389">
        <v>0</v>
      </c>
      <c r="D177" s="389"/>
      <c r="E177" s="203">
        <f t="shared" si="71"/>
        <v>0</v>
      </c>
      <c r="F177" s="390">
        <f t="shared" si="72"/>
        <v>0</v>
      </c>
      <c r="G177" s="390"/>
      <c r="H177" s="13"/>
      <c r="I177" s="13"/>
      <c r="J177" s="13"/>
      <c r="K177" s="13"/>
      <c r="L177" s="13"/>
      <c r="M177" s="13"/>
      <c r="N177" s="13"/>
      <c r="O177" s="13"/>
      <c r="P177" s="13"/>
    </row>
    <row r="178" spans="2:16">
      <c r="B178" s="228" t="s">
        <v>12</v>
      </c>
      <c r="C178" s="389">
        <v>0</v>
      </c>
      <c r="D178" s="389"/>
      <c r="E178" s="203">
        <f t="shared" si="71"/>
        <v>0</v>
      </c>
      <c r="F178" s="390">
        <f t="shared" si="72"/>
        <v>0</v>
      </c>
      <c r="G178" s="390"/>
      <c r="H178" s="13"/>
      <c r="I178" s="13"/>
      <c r="J178" s="13"/>
      <c r="K178" s="13"/>
      <c r="L178" s="13"/>
      <c r="M178" s="13"/>
      <c r="N178" s="13"/>
      <c r="O178" s="13"/>
      <c r="P178" s="13"/>
    </row>
    <row r="179" spans="2:16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</row>
    <row r="180" spans="2:16" ht="18" thickBot="1">
      <c r="B180" s="212" t="s">
        <v>17</v>
      </c>
      <c r="C180" s="212"/>
      <c r="D180" s="212"/>
      <c r="E180" s="212"/>
      <c r="F180" s="212"/>
      <c r="G180" s="212"/>
      <c r="H180" s="212"/>
      <c r="I180" s="212"/>
      <c r="J180" s="212"/>
      <c r="K180" s="212"/>
      <c r="L180" s="212"/>
      <c r="M180" s="212"/>
      <c r="N180" s="212"/>
      <c r="O180" s="212"/>
      <c r="P180" s="212"/>
    </row>
    <row r="181" spans="2:16" ht="15.75" thickTop="1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</row>
    <row r="182" spans="2:16" ht="15.75" thickBot="1">
      <c r="B182" s="218" t="s">
        <v>18</v>
      </c>
      <c r="C182" s="13"/>
      <c r="D182" s="235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</row>
    <row r="183" spans="2:16">
      <c r="B183" s="198" t="s">
        <v>333</v>
      </c>
      <c r="C183" s="13"/>
      <c r="D183" s="13"/>
      <c r="E183" s="13"/>
      <c r="F183" s="13"/>
      <c r="G183" s="13"/>
      <c r="H183" s="13"/>
      <c r="I183" s="198"/>
      <c r="J183" s="13"/>
      <c r="K183" s="13"/>
      <c r="L183" s="13"/>
      <c r="M183" s="13"/>
      <c r="N183" s="13"/>
      <c r="O183" s="13"/>
      <c r="P183" s="13"/>
    </row>
    <row r="184" spans="2:16" ht="15" customHeight="1">
      <c r="B184" s="384" t="s">
        <v>326</v>
      </c>
      <c r="C184" s="384" t="s">
        <v>327</v>
      </c>
      <c r="D184" s="363" t="s">
        <v>329</v>
      </c>
      <c r="E184" s="386"/>
      <c r="F184" s="386"/>
      <c r="G184" s="386"/>
      <c r="H184" s="386"/>
      <c r="I184" s="386"/>
      <c r="J184" s="364"/>
      <c r="K184" s="237"/>
      <c r="L184" s="237"/>
      <c r="M184" s="237"/>
      <c r="N184" s="237"/>
      <c r="O184" s="237"/>
      <c r="P184" s="237"/>
    </row>
    <row r="185" spans="2:16" ht="15" customHeight="1">
      <c r="B185" s="385"/>
      <c r="C185" s="385"/>
      <c r="D185" s="202">
        <f>IFERROR(C185+1,1)</f>
        <v>1</v>
      </c>
      <c r="E185" s="202">
        <f t="shared" ref="E185:J185" si="73">IFERROR(D185+1,1)</f>
        <v>2</v>
      </c>
      <c r="F185" s="202">
        <f t="shared" si="73"/>
        <v>3</v>
      </c>
      <c r="G185" s="202">
        <f t="shared" si="73"/>
        <v>4</v>
      </c>
      <c r="H185" s="202">
        <f t="shared" si="73"/>
        <v>5</v>
      </c>
      <c r="I185" s="202">
        <f t="shared" si="73"/>
        <v>6</v>
      </c>
      <c r="J185" s="202">
        <f t="shared" si="73"/>
        <v>7</v>
      </c>
      <c r="K185" s="237"/>
      <c r="L185" s="237"/>
      <c r="M185" s="237"/>
      <c r="N185" s="237"/>
      <c r="O185" s="237"/>
      <c r="P185" s="237"/>
    </row>
    <row r="186" spans="2:16">
      <c r="B186" s="228" t="s">
        <v>714</v>
      </c>
      <c r="C186" s="238" t="s">
        <v>19</v>
      </c>
      <c r="D186" s="239">
        <v>172</v>
      </c>
      <c r="E186" s="239">
        <v>196</v>
      </c>
      <c r="F186" s="239">
        <v>196</v>
      </c>
      <c r="G186" s="239">
        <v>196</v>
      </c>
      <c r="H186" s="239">
        <v>196</v>
      </c>
      <c r="I186" s="239">
        <v>196</v>
      </c>
      <c r="J186" s="239">
        <v>196</v>
      </c>
      <c r="K186" s="13"/>
      <c r="L186" s="13"/>
      <c r="M186" s="13"/>
      <c r="N186" s="13"/>
      <c r="O186" s="13"/>
      <c r="P186" s="13"/>
    </row>
    <row r="187" spans="2:16">
      <c r="B187" s="228" t="s">
        <v>715</v>
      </c>
      <c r="C187" s="238" t="s">
        <v>19</v>
      </c>
      <c r="D187" s="240">
        <v>9</v>
      </c>
      <c r="E187" s="240">
        <v>13</v>
      </c>
      <c r="F187" s="240">
        <v>13</v>
      </c>
      <c r="G187" s="240">
        <v>13</v>
      </c>
      <c r="H187" s="240">
        <v>13</v>
      </c>
      <c r="I187" s="240">
        <v>13</v>
      </c>
      <c r="J187" s="240">
        <v>13</v>
      </c>
      <c r="K187" s="13"/>
      <c r="L187" s="13"/>
      <c r="M187" s="13"/>
      <c r="N187" s="13"/>
      <c r="O187" s="13"/>
      <c r="P187" s="13"/>
    </row>
    <row r="188" spans="2:16">
      <c r="B188" s="228" t="s">
        <v>716</v>
      </c>
      <c r="C188" s="238" t="s">
        <v>19</v>
      </c>
      <c r="D188" s="240">
        <v>15</v>
      </c>
      <c r="E188" s="240">
        <v>13</v>
      </c>
      <c r="F188" s="240">
        <v>13</v>
      </c>
      <c r="G188" s="240">
        <v>13</v>
      </c>
      <c r="H188" s="240">
        <v>13</v>
      </c>
      <c r="I188" s="240">
        <v>13</v>
      </c>
      <c r="J188" s="240">
        <v>13</v>
      </c>
      <c r="K188" s="13"/>
      <c r="L188" s="13"/>
      <c r="M188" s="13"/>
      <c r="N188" s="13"/>
      <c r="O188" s="13"/>
      <c r="P188" s="13"/>
    </row>
    <row r="189" spans="2:16"/>
    <row r="190" spans="2:16" ht="15.75" thickBot="1">
      <c r="B190" s="218" t="s">
        <v>334</v>
      </c>
      <c r="C190" s="236"/>
      <c r="D190" s="219"/>
      <c r="E190" s="221"/>
      <c r="F190" s="13"/>
      <c r="G190" s="13"/>
      <c r="H190" s="13"/>
      <c r="I190" s="218" t="s">
        <v>140</v>
      </c>
      <c r="J190" s="218"/>
      <c r="K190" s="218"/>
      <c r="L190" s="218"/>
      <c r="M190" s="13"/>
      <c r="N190" s="13"/>
      <c r="O190" s="13"/>
      <c r="P190" s="13"/>
    </row>
    <row r="191" spans="2:16">
      <c r="B191" s="198" t="s">
        <v>335</v>
      </c>
      <c r="C191" s="13"/>
      <c r="D191" s="13"/>
      <c r="E191" s="13"/>
      <c r="F191" s="13"/>
      <c r="G191" s="13"/>
      <c r="H191" s="13"/>
      <c r="I191" s="198" t="s">
        <v>336</v>
      </c>
      <c r="J191" s="13"/>
      <c r="K191" s="13"/>
      <c r="L191" s="13"/>
      <c r="M191" s="13"/>
      <c r="N191" s="13"/>
      <c r="O191" s="13"/>
      <c r="P191" s="13"/>
    </row>
    <row r="192" spans="2:16">
      <c r="B192" s="384" t="s">
        <v>326</v>
      </c>
      <c r="C192" s="241" t="s">
        <v>20</v>
      </c>
      <c r="D192" s="13"/>
      <c r="E192" s="13"/>
      <c r="F192" s="13"/>
      <c r="G192" s="13"/>
      <c r="H192" s="13"/>
      <c r="I192" s="202">
        <f>YEAR(Начало_инвест)</f>
        <v>2023</v>
      </c>
      <c r="J192" s="202">
        <f t="shared" ref="J192:P192" si="74">I192+1</f>
        <v>2024</v>
      </c>
      <c r="K192" s="202">
        <f t="shared" si="74"/>
        <v>2025</v>
      </c>
      <c r="L192" s="202">
        <f t="shared" si="74"/>
        <v>2026</v>
      </c>
      <c r="M192" s="202">
        <f t="shared" si="74"/>
        <v>2027</v>
      </c>
      <c r="N192" s="202">
        <f t="shared" si="74"/>
        <v>2028</v>
      </c>
      <c r="O192" s="202">
        <f t="shared" si="74"/>
        <v>2029</v>
      </c>
      <c r="P192" s="202">
        <f t="shared" si="74"/>
        <v>2030</v>
      </c>
    </row>
    <row r="193" spans="2:93">
      <c r="B193" s="385"/>
      <c r="C193" s="242" t="str">
        <f>Ед_измерения_регулярных_платежей</f>
        <v xml:space="preserve"> руб./мес.</v>
      </c>
      <c r="D193" s="13"/>
      <c r="E193" s="13"/>
      <c r="F193" s="13"/>
      <c r="G193" s="13"/>
      <c r="H193" s="13"/>
      <c r="I193" s="204">
        <v>0</v>
      </c>
      <c r="J193" s="204">
        <v>0.04</v>
      </c>
      <c r="K193" s="204">
        <v>0.04</v>
      </c>
      <c r="L193" s="204">
        <v>0.04</v>
      </c>
      <c r="M193" s="204">
        <v>0.04</v>
      </c>
      <c r="N193" s="204">
        <v>0.04</v>
      </c>
      <c r="O193" s="204">
        <v>0.04</v>
      </c>
      <c r="P193" s="204">
        <v>0.04</v>
      </c>
    </row>
    <row r="194" spans="2:93">
      <c r="B194" s="196" t="str">
        <f t="array" ref="B194:B196">ФОТ_должности</f>
        <v>рабочие</v>
      </c>
      <c r="C194" s="197">
        <v>40000</v>
      </c>
    </row>
    <row r="195" spans="2:93">
      <c r="B195" s="196" t="str">
        <v xml:space="preserve">руководители </v>
      </c>
      <c r="C195" s="197">
        <v>120000</v>
      </c>
    </row>
    <row r="196" spans="2:93">
      <c r="B196" s="196" t="str">
        <v>специалисты и другие служащие</v>
      </c>
      <c r="C196" s="197">
        <v>60000</v>
      </c>
    </row>
    <row r="197" spans="2:93"/>
    <row r="198" spans="2:93" ht="20.25" thickBot="1">
      <c r="B198" s="26" t="s">
        <v>24</v>
      </c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</row>
    <row r="199" spans="2:93" ht="15.75" thickTop="1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</row>
    <row r="200" spans="2:93" ht="18" thickBot="1">
      <c r="B200" s="212" t="s">
        <v>25</v>
      </c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2"/>
      <c r="T200" s="212"/>
      <c r="U200" s="212"/>
      <c r="V200" s="212"/>
      <c r="W200" s="212"/>
      <c r="X200" s="212"/>
      <c r="Y200" s="212"/>
      <c r="Z200" s="212"/>
      <c r="AA200" s="212"/>
      <c r="AB200" s="212"/>
      <c r="AC200" s="212"/>
      <c r="AD200" s="212"/>
      <c r="AE200" s="212"/>
      <c r="AF200" s="212"/>
      <c r="AG200" s="212"/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  <c r="BI200" s="212"/>
      <c r="BJ200" s="212"/>
      <c r="BK200" s="212"/>
      <c r="BL200" s="212"/>
      <c r="BM200" s="212"/>
      <c r="BN200" s="212"/>
      <c r="BO200" s="212"/>
      <c r="BP200" s="212"/>
      <c r="BQ200" s="212"/>
      <c r="BR200" s="212"/>
      <c r="BS200" s="212"/>
      <c r="BT200" s="212"/>
      <c r="BU200" s="212"/>
      <c r="BV200" s="212"/>
      <c r="BW200" s="212"/>
      <c r="BX200" s="212"/>
      <c r="BY200" s="212"/>
      <c r="BZ200" s="212"/>
      <c r="CA200" s="212"/>
      <c r="CB200" s="212"/>
      <c r="CC200" s="212"/>
      <c r="CD200" s="212"/>
      <c r="CE200" s="212"/>
      <c r="CF200" s="212"/>
      <c r="CG200" s="212"/>
      <c r="CH200" s="212"/>
      <c r="CI200" s="212"/>
      <c r="CJ200" s="212"/>
      <c r="CK200" s="212"/>
    </row>
    <row r="201" spans="2:93" ht="16.5" thickTop="1" thickBot="1">
      <c r="B201" s="198" t="s">
        <v>543</v>
      </c>
      <c r="C201" s="13"/>
      <c r="D201" s="13"/>
      <c r="E201" s="13"/>
      <c r="F201" s="13"/>
      <c r="G201" s="13"/>
      <c r="H201" s="13"/>
      <c r="I201" s="218" t="s">
        <v>731</v>
      </c>
      <c r="J201" s="218"/>
      <c r="K201" s="218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</row>
    <row r="202" spans="2:93" ht="18.75">
      <c r="B202" s="377" t="str">
        <f>"Размер уставного капитала, "&amp;Ед_измерения_денег&amp;""</f>
        <v>Размер уставного капитала,  руб.</v>
      </c>
      <c r="C202" s="378"/>
      <c r="D202" s="197">
        <v>10000</v>
      </c>
      <c r="E202" s="13"/>
      <c r="F202" s="13"/>
      <c r="G202" s="13"/>
      <c r="H202" s="13"/>
      <c r="I202" s="198" t="s">
        <v>732</v>
      </c>
      <c r="J202" s="13"/>
      <c r="K202" s="13"/>
      <c r="L202" s="13"/>
      <c r="M202" s="13"/>
      <c r="N202" s="13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</row>
    <row r="203" spans="2:93" ht="15" customHeight="1">
      <c r="B203" s="13"/>
      <c r="C203" s="13"/>
      <c r="D203" s="13"/>
      <c r="E203" s="13"/>
      <c r="F203" s="13"/>
      <c r="G203" s="13"/>
      <c r="H203" s="13"/>
      <c r="I203" s="387" t="s">
        <v>268</v>
      </c>
      <c r="J203" s="223" t="s">
        <v>267</v>
      </c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5"/>
      <c r="BR203" s="225"/>
      <c r="BS203" s="225"/>
      <c r="BT203" s="225"/>
      <c r="BU203" s="225"/>
      <c r="BV203" s="225"/>
      <c r="BW203" s="225"/>
      <c r="BX203" s="225"/>
      <c r="BY203" s="225"/>
      <c r="BZ203" s="225"/>
      <c r="CA203" s="225"/>
      <c r="CB203" s="225"/>
      <c r="CC203" s="225"/>
      <c r="CD203" s="225"/>
      <c r="CE203" s="225"/>
      <c r="CF203" s="225"/>
      <c r="CG203" s="225"/>
      <c r="CH203" s="225"/>
      <c r="CI203" s="225"/>
      <c r="CJ203" s="225"/>
      <c r="CK203" s="225"/>
      <c r="CL203" s="225"/>
      <c r="CM203" s="225"/>
      <c r="CN203" s="225"/>
      <c r="CO203" s="225"/>
    </row>
    <row r="204" spans="2:93" ht="15" customHeight="1">
      <c r="B204" s="198" t="s">
        <v>730</v>
      </c>
      <c r="C204" s="13"/>
      <c r="D204" s="13"/>
      <c r="E204" s="13"/>
      <c r="F204" s="13"/>
      <c r="G204" s="13"/>
      <c r="H204" s="13"/>
      <c r="I204" s="388"/>
      <c r="J204" s="226">
        <f>1</f>
        <v>1</v>
      </c>
      <c r="K204" s="227">
        <f t="shared" ref="K204" si="75">J204+1</f>
        <v>2</v>
      </c>
      <c r="L204" s="227">
        <f t="shared" ref="L204" si="76">K204+1</f>
        <v>3</v>
      </c>
      <c r="M204" s="227">
        <f t="shared" ref="M204" si="77">L204+1</f>
        <v>4</v>
      </c>
      <c r="N204" s="227">
        <f>M204+1</f>
        <v>5</v>
      </c>
      <c r="O204" s="227">
        <f>N204+1</f>
        <v>6</v>
      </c>
      <c r="P204" s="227">
        <f t="shared" ref="P204" si="78">O204+1</f>
        <v>7</v>
      </c>
      <c r="Q204" s="227">
        <f t="shared" ref="Q204" si="79">P204+1</f>
        <v>8</v>
      </c>
      <c r="R204" s="227">
        <f t="shared" ref="R204" si="80">Q204+1</f>
        <v>9</v>
      </c>
      <c r="S204" s="227">
        <f t="shared" ref="S204" si="81">R204+1</f>
        <v>10</v>
      </c>
      <c r="T204" s="227">
        <f t="shared" ref="T204" si="82">S204+1</f>
        <v>11</v>
      </c>
      <c r="U204" s="227">
        <f t="shared" ref="U204" si="83">T204+1</f>
        <v>12</v>
      </c>
      <c r="V204" s="227">
        <f t="shared" ref="V204" si="84">U204+1</f>
        <v>13</v>
      </c>
      <c r="W204" s="227">
        <f t="shared" ref="W204" si="85">V204+1</f>
        <v>14</v>
      </c>
      <c r="X204" s="227">
        <f t="shared" ref="X204" si="86">W204+1</f>
        <v>15</v>
      </c>
      <c r="Y204" s="227">
        <f t="shared" ref="Y204" si="87">X204+1</f>
        <v>16</v>
      </c>
      <c r="Z204" s="227">
        <f t="shared" ref="Z204" si="88">Y204+1</f>
        <v>17</v>
      </c>
      <c r="AA204" s="227">
        <f t="shared" ref="AA204" si="89">Z204+1</f>
        <v>18</v>
      </c>
      <c r="AB204" s="227">
        <f t="shared" ref="AB204" si="90">AA204+1</f>
        <v>19</v>
      </c>
      <c r="AC204" s="227">
        <f t="shared" ref="AC204" si="91">AB204+1</f>
        <v>20</v>
      </c>
      <c r="AD204" s="227">
        <f t="shared" ref="AD204" si="92">AC204+1</f>
        <v>21</v>
      </c>
      <c r="AE204" s="227">
        <f t="shared" ref="AE204" si="93">AD204+1</f>
        <v>22</v>
      </c>
      <c r="AF204" s="227">
        <f t="shared" ref="AF204" si="94">AE204+1</f>
        <v>23</v>
      </c>
      <c r="AG204" s="227">
        <f t="shared" ref="AG204" si="95">AF204+1</f>
        <v>24</v>
      </c>
      <c r="AH204" s="227">
        <f t="shared" ref="AH204" si="96">AG204+1</f>
        <v>25</v>
      </c>
      <c r="AI204" s="227">
        <f t="shared" ref="AI204" si="97">AH204+1</f>
        <v>26</v>
      </c>
      <c r="AJ204" s="227">
        <f t="shared" ref="AJ204" si="98">AI204+1</f>
        <v>27</v>
      </c>
      <c r="AK204" s="227">
        <f t="shared" ref="AK204" si="99">AJ204+1</f>
        <v>28</v>
      </c>
      <c r="AL204" s="227">
        <f t="shared" ref="AL204" si="100">AK204+1</f>
        <v>29</v>
      </c>
      <c r="AM204" s="227">
        <f t="shared" ref="AM204" si="101">AL204+1</f>
        <v>30</v>
      </c>
      <c r="AN204" s="227">
        <f t="shared" ref="AN204" si="102">AM204+1</f>
        <v>31</v>
      </c>
      <c r="AO204" s="227">
        <f t="shared" ref="AO204" si="103">AN204+1</f>
        <v>32</v>
      </c>
      <c r="AP204" s="227">
        <f t="shared" ref="AP204" si="104">AO204+1</f>
        <v>33</v>
      </c>
      <c r="AQ204" s="227">
        <f t="shared" ref="AQ204" si="105">AP204+1</f>
        <v>34</v>
      </c>
      <c r="AR204" s="227">
        <f t="shared" ref="AR204" si="106">AQ204+1</f>
        <v>35</v>
      </c>
      <c r="AS204" s="227">
        <f t="shared" ref="AS204" si="107">AR204+1</f>
        <v>36</v>
      </c>
      <c r="AT204" s="227">
        <f t="shared" ref="AT204" si="108">AS204+1</f>
        <v>37</v>
      </c>
      <c r="AU204" s="227">
        <f t="shared" ref="AU204" si="109">AT204+1</f>
        <v>38</v>
      </c>
      <c r="AV204" s="227">
        <f t="shared" ref="AV204" si="110">AU204+1</f>
        <v>39</v>
      </c>
      <c r="AW204" s="227">
        <f t="shared" ref="AW204" si="111">AV204+1</f>
        <v>40</v>
      </c>
      <c r="AX204" s="227">
        <f t="shared" ref="AX204" si="112">AW204+1</f>
        <v>41</v>
      </c>
      <c r="AY204" s="227">
        <f t="shared" ref="AY204" si="113">AX204+1</f>
        <v>42</v>
      </c>
      <c r="AZ204" s="227">
        <f t="shared" ref="AZ204" si="114">AY204+1</f>
        <v>43</v>
      </c>
      <c r="BA204" s="227">
        <f t="shared" ref="BA204" si="115">AZ204+1</f>
        <v>44</v>
      </c>
      <c r="BB204" s="227">
        <f t="shared" ref="BB204" si="116">BA204+1</f>
        <v>45</v>
      </c>
      <c r="BC204" s="227">
        <f t="shared" ref="BC204" si="117">BB204+1</f>
        <v>46</v>
      </c>
      <c r="BD204" s="227">
        <f t="shared" ref="BD204" si="118">BC204+1</f>
        <v>47</v>
      </c>
      <c r="BE204" s="227">
        <f t="shared" ref="BE204" si="119">BD204+1</f>
        <v>48</v>
      </c>
      <c r="BF204" s="227">
        <f t="shared" ref="BF204" si="120">BE204+1</f>
        <v>49</v>
      </c>
      <c r="BG204" s="227">
        <f t="shared" ref="BG204" si="121">BF204+1</f>
        <v>50</v>
      </c>
      <c r="BH204" s="227">
        <f t="shared" ref="BH204" si="122">BG204+1</f>
        <v>51</v>
      </c>
      <c r="BI204" s="227">
        <f t="shared" ref="BI204" si="123">BH204+1</f>
        <v>52</v>
      </c>
      <c r="BJ204" s="227">
        <f t="shared" ref="BJ204" si="124">BI204+1</f>
        <v>53</v>
      </c>
      <c r="BK204" s="227">
        <f t="shared" ref="BK204" si="125">BJ204+1</f>
        <v>54</v>
      </c>
      <c r="BL204" s="227">
        <f t="shared" ref="BL204" si="126">BK204+1</f>
        <v>55</v>
      </c>
      <c r="BM204" s="227">
        <f t="shared" ref="BM204" si="127">BL204+1</f>
        <v>56</v>
      </c>
      <c r="BN204" s="227">
        <f t="shared" ref="BN204" si="128">BM204+1</f>
        <v>57</v>
      </c>
      <c r="BO204" s="227">
        <f t="shared" ref="BO204" si="129">BN204+1</f>
        <v>58</v>
      </c>
      <c r="BP204" s="227">
        <f t="shared" ref="BP204" si="130">BO204+1</f>
        <v>59</v>
      </c>
      <c r="BQ204" s="227">
        <f t="shared" ref="BQ204" si="131">BP204+1</f>
        <v>60</v>
      </c>
      <c r="BR204" s="227">
        <f t="shared" ref="BR204" si="132">BQ204+1</f>
        <v>61</v>
      </c>
      <c r="BS204" s="227">
        <f t="shared" ref="BS204" si="133">BR204+1</f>
        <v>62</v>
      </c>
      <c r="BT204" s="227">
        <f t="shared" ref="BT204" si="134">BS204+1</f>
        <v>63</v>
      </c>
      <c r="BU204" s="227">
        <f t="shared" ref="BU204" si="135">BT204+1</f>
        <v>64</v>
      </c>
      <c r="BV204" s="227">
        <f t="shared" ref="BV204" si="136">BU204+1</f>
        <v>65</v>
      </c>
      <c r="BW204" s="227">
        <f t="shared" ref="BW204" si="137">BV204+1</f>
        <v>66</v>
      </c>
      <c r="BX204" s="227">
        <f t="shared" ref="BX204" si="138">BW204+1</f>
        <v>67</v>
      </c>
      <c r="BY204" s="227">
        <f t="shared" ref="BY204" si="139">BX204+1</f>
        <v>68</v>
      </c>
      <c r="BZ204" s="227">
        <f t="shared" ref="BZ204" si="140">BY204+1</f>
        <v>69</v>
      </c>
      <c r="CA204" s="227">
        <f t="shared" ref="CA204" si="141">BZ204+1</f>
        <v>70</v>
      </c>
      <c r="CB204" s="227">
        <f t="shared" ref="CB204" si="142">CA204+1</f>
        <v>71</v>
      </c>
      <c r="CC204" s="227">
        <f t="shared" ref="CC204" si="143">CB204+1</f>
        <v>72</v>
      </c>
      <c r="CD204" s="227">
        <f t="shared" ref="CD204" si="144">CC204+1</f>
        <v>73</v>
      </c>
      <c r="CE204" s="227">
        <f t="shared" ref="CE204" si="145">CD204+1</f>
        <v>74</v>
      </c>
      <c r="CF204" s="227">
        <f t="shared" ref="CF204" si="146">CE204+1</f>
        <v>75</v>
      </c>
      <c r="CG204" s="227">
        <f t="shared" ref="CG204" si="147">CF204+1</f>
        <v>76</v>
      </c>
      <c r="CH204" s="227">
        <f t="shared" ref="CH204" si="148">CG204+1</f>
        <v>77</v>
      </c>
      <c r="CI204" s="227">
        <f t="shared" ref="CI204" si="149">CH204+1</f>
        <v>78</v>
      </c>
      <c r="CJ204" s="227">
        <f t="shared" ref="CJ204" si="150">CI204+1</f>
        <v>79</v>
      </c>
      <c r="CK204" s="227">
        <f t="shared" ref="CK204" si="151">CJ204+1</f>
        <v>80</v>
      </c>
      <c r="CL204" s="227">
        <f t="shared" ref="CL204" si="152">CK204+1</f>
        <v>81</v>
      </c>
      <c r="CM204" s="227">
        <f t="shared" ref="CM204" si="153">CL204+1</f>
        <v>82</v>
      </c>
      <c r="CN204" s="227">
        <f t="shared" ref="CN204" si="154">CM204+1</f>
        <v>83</v>
      </c>
      <c r="CO204" s="227">
        <f t="shared" ref="CO204" si="155">CN204+1</f>
        <v>84</v>
      </c>
    </row>
    <row r="205" spans="2:93">
      <c r="B205" s="377" t="str">
        <f>"Размер вложений банка, "&amp;Ед_измерения_денег&amp;""</f>
        <v>Размер вложений банка,  руб.</v>
      </c>
      <c r="C205" s="378"/>
      <c r="D205" s="197">
        <v>900000000</v>
      </c>
      <c r="E205" s="243"/>
      <c r="F205" s="13"/>
      <c r="G205" s="13"/>
      <c r="H205" s="13"/>
      <c r="I205" s="172">
        <f>SUM(J205:CO205)</f>
        <v>1</v>
      </c>
      <c r="J205" s="229">
        <v>0.23</v>
      </c>
      <c r="K205" s="204"/>
      <c r="L205" s="204"/>
      <c r="M205" s="204">
        <v>0.5</v>
      </c>
      <c r="N205" s="204"/>
      <c r="O205" s="204"/>
      <c r="P205" s="204">
        <v>0.11</v>
      </c>
      <c r="Q205" s="204"/>
      <c r="R205" s="204"/>
      <c r="S205" s="204">
        <v>0.16</v>
      </c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  <c r="BP205" s="204"/>
      <c r="BQ205" s="204"/>
      <c r="BR205" s="204"/>
      <c r="BS205" s="204"/>
      <c r="BT205" s="204"/>
      <c r="BU205" s="204"/>
      <c r="BV205" s="204"/>
      <c r="BW205" s="204"/>
      <c r="BX205" s="204"/>
      <c r="BY205" s="204"/>
      <c r="BZ205" s="204"/>
      <c r="CA205" s="204"/>
      <c r="CB205" s="204"/>
      <c r="CC205" s="204"/>
      <c r="CD205" s="204"/>
      <c r="CE205" s="204"/>
      <c r="CF205" s="204"/>
      <c r="CG205" s="204"/>
      <c r="CH205" s="204"/>
      <c r="CI205" s="204"/>
      <c r="CJ205" s="204"/>
      <c r="CK205" s="204"/>
      <c r="CL205" s="204"/>
      <c r="CM205" s="204"/>
      <c r="CN205" s="204"/>
      <c r="CO205" s="204"/>
    </row>
    <row r="206" spans="2:93">
      <c r="B206" s="377" t="str">
        <f>"Размер вложений инвестора, "&amp;Ед_измерения_денег&amp;""</f>
        <v>Размер вложений инвестора,  руб.</v>
      </c>
      <c r="C206" s="378"/>
      <c r="D206" s="197">
        <v>300000000</v>
      </c>
      <c r="E206" s="243"/>
      <c r="F206" s="13"/>
      <c r="G206" s="13"/>
      <c r="H206" s="13"/>
      <c r="I206" s="172">
        <f t="shared" ref="I206" si="156">SUM(J206:AK206)</f>
        <v>1</v>
      </c>
      <c r="J206" s="229"/>
      <c r="K206" s="204"/>
      <c r="L206" s="204"/>
      <c r="M206" s="204"/>
      <c r="N206" s="204"/>
      <c r="O206" s="204"/>
      <c r="P206" s="204">
        <v>0.67</v>
      </c>
      <c r="Q206" s="204"/>
      <c r="R206" s="204"/>
      <c r="S206" s="204">
        <v>0.33</v>
      </c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  <c r="BP206" s="204"/>
      <c r="BQ206" s="204"/>
      <c r="BR206" s="204"/>
      <c r="BS206" s="204"/>
      <c r="BT206" s="204"/>
      <c r="BU206" s="204"/>
      <c r="BV206" s="204"/>
      <c r="BW206" s="204"/>
      <c r="BX206" s="204"/>
      <c r="BY206" s="204"/>
      <c r="BZ206" s="204"/>
      <c r="CA206" s="204"/>
      <c r="CB206" s="204"/>
      <c r="CC206" s="204"/>
      <c r="CD206" s="204"/>
      <c r="CE206" s="204"/>
      <c r="CF206" s="204"/>
      <c r="CG206" s="204"/>
      <c r="CH206" s="204"/>
      <c r="CI206" s="204"/>
      <c r="CJ206" s="204"/>
      <c r="CK206" s="204"/>
      <c r="CL206" s="204"/>
      <c r="CM206" s="204"/>
      <c r="CN206" s="204"/>
      <c r="CO206" s="204"/>
    </row>
    <row r="207" spans="2:93">
      <c r="B207" s="377" t="str">
        <f>"Итого заемного капитала, "&amp;Ед_измерения_денег&amp;""</f>
        <v>Итого заемного капитала,  руб.</v>
      </c>
      <c r="C207" s="378"/>
      <c r="D207" s="199">
        <f>D205+D206</f>
        <v>1200000000</v>
      </c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</row>
    <row r="208" spans="2:93"/>
    <row r="209" spans="2:19">
      <c r="B209" s="198" t="s">
        <v>740</v>
      </c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</row>
    <row r="210" spans="2:19">
      <c r="B210" s="382" t="s">
        <v>266</v>
      </c>
      <c r="C210" s="383"/>
      <c r="D210" s="244" t="s">
        <v>743</v>
      </c>
      <c r="E210" s="245" t="s">
        <v>748</v>
      </c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</row>
    <row r="211" spans="2:19" ht="15" customHeight="1">
      <c r="B211" s="377" t="s">
        <v>744</v>
      </c>
      <c r="C211" s="378"/>
      <c r="D211" s="238">
        <v>18</v>
      </c>
      <c r="E211" s="246">
        <f>LOOKUP(INDEX(MATCH(0=0,$J$206:$CO$206&lt;&gt;"",),)+D211,Время!$F$27:$CK$27,Время!$F$18:$CK$18)</f>
        <v>45777</v>
      </c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</row>
    <row r="212" spans="2:19">
      <c r="B212" s="377" t="s">
        <v>745</v>
      </c>
      <c r="C212" s="378"/>
      <c r="D212" s="238">
        <v>0</v>
      </c>
      <c r="E212" s="246">
        <f>LOOKUP(INDEX(MATCH(0=0,$J$206:$CO$206&lt;&gt;"",),)+D212+1,Время!$F$27:$CK$27,Время!$F$18:$CK$18)</f>
        <v>45260</v>
      </c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</row>
    <row r="213" spans="2:19">
      <c r="B213" s="200" t="s">
        <v>741</v>
      </c>
      <c r="C213" s="201"/>
      <c r="D213" s="238">
        <v>60</v>
      </c>
      <c r="E213" s="246">
        <f>LOOKUP(INDEX(MATCH(0=0,$J$206:$CO$206&lt;&gt;"",),)+D213,Время!$F$27:$CK$27,Время!$F$18:$CK$18)</f>
        <v>47057</v>
      </c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</row>
    <row r="214" spans="2:19">
      <c r="B214" s="377" t="s">
        <v>746</v>
      </c>
      <c r="C214" s="378"/>
      <c r="D214" s="238">
        <v>12</v>
      </c>
      <c r="E214" s="246">
        <f>LOOKUP(INDEX(MATCH(0=0,$J$205:$CO$205&lt;&gt;"",),)+D214,Время!$F$27:$CK$27,Время!$F$18:$CK$18)</f>
        <v>45412</v>
      </c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</row>
    <row r="215" spans="2:19">
      <c r="B215" s="377" t="s">
        <v>747</v>
      </c>
      <c r="C215" s="378"/>
      <c r="D215" s="238">
        <v>0</v>
      </c>
      <c r="E215" s="246">
        <f>LOOKUP(INDEX(MATCH(0=0,$J$205:$CO$205&lt;&gt;"",),)+D215+1,Время!$F$27:$CK$27,Время!$F$18:$CK$18)</f>
        <v>45077</v>
      </c>
      <c r="F215" s="13"/>
      <c r="G215" s="13"/>
      <c r="H215" s="247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</row>
    <row r="216" spans="2:19">
      <c r="B216" s="200" t="s">
        <v>742</v>
      </c>
      <c r="C216" s="201"/>
      <c r="D216" s="238">
        <v>84</v>
      </c>
      <c r="E216" s="246">
        <f>LOOKUP(INDEX(MATCH(0=0,$J$205:$CO$205&lt;&gt;"",),)+D216,Время!$F$27:$CK$27,Время!$F$18:$CK$18)</f>
        <v>47573</v>
      </c>
      <c r="F216" s="13"/>
      <c r="G216" s="13"/>
      <c r="H216" s="247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</row>
    <row r="217" spans="2:19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</row>
    <row r="218" spans="2:19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</row>
    <row r="219" spans="2:19" ht="18" thickBot="1">
      <c r="B219" s="212" t="s">
        <v>26</v>
      </c>
      <c r="C219" s="212"/>
      <c r="D219" s="212"/>
      <c r="E219" s="212"/>
      <c r="F219" s="212"/>
      <c r="G219" s="212"/>
      <c r="H219" s="212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</row>
    <row r="220" spans="2:19" ht="15.75" thickTop="1">
      <c r="B220" s="198" t="s">
        <v>337</v>
      </c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</row>
    <row r="221" spans="2:19">
      <c r="B221" s="377" t="s">
        <v>541</v>
      </c>
      <c r="C221" s="378"/>
      <c r="D221" s="248">
        <v>0.1</v>
      </c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</row>
    <row r="222" spans="2:19">
      <c r="B222" s="377" t="s">
        <v>542</v>
      </c>
      <c r="C222" s="378"/>
      <c r="D222" s="248">
        <v>1E-4</v>
      </c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</row>
    <row r="223" spans="2:19">
      <c r="B223" s="377" t="s">
        <v>185</v>
      </c>
      <c r="C223" s="378"/>
      <c r="D223" s="248">
        <v>0.05</v>
      </c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</row>
    <row r="224" spans="2:19">
      <c r="B224" s="377" t="s">
        <v>733</v>
      </c>
      <c r="C224" s="378"/>
      <c r="D224" s="248">
        <v>0.11</v>
      </c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</row>
    <row r="225" spans="2:19">
      <c r="B225" s="377" t="s">
        <v>155</v>
      </c>
      <c r="C225" s="378"/>
      <c r="D225" s="248">
        <v>0.06</v>
      </c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</row>
    <row r="226" spans="2:19">
      <c r="B226" s="377" t="s">
        <v>156</v>
      </c>
      <c r="C226" s="378"/>
      <c r="D226" s="249">
        <f>D223*(1-D225)</f>
        <v>4.7E-2</v>
      </c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</row>
    <row r="227" spans="2:19">
      <c r="B227" s="377" t="s">
        <v>734</v>
      </c>
      <c r="C227" s="378"/>
      <c r="D227" s="249">
        <f>D224*(1-D225)</f>
        <v>0.10339999999999999</v>
      </c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</row>
    <row r="228" spans="2:19">
      <c r="B228" s="377" t="s">
        <v>735</v>
      </c>
      <c r="C228" s="378"/>
      <c r="D228" s="249">
        <f>(1-АК_доля)*($D$206/$D$207)</f>
        <v>0.249975</v>
      </c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</row>
    <row r="229" spans="2:19">
      <c r="B229" s="377" t="s">
        <v>157</v>
      </c>
      <c r="C229" s="378"/>
      <c r="D229" s="249">
        <f>(1-АК_доля)*($D$205/$D$207)</f>
        <v>0.74992499999999995</v>
      </c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</row>
    <row r="230" spans="2:19">
      <c r="B230" s="380" t="s">
        <v>554</v>
      </c>
      <c r="C230" s="381"/>
      <c r="D230" s="250">
        <f>D221*D222+D226*D229</f>
        <v>3.5256475000000002E-2</v>
      </c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</row>
    <row r="231" spans="2:19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</row>
    <row r="232" spans="2:19" ht="18" thickBot="1">
      <c r="B232" s="212" t="s">
        <v>27</v>
      </c>
      <c r="C232" s="212"/>
      <c r="D232" s="212"/>
      <c r="E232" s="212"/>
      <c r="F232" s="212"/>
      <c r="G232" s="212"/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</row>
    <row r="233" spans="2:19" ht="15.75" thickTop="1">
      <c r="B233" s="198" t="s">
        <v>338</v>
      </c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</row>
    <row r="234" spans="2:19">
      <c r="B234" s="377" t="s">
        <v>553</v>
      </c>
      <c r="C234" s="378"/>
      <c r="D234" s="248">
        <v>0.01</v>
      </c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</row>
    <row r="235" spans="2:19">
      <c r="B235" s="377" t="s">
        <v>554</v>
      </c>
      <c r="C235" s="378"/>
      <c r="D235" s="248">
        <v>0.15</v>
      </c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</row>
    <row r="236" spans="2:19">
      <c r="B236" s="377" t="s">
        <v>161</v>
      </c>
      <c r="C236" s="378"/>
      <c r="D236" s="248">
        <v>0.05</v>
      </c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</row>
    <row r="237" spans="2:19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</row>
    <row r="238" spans="2:19" ht="20.25" thickBot="1">
      <c r="B238" s="26" t="s">
        <v>31</v>
      </c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</row>
    <row r="239" spans="2:19" ht="15.75" thickTop="1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</row>
    <row r="240" spans="2:19" ht="18" thickBot="1">
      <c r="B240" s="212" t="s">
        <v>28</v>
      </c>
      <c r="C240" s="212"/>
      <c r="D240" s="212"/>
      <c r="E240" s="212"/>
      <c r="F240" s="212"/>
      <c r="G240" s="212"/>
      <c r="H240" s="212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S240" s="212"/>
    </row>
    <row r="241" spans="2:19" ht="15.75" thickTop="1">
      <c r="B241" s="198" t="s">
        <v>339</v>
      </c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</row>
    <row r="242" spans="2:19">
      <c r="B242" s="202" t="s">
        <v>340</v>
      </c>
      <c r="C242" s="202">
        <f>YEAR(Начало_инвест)</f>
        <v>2023</v>
      </c>
      <c r="D242" s="202">
        <f t="shared" ref="D242:J242" si="157">C242+1</f>
        <v>2024</v>
      </c>
      <c r="E242" s="202">
        <f t="shared" si="157"/>
        <v>2025</v>
      </c>
      <c r="F242" s="202">
        <f t="shared" si="157"/>
        <v>2026</v>
      </c>
      <c r="G242" s="202">
        <f t="shared" si="157"/>
        <v>2027</v>
      </c>
      <c r="H242" s="202">
        <f t="shared" si="157"/>
        <v>2028</v>
      </c>
      <c r="I242" s="202">
        <f t="shared" si="157"/>
        <v>2029</v>
      </c>
      <c r="J242" s="202">
        <f t="shared" si="157"/>
        <v>2030</v>
      </c>
      <c r="K242" s="13"/>
      <c r="L242" s="13"/>
      <c r="M242" s="13"/>
      <c r="N242" s="13"/>
      <c r="O242" s="13"/>
      <c r="P242" s="13"/>
      <c r="Q242" s="13"/>
      <c r="R242" s="13"/>
      <c r="S242" s="13"/>
    </row>
    <row r="243" spans="2:19">
      <c r="B243" s="196" t="s">
        <v>62</v>
      </c>
      <c r="C243" s="204">
        <v>0.1</v>
      </c>
      <c r="D243" s="204">
        <v>0.1</v>
      </c>
      <c r="E243" s="204">
        <v>0.1</v>
      </c>
      <c r="F243" s="204">
        <v>0.1</v>
      </c>
      <c r="G243" s="204">
        <v>0.1</v>
      </c>
      <c r="H243" s="204">
        <v>0.1</v>
      </c>
      <c r="I243" s="204">
        <v>0.1</v>
      </c>
      <c r="J243" s="204">
        <v>0.1</v>
      </c>
      <c r="K243" s="198" t="s">
        <v>342</v>
      </c>
      <c r="L243" s="13"/>
      <c r="M243" s="13"/>
      <c r="N243" s="13"/>
      <c r="O243" s="13"/>
      <c r="P243" s="13"/>
      <c r="Q243" s="13"/>
      <c r="R243" s="13"/>
      <c r="S243" s="13"/>
    </row>
    <row r="244" spans="2:19">
      <c r="B244" s="196" t="s">
        <v>63</v>
      </c>
      <c r="C244" s="251">
        <v>0.16669999999999999</v>
      </c>
      <c r="D244" s="251">
        <v>0.16669999999999999</v>
      </c>
      <c r="E244" s="251">
        <v>0.16669999999999999</v>
      </c>
      <c r="F244" s="251">
        <v>0.16669999999999999</v>
      </c>
      <c r="G244" s="251">
        <v>0.16669999999999999</v>
      </c>
      <c r="H244" s="251">
        <v>0.16669999999999999</v>
      </c>
      <c r="I244" s="251">
        <v>0.16669999999999999</v>
      </c>
      <c r="J244" s="251">
        <v>0.16669999999999999</v>
      </c>
      <c r="K244" s="198" t="s">
        <v>342</v>
      </c>
      <c r="L244" s="13"/>
      <c r="M244" s="13"/>
      <c r="N244" s="13"/>
      <c r="O244" s="13"/>
      <c r="P244" s="13"/>
      <c r="Q244" s="13"/>
      <c r="R244" s="13"/>
      <c r="S244" s="13"/>
    </row>
    <row r="245" spans="2:19">
      <c r="B245" s="196" t="s">
        <v>64</v>
      </c>
      <c r="C245" s="204">
        <v>0.2</v>
      </c>
      <c r="D245" s="204">
        <v>0.2</v>
      </c>
      <c r="E245" s="204">
        <v>0.2</v>
      </c>
      <c r="F245" s="204">
        <v>0.2</v>
      </c>
      <c r="G245" s="204">
        <v>0.2</v>
      </c>
      <c r="H245" s="204">
        <v>0.2</v>
      </c>
      <c r="I245" s="204">
        <v>0.2</v>
      </c>
      <c r="J245" s="204">
        <v>0.2</v>
      </c>
      <c r="K245" s="198" t="s">
        <v>342</v>
      </c>
      <c r="L245" s="13"/>
      <c r="M245" s="13"/>
      <c r="N245" s="13"/>
      <c r="O245" s="13"/>
      <c r="P245" s="13"/>
      <c r="Q245" s="13"/>
      <c r="R245" s="13"/>
      <c r="S245" s="13"/>
    </row>
    <row r="246" spans="2:19">
      <c r="B246" s="196" t="s">
        <v>535</v>
      </c>
      <c r="C246" s="251">
        <v>0.16669999999999999</v>
      </c>
      <c r="D246" s="251">
        <v>0.16669999999999999</v>
      </c>
      <c r="E246" s="251">
        <v>0.16669999999999999</v>
      </c>
      <c r="F246" s="251">
        <v>0.16669999999999999</v>
      </c>
      <c r="G246" s="251">
        <v>0.16669999999999999</v>
      </c>
      <c r="H246" s="251">
        <v>0.16669999999999999</v>
      </c>
      <c r="I246" s="251">
        <v>0.16669999999999999</v>
      </c>
      <c r="J246" s="251">
        <v>0.16669999999999999</v>
      </c>
      <c r="K246" s="198" t="s">
        <v>342</v>
      </c>
      <c r="L246" s="13"/>
      <c r="M246" s="13"/>
      <c r="N246" s="13"/>
      <c r="O246" s="13"/>
      <c r="P246" s="13"/>
      <c r="Q246" s="13"/>
      <c r="R246" s="13"/>
      <c r="S246" s="13"/>
    </row>
    <row r="247" spans="2:19">
      <c r="B247" s="196" t="s">
        <v>717</v>
      </c>
      <c r="C247" s="204">
        <v>0</v>
      </c>
      <c r="D247" s="204">
        <v>0</v>
      </c>
      <c r="E247" s="204">
        <v>0.06</v>
      </c>
      <c r="F247" s="204">
        <v>0.06</v>
      </c>
      <c r="G247" s="204">
        <v>0.06</v>
      </c>
      <c r="H247" s="204">
        <v>0.06</v>
      </c>
      <c r="I247" s="204">
        <v>0.06</v>
      </c>
      <c r="J247" s="204">
        <v>0.06</v>
      </c>
      <c r="K247" s="198" t="s">
        <v>718</v>
      </c>
      <c r="L247" s="13"/>
      <c r="M247" s="13"/>
      <c r="N247" s="13"/>
      <c r="O247" s="13"/>
      <c r="P247" s="13"/>
      <c r="Q247" s="13"/>
      <c r="R247" s="13"/>
      <c r="S247" s="13"/>
    </row>
    <row r="248" spans="2:19">
      <c r="B248" s="196" t="s">
        <v>29</v>
      </c>
      <c r="C248" s="204">
        <v>0.2</v>
      </c>
      <c r="D248" s="204">
        <v>0.2</v>
      </c>
      <c r="E248" s="204">
        <v>0</v>
      </c>
      <c r="F248" s="204">
        <v>0</v>
      </c>
      <c r="G248" s="204">
        <v>0</v>
      </c>
      <c r="H248" s="204">
        <v>0</v>
      </c>
      <c r="I248" s="204">
        <v>0</v>
      </c>
      <c r="J248" s="204">
        <v>0</v>
      </c>
      <c r="K248" s="198" t="s">
        <v>341</v>
      </c>
      <c r="L248" s="13"/>
      <c r="M248" s="13"/>
      <c r="N248" s="13"/>
      <c r="O248" s="13"/>
      <c r="P248" s="13"/>
      <c r="Q248" s="13"/>
      <c r="R248" s="13"/>
      <c r="S248" s="13"/>
    </row>
    <row r="249" spans="2:19">
      <c r="B249" s="196" t="s">
        <v>30</v>
      </c>
      <c r="C249" s="204">
        <v>2.1999999999999999E-2</v>
      </c>
      <c r="D249" s="204">
        <v>2.1999999999999999E-2</v>
      </c>
      <c r="E249" s="204">
        <v>0</v>
      </c>
      <c r="F249" s="204">
        <v>0</v>
      </c>
      <c r="G249" s="204">
        <v>0</v>
      </c>
      <c r="H249" s="204">
        <v>0</v>
      </c>
      <c r="I249" s="204">
        <v>0</v>
      </c>
      <c r="J249" s="204">
        <v>0</v>
      </c>
      <c r="K249" s="198" t="s">
        <v>343</v>
      </c>
      <c r="L249" s="13"/>
      <c r="M249" s="13"/>
      <c r="N249" s="13"/>
      <c r="O249" s="13"/>
      <c r="P249" s="13"/>
      <c r="Q249" s="13"/>
      <c r="R249" s="13"/>
      <c r="S249" s="13"/>
    </row>
    <row r="250" spans="2:19">
      <c r="B250" s="196" t="s">
        <v>53</v>
      </c>
      <c r="C250" s="204">
        <v>0.13</v>
      </c>
      <c r="D250" s="204">
        <v>0.13</v>
      </c>
      <c r="E250" s="204">
        <v>0.13</v>
      </c>
      <c r="F250" s="204">
        <v>0.13</v>
      </c>
      <c r="G250" s="204">
        <v>0.13</v>
      </c>
      <c r="H250" s="204">
        <v>0.13</v>
      </c>
      <c r="I250" s="204">
        <v>0.13</v>
      </c>
      <c r="J250" s="204">
        <v>0.13</v>
      </c>
      <c r="K250" s="198" t="s">
        <v>534</v>
      </c>
      <c r="L250" s="13"/>
      <c r="M250" s="13"/>
      <c r="N250" s="13"/>
      <c r="O250" s="13"/>
      <c r="P250" s="13"/>
      <c r="Q250" s="13"/>
      <c r="R250" s="13"/>
      <c r="S250" s="13"/>
    </row>
    <row r="251" spans="2:19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</row>
    <row r="252" spans="2:19" ht="18" thickBot="1">
      <c r="B252" s="212" t="s">
        <v>21</v>
      </c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</row>
    <row r="253" spans="2:19" ht="15.75" thickTop="1">
      <c r="B253" s="198" t="s">
        <v>344</v>
      </c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</row>
    <row r="254" spans="2:19">
      <c r="B254" s="363" t="s">
        <v>348</v>
      </c>
      <c r="C254" s="364"/>
      <c r="D254" s="202">
        <f>YEAR(Начало_инвест)</f>
        <v>2023</v>
      </c>
      <c r="E254" s="202">
        <f t="shared" ref="E254:K254" si="158">D254+1</f>
        <v>2024</v>
      </c>
      <c r="F254" s="202">
        <f t="shared" si="158"/>
        <v>2025</v>
      </c>
      <c r="G254" s="202">
        <f t="shared" si="158"/>
        <v>2026</v>
      </c>
      <c r="H254" s="202">
        <f t="shared" si="158"/>
        <v>2027</v>
      </c>
      <c r="I254" s="202">
        <f t="shared" si="158"/>
        <v>2028</v>
      </c>
      <c r="J254" s="202">
        <f t="shared" si="158"/>
        <v>2029</v>
      </c>
      <c r="K254" s="202">
        <f t="shared" si="158"/>
        <v>2030</v>
      </c>
      <c r="L254" s="13"/>
      <c r="M254" s="13"/>
      <c r="N254" s="13"/>
      <c r="O254" s="13"/>
      <c r="P254" s="13"/>
      <c r="Q254" s="13"/>
      <c r="R254" s="13"/>
      <c r="S254" s="13"/>
    </row>
    <row r="255" spans="2:19">
      <c r="B255" s="377" t="str">
        <f>"Предельная сумма ФОТ, "&amp;Ед_измерения_денег</f>
        <v>Предельная сумма ФОТ,  руб.</v>
      </c>
      <c r="C255" s="378"/>
      <c r="D255" s="252">
        <v>1917000</v>
      </c>
      <c r="E255" s="252">
        <v>1917000</v>
      </c>
      <c r="F255" s="252">
        <v>1917000</v>
      </c>
      <c r="G255" s="252">
        <v>1917000</v>
      </c>
      <c r="H255" s="252">
        <v>1917000</v>
      </c>
      <c r="I255" s="252">
        <v>1917000</v>
      </c>
      <c r="J255" s="252">
        <v>1917000</v>
      </c>
      <c r="K255" s="252">
        <v>1917000</v>
      </c>
      <c r="L255" s="198" t="s">
        <v>349</v>
      </c>
      <c r="M255" s="13"/>
      <c r="N255" s="13"/>
      <c r="O255" s="13"/>
      <c r="P255" s="13"/>
      <c r="Q255" s="13"/>
      <c r="R255" s="13"/>
      <c r="S255" s="13"/>
    </row>
    <row r="256" spans="2:19">
      <c r="B256" s="377" t="s">
        <v>345</v>
      </c>
      <c r="C256" s="378"/>
      <c r="D256" s="204">
        <v>0.3</v>
      </c>
      <c r="E256" s="204">
        <v>0.3</v>
      </c>
      <c r="F256" s="204">
        <v>0.3</v>
      </c>
      <c r="G256" s="204">
        <v>0.3</v>
      </c>
      <c r="H256" s="204">
        <v>0.3</v>
      </c>
      <c r="I256" s="204">
        <v>0.3</v>
      </c>
      <c r="J256" s="204">
        <v>0.3</v>
      </c>
      <c r="K256" s="204">
        <v>0.3</v>
      </c>
      <c r="L256" s="198" t="s">
        <v>350</v>
      </c>
      <c r="M256" s="13"/>
      <c r="N256" s="13"/>
      <c r="O256" s="13"/>
      <c r="P256" s="13"/>
      <c r="Q256" s="13"/>
      <c r="R256" s="13"/>
      <c r="S256" s="13"/>
    </row>
    <row r="257" spans="2:19">
      <c r="B257" s="377" t="s">
        <v>346</v>
      </c>
      <c r="C257" s="378"/>
      <c r="D257" s="204">
        <v>0.151</v>
      </c>
      <c r="E257" s="204">
        <v>0.151</v>
      </c>
      <c r="F257" s="204">
        <v>0.151</v>
      </c>
      <c r="G257" s="204">
        <v>0.151</v>
      </c>
      <c r="H257" s="204">
        <v>0.151</v>
      </c>
      <c r="I257" s="204">
        <v>0.151</v>
      </c>
      <c r="J257" s="204">
        <v>0.151</v>
      </c>
      <c r="K257" s="204">
        <v>0.151</v>
      </c>
      <c r="L257" s="198" t="s">
        <v>351</v>
      </c>
      <c r="M257" s="13"/>
      <c r="N257" s="13"/>
      <c r="O257" s="13"/>
      <c r="P257" s="13"/>
      <c r="Q257" s="13"/>
      <c r="R257" s="13"/>
      <c r="S257" s="13"/>
    </row>
    <row r="258" spans="2:19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</row>
    <row r="259" spans="2:19" ht="20.25" thickBot="1">
      <c r="B259" s="26" t="s">
        <v>32</v>
      </c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</row>
    <row r="260" spans="2:19" ht="15.75" thickTop="1">
      <c r="B260" s="25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</row>
    <row r="261" spans="2:19" ht="18" thickBot="1">
      <c r="B261" s="212" t="s">
        <v>547</v>
      </c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</row>
    <row r="262" spans="2:19" ht="15.75" thickTop="1">
      <c r="B262" s="198" t="s">
        <v>352</v>
      </c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</row>
    <row r="263" spans="2:19">
      <c r="B263" s="363" t="s">
        <v>347</v>
      </c>
      <c r="C263" s="364"/>
      <c r="D263" s="202">
        <f>YEAR(Начало_инвест)</f>
        <v>2023</v>
      </c>
      <c r="E263" s="202">
        <f t="shared" ref="E263:K263" si="159">D263+1</f>
        <v>2024</v>
      </c>
      <c r="F263" s="202">
        <f t="shared" si="159"/>
        <v>2025</v>
      </c>
      <c r="G263" s="202">
        <f t="shared" si="159"/>
        <v>2026</v>
      </c>
      <c r="H263" s="202">
        <f t="shared" si="159"/>
        <v>2027</v>
      </c>
      <c r="I263" s="202">
        <f t="shared" si="159"/>
        <v>2028</v>
      </c>
      <c r="J263" s="202">
        <f t="shared" si="159"/>
        <v>2029</v>
      </c>
      <c r="K263" s="202">
        <f t="shared" si="159"/>
        <v>2030</v>
      </c>
      <c r="L263" s="13"/>
      <c r="M263" s="13"/>
      <c r="N263" s="13"/>
      <c r="O263" s="13"/>
      <c r="P263" s="13"/>
      <c r="Q263" s="13"/>
      <c r="R263" s="13"/>
      <c r="S263" s="13"/>
    </row>
    <row r="264" spans="2:19">
      <c r="B264" s="377" t="s">
        <v>545</v>
      </c>
      <c r="C264" s="378"/>
      <c r="D264" s="252">
        <v>21</v>
      </c>
      <c r="E264" s="252">
        <v>21</v>
      </c>
      <c r="F264" s="252">
        <v>21</v>
      </c>
      <c r="G264" s="252">
        <v>21</v>
      </c>
      <c r="H264" s="252">
        <v>21</v>
      </c>
      <c r="I264" s="252">
        <v>21</v>
      </c>
      <c r="J264" s="252">
        <v>21</v>
      </c>
      <c r="K264" s="252">
        <v>21</v>
      </c>
      <c r="L264" s="13"/>
      <c r="M264" s="13"/>
      <c r="N264" s="13"/>
      <c r="O264" s="13"/>
      <c r="P264" s="13"/>
      <c r="Q264" s="13"/>
      <c r="R264" s="13"/>
      <c r="S264" s="13"/>
    </row>
    <row r="265" spans="2:19">
      <c r="B265" s="377" t="s">
        <v>34</v>
      </c>
      <c r="C265" s="378"/>
      <c r="D265" s="252">
        <v>30</v>
      </c>
      <c r="E265" s="252">
        <v>30</v>
      </c>
      <c r="F265" s="252">
        <v>30</v>
      </c>
      <c r="G265" s="252">
        <v>30</v>
      </c>
      <c r="H265" s="252">
        <v>30</v>
      </c>
      <c r="I265" s="252">
        <v>30</v>
      </c>
      <c r="J265" s="252">
        <v>30</v>
      </c>
      <c r="K265" s="252">
        <v>30</v>
      </c>
      <c r="L265" s="13"/>
      <c r="M265" s="13"/>
      <c r="N265" s="13"/>
      <c r="O265" s="13"/>
      <c r="P265" s="13"/>
      <c r="Q265" s="13"/>
      <c r="R265" s="13"/>
      <c r="S265" s="13"/>
    </row>
    <row r="266" spans="2:19">
      <c r="B266" s="377" t="s">
        <v>35</v>
      </c>
      <c r="C266" s="378"/>
      <c r="D266" s="252">
        <v>20</v>
      </c>
      <c r="E266" s="252">
        <v>20</v>
      </c>
      <c r="F266" s="252">
        <v>20</v>
      </c>
      <c r="G266" s="252">
        <v>20</v>
      </c>
      <c r="H266" s="252">
        <v>20</v>
      </c>
      <c r="I266" s="252">
        <v>20</v>
      </c>
      <c r="J266" s="252">
        <v>20</v>
      </c>
      <c r="K266" s="252">
        <v>20</v>
      </c>
      <c r="L266" s="13"/>
      <c r="M266" s="13"/>
      <c r="N266" s="13"/>
      <c r="O266" s="13"/>
      <c r="P266" s="13"/>
      <c r="Q266" s="13"/>
      <c r="R266" s="13"/>
      <c r="S266" s="13"/>
    </row>
    <row r="267" spans="2:19"/>
    <row r="268" spans="2:19"/>
    <row r="269" spans="2:19"/>
    <row r="270" spans="2:19"/>
    <row r="271" spans="2:19"/>
    <row r="272" spans="2:19"/>
    <row r="273"/>
    <row r="274"/>
  </sheetData>
  <sheetProtection algorithmName="SHA-512" hashValue="iJ2/tmpxk4FjVarB+ykzJVrxh/J9OsnP1HrFBYq/tWqMbbymjv9NvzLN4Q6UU4ZlFSoBEW5cQyh0VIAAR+aKYg==" saltValue="t6SbdwmrW/55jEyzyBb0QQ==" spinCount="100000" sheet="1" objects="1" scenarios="1" selectLockedCells="1"/>
  <mergeCells count="211">
    <mergeCell ref="C7:F7"/>
    <mergeCell ref="C8:F8"/>
    <mergeCell ref="B40:C40"/>
    <mergeCell ref="C44:D44"/>
    <mergeCell ref="C45:D45"/>
    <mergeCell ref="C46:D46"/>
    <mergeCell ref="C52:D52"/>
    <mergeCell ref="B66:B67"/>
    <mergeCell ref="C66:D66"/>
    <mergeCell ref="B12:M33"/>
    <mergeCell ref="B35:C35"/>
    <mergeCell ref="B36:C36"/>
    <mergeCell ref="B37:C37"/>
    <mergeCell ref="B38:C38"/>
    <mergeCell ref="B39:C39"/>
    <mergeCell ref="C69:D69"/>
    <mergeCell ref="F69:G69"/>
    <mergeCell ref="C70:D70"/>
    <mergeCell ref="F70:G70"/>
    <mergeCell ref="C71:D71"/>
    <mergeCell ref="F71:G71"/>
    <mergeCell ref="E66:E67"/>
    <mergeCell ref="F66:G66"/>
    <mergeCell ref="I66:I67"/>
    <mergeCell ref="C67:D67"/>
    <mergeCell ref="F67:G67"/>
    <mergeCell ref="C68:D68"/>
    <mergeCell ref="F68:G68"/>
    <mergeCell ref="B81:G82"/>
    <mergeCell ref="B88:B89"/>
    <mergeCell ref="C88:D88"/>
    <mergeCell ref="E88:E89"/>
    <mergeCell ref="F88:G88"/>
    <mergeCell ref="I88:I89"/>
    <mergeCell ref="C89:D89"/>
    <mergeCell ref="F89:G89"/>
    <mergeCell ref="C72:D72"/>
    <mergeCell ref="F72:G72"/>
    <mergeCell ref="C73:D73"/>
    <mergeCell ref="F73:G73"/>
    <mergeCell ref="C74:D74"/>
    <mergeCell ref="F74:G74"/>
    <mergeCell ref="C93:D93"/>
    <mergeCell ref="F93:G93"/>
    <mergeCell ref="C94:D94"/>
    <mergeCell ref="F94:G94"/>
    <mergeCell ref="C95:D95"/>
    <mergeCell ref="F95:G95"/>
    <mergeCell ref="C90:D90"/>
    <mergeCell ref="F90:G90"/>
    <mergeCell ref="C91:D91"/>
    <mergeCell ref="F91:G91"/>
    <mergeCell ref="C92:D92"/>
    <mergeCell ref="F92:G92"/>
    <mergeCell ref="C111:D111"/>
    <mergeCell ref="F111:G111"/>
    <mergeCell ref="C112:D112"/>
    <mergeCell ref="F112:G112"/>
    <mergeCell ref="C113:D113"/>
    <mergeCell ref="F113:G113"/>
    <mergeCell ref="C96:D96"/>
    <mergeCell ref="F96:G96"/>
    <mergeCell ref="B99:G101"/>
    <mergeCell ref="B109:B110"/>
    <mergeCell ref="C109:D109"/>
    <mergeCell ref="E109:E110"/>
    <mergeCell ref="F109:G109"/>
    <mergeCell ref="C110:D110"/>
    <mergeCell ref="F110:G110"/>
    <mergeCell ref="C117:D117"/>
    <mergeCell ref="F117:G117"/>
    <mergeCell ref="C118:D118"/>
    <mergeCell ref="F118:G118"/>
    <mergeCell ref="C119:D119"/>
    <mergeCell ref="F119:G119"/>
    <mergeCell ref="C114:D114"/>
    <mergeCell ref="F114:G114"/>
    <mergeCell ref="C115:D115"/>
    <mergeCell ref="F115:G115"/>
    <mergeCell ref="C116:D116"/>
    <mergeCell ref="F116:G116"/>
    <mergeCell ref="C120:D120"/>
    <mergeCell ref="F120:G120"/>
    <mergeCell ref="C121:D121"/>
    <mergeCell ref="F121:G121"/>
    <mergeCell ref="B125:B126"/>
    <mergeCell ref="C125:D125"/>
    <mergeCell ref="E125:E126"/>
    <mergeCell ref="F125:G125"/>
    <mergeCell ref="C126:D126"/>
    <mergeCell ref="F126:G126"/>
    <mergeCell ref="F127:G127"/>
    <mergeCell ref="C128:D128"/>
    <mergeCell ref="F128:G128"/>
    <mergeCell ref="C129:D129"/>
    <mergeCell ref="F129:G129"/>
    <mergeCell ref="C130:D130"/>
    <mergeCell ref="F130:G130"/>
    <mergeCell ref="C127:D127"/>
    <mergeCell ref="C131:D131"/>
    <mergeCell ref="B143:B144"/>
    <mergeCell ref="C143:D143"/>
    <mergeCell ref="E143:E144"/>
    <mergeCell ref="F143:G143"/>
    <mergeCell ref="C144:D144"/>
    <mergeCell ref="F131:G131"/>
    <mergeCell ref="C132:D132"/>
    <mergeCell ref="F132:G132"/>
    <mergeCell ref="C133:D133"/>
    <mergeCell ref="F133:G133"/>
    <mergeCell ref="C134:D134"/>
    <mergeCell ref="F134:G134"/>
    <mergeCell ref="C135:D135"/>
    <mergeCell ref="F144:G144"/>
    <mergeCell ref="C145:D145"/>
    <mergeCell ref="F145:G145"/>
    <mergeCell ref="C146:D146"/>
    <mergeCell ref="F146:G146"/>
    <mergeCell ref="C147:D147"/>
    <mergeCell ref="F147:G147"/>
    <mergeCell ref="F135:G135"/>
    <mergeCell ref="C136:D136"/>
    <mergeCell ref="F136:G136"/>
    <mergeCell ref="C137:D137"/>
    <mergeCell ref="F137:G137"/>
    <mergeCell ref="C151:D151"/>
    <mergeCell ref="F151:G151"/>
    <mergeCell ref="C152:D152"/>
    <mergeCell ref="F152:G152"/>
    <mergeCell ref="C153:D153"/>
    <mergeCell ref="F153:G153"/>
    <mergeCell ref="C148:D148"/>
    <mergeCell ref="F148:G148"/>
    <mergeCell ref="C149:D149"/>
    <mergeCell ref="F149:G149"/>
    <mergeCell ref="C150:D150"/>
    <mergeCell ref="F150:G150"/>
    <mergeCell ref="C160:D160"/>
    <mergeCell ref="F160:G160"/>
    <mergeCell ref="C161:D161"/>
    <mergeCell ref="F161:G161"/>
    <mergeCell ref="C162:D162"/>
    <mergeCell ref="F162:G162"/>
    <mergeCell ref="C154:D154"/>
    <mergeCell ref="F154:G154"/>
    <mergeCell ref="B158:B159"/>
    <mergeCell ref="C158:D158"/>
    <mergeCell ref="E158:E159"/>
    <mergeCell ref="F158:G158"/>
    <mergeCell ref="C159:D159"/>
    <mergeCell ref="F159:G159"/>
    <mergeCell ref="C170:D170"/>
    <mergeCell ref="F170:G170"/>
    <mergeCell ref="C171:D171"/>
    <mergeCell ref="F171:G171"/>
    <mergeCell ref="C172:D172"/>
    <mergeCell ref="F172:G172"/>
    <mergeCell ref="B168:B169"/>
    <mergeCell ref="C168:D168"/>
    <mergeCell ref="E168:E169"/>
    <mergeCell ref="F168:G168"/>
    <mergeCell ref="C169:D169"/>
    <mergeCell ref="F169:G169"/>
    <mergeCell ref="C176:D176"/>
    <mergeCell ref="F176:G176"/>
    <mergeCell ref="C177:D177"/>
    <mergeCell ref="F177:G177"/>
    <mergeCell ref="C178:D178"/>
    <mergeCell ref="F178:G178"/>
    <mergeCell ref="C173:D173"/>
    <mergeCell ref="F173:G173"/>
    <mergeCell ref="C174:D174"/>
    <mergeCell ref="F174:G174"/>
    <mergeCell ref="C175:D175"/>
    <mergeCell ref="F175:G175"/>
    <mergeCell ref="B205:C205"/>
    <mergeCell ref="B206:C206"/>
    <mergeCell ref="B207:C207"/>
    <mergeCell ref="B210:C210"/>
    <mergeCell ref="B211:C211"/>
    <mergeCell ref="B212:C212"/>
    <mergeCell ref="B184:B185"/>
    <mergeCell ref="C184:C185"/>
    <mergeCell ref="D184:J184"/>
    <mergeCell ref="B192:B193"/>
    <mergeCell ref="B202:C202"/>
    <mergeCell ref="I203:I204"/>
    <mergeCell ref="B257:C257"/>
    <mergeCell ref="B263:C263"/>
    <mergeCell ref="B264:C264"/>
    <mergeCell ref="B265:C265"/>
    <mergeCell ref="B266:C266"/>
    <mergeCell ref="E1:G2"/>
    <mergeCell ref="B234:C234"/>
    <mergeCell ref="B235:C235"/>
    <mergeCell ref="B236:C236"/>
    <mergeCell ref="B254:C254"/>
    <mergeCell ref="B255:C255"/>
    <mergeCell ref="B256:C256"/>
    <mergeCell ref="B225:C225"/>
    <mergeCell ref="B226:C226"/>
    <mergeCell ref="B227:C227"/>
    <mergeCell ref="B228:C228"/>
    <mergeCell ref="B229:C229"/>
    <mergeCell ref="B230:C230"/>
    <mergeCell ref="B214:C214"/>
    <mergeCell ref="B215:C215"/>
    <mergeCell ref="B221:C221"/>
    <mergeCell ref="B222:C222"/>
    <mergeCell ref="B223:C223"/>
    <mergeCell ref="B224:C224"/>
  </mergeCells>
  <conditionalFormatting sqref="C52:D52">
    <cfRule type="expression" dxfId="42" priority="11">
      <formula>$C$52="ошибка!"</formula>
    </cfRule>
  </conditionalFormatting>
  <conditionalFormatting sqref="I68:I73">
    <cfRule type="expression" dxfId="41" priority="6">
      <formula>OR(AND($I68&lt;&gt;1,$F68&lt;&gt;0),AND($I68&lt;&gt;0,$F68=0))</formula>
    </cfRule>
  </conditionalFormatting>
  <conditionalFormatting sqref="I90:I95">
    <cfRule type="expression" dxfId="40" priority="5">
      <formula>OR(AND($I90&lt;&gt;1,$F90&lt;&gt;0),AND($I90&lt;&gt;0,$F90=0))</formula>
    </cfRule>
  </conditionalFormatting>
  <conditionalFormatting sqref="J67:CO73">
    <cfRule type="expression" dxfId="39" priority="7" stopIfTrue="1">
      <formula>J$67&gt;SUM($C$50:$D$50)</formula>
    </cfRule>
    <cfRule type="expression" dxfId="38" priority="8">
      <formula>J$67&gt;$C$50</formula>
    </cfRule>
  </conditionalFormatting>
  <conditionalFormatting sqref="J89:CO95">
    <cfRule type="expression" dxfId="37" priority="9" stopIfTrue="1">
      <formula>J$89&gt;SUM($C$50:$D$50)</formula>
    </cfRule>
    <cfRule type="expression" dxfId="36" priority="10">
      <formula>J$89&gt;$C$50</formula>
    </cfRule>
  </conditionalFormatting>
  <conditionalFormatting sqref="I205:I206">
    <cfRule type="expression" dxfId="35" priority="2">
      <formula>OR(AND($I205&lt;&gt;1,$E205&lt;&gt;0),AND($I205&lt;&gt;0,$D205=0))</formula>
    </cfRule>
  </conditionalFormatting>
  <conditionalFormatting sqref="J204:CO206">
    <cfRule type="expression" dxfId="34" priority="3" stopIfTrue="1">
      <formula>J$67&gt;SUM($C$50:$D$50)</formula>
    </cfRule>
    <cfRule type="expression" dxfId="33" priority="4">
      <formula>J$67&gt;$C$50</formula>
    </cfRule>
  </conditionalFormatting>
  <conditionalFormatting sqref="K1:K2">
    <cfRule type="expression" dxfId="32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8" tint="0.79998168889431442"/>
  </sheetPr>
  <dimension ref="A1:M99"/>
  <sheetViews>
    <sheetView showGridLines="0" zoomScaleNormal="100" workbookViewId="0">
      <pane ySplit="6" topLeftCell="A81" activePane="bottomLeft" state="frozen"/>
      <selection activeCell="D18" sqref="D18"/>
      <selection pane="bottomLeft" activeCell="F21" sqref="F21"/>
    </sheetView>
  </sheetViews>
  <sheetFormatPr defaultColWidth="0" defaultRowHeight="15" zeroHeight="1"/>
  <cols>
    <col min="1" max="1" width="2.42578125" customWidth="1"/>
    <col min="2" max="2" width="21.42578125" customWidth="1"/>
    <col min="3" max="3" width="11.5703125" customWidth="1"/>
    <col min="4" max="4" width="13.42578125" customWidth="1"/>
    <col min="5" max="5" width="15.140625" customWidth="1"/>
    <col min="6" max="6" width="14.85546875" customWidth="1"/>
    <col min="7" max="8" width="15" bestFit="1" customWidth="1"/>
    <col min="9" max="9" width="1.140625" customWidth="1"/>
    <col min="10" max="10" width="18" bestFit="1" customWidth="1"/>
    <col min="11" max="11" width="12.5703125" customWidth="1"/>
    <col min="12" max="12" width="15.85546875" bestFit="1" customWidth="1"/>
    <col min="13" max="13" width="9.140625" customWidth="1"/>
    <col min="14" max="16384" width="9.140625" hidden="1"/>
  </cols>
  <sheetData>
    <row r="1" spans="2:12" ht="12" customHeight="1">
      <c r="E1" s="379" t="s">
        <v>183</v>
      </c>
      <c r="F1" s="379"/>
      <c r="G1" s="379"/>
      <c r="H1" s="72"/>
      <c r="I1" s="72"/>
      <c r="J1" s="211" t="s">
        <v>264</v>
      </c>
      <c r="K1" s="73"/>
      <c r="L1" s="211" t="s">
        <v>515</v>
      </c>
    </row>
    <row r="2" spans="2:12" ht="12.75" customHeight="1">
      <c r="E2" s="379"/>
      <c r="F2" s="379"/>
      <c r="G2" s="379"/>
      <c r="H2" s="72"/>
      <c r="I2" s="72"/>
      <c r="J2" s="211" t="str">
        <f>Сценарий_название</f>
        <v>Базовый</v>
      </c>
      <c r="K2" s="73"/>
      <c r="L2" s="211" t="str">
        <f ca="1">IF(Сигналы!$E$20=1,"пройдена","ошибка!")</f>
        <v>пройдена</v>
      </c>
    </row>
    <row r="3" spans="2:12" ht="12.75" customHeight="1"/>
    <row r="4" spans="2:12" ht="12.75" customHeight="1"/>
    <row r="5" spans="2:12" ht="12.75" customHeight="1"/>
    <row r="6" spans="2:12" ht="23.25">
      <c r="B6" s="10" t="s">
        <v>190</v>
      </c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2:12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2:12" ht="20.25" thickBot="1">
      <c r="B8" s="26" t="s">
        <v>506</v>
      </c>
      <c r="C8" s="26"/>
      <c r="D8" s="26"/>
      <c r="E8" s="26"/>
      <c r="F8" s="26"/>
      <c r="G8" s="26"/>
      <c r="H8" s="26"/>
      <c r="I8" s="26"/>
      <c r="J8" s="26"/>
      <c r="K8" s="26"/>
      <c r="L8" s="26"/>
    </row>
    <row r="9" spans="2:12" ht="15.75" thickTop="1"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</row>
    <row r="10" spans="2:12" ht="15" customHeight="1">
      <c r="B10" s="196" t="s">
        <v>172</v>
      </c>
      <c r="C10" s="197" t="s">
        <v>178</v>
      </c>
      <c r="D10" s="198" t="s">
        <v>519</v>
      </c>
      <c r="E10" s="195"/>
      <c r="F10" s="195"/>
      <c r="G10" s="195"/>
      <c r="H10" s="195"/>
      <c r="I10" s="195"/>
      <c r="J10" s="195"/>
      <c r="K10" s="195"/>
      <c r="L10" s="195"/>
    </row>
    <row r="11" spans="2:12">
      <c r="B11" s="196" t="s">
        <v>171</v>
      </c>
      <c r="C11" s="199">
        <f>IFERROR(INDEX(Сценарий_номера,1,MATCH(Сценарий_название,D16:F16,0)),1)</f>
        <v>1</v>
      </c>
      <c r="D11" s="195"/>
      <c r="E11" s="195"/>
      <c r="F11" s="195"/>
      <c r="G11" s="195"/>
      <c r="H11" s="195"/>
      <c r="I11" s="195"/>
      <c r="J11" s="195"/>
      <c r="K11" s="195"/>
      <c r="L11" s="195"/>
    </row>
    <row r="12" spans="2:12"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</row>
    <row r="13" spans="2:12" ht="20.25" thickBot="1">
      <c r="B13" s="26" t="s">
        <v>507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</row>
    <row r="14" spans="2:12" ht="15.75" thickTop="1">
      <c r="B14" s="198" t="s">
        <v>508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2:12">
      <c r="B15" s="377" t="s">
        <v>171</v>
      </c>
      <c r="C15" s="378"/>
      <c r="D15" s="202">
        <v>1</v>
      </c>
      <c r="E15" s="202">
        <v>2</v>
      </c>
      <c r="F15" s="202">
        <v>3</v>
      </c>
      <c r="G15" s="195"/>
      <c r="H15" s="417" t="s">
        <v>514</v>
      </c>
      <c r="I15" s="417"/>
      <c r="J15" s="418"/>
      <c r="K15" s="418"/>
      <c r="L15" s="418"/>
    </row>
    <row r="16" spans="2:12">
      <c r="B16" s="377" t="s">
        <v>172</v>
      </c>
      <c r="C16" s="378"/>
      <c r="D16" s="199" t="s">
        <v>178</v>
      </c>
      <c r="E16" s="197" t="s">
        <v>175</v>
      </c>
      <c r="F16" s="197" t="s">
        <v>176</v>
      </c>
      <c r="G16" s="195"/>
      <c r="H16" s="418"/>
      <c r="I16" s="418"/>
      <c r="J16" s="418"/>
      <c r="K16" s="418"/>
      <c r="L16" s="418"/>
    </row>
    <row r="17" spans="2:12">
      <c r="B17" s="377" t="s">
        <v>173</v>
      </c>
      <c r="C17" s="378"/>
      <c r="D17" s="203">
        <v>0</v>
      </c>
      <c r="E17" s="204">
        <v>0.05</v>
      </c>
      <c r="F17" s="204">
        <v>-0.05</v>
      </c>
      <c r="G17" s="195"/>
      <c r="H17" s="418"/>
      <c r="I17" s="418"/>
      <c r="J17" s="418"/>
      <c r="K17" s="418"/>
      <c r="L17" s="418"/>
    </row>
    <row r="18" spans="2:12">
      <c r="B18" s="377" t="s">
        <v>174</v>
      </c>
      <c r="C18" s="378"/>
      <c r="D18" s="203">
        <v>0</v>
      </c>
      <c r="E18" s="204">
        <v>0.02</v>
      </c>
      <c r="F18" s="204">
        <v>-0.02</v>
      </c>
      <c r="G18" s="195"/>
      <c r="H18" s="418"/>
      <c r="I18" s="418"/>
      <c r="J18" s="418"/>
      <c r="K18" s="418"/>
      <c r="L18" s="418"/>
    </row>
    <row r="19" spans="2:12">
      <c r="B19" s="377" t="s">
        <v>232</v>
      </c>
      <c r="C19" s="378"/>
      <c r="D19" s="203">
        <v>0</v>
      </c>
      <c r="E19" s="204">
        <v>-0.02</v>
      </c>
      <c r="F19" s="204">
        <v>0.02</v>
      </c>
      <c r="G19" s="195"/>
      <c r="H19" s="418"/>
      <c r="I19" s="418"/>
      <c r="J19" s="418"/>
      <c r="K19" s="418"/>
      <c r="L19" s="418"/>
    </row>
    <row r="20" spans="2:12">
      <c r="B20" s="377" t="s">
        <v>233</v>
      </c>
      <c r="C20" s="378"/>
      <c r="D20" s="203">
        <v>0</v>
      </c>
      <c r="E20" s="204">
        <v>-0.02</v>
      </c>
      <c r="F20" s="204">
        <v>0.02</v>
      </c>
      <c r="G20" s="195"/>
      <c r="H20" s="418"/>
      <c r="I20" s="418"/>
      <c r="J20" s="418"/>
      <c r="K20" s="418"/>
      <c r="L20" s="418"/>
    </row>
    <row r="21" spans="2:12">
      <c r="B21" s="377" t="s">
        <v>16</v>
      </c>
      <c r="C21" s="378"/>
      <c r="D21" s="203">
        <v>0</v>
      </c>
      <c r="E21" s="204">
        <v>-0.02</v>
      </c>
      <c r="F21" s="204">
        <v>0.02</v>
      </c>
      <c r="G21" s="195"/>
      <c r="H21" s="418"/>
      <c r="I21" s="418"/>
      <c r="J21" s="418"/>
      <c r="K21" s="418"/>
      <c r="L21" s="418"/>
    </row>
    <row r="22" spans="2:12">
      <c r="B22" s="377" t="s">
        <v>54</v>
      </c>
      <c r="C22" s="378"/>
      <c r="D22" s="203">
        <v>0</v>
      </c>
      <c r="E22" s="204">
        <v>-0.05</v>
      </c>
      <c r="F22" s="204">
        <v>0.05</v>
      </c>
      <c r="G22" s="195"/>
      <c r="H22" s="418"/>
      <c r="I22" s="418"/>
      <c r="J22" s="418"/>
      <c r="K22" s="418"/>
      <c r="L22" s="418"/>
    </row>
    <row r="23" spans="2:12">
      <c r="B23" s="377" t="s">
        <v>276</v>
      </c>
      <c r="C23" s="378"/>
      <c r="D23" s="203">
        <v>0</v>
      </c>
      <c r="E23" s="204">
        <v>-0.05</v>
      </c>
      <c r="F23" s="204">
        <v>0.05</v>
      </c>
      <c r="G23" s="195"/>
      <c r="H23" s="418"/>
      <c r="I23" s="418"/>
      <c r="J23" s="418"/>
      <c r="K23" s="418"/>
      <c r="L23" s="418"/>
    </row>
    <row r="24" spans="2:12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</row>
    <row r="25" spans="2:12" ht="20.25" thickBot="1">
      <c r="B25" s="26" t="s">
        <v>509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</row>
    <row r="26" spans="2:12" ht="15.75" thickTop="1"/>
    <row r="27" spans="2:12" ht="15" customHeight="1">
      <c r="B27" s="363" t="s">
        <v>347</v>
      </c>
      <c r="C27" s="386"/>
      <c r="D27" s="364"/>
      <c r="E27" s="206" t="s">
        <v>512</v>
      </c>
      <c r="F27" s="206" t="str">
        <f t="array" ref="F27:H27">D16:F16</f>
        <v>Базовый</v>
      </c>
      <c r="G27" s="206" t="str">
        <v>Оптимист</v>
      </c>
      <c r="H27" s="206" t="str">
        <v>Пессимист</v>
      </c>
      <c r="J27" s="417" t="s">
        <v>513</v>
      </c>
      <c r="K27" s="417"/>
      <c r="L27" s="417"/>
    </row>
    <row r="28" spans="2:12" ht="12.75" customHeight="1">
      <c r="B28" s="27" t="str">
        <f>"Выручка (суммарно), в "&amp;Ед_измерения_денег</f>
        <v>Выручка (суммарно), в  руб.</v>
      </c>
      <c r="C28" s="28"/>
      <c r="D28" s="4"/>
      <c r="E28" s="207">
        <f ca="1">Отчетность_по_годам!D18</f>
        <v>11534929222.630032</v>
      </c>
      <c r="F28" s="207">
        <f t="dataTable" ref="F28:H37" dt2D="0" dtr="1" r1="C10" ca="1"/>
        <v>11534929222.630032</v>
      </c>
      <c r="G28" s="207">
        <v>12353909197.436762</v>
      </c>
      <c r="H28" s="207">
        <v>10739019106.26856</v>
      </c>
      <c r="J28" s="417"/>
      <c r="K28" s="417"/>
      <c r="L28" s="417"/>
    </row>
    <row r="29" spans="2:12">
      <c r="B29" s="27" t="str">
        <f>"EBITDA (суммарно), в "&amp;Ед_измерения_денег</f>
        <v>EBITDA (суммарно), в  руб.</v>
      </c>
      <c r="C29" s="28"/>
      <c r="D29" s="4"/>
      <c r="E29" s="207">
        <f ca="1">Отчетность_по_годам!D28</f>
        <v>5366621073.6345043</v>
      </c>
      <c r="F29" s="207">
        <v>5366621073.6345043</v>
      </c>
      <c r="G29" s="207">
        <v>6044629483.4864578</v>
      </c>
      <c r="H29" s="207">
        <v>4721622319.1513376</v>
      </c>
      <c r="J29" s="417"/>
      <c r="K29" s="417"/>
      <c r="L29" s="417"/>
    </row>
    <row r="30" spans="2:12">
      <c r="B30" s="27" t="str">
        <f>"Чистая прибыль (суммарно), в "&amp;Ед_измерения_денег</f>
        <v>Чистая прибыль (суммарно), в  руб.</v>
      </c>
      <c r="C30" s="28"/>
      <c r="D30" s="4"/>
      <c r="E30" s="207">
        <f ca="1">Отчетность_по_годам!D41</f>
        <v>3961103468.1441517</v>
      </c>
      <c r="F30" s="207">
        <v>3961103468.1441517</v>
      </c>
      <c r="G30" s="207">
        <v>4642951683.7440596</v>
      </c>
      <c r="H30" s="207">
        <v>3309996462.9748669</v>
      </c>
      <c r="J30" s="417"/>
      <c r="K30" s="417"/>
      <c r="L30" s="417"/>
    </row>
    <row r="31" spans="2:12">
      <c r="B31" s="27" t="s">
        <v>510</v>
      </c>
      <c r="C31" s="28"/>
      <c r="D31" s="4"/>
      <c r="E31" s="208">
        <f ca="1">Отчетность_по_годам!D29</f>
        <v>0.4652495884505205</v>
      </c>
      <c r="F31" s="208">
        <v>0.4652495884505205</v>
      </c>
      <c r="G31" s="208">
        <v>0.48928880622990345</v>
      </c>
      <c r="H31" s="208">
        <v>0.43966979408717516</v>
      </c>
      <c r="J31" s="417"/>
      <c r="K31" s="417"/>
      <c r="L31" s="417"/>
    </row>
    <row r="32" spans="2:12">
      <c r="B32" s="27" t="s">
        <v>511</v>
      </c>
      <c r="C32" s="28"/>
      <c r="D32" s="4"/>
      <c r="E32" s="208">
        <f ca="1">Отчетность_по_годам!D42</f>
        <v>0.34340076056756219</v>
      </c>
      <c r="F32" s="208">
        <v>0.34340076056756219</v>
      </c>
      <c r="G32" s="208">
        <v>0.37582854216764017</v>
      </c>
      <c r="H32" s="208">
        <v>0.30822148933907401</v>
      </c>
      <c r="J32" s="417"/>
      <c r="K32" s="417"/>
      <c r="L32" s="417"/>
    </row>
    <row r="33" spans="2:12">
      <c r="B33" s="27" t="str">
        <f>"Чистая приведенная стоимость (общая), в "&amp;Ед_измерения_денег</f>
        <v>Чистая приведенная стоимость (общая), в  руб.</v>
      </c>
      <c r="C33" s="28"/>
      <c r="D33" s="4"/>
      <c r="E33" s="207">
        <f ca="1">Оценка!F57</f>
        <v>9361946480.9014187</v>
      </c>
      <c r="F33" s="207">
        <v>9361946480.9014187</v>
      </c>
      <c r="G33" s="207">
        <v>10797646623.209692</v>
      </c>
      <c r="H33" s="207">
        <v>7990235225.4128971</v>
      </c>
      <c r="J33" s="417"/>
      <c r="K33" s="417"/>
      <c r="L33" s="417"/>
    </row>
    <row r="34" spans="2:12">
      <c r="B34" s="27" t="s">
        <v>603</v>
      </c>
      <c r="C34" s="28"/>
      <c r="D34" s="4"/>
      <c r="E34" s="208">
        <f ca="1">Оценка!F58</f>
        <v>0.32349848151206972</v>
      </c>
      <c r="F34" s="208">
        <v>0.32349848151206972</v>
      </c>
      <c r="G34" s="208">
        <v>0.41181867718696596</v>
      </c>
      <c r="H34" s="208">
        <v>0.24031290411949155</v>
      </c>
      <c r="J34" s="417"/>
      <c r="K34" s="417"/>
      <c r="L34" s="417"/>
    </row>
    <row r="35" spans="2:12">
      <c r="B35" s="27" t="str">
        <f>"Простой период окупаемости (общая), в "&amp;Ед_измерения_периода</f>
        <v>Простой период окупаемости (общая), в мес.</v>
      </c>
      <c r="C35" s="28"/>
      <c r="D35" s="4"/>
      <c r="E35" s="209">
        <f ca="1">Оценка!F59</f>
        <v>44</v>
      </c>
      <c r="F35" s="209">
        <v>44</v>
      </c>
      <c r="G35" s="209">
        <v>41</v>
      </c>
      <c r="H35" s="209">
        <v>47</v>
      </c>
      <c r="J35" s="417"/>
      <c r="K35" s="417"/>
      <c r="L35" s="417"/>
    </row>
    <row r="36" spans="2:12">
      <c r="B36" s="27" t="str">
        <f>"Дисконтированный период окупаемости (общий), в "&amp;Ед_измерения_периода</f>
        <v>Дисконтированный период окупаемости (общий), в мес.</v>
      </c>
      <c r="C36" s="28"/>
      <c r="D36" s="4"/>
      <c r="E36" s="209">
        <f ca="1">Оценка!F60</f>
        <v>45</v>
      </c>
      <c r="F36" s="209">
        <v>45</v>
      </c>
      <c r="G36" s="209">
        <v>42</v>
      </c>
      <c r="H36" s="209">
        <v>49</v>
      </c>
      <c r="J36" s="417"/>
      <c r="K36" s="417"/>
      <c r="L36" s="417"/>
    </row>
    <row r="37" spans="2:12">
      <c r="B37" s="27" t="s">
        <v>605</v>
      </c>
      <c r="C37" s="28"/>
      <c r="D37" s="4"/>
      <c r="E37" s="210" t="str">
        <f ca="1">IF(OR(Оценка!G59="не окупается",Оценка!G60="не окупается",Оценка!G89="не окупается",Оценка!G90="не окупается"),"нет","да")</f>
        <v>да</v>
      </c>
      <c r="F37" s="210" t="str">
        <v>да</v>
      </c>
      <c r="G37" s="210" t="str">
        <v>да</v>
      </c>
      <c r="H37" s="210" t="str">
        <v>да</v>
      </c>
      <c r="J37" s="417"/>
      <c r="K37" s="417"/>
      <c r="L37" s="417"/>
    </row>
    <row r="38" spans="2:12"/>
    <row r="39" spans="2:12"/>
    <row r="40" spans="2:12"/>
    <row r="41" spans="2:12"/>
    <row r="42" spans="2:12"/>
    <row r="43" spans="2:12"/>
    <row r="44" spans="2:12"/>
    <row r="45" spans="2:12"/>
    <row r="46" spans="2:12"/>
    <row r="47" spans="2:12"/>
    <row r="48" spans="2:12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 ht="13.5" customHeight="1"/>
    <row r="93"/>
    <row r="94"/>
    <row r="95"/>
    <row r="96"/>
    <row r="97"/>
    <row r="98"/>
    <row r="99"/>
  </sheetData>
  <sheetProtection algorithmName="SHA-512" hashValue="k/LIbqe0YbUKtdYnNpSdxdVkKJkIEhis5YBYRG3Td9fB/gkIaEIV85gjhFy+1e614bVsRPajzZHM0vLAoEf7PQ==" saltValue="pRn8T03h/bPINMjjxMiqCw==" spinCount="100000" sheet="1" objects="1" scenarios="1" selectLockedCells="1"/>
  <mergeCells count="13">
    <mergeCell ref="B27:D27"/>
    <mergeCell ref="J27:L37"/>
    <mergeCell ref="E1:G2"/>
    <mergeCell ref="B15:C15"/>
    <mergeCell ref="H15:L23"/>
    <mergeCell ref="B16:C16"/>
    <mergeCell ref="B17:C17"/>
    <mergeCell ref="B18:C18"/>
    <mergeCell ref="B19:C19"/>
    <mergeCell ref="B20:C20"/>
    <mergeCell ref="B21:C21"/>
    <mergeCell ref="B22:C22"/>
    <mergeCell ref="B23:C23"/>
  </mergeCells>
  <conditionalFormatting sqref="L1:L2">
    <cfRule type="expression" dxfId="31" priority="1">
      <formula>$L$2="ошибка!"</formula>
    </cfRule>
  </conditionalFormatting>
  <dataValidations count="1">
    <dataValidation type="list" allowBlank="1" showInputMessage="1" showErrorMessage="1" errorTitle="Неверное имя сценария" error="Для выбора сценария воспользуйтесь выпадающим списком. Для изменения названия сценария работайте с таблицей ниже." sqref="C10">
      <formula1>$D$16:$F$16</formula1>
    </dataValidation>
  </dataValidations>
  <hyperlinks>
    <hyperlink ref="L1" location="Лист_Сигналы" tooltip="нажмите здесь для перехода к листу Сигналы" display="Лист_Сигналы"/>
    <hyperlink ref="L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J1:J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7" tint="0.39997558519241921"/>
  </sheetPr>
  <dimension ref="A1:CL80"/>
  <sheetViews>
    <sheetView showGridLines="0" zoomScaleNormal="100" workbookViewId="0">
      <pane xSplit="5" ySplit="10" topLeftCell="F11" activePane="bottomRight" state="frozen"/>
      <selection activeCell="D18" sqref="D18"/>
      <selection pane="topRight" activeCell="D18" sqref="D18"/>
      <selection pane="bottomLeft" activeCell="D18" sqref="D18"/>
      <selection pane="bottomRight" activeCell="K2" sqref="E1:K2"/>
    </sheetView>
  </sheetViews>
  <sheetFormatPr defaultColWidth="0" defaultRowHeight="15" zeroHeight="1"/>
  <cols>
    <col min="1" max="1" width="2.5703125" customWidth="1"/>
    <col min="2" max="2" width="28.5703125" customWidth="1"/>
    <col min="3" max="3" width="7.140625" customWidth="1"/>
    <col min="4" max="5" width="12.85546875" customWidth="1"/>
    <col min="6" max="6" width="11.140625" bestFit="1" customWidth="1"/>
    <col min="7" max="7" width="9.85546875" bestFit="1" customWidth="1"/>
    <col min="8" max="9" width="9.7109375" bestFit="1" customWidth="1"/>
    <col min="10" max="10" width="10.42578125" bestFit="1" customWidth="1"/>
    <col min="11" max="11" width="12.7109375" bestFit="1" customWidth="1"/>
    <col min="12" max="12" width="12" bestFit="1" customWidth="1"/>
    <col min="13" max="13" width="11.28515625" bestFit="1" customWidth="1"/>
    <col min="14" max="14" width="12.140625" bestFit="1" customWidth="1"/>
    <col min="15" max="15" width="11.140625" bestFit="1" customWidth="1"/>
    <col min="16" max="16" width="12.28515625" bestFit="1" customWidth="1"/>
    <col min="17" max="17" width="9.7109375" bestFit="1" customWidth="1"/>
    <col min="18" max="18" width="11.140625" bestFit="1" customWidth="1"/>
    <col min="19" max="19" width="9.85546875" bestFit="1" customWidth="1"/>
    <col min="20" max="21" width="9.7109375" bestFit="1" customWidth="1"/>
    <col min="22" max="22" width="10.42578125" bestFit="1" customWidth="1"/>
    <col min="23" max="23" width="12.7109375" bestFit="1" customWidth="1"/>
    <col min="24" max="24" width="12" bestFit="1" customWidth="1"/>
    <col min="25" max="25" width="11.28515625" bestFit="1" customWidth="1"/>
    <col min="26" max="26" width="12.140625" bestFit="1" customWidth="1"/>
    <col min="27" max="27" width="11.140625" bestFit="1" customWidth="1"/>
    <col min="28" max="28" width="12.28515625" bestFit="1" customWidth="1"/>
    <col min="29" max="29" width="9.7109375" bestFit="1" customWidth="1"/>
    <col min="30" max="30" width="11.140625" bestFit="1" customWidth="1"/>
    <col min="31" max="31" width="9.85546875" bestFit="1" customWidth="1"/>
    <col min="32" max="33" width="9.7109375" bestFit="1" customWidth="1"/>
    <col min="34" max="34" width="10.42578125" bestFit="1" customWidth="1"/>
    <col min="35" max="35" width="12.7109375" bestFit="1" customWidth="1"/>
    <col min="36" max="36" width="12" bestFit="1" customWidth="1"/>
    <col min="37" max="37" width="11.28515625" bestFit="1" customWidth="1"/>
    <col min="38" max="38" width="12.140625" bestFit="1" customWidth="1"/>
    <col min="39" max="39" width="11.140625" bestFit="1" customWidth="1"/>
    <col min="40" max="40" width="12.28515625" bestFit="1" customWidth="1"/>
    <col min="41" max="41" width="9.7109375" bestFit="1" customWidth="1"/>
    <col min="42" max="42" width="11.140625" bestFit="1" customWidth="1"/>
    <col min="43" max="43" width="9.85546875" bestFit="1" customWidth="1"/>
    <col min="44" max="45" width="9.7109375" bestFit="1" customWidth="1"/>
    <col min="46" max="46" width="10.42578125" bestFit="1" customWidth="1"/>
    <col min="47" max="47" width="12.7109375" bestFit="1" customWidth="1"/>
    <col min="48" max="48" width="12" bestFit="1" customWidth="1"/>
    <col min="49" max="49" width="11.28515625" bestFit="1" customWidth="1"/>
    <col min="50" max="50" width="12.140625" bestFit="1" customWidth="1"/>
    <col min="51" max="51" width="11.140625" bestFit="1" customWidth="1"/>
    <col min="52" max="52" width="12.28515625" bestFit="1" customWidth="1"/>
    <col min="53" max="53" width="9.7109375" bestFit="1" customWidth="1"/>
    <col min="54" max="54" width="11.140625" bestFit="1" customWidth="1"/>
    <col min="55" max="55" width="9.85546875" bestFit="1" customWidth="1"/>
    <col min="56" max="57" width="9.7109375" bestFit="1" customWidth="1"/>
    <col min="58" max="58" width="10.42578125" bestFit="1" customWidth="1"/>
    <col min="59" max="59" width="12.7109375" bestFit="1" customWidth="1"/>
    <col min="60" max="60" width="12" bestFit="1" customWidth="1"/>
    <col min="61" max="61" width="11.28515625" bestFit="1" customWidth="1"/>
    <col min="62" max="62" width="12.140625" bestFit="1" customWidth="1"/>
    <col min="63" max="63" width="11.140625" bestFit="1" customWidth="1"/>
    <col min="64" max="64" width="12.28515625" bestFit="1" customWidth="1"/>
    <col min="65" max="65" width="9.7109375" bestFit="1" customWidth="1"/>
    <col min="66" max="66" width="11.140625" bestFit="1" customWidth="1"/>
    <col min="67" max="67" width="9.85546875" bestFit="1" customWidth="1"/>
    <col min="68" max="69" width="9.7109375" bestFit="1" customWidth="1"/>
    <col min="70" max="70" width="10.42578125" bestFit="1" customWidth="1"/>
    <col min="71" max="71" width="12.7109375" bestFit="1" customWidth="1"/>
    <col min="72" max="72" width="12" bestFit="1" customWidth="1"/>
    <col min="73" max="73" width="11.28515625" bestFit="1" customWidth="1"/>
    <col min="74" max="74" width="12.140625" bestFit="1" customWidth="1"/>
    <col min="75" max="75" width="11.140625" bestFit="1" customWidth="1"/>
    <col min="76" max="76" width="12.28515625" bestFit="1" customWidth="1"/>
    <col min="77" max="77" width="9.7109375" bestFit="1" customWidth="1"/>
    <col min="78" max="78" width="11.140625" bestFit="1" customWidth="1"/>
    <col min="79" max="79" width="9.85546875" bestFit="1" customWidth="1"/>
    <col min="80" max="81" width="9.7109375" bestFit="1" customWidth="1"/>
    <col min="82" max="82" width="10.42578125" bestFit="1" customWidth="1"/>
    <col min="83" max="83" width="12.7109375" bestFit="1" customWidth="1"/>
    <col min="84" max="84" width="12" bestFit="1" customWidth="1"/>
    <col min="85" max="85" width="11.28515625" bestFit="1" customWidth="1"/>
    <col min="86" max="86" width="12.140625" bestFit="1" customWidth="1"/>
    <col min="87" max="87" width="11.140625" bestFit="1" customWidth="1"/>
    <col min="88" max="88" width="12.28515625" bestFit="1" customWidth="1"/>
    <col min="89" max="89" width="9.7109375" bestFit="1" customWidth="1"/>
    <col min="90" max="90" width="2.28515625" customWidth="1"/>
    <col min="91" max="16384" width="2.28515625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4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>
      <c r="B8" s="16" t="s">
        <v>212</v>
      </c>
      <c r="C8" s="17"/>
      <c r="D8" s="18"/>
      <c r="E8" s="19"/>
      <c r="F8" s="20">
        <f>EOMONTH(E9,0)+1</f>
        <v>45017</v>
      </c>
      <c r="G8" s="20">
        <f t="shared" ref="G8:BM8" si="0">EOMONTH(F9,0)+1</f>
        <v>45047</v>
      </c>
      <c r="H8" s="20">
        <f t="shared" si="0"/>
        <v>45078</v>
      </c>
      <c r="I8" s="20">
        <f t="shared" si="0"/>
        <v>45108</v>
      </c>
      <c r="J8" s="20">
        <f t="shared" si="0"/>
        <v>45139</v>
      </c>
      <c r="K8" s="20">
        <f t="shared" si="0"/>
        <v>45170</v>
      </c>
      <c r="L8" s="20">
        <f t="shared" si="0"/>
        <v>45200</v>
      </c>
      <c r="M8" s="20">
        <f t="shared" si="0"/>
        <v>45231</v>
      </c>
      <c r="N8" s="20">
        <f t="shared" si="0"/>
        <v>45261</v>
      </c>
      <c r="O8" s="20">
        <f t="shared" si="0"/>
        <v>45292</v>
      </c>
      <c r="P8" s="20">
        <f t="shared" si="0"/>
        <v>45323</v>
      </c>
      <c r="Q8" s="20">
        <f t="shared" si="0"/>
        <v>45352</v>
      </c>
      <c r="R8" s="20">
        <f t="shared" si="0"/>
        <v>45383</v>
      </c>
      <c r="S8" s="20">
        <f t="shared" si="0"/>
        <v>45413</v>
      </c>
      <c r="T8" s="20">
        <f t="shared" si="0"/>
        <v>45444</v>
      </c>
      <c r="U8" s="20">
        <f t="shared" si="0"/>
        <v>45474</v>
      </c>
      <c r="V8" s="20">
        <f t="shared" si="0"/>
        <v>45505</v>
      </c>
      <c r="W8" s="20">
        <f t="shared" si="0"/>
        <v>45536</v>
      </c>
      <c r="X8" s="20">
        <f t="shared" si="0"/>
        <v>45566</v>
      </c>
      <c r="Y8" s="20">
        <f t="shared" si="0"/>
        <v>45597</v>
      </c>
      <c r="Z8" s="20">
        <f t="shared" si="0"/>
        <v>45627</v>
      </c>
      <c r="AA8" s="20">
        <f t="shared" si="0"/>
        <v>45658</v>
      </c>
      <c r="AB8" s="20">
        <f t="shared" si="0"/>
        <v>45689</v>
      </c>
      <c r="AC8" s="20">
        <f t="shared" si="0"/>
        <v>45717</v>
      </c>
      <c r="AD8" s="20">
        <f t="shared" si="0"/>
        <v>45748</v>
      </c>
      <c r="AE8" s="20">
        <f t="shared" si="0"/>
        <v>45778</v>
      </c>
      <c r="AF8" s="20">
        <f t="shared" si="0"/>
        <v>45809</v>
      </c>
      <c r="AG8" s="20">
        <f t="shared" si="0"/>
        <v>45839</v>
      </c>
      <c r="AH8" s="20">
        <f t="shared" si="0"/>
        <v>45870</v>
      </c>
      <c r="AI8" s="20">
        <f t="shared" si="0"/>
        <v>45901</v>
      </c>
      <c r="AJ8" s="20">
        <f t="shared" si="0"/>
        <v>45931</v>
      </c>
      <c r="AK8" s="20">
        <f t="shared" si="0"/>
        <v>45962</v>
      </c>
      <c r="AL8" s="20">
        <f t="shared" si="0"/>
        <v>45992</v>
      </c>
      <c r="AM8" s="20">
        <f t="shared" si="0"/>
        <v>46023</v>
      </c>
      <c r="AN8" s="20">
        <f t="shared" si="0"/>
        <v>46054</v>
      </c>
      <c r="AO8" s="20">
        <f t="shared" si="0"/>
        <v>46082</v>
      </c>
      <c r="AP8" s="20">
        <f t="shared" si="0"/>
        <v>46113</v>
      </c>
      <c r="AQ8" s="20">
        <f t="shared" si="0"/>
        <v>46143</v>
      </c>
      <c r="AR8" s="20">
        <f t="shared" si="0"/>
        <v>46174</v>
      </c>
      <c r="AS8" s="20">
        <f t="shared" si="0"/>
        <v>46204</v>
      </c>
      <c r="AT8" s="20">
        <f t="shared" si="0"/>
        <v>46235</v>
      </c>
      <c r="AU8" s="20">
        <f t="shared" si="0"/>
        <v>46266</v>
      </c>
      <c r="AV8" s="20">
        <f t="shared" si="0"/>
        <v>46296</v>
      </c>
      <c r="AW8" s="20">
        <f t="shared" si="0"/>
        <v>46327</v>
      </c>
      <c r="AX8" s="20">
        <f t="shared" si="0"/>
        <v>46357</v>
      </c>
      <c r="AY8" s="20">
        <f t="shared" si="0"/>
        <v>46388</v>
      </c>
      <c r="AZ8" s="20">
        <f t="shared" si="0"/>
        <v>46419</v>
      </c>
      <c r="BA8" s="20">
        <f t="shared" si="0"/>
        <v>46447</v>
      </c>
      <c r="BB8" s="20">
        <f t="shared" si="0"/>
        <v>46478</v>
      </c>
      <c r="BC8" s="20">
        <f t="shared" si="0"/>
        <v>46508</v>
      </c>
      <c r="BD8" s="20">
        <f t="shared" si="0"/>
        <v>46539</v>
      </c>
      <c r="BE8" s="20">
        <f t="shared" si="0"/>
        <v>46569</v>
      </c>
      <c r="BF8" s="20">
        <f t="shared" si="0"/>
        <v>46600</v>
      </c>
      <c r="BG8" s="20">
        <f t="shared" si="0"/>
        <v>46631</v>
      </c>
      <c r="BH8" s="20">
        <f t="shared" si="0"/>
        <v>46661</v>
      </c>
      <c r="BI8" s="20">
        <f t="shared" si="0"/>
        <v>46692</v>
      </c>
      <c r="BJ8" s="20">
        <f t="shared" si="0"/>
        <v>46722</v>
      </c>
      <c r="BK8" s="20">
        <f t="shared" si="0"/>
        <v>46753</v>
      </c>
      <c r="BL8" s="20">
        <f t="shared" si="0"/>
        <v>46784</v>
      </c>
      <c r="BM8" s="20">
        <f t="shared" si="0"/>
        <v>46813</v>
      </c>
      <c r="BN8" s="20">
        <f t="shared" ref="BN8" si="1">EOMONTH(BM9,0)+1</f>
        <v>46844</v>
      </c>
      <c r="BO8" s="20">
        <f t="shared" ref="BO8" si="2">EOMONTH(BN9,0)+1</f>
        <v>46874</v>
      </c>
      <c r="BP8" s="20">
        <f t="shared" ref="BP8" si="3">EOMONTH(BO9,0)+1</f>
        <v>46905</v>
      </c>
      <c r="BQ8" s="20">
        <f t="shared" ref="BQ8" si="4">EOMONTH(BP9,0)+1</f>
        <v>46935</v>
      </c>
      <c r="BR8" s="20">
        <f t="shared" ref="BR8" si="5">EOMONTH(BQ9,0)+1</f>
        <v>46966</v>
      </c>
      <c r="BS8" s="20">
        <f t="shared" ref="BS8" si="6">EOMONTH(BR9,0)+1</f>
        <v>46997</v>
      </c>
      <c r="BT8" s="20">
        <f t="shared" ref="BT8" si="7">EOMONTH(BS9,0)+1</f>
        <v>47027</v>
      </c>
      <c r="BU8" s="20">
        <f t="shared" ref="BU8" si="8">EOMONTH(BT9,0)+1</f>
        <v>47058</v>
      </c>
      <c r="BV8" s="20">
        <f t="shared" ref="BV8" si="9">EOMONTH(BU9,0)+1</f>
        <v>47088</v>
      </c>
      <c r="BW8" s="20">
        <f t="shared" ref="BW8" si="10">EOMONTH(BV9,0)+1</f>
        <v>47119</v>
      </c>
      <c r="BX8" s="20">
        <f t="shared" ref="BX8" si="11">EOMONTH(BW9,0)+1</f>
        <v>47150</v>
      </c>
      <c r="BY8" s="20">
        <f t="shared" ref="BY8" si="12">EOMONTH(BX9,0)+1</f>
        <v>47178</v>
      </c>
      <c r="BZ8" s="20">
        <f t="shared" ref="BZ8" si="13">EOMONTH(BY9,0)+1</f>
        <v>47209</v>
      </c>
      <c r="CA8" s="20">
        <f t="shared" ref="CA8" si="14">EOMONTH(BZ9,0)+1</f>
        <v>47239</v>
      </c>
      <c r="CB8" s="20">
        <f t="shared" ref="CB8" si="15">EOMONTH(CA9,0)+1</f>
        <v>47270</v>
      </c>
      <c r="CC8" s="20">
        <f t="shared" ref="CC8" si="16">EOMONTH(CB9,0)+1</f>
        <v>47300</v>
      </c>
      <c r="CD8" s="20">
        <f t="shared" ref="CD8" si="17">EOMONTH(CC9,0)+1</f>
        <v>47331</v>
      </c>
      <c r="CE8" s="20">
        <f t="shared" ref="CE8" si="18">EOMONTH(CD9,0)+1</f>
        <v>47362</v>
      </c>
      <c r="CF8" s="20">
        <f t="shared" ref="CF8" si="19">EOMONTH(CE9,0)+1</f>
        <v>47392</v>
      </c>
      <c r="CG8" s="20">
        <f t="shared" ref="CG8" si="20">EOMONTH(CF9,0)+1</f>
        <v>47423</v>
      </c>
      <c r="CH8" s="20">
        <f t="shared" ref="CH8" si="21">EOMONTH(CG9,0)+1</f>
        <v>47453</v>
      </c>
      <c r="CI8" s="20">
        <f t="shared" ref="CI8" si="22">EOMONTH(CH9,0)+1</f>
        <v>47484</v>
      </c>
      <c r="CJ8" s="20">
        <f t="shared" ref="CJ8" si="23">EOMONTH(CI9,0)+1</f>
        <v>47515</v>
      </c>
      <c r="CK8" s="20">
        <f t="shared" ref="CK8" si="24">EOMONTH(CJ9,0)+1</f>
        <v>47543</v>
      </c>
    </row>
    <row r="9" spans="2:89">
      <c r="B9" s="21" t="s">
        <v>213</v>
      </c>
      <c r="C9" s="22"/>
      <c r="D9" s="23"/>
      <c r="E9" s="24">
        <f>Начальная_дата</f>
        <v>45016</v>
      </c>
      <c r="F9" s="25">
        <f>EOMONTH(F8,0)</f>
        <v>45046</v>
      </c>
      <c r="G9" s="25">
        <f t="shared" ref="G9:AG9" si="25">EOMONTH(G8,0)</f>
        <v>45077</v>
      </c>
      <c r="H9" s="25">
        <f t="shared" si="25"/>
        <v>45107</v>
      </c>
      <c r="I9" s="25">
        <f t="shared" si="25"/>
        <v>45138</v>
      </c>
      <c r="J9" s="25">
        <f t="shared" si="25"/>
        <v>45169</v>
      </c>
      <c r="K9" s="25">
        <f t="shared" si="25"/>
        <v>45199</v>
      </c>
      <c r="L9" s="25">
        <f t="shared" si="25"/>
        <v>45230</v>
      </c>
      <c r="M9" s="25">
        <f t="shared" si="25"/>
        <v>45260</v>
      </c>
      <c r="N9" s="25">
        <f t="shared" si="25"/>
        <v>45291</v>
      </c>
      <c r="O9" s="25">
        <f t="shared" si="25"/>
        <v>45322</v>
      </c>
      <c r="P9" s="25">
        <f t="shared" si="25"/>
        <v>45351</v>
      </c>
      <c r="Q9" s="25">
        <f t="shared" si="25"/>
        <v>45382</v>
      </c>
      <c r="R9" s="25">
        <f t="shared" si="25"/>
        <v>45412</v>
      </c>
      <c r="S9" s="25">
        <f t="shared" si="25"/>
        <v>45443</v>
      </c>
      <c r="T9" s="25">
        <f t="shared" si="25"/>
        <v>45473</v>
      </c>
      <c r="U9" s="25">
        <f t="shared" si="25"/>
        <v>45504</v>
      </c>
      <c r="V9" s="25">
        <f t="shared" si="25"/>
        <v>45535</v>
      </c>
      <c r="W9" s="25">
        <f t="shared" si="25"/>
        <v>45565</v>
      </c>
      <c r="X9" s="25">
        <f t="shared" si="25"/>
        <v>45596</v>
      </c>
      <c r="Y9" s="25">
        <f t="shared" si="25"/>
        <v>45626</v>
      </c>
      <c r="Z9" s="25">
        <f t="shared" si="25"/>
        <v>45657</v>
      </c>
      <c r="AA9" s="25">
        <f t="shared" si="25"/>
        <v>45688</v>
      </c>
      <c r="AB9" s="25">
        <f t="shared" si="25"/>
        <v>45716</v>
      </c>
      <c r="AC9" s="25">
        <f t="shared" si="25"/>
        <v>45747</v>
      </c>
      <c r="AD9" s="25">
        <f t="shared" si="25"/>
        <v>45777</v>
      </c>
      <c r="AE9" s="25">
        <f t="shared" si="25"/>
        <v>45808</v>
      </c>
      <c r="AF9" s="25">
        <f t="shared" si="25"/>
        <v>45838</v>
      </c>
      <c r="AG9" s="25">
        <f t="shared" si="25"/>
        <v>45869</v>
      </c>
      <c r="AH9" s="25">
        <f t="shared" ref="AH9:BM9" si="26">EOMONTH(AH8,0)</f>
        <v>45900</v>
      </c>
      <c r="AI9" s="25">
        <f t="shared" si="26"/>
        <v>45930</v>
      </c>
      <c r="AJ9" s="25">
        <f t="shared" si="26"/>
        <v>45961</v>
      </c>
      <c r="AK9" s="25">
        <f t="shared" si="26"/>
        <v>45991</v>
      </c>
      <c r="AL9" s="25">
        <f t="shared" si="26"/>
        <v>46022</v>
      </c>
      <c r="AM9" s="25">
        <f t="shared" si="26"/>
        <v>46053</v>
      </c>
      <c r="AN9" s="25">
        <f t="shared" si="26"/>
        <v>46081</v>
      </c>
      <c r="AO9" s="25">
        <f t="shared" si="26"/>
        <v>46112</v>
      </c>
      <c r="AP9" s="25">
        <f t="shared" si="26"/>
        <v>46142</v>
      </c>
      <c r="AQ9" s="25">
        <f t="shared" si="26"/>
        <v>46173</v>
      </c>
      <c r="AR9" s="25">
        <f t="shared" si="26"/>
        <v>46203</v>
      </c>
      <c r="AS9" s="25">
        <f t="shared" si="26"/>
        <v>46234</v>
      </c>
      <c r="AT9" s="25">
        <f t="shared" si="26"/>
        <v>46265</v>
      </c>
      <c r="AU9" s="25">
        <f t="shared" si="26"/>
        <v>46295</v>
      </c>
      <c r="AV9" s="25">
        <f t="shared" si="26"/>
        <v>46326</v>
      </c>
      <c r="AW9" s="25">
        <f t="shared" si="26"/>
        <v>46356</v>
      </c>
      <c r="AX9" s="25">
        <f t="shared" si="26"/>
        <v>46387</v>
      </c>
      <c r="AY9" s="25">
        <f t="shared" si="26"/>
        <v>46418</v>
      </c>
      <c r="AZ9" s="25">
        <f t="shared" si="26"/>
        <v>46446</v>
      </c>
      <c r="BA9" s="25">
        <f t="shared" si="26"/>
        <v>46477</v>
      </c>
      <c r="BB9" s="25">
        <f t="shared" si="26"/>
        <v>46507</v>
      </c>
      <c r="BC9" s="25">
        <f t="shared" si="26"/>
        <v>46538</v>
      </c>
      <c r="BD9" s="25">
        <f t="shared" si="26"/>
        <v>46568</v>
      </c>
      <c r="BE9" s="25">
        <f t="shared" si="26"/>
        <v>46599</v>
      </c>
      <c r="BF9" s="25">
        <f t="shared" si="26"/>
        <v>46630</v>
      </c>
      <c r="BG9" s="25">
        <f t="shared" si="26"/>
        <v>46660</v>
      </c>
      <c r="BH9" s="25">
        <f t="shared" si="26"/>
        <v>46691</v>
      </c>
      <c r="BI9" s="25">
        <f t="shared" si="26"/>
        <v>46721</v>
      </c>
      <c r="BJ9" s="25">
        <f t="shared" si="26"/>
        <v>46752</v>
      </c>
      <c r="BK9" s="25">
        <f t="shared" si="26"/>
        <v>46783</v>
      </c>
      <c r="BL9" s="25">
        <f t="shared" si="26"/>
        <v>46812</v>
      </c>
      <c r="BM9" s="25">
        <f t="shared" si="26"/>
        <v>46843</v>
      </c>
      <c r="BN9" s="25">
        <f t="shared" ref="BN9:CK9" si="27">EOMONTH(BN8,0)</f>
        <v>46873</v>
      </c>
      <c r="BO9" s="25">
        <f t="shared" si="27"/>
        <v>46904</v>
      </c>
      <c r="BP9" s="25">
        <f t="shared" si="27"/>
        <v>46934</v>
      </c>
      <c r="BQ9" s="25">
        <f t="shared" si="27"/>
        <v>46965</v>
      </c>
      <c r="BR9" s="25">
        <f t="shared" si="27"/>
        <v>46996</v>
      </c>
      <c r="BS9" s="25">
        <f t="shared" si="27"/>
        <v>47026</v>
      </c>
      <c r="BT9" s="25">
        <f t="shared" si="27"/>
        <v>47057</v>
      </c>
      <c r="BU9" s="25">
        <f t="shared" si="27"/>
        <v>47087</v>
      </c>
      <c r="BV9" s="25">
        <f t="shared" si="27"/>
        <v>47118</v>
      </c>
      <c r="BW9" s="25">
        <f t="shared" si="27"/>
        <v>47149</v>
      </c>
      <c r="BX9" s="25">
        <f t="shared" si="27"/>
        <v>47177</v>
      </c>
      <c r="BY9" s="25">
        <f t="shared" si="27"/>
        <v>47208</v>
      </c>
      <c r="BZ9" s="25">
        <f t="shared" si="27"/>
        <v>47238</v>
      </c>
      <c r="CA9" s="25">
        <f t="shared" si="27"/>
        <v>47269</v>
      </c>
      <c r="CB9" s="25">
        <f t="shared" si="27"/>
        <v>47299</v>
      </c>
      <c r="CC9" s="25">
        <f t="shared" si="27"/>
        <v>47330</v>
      </c>
      <c r="CD9" s="25">
        <f t="shared" si="27"/>
        <v>47361</v>
      </c>
      <c r="CE9" s="25">
        <f t="shared" si="27"/>
        <v>47391</v>
      </c>
      <c r="CF9" s="25">
        <f t="shared" si="27"/>
        <v>47422</v>
      </c>
      <c r="CG9" s="25">
        <f t="shared" si="27"/>
        <v>47452</v>
      </c>
      <c r="CH9" s="25">
        <f t="shared" si="27"/>
        <v>47483</v>
      </c>
      <c r="CI9" s="25">
        <f t="shared" si="27"/>
        <v>47514</v>
      </c>
      <c r="CJ9" s="25">
        <f t="shared" si="27"/>
        <v>47542</v>
      </c>
      <c r="CK9" s="25">
        <f t="shared" si="27"/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>
      <c r="B13" s="145" t="str">
        <f t="array" ref="B13:B14">TRANSPOSE(Фазы_название)</f>
        <v>Инвестиции</v>
      </c>
      <c r="C13" s="146"/>
      <c r="D13" s="146"/>
      <c r="E13" s="146"/>
      <c r="F13" s="29">
        <f t="shared" ref="F13:BQ13" si="28">IF(AND(F$8&gt;=Начало_инвест,F$9&lt;=Конец_инвест),1,0)</f>
        <v>1</v>
      </c>
      <c r="G13" s="29">
        <f t="shared" si="28"/>
        <v>1</v>
      </c>
      <c r="H13" s="29">
        <f t="shared" si="28"/>
        <v>1</v>
      </c>
      <c r="I13" s="29">
        <f t="shared" si="28"/>
        <v>1</v>
      </c>
      <c r="J13" s="29">
        <f t="shared" si="28"/>
        <v>1</v>
      </c>
      <c r="K13" s="29">
        <f t="shared" si="28"/>
        <v>1</v>
      </c>
      <c r="L13" s="29">
        <f t="shared" si="28"/>
        <v>1</v>
      </c>
      <c r="M13" s="29">
        <f t="shared" si="28"/>
        <v>1</v>
      </c>
      <c r="N13" s="29">
        <f t="shared" si="28"/>
        <v>1</v>
      </c>
      <c r="O13" s="29">
        <f t="shared" si="28"/>
        <v>1</v>
      </c>
      <c r="P13" s="29">
        <f t="shared" si="28"/>
        <v>1</v>
      </c>
      <c r="Q13" s="29">
        <f t="shared" si="28"/>
        <v>1</v>
      </c>
      <c r="R13" s="29">
        <f t="shared" si="28"/>
        <v>0</v>
      </c>
      <c r="S13" s="29">
        <f t="shared" si="28"/>
        <v>0</v>
      </c>
      <c r="T13" s="29">
        <f t="shared" si="28"/>
        <v>0</v>
      </c>
      <c r="U13" s="29">
        <f t="shared" si="28"/>
        <v>0</v>
      </c>
      <c r="V13" s="29">
        <f t="shared" si="28"/>
        <v>0</v>
      </c>
      <c r="W13" s="29">
        <f t="shared" si="28"/>
        <v>0</v>
      </c>
      <c r="X13" s="29">
        <f t="shared" si="28"/>
        <v>0</v>
      </c>
      <c r="Y13" s="29">
        <f t="shared" si="28"/>
        <v>0</v>
      </c>
      <c r="Z13" s="29">
        <f t="shared" si="28"/>
        <v>0</v>
      </c>
      <c r="AA13" s="29">
        <f t="shared" si="28"/>
        <v>0</v>
      </c>
      <c r="AB13" s="29">
        <f t="shared" si="28"/>
        <v>0</v>
      </c>
      <c r="AC13" s="29">
        <f t="shared" si="28"/>
        <v>0</v>
      </c>
      <c r="AD13" s="29">
        <f t="shared" si="28"/>
        <v>0</v>
      </c>
      <c r="AE13" s="29">
        <f t="shared" si="28"/>
        <v>0</v>
      </c>
      <c r="AF13" s="29">
        <f t="shared" si="28"/>
        <v>0</v>
      </c>
      <c r="AG13" s="29">
        <f t="shared" si="28"/>
        <v>0</v>
      </c>
      <c r="AH13" s="29">
        <f t="shared" si="28"/>
        <v>0</v>
      </c>
      <c r="AI13" s="29">
        <f t="shared" si="28"/>
        <v>0</v>
      </c>
      <c r="AJ13" s="29">
        <f t="shared" si="28"/>
        <v>0</v>
      </c>
      <c r="AK13" s="29">
        <f t="shared" si="28"/>
        <v>0</v>
      </c>
      <c r="AL13" s="29">
        <f t="shared" si="28"/>
        <v>0</v>
      </c>
      <c r="AM13" s="29">
        <f t="shared" si="28"/>
        <v>0</v>
      </c>
      <c r="AN13" s="29">
        <f t="shared" si="28"/>
        <v>0</v>
      </c>
      <c r="AO13" s="29">
        <f t="shared" si="28"/>
        <v>0</v>
      </c>
      <c r="AP13" s="29">
        <f t="shared" si="28"/>
        <v>0</v>
      </c>
      <c r="AQ13" s="29">
        <f t="shared" si="28"/>
        <v>0</v>
      </c>
      <c r="AR13" s="29">
        <f t="shared" si="28"/>
        <v>0</v>
      </c>
      <c r="AS13" s="29">
        <f t="shared" si="28"/>
        <v>0</v>
      </c>
      <c r="AT13" s="29">
        <f t="shared" si="28"/>
        <v>0</v>
      </c>
      <c r="AU13" s="29">
        <f t="shared" si="28"/>
        <v>0</v>
      </c>
      <c r="AV13" s="29">
        <f t="shared" si="28"/>
        <v>0</v>
      </c>
      <c r="AW13" s="29">
        <f t="shared" si="28"/>
        <v>0</v>
      </c>
      <c r="AX13" s="29">
        <f t="shared" si="28"/>
        <v>0</v>
      </c>
      <c r="AY13" s="29">
        <f t="shared" si="28"/>
        <v>0</v>
      </c>
      <c r="AZ13" s="29">
        <f t="shared" si="28"/>
        <v>0</v>
      </c>
      <c r="BA13" s="29">
        <f t="shared" si="28"/>
        <v>0</v>
      </c>
      <c r="BB13" s="29">
        <f t="shared" si="28"/>
        <v>0</v>
      </c>
      <c r="BC13" s="29">
        <f t="shared" si="28"/>
        <v>0</v>
      </c>
      <c r="BD13" s="29">
        <f t="shared" si="28"/>
        <v>0</v>
      </c>
      <c r="BE13" s="29">
        <f t="shared" si="28"/>
        <v>0</v>
      </c>
      <c r="BF13" s="29">
        <f t="shared" si="28"/>
        <v>0</v>
      </c>
      <c r="BG13" s="29">
        <f t="shared" si="28"/>
        <v>0</v>
      </c>
      <c r="BH13" s="29">
        <f t="shared" si="28"/>
        <v>0</v>
      </c>
      <c r="BI13" s="29">
        <f t="shared" si="28"/>
        <v>0</v>
      </c>
      <c r="BJ13" s="29">
        <f t="shared" si="28"/>
        <v>0</v>
      </c>
      <c r="BK13" s="29">
        <f t="shared" si="28"/>
        <v>0</v>
      </c>
      <c r="BL13" s="29">
        <f t="shared" si="28"/>
        <v>0</v>
      </c>
      <c r="BM13" s="29">
        <f t="shared" si="28"/>
        <v>0</v>
      </c>
      <c r="BN13" s="29">
        <f t="shared" si="28"/>
        <v>0</v>
      </c>
      <c r="BO13" s="29">
        <f t="shared" si="28"/>
        <v>0</v>
      </c>
      <c r="BP13" s="29">
        <f t="shared" si="28"/>
        <v>0</v>
      </c>
      <c r="BQ13" s="29">
        <f t="shared" si="28"/>
        <v>0</v>
      </c>
      <c r="BR13" s="29">
        <f t="shared" ref="BR13:CK13" si="29">IF(AND(BR$8&gt;=Начало_инвест,BR$9&lt;=Конец_инвест),1,0)</f>
        <v>0</v>
      </c>
      <c r="BS13" s="29">
        <f t="shared" si="29"/>
        <v>0</v>
      </c>
      <c r="BT13" s="29">
        <f t="shared" si="29"/>
        <v>0</v>
      </c>
      <c r="BU13" s="29">
        <f t="shared" si="29"/>
        <v>0</v>
      </c>
      <c r="BV13" s="29">
        <f t="shared" si="29"/>
        <v>0</v>
      </c>
      <c r="BW13" s="29">
        <f t="shared" si="29"/>
        <v>0</v>
      </c>
      <c r="BX13" s="29">
        <f t="shared" si="29"/>
        <v>0</v>
      </c>
      <c r="BY13" s="29">
        <f t="shared" si="29"/>
        <v>0</v>
      </c>
      <c r="BZ13" s="29">
        <f t="shared" si="29"/>
        <v>0</v>
      </c>
      <c r="CA13" s="29">
        <f t="shared" si="29"/>
        <v>0</v>
      </c>
      <c r="CB13" s="29">
        <f t="shared" si="29"/>
        <v>0</v>
      </c>
      <c r="CC13" s="29">
        <f t="shared" si="29"/>
        <v>0</v>
      </c>
      <c r="CD13" s="29">
        <f t="shared" si="29"/>
        <v>0</v>
      </c>
      <c r="CE13" s="29">
        <f t="shared" si="29"/>
        <v>0</v>
      </c>
      <c r="CF13" s="29">
        <f t="shared" si="29"/>
        <v>0</v>
      </c>
      <c r="CG13" s="29">
        <f t="shared" si="29"/>
        <v>0</v>
      </c>
      <c r="CH13" s="29">
        <f t="shared" si="29"/>
        <v>0</v>
      </c>
      <c r="CI13" s="29">
        <f t="shared" si="29"/>
        <v>0</v>
      </c>
      <c r="CJ13" s="29">
        <f t="shared" si="29"/>
        <v>0</v>
      </c>
      <c r="CK13" s="194">
        <f t="shared" si="29"/>
        <v>0</v>
      </c>
    </row>
    <row r="14" spans="2:89">
      <c r="B14" s="145" t="str">
        <v>Операции</v>
      </c>
      <c r="C14" s="146"/>
      <c r="D14" s="146"/>
      <c r="E14" s="146"/>
      <c r="F14" s="29">
        <f t="shared" ref="F14:BQ14" si="30">IF(AND(F$8&gt;=Начало_тек,F$9&lt;=Конец_тек),1,0)</f>
        <v>0</v>
      </c>
      <c r="G14" s="29">
        <f t="shared" si="30"/>
        <v>0</v>
      </c>
      <c r="H14" s="29">
        <f t="shared" si="30"/>
        <v>0</v>
      </c>
      <c r="I14" s="29">
        <f t="shared" si="30"/>
        <v>0</v>
      </c>
      <c r="J14" s="29">
        <f t="shared" si="30"/>
        <v>0</v>
      </c>
      <c r="K14" s="29">
        <f t="shared" si="30"/>
        <v>0</v>
      </c>
      <c r="L14" s="29">
        <f t="shared" si="30"/>
        <v>0</v>
      </c>
      <c r="M14" s="29">
        <f t="shared" si="30"/>
        <v>0</v>
      </c>
      <c r="N14" s="29">
        <f t="shared" si="30"/>
        <v>0</v>
      </c>
      <c r="O14" s="29">
        <f t="shared" si="30"/>
        <v>0</v>
      </c>
      <c r="P14" s="29">
        <f t="shared" si="30"/>
        <v>0</v>
      </c>
      <c r="Q14" s="29">
        <f t="shared" si="30"/>
        <v>0</v>
      </c>
      <c r="R14" s="29">
        <f t="shared" si="30"/>
        <v>1</v>
      </c>
      <c r="S14" s="29">
        <f t="shared" si="30"/>
        <v>1</v>
      </c>
      <c r="T14" s="29">
        <f t="shared" si="30"/>
        <v>1</v>
      </c>
      <c r="U14" s="29">
        <f t="shared" si="30"/>
        <v>1</v>
      </c>
      <c r="V14" s="29">
        <f t="shared" si="30"/>
        <v>1</v>
      </c>
      <c r="W14" s="29">
        <f t="shared" si="30"/>
        <v>1</v>
      </c>
      <c r="X14" s="29">
        <f t="shared" si="30"/>
        <v>1</v>
      </c>
      <c r="Y14" s="29">
        <f t="shared" si="30"/>
        <v>1</v>
      </c>
      <c r="Z14" s="29">
        <f t="shared" si="30"/>
        <v>1</v>
      </c>
      <c r="AA14" s="29">
        <f t="shared" si="30"/>
        <v>1</v>
      </c>
      <c r="AB14" s="29">
        <f t="shared" si="30"/>
        <v>1</v>
      </c>
      <c r="AC14" s="29">
        <f t="shared" si="30"/>
        <v>1</v>
      </c>
      <c r="AD14" s="29">
        <f t="shared" si="30"/>
        <v>1</v>
      </c>
      <c r="AE14" s="29">
        <f t="shared" si="30"/>
        <v>1</v>
      </c>
      <c r="AF14" s="29">
        <f t="shared" si="30"/>
        <v>1</v>
      </c>
      <c r="AG14" s="29">
        <f t="shared" si="30"/>
        <v>1</v>
      </c>
      <c r="AH14" s="29">
        <f t="shared" si="30"/>
        <v>1</v>
      </c>
      <c r="AI14" s="29">
        <f t="shared" si="30"/>
        <v>1</v>
      </c>
      <c r="AJ14" s="29">
        <f t="shared" si="30"/>
        <v>1</v>
      </c>
      <c r="AK14" s="29">
        <f t="shared" si="30"/>
        <v>1</v>
      </c>
      <c r="AL14" s="29">
        <f t="shared" si="30"/>
        <v>1</v>
      </c>
      <c r="AM14" s="29">
        <f t="shared" si="30"/>
        <v>1</v>
      </c>
      <c r="AN14" s="29">
        <f t="shared" si="30"/>
        <v>1</v>
      </c>
      <c r="AO14" s="29">
        <f t="shared" si="30"/>
        <v>1</v>
      </c>
      <c r="AP14" s="29">
        <f t="shared" si="30"/>
        <v>1</v>
      </c>
      <c r="AQ14" s="29">
        <f t="shared" si="30"/>
        <v>1</v>
      </c>
      <c r="AR14" s="29">
        <f t="shared" si="30"/>
        <v>1</v>
      </c>
      <c r="AS14" s="29">
        <f t="shared" si="30"/>
        <v>1</v>
      </c>
      <c r="AT14" s="29">
        <f t="shared" si="30"/>
        <v>1</v>
      </c>
      <c r="AU14" s="29">
        <f t="shared" si="30"/>
        <v>1</v>
      </c>
      <c r="AV14" s="29">
        <f t="shared" si="30"/>
        <v>1</v>
      </c>
      <c r="AW14" s="29">
        <f t="shared" si="30"/>
        <v>1</v>
      </c>
      <c r="AX14" s="29">
        <f t="shared" si="30"/>
        <v>1</v>
      </c>
      <c r="AY14" s="29">
        <f t="shared" si="30"/>
        <v>1</v>
      </c>
      <c r="AZ14" s="29">
        <f t="shared" si="30"/>
        <v>1</v>
      </c>
      <c r="BA14" s="29">
        <f t="shared" si="30"/>
        <v>1</v>
      </c>
      <c r="BB14" s="29">
        <f t="shared" si="30"/>
        <v>1</v>
      </c>
      <c r="BC14" s="29">
        <f t="shared" si="30"/>
        <v>1</v>
      </c>
      <c r="BD14" s="29">
        <f t="shared" si="30"/>
        <v>1</v>
      </c>
      <c r="BE14" s="29">
        <f t="shared" si="30"/>
        <v>1</v>
      </c>
      <c r="BF14" s="29">
        <f t="shared" si="30"/>
        <v>1</v>
      </c>
      <c r="BG14" s="29">
        <f t="shared" si="30"/>
        <v>1</v>
      </c>
      <c r="BH14" s="29">
        <f t="shared" si="30"/>
        <v>1</v>
      </c>
      <c r="BI14" s="29">
        <f t="shared" si="30"/>
        <v>1</v>
      </c>
      <c r="BJ14" s="29">
        <f t="shared" si="30"/>
        <v>1</v>
      </c>
      <c r="BK14" s="29">
        <f t="shared" si="30"/>
        <v>1</v>
      </c>
      <c r="BL14" s="29">
        <f t="shared" si="30"/>
        <v>1</v>
      </c>
      <c r="BM14" s="29">
        <f t="shared" si="30"/>
        <v>1</v>
      </c>
      <c r="BN14" s="29">
        <f t="shared" si="30"/>
        <v>1</v>
      </c>
      <c r="BO14" s="29">
        <f t="shared" si="30"/>
        <v>1</v>
      </c>
      <c r="BP14" s="29">
        <f t="shared" si="30"/>
        <v>1</v>
      </c>
      <c r="BQ14" s="29">
        <f t="shared" si="30"/>
        <v>1</v>
      </c>
      <c r="BR14" s="29">
        <f t="shared" ref="BR14:CK14" si="31">IF(AND(BR$8&gt;=Начало_тек,BR$9&lt;=Конец_тек),1,0)</f>
        <v>1</v>
      </c>
      <c r="BS14" s="29">
        <f t="shared" si="31"/>
        <v>1</v>
      </c>
      <c r="BT14" s="29">
        <f t="shared" si="31"/>
        <v>1</v>
      </c>
      <c r="BU14" s="29">
        <f t="shared" si="31"/>
        <v>1</v>
      </c>
      <c r="BV14" s="29">
        <f t="shared" si="31"/>
        <v>1</v>
      </c>
      <c r="BW14" s="29">
        <f t="shared" si="31"/>
        <v>1</v>
      </c>
      <c r="BX14" s="29">
        <f t="shared" si="31"/>
        <v>1</v>
      </c>
      <c r="BY14" s="29">
        <f t="shared" si="31"/>
        <v>1</v>
      </c>
      <c r="BZ14" s="29">
        <f t="shared" si="31"/>
        <v>1</v>
      </c>
      <c r="CA14" s="29">
        <f t="shared" si="31"/>
        <v>1</v>
      </c>
      <c r="CB14" s="29">
        <f t="shared" si="31"/>
        <v>1</v>
      </c>
      <c r="CC14" s="29">
        <f t="shared" si="31"/>
        <v>1</v>
      </c>
      <c r="CD14" s="29">
        <f t="shared" si="31"/>
        <v>1</v>
      </c>
      <c r="CE14" s="29">
        <f t="shared" si="31"/>
        <v>1</v>
      </c>
      <c r="CF14" s="29">
        <f t="shared" si="31"/>
        <v>1</v>
      </c>
      <c r="CG14" s="29">
        <f t="shared" si="31"/>
        <v>1</v>
      </c>
      <c r="CH14" s="29">
        <f t="shared" si="31"/>
        <v>1</v>
      </c>
      <c r="CI14" s="29">
        <f t="shared" si="31"/>
        <v>1</v>
      </c>
      <c r="CJ14" s="29">
        <f t="shared" si="31"/>
        <v>1</v>
      </c>
      <c r="CK14" s="194">
        <f t="shared" si="31"/>
        <v>1</v>
      </c>
    </row>
    <row r="15" spans="2:89" ht="3" customHeight="1"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>
      <c r="B18" s="32" t="s">
        <v>518</v>
      </c>
      <c r="C18" s="33"/>
      <c r="D18" s="33"/>
      <c r="E18" s="34"/>
      <c r="F18" s="35">
        <f>F9</f>
        <v>45046</v>
      </c>
      <c r="G18" s="35">
        <f t="shared" ref="G18:BM18" si="32">G9</f>
        <v>45077</v>
      </c>
      <c r="H18" s="35">
        <f t="shared" si="32"/>
        <v>45107</v>
      </c>
      <c r="I18" s="35">
        <f t="shared" si="32"/>
        <v>45138</v>
      </c>
      <c r="J18" s="35">
        <f t="shared" si="32"/>
        <v>45169</v>
      </c>
      <c r="K18" s="35">
        <f t="shared" si="32"/>
        <v>45199</v>
      </c>
      <c r="L18" s="35">
        <f t="shared" si="32"/>
        <v>45230</v>
      </c>
      <c r="M18" s="35">
        <f t="shared" si="32"/>
        <v>45260</v>
      </c>
      <c r="N18" s="35">
        <f t="shared" si="32"/>
        <v>45291</v>
      </c>
      <c r="O18" s="35">
        <f t="shared" si="32"/>
        <v>45322</v>
      </c>
      <c r="P18" s="35">
        <f t="shared" si="32"/>
        <v>45351</v>
      </c>
      <c r="Q18" s="35">
        <f t="shared" si="32"/>
        <v>45382</v>
      </c>
      <c r="R18" s="35">
        <f t="shared" si="32"/>
        <v>45412</v>
      </c>
      <c r="S18" s="35">
        <f t="shared" si="32"/>
        <v>45443</v>
      </c>
      <c r="T18" s="35">
        <f t="shared" si="32"/>
        <v>45473</v>
      </c>
      <c r="U18" s="35">
        <f t="shared" si="32"/>
        <v>45504</v>
      </c>
      <c r="V18" s="35">
        <f t="shared" si="32"/>
        <v>45535</v>
      </c>
      <c r="W18" s="35">
        <f t="shared" si="32"/>
        <v>45565</v>
      </c>
      <c r="X18" s="35">
        <f t="shared" si="32"/>
        <v>45596</v>
      </c>
      <c r="Y18" s="35">
        <f t="shared" si="32"/>
        <v>45626</v>
      </c>
      <c r="Z18" s="35">
        <f t="shared" si="32"/>
        <v>45657</v>
      </c>
      <c r="AA18" s="35">
        <f t="shared" si="32"/>
        <v>45688</v>
      </c>
      <c r="AB18" s="35">
        <f t="shared" si="32"/>
        <v>45716</v>
      </c>
      <c r="AC18" s="35">
        <f t="shared" si="32"/>
        <v>45747</v>
      </c>
      <c r="AD18" s="35">
        <f t="shared" si="32"/>
        <v>45777</v>
      </c>
      <c r="AE18" s="35">
        <f t="shared" si="32"/>
        <v>45808</v>
      </c>
      <c r="AF18" s="35">
        <f t="shared" si="32"/>
        <v>45838</v>
      </c>
      <c r="AG18" s="35">
        <f t="shared" si="32"/>
        <v>45869</v>
      </c>
      <c r="AH18" s="35">
        <f t="shared" si="32"/>
        <v>45900</v>
      </c>
      <c r="AI18" s="35">
        <f t="shared" si="32"/>
        <v>45930</v>
      </c>
      <c r="AJ18" s="35">
        <f t="shared" si="32"/>
        <v>45961</v>
      </c>
      <c r="AK18" s="35">
        <f t="shared" si="32"/>
        <v>45991</v>
      </c>
      <c r="AL18" s="35">
        <f t="shared" si="32"/>
        <v>46022</v>
      </c>
      <c r="AM18" s="35">
        <f t="shared" si="32"/>
        <v>46053</v>
      </c>
      <c r="AN18" s="35">
        <f t="shared" si="32"/>
        <v>46081</v>
      </c>
      <c r="AO18" s="35">
        <f t="shared" si="32"/>
        <v>46112</v>
      </c>
      <c r="AP18" s="35">
        <f t="shared" si="32"/>
        <v>46142</v>
      </c>
      <c r="AQ18" s="35">
        <f t="shared" si="32"/>
        <v>46173</v>
      </c>
      <c r="AR18" s="35">
        <f t="shared" si="32"/>
        <v>46203</v>
      </c>
      <c r="AS18" s="35">
        <f t="shared" si="32"/>
        <v>46234</v>
      </c>
      <c r="AT18" s="35">
        <f t="shared" si="32"/>
        <v>46265</v>
      </c>
      <c r="AU18" s="35">
        <f t="shared" si="32"/>
        <v>46295</v>
      </c>
      <c r="AV18" s="35">
        <f t="shared" si="32"/>
        <v>46326</v>
      </c>
      <c r="AW18" s="35">
        <f t="shared" si="32"/>
        <v>46356</v>
      </c>
      <c r="AX18" s="35">
        <f t="shared" si="32"/>
        <v>46387</v>
      </c>
      <c r="AY18" s="35">
        <f t="shared" si="32"/>
        <v>46418</v>
      </c>
      <c r="AZ18" s="35">
        <f t="shared" si="32"/>
        <v>46446</v>
      </c>
      <c r="BA18" s="35">
        <f t="shared" si="32"/>
        <v>46477</v>
      </c>
      <c r="BB18" s="35">
        <f t="shared" si="32"/>
        <v>46507</v>
      </c>
      <c r="BC18" s="35">
        <f t="shared" si="32"/>
        <v>46538</v>
      </c>
      <c r="BD18" s="35">
        <f t="shared" si="32"/>
        <v>46568</v>
      </c>
      <c r="BE18" s="35">
        <f t="shared" si="32"/>
        <v>46599</v>
      </c>
      <c r="BF18" s="35">
        <f t="shared" si="32"/>
        <v>46630</v>
      </c>
      <c r="BG18" s="35">
        <f t="shared" si="32"/>
        <v>46660</v>
      </c>
      <c r="BH18" s="35">
        <f t="shared" si="32"/>
        <v>46691</v>
      </c>
      <c r="BI18" s="35">
        <f t="shared" si="32"/>
        <v>46721</v>
      </c>
      <c r="BJ18" s="35">
        <f t="shared" si="32"/>
        <v>46752</v>
      </c>
      <c r="BK18" s="35">
        <f t="shared" si="32"/>
        <v>46783</v>
      </c>
      <c r="BL18" s="35">
        <f t="shared" si="32"/>
        <v>46812</v>
      </c>
      <c r="BM18" s="35">
        <f t="shared" si="32"/>
        <v>46843</v>
      </c>
      <c r="BN18" s="35">
        <f t="shared" ref="BN18:CK18" si="33">BN9</f>
        <v>46873</v>
      </c>
      <c r="BO18" s="35">
        <f t="shared" si="33"/>
        <v>46904</v>
      </c>
      <c r="BP18" s="35">
        <f t="shared" si="33"/>
        <v>46934</v>
      </c>
      <c r="BQ18" s="35">
        <f t="shared" si="33"/>
        <v>46965</v>
      </c>
      <c r="BR18" s="35">
        <f t="shared" si="33"/>
        <v>46996</v>
      </c>
      <c r="BS18" s="35">
        <f t="shared" si="33"/>
        <v>47026</v>
      </c>
      <c r="BT18" s="35">
        <f t="shared" si="33"/>
        <v>47057</v>
      </c>
      <c r="BU18" s="35">
        <f t="shared" si="33"/>
        <v>47087</v>
      </c>
      <c r="BV18" s="35">
        <f t="shared" si="33"/>
        <v>47118</v>
      </c>
      <c r="BW18" s="35">
        <f t="shared" si="33"/>
        <v>47149</v>
      </c>
      <c r="BX18" s="35">
        <f t="shared" si="33"/>
        <v>47177</v>
      </c>
      <c r="BY18" s="35">
        <f t="shared" si="33"/>
        <v>47208</v>
      </c>
      <c r="BZ18" s="35">
        <f t="shared" si="33"/>
        <v>47238</v>
      </c>
      <c r="CA18" s="35">
        <f t="shared" si="33"/>
        <v>47269</v>
      </c>
      <c r="CB18" s="35">
        <f t="shared" si="33"/>
        <v>47299</v>
      </c>
      <c r="CC18" s="35">
        <f t="shared" si="33"/>
        <v>47330</v>
      </c>
      <c r="CD18" s="35">
        <f t="shared" si="33"/>
        <v>47361</v>
      </c>
      <c r="CE18" s="35">
        <f t="shared" si="33"/>
        <v>47391</v>
      </c>
      <c r="CF18" s="35">
        <f t="shared" si="33"/>
        <v>47422</v>
      </c>
      <c r="CG18" s="35">
        <f t="shared" si="33"/>
        <v>47452</v>
      </c>
      <c r="CH18" s="35">
        <f t="shared" si="33"/>
        <v>47483</v>
      </c>
      <c r="CI18" s="35">
        <f t="shared" si="33"/>
        <v>47514</v>
      </c>
      <c r="CJ18" s="35">
        <f t="shared" si="33"/>
        <v>47542</v>
      </c>
      <c r="CK18" s="35">
        <f t="shared" si="33"/>
        <v>47573</v>
      </c>
    </row>
    <row r="19" spans="2:89">
      <c r="B19" s="32" t="s">
        <v>6</v>
      </c>
      <c r="C19" s="33"/>
      <c r="D19" s="33"/>
      <c r="E19" s="34"/>
      <c r="F19" s="76">
        <f t="shared" ref="F19:AG19" si="34">YEAR(F9)</f>
        <v>2023</v>
      </c>
      <c r="G19" s="76">
        <f t="shared" si="34"/>
        <v>2023</v>
      </c>
      <c r="H19" s="76">
        <f t="shared" si="34"/>
        <v>2023</v>
      </c>
      <c r="I19" s="76">
        <f t="shared" si="34"/>
        <v>2023</v>
      </c>
      <c r="J19" s="76">
        <f t="shared" si="34"/>
        <v>2023</v>
      </c>
      <c r="K19" s="76">
        <f t="shared" si="34"/>
        <v>2023</v>
      </c>
      <c r="L19" s="76">
        <f t="shared" si="34"/>
        <v>2023</v>
      </c>
      <c r="M19" s="76">
        <f t="shared" si="34"/>
        <v>2023</v>
      </c>
      <c r="N19" s="76">
        <f t="shared" si="34"/>
        <v>2023</v>
      </c>
      <c r="O19" s="76">
        <f t="shared" si="34"/>
        <v>2024</v>
      </c>
      <c r="P19" s="76">
        <f t="shared" si="34"/>
        <v>2024</v>
      </c>
      <c r="Q19" s="76">
        <f t="shared" si="34"/>
        <v>2024</v>
      </c>
      <c r="R19" s="76">
        <f t="shared" si="34"/>
        <v>2024</v>
      </c>
      <c r="S19" s="76">
        <f t="shared" si="34"/>
        <v>2024</v>
      </c>
      <c r="T19" s="76">
        <f t="shared" si="34"/>
        <v>2024</v>
      </c>
      <c r="U19" s="76">
        <f t="shared" si="34"/>
        <v>2024</v>
      </c>
      <c r="V19" s="76">
        <f t="shared" si="34"/>
        <v>2024</v>
      </c>
      <c r="W19" s="76">
        <f t="shared" si="34"/>
        <v>2024</v>
      </c>
      <c r="X19" s="76">
        <f t="shared" si="34"/>
        <v>2024</v>
      </c>
      <c r="Y19" s="76">
        <f t="shared" si="34"/>
        <v>2024</v>
      </c>
      <c r="Z19" s="76">
        <f t="shared" si="34"/>
        <v>2024</v>
      </c>
      <c r="AA19" s="76">
        <f t="shared" si="34"/>
        <v>2025</v>
      </c>
      <c r="AB19" s="76">
        <f t="shared" si="34"/>
        <v>2025</v>
      </c>
      <c r="AC19" s="76">
        <f t="shared" si="34"/>
        <v>2025</v>
      </c>
      <c r="AD19" s="76">
        <f t="shared" si="34"/>
        <v>2025</v>
      </c>
      <c r="AE19" s="76">
        <f t="shared" si="34"/>
        <v>2025</v>
      </c>
      <c r="AF19" s="76">
        <f t="shared" si="34"/>
        <v>2025</v>
      </c>
      <c r="AG19" s="76">
        <f t="shared" si="34"/>
        <v>2025</v>
      </c>
      <c r="AH19" s="76">
        <f t="shared" ref="AH19:BM19" si="35">YEAR(AH9)</f>
        <v>2025</v>
      </c>
      <c r="AI19" s="76">
        <f t="shared" si="35"/>
        <v>2025</v>
      </c>
      <c r="AJ19" s="76">
        <f t="shared" si="35"/>
        <v>2025</v>
      </c>
      <c r="AK19" s="76">
        <f t="shared" si="35"/>
        <v>2025</v>
      </c>
      <c r="AL19" s="76">
        <f t="shared" si="35"/>
        <v>2025</v>
      </c>
      <c r="AM19" s="76">
        <f t="shared" si="35"/>
        <v>2026</v>
      </c>
      <c r="AN19" s="76">
        <f t="shared" si="35"/>
        <v>2026</v>
      </c>
      <c r="AO19" s="76">
        <f t="shared" si="35"/>
        <v>2026</v>
      </c>
      <c r="AP19" s="76">
        <f t="shared" si="35"/>
        <v>2026</v>
      </c>
      <c r="AQ19" s="76">
        <f t="shared" si="35"/>
        <v>2026</v>
      </c>
      <c r="AR19" s="76">
        <f t="shared" si="35"/>
        <v>2026</v>
      </c>
      <c r="AS19" s="76">
        <f t="shared" si="35"/>
        <v>2026</v>
      </c>
      <c r="AT19" s="76">
        <f t="shared" si="35"/>
        <v>2026</v>
      </c>
      <c r="AU19" s="76">
        <f t="shared" si="35"/>
        <v>2026</v>
      </c>
      <c r="AV19" s="76">
        <f t="shared" si="35"/>
        <v>2026</v>
      </c>
      <c r="AW19" s="76">
        <f t="shared" si="35"/>
        <v>2026</v>
      </c>
      <c r="AX19" s="76">
        <f t="shared" si="35"/>
        <v>2026</v>
      </c>
      <c r="AY19" s="76">
        <f t="shared" si="35"/>
        <v>2027</v>
      </c>
      <c r="AZ19" s="76">
        <f t="shared" si="35"/>
        <v>2027</v>
      </c>
      <c r="BA19" s="76">
        <f t="shared" si="35"/>
        <v>2027</v>
      </c>
      <c r="BB19" s="76">
        <f t="shared" si="35"/>
        <v>2027</v>
      </c>
      <c r="BC19" s="76">
        <f t="shared" si="35"/>
        <v>2027</v>
      </c>
      <c r="BD19" s="76">
        <f t="shared" si="35"/>
        <v>2027</v>
      </c>
      <c r="BE19" s="76">
        <f t="shared" si="35"/>
        <v>2027</v>
      </c>
      <c r="BF19" s="76">
        <f t="shared" si="35"/>
        <v>2027</v>
      </c>
      <c r="BG19" s="76">
        <f t="shared" si="35"/>
        <v>2027</v>
      </c>
      <c r="BH19" s="76">
        <f t="shared" si="35"/>
        <v>2027</v>
      </c>
      <c r="BI19" s="76">
        <f t="shared" si="35"/>
        <v>2027</v>
      </c>
      <c r="BJ19" s="76">
        <f t="shared" si="35"/>
        <v>2027</v>
      </c>
      <c r="BK19" s="76">
        <f t="shared" si="35"/>
        <v>2028</v>
      </c>
      <c r="BL19" s="76">
        <f t="shared" si="35"/>
        <v>2028</v>
      </c>
      <c r="BM19" s="76">
        <f t="shared" si="35"/>
        <v>2028</v>
      </c>
      <c r="BN19" s="76">
        <f t="shared" ref="BN19:CK19" si="36">YEAR(BN9)</f>
        <v>2028</v>
      </c>
      <c r="BO19" s="76">
        <f t="shared" si="36"/>
        <v>2028</v>
      </c>
      <c r="BP19" s="76">
        <f t="shared" si="36"/>
        <v>2028</v>
      </c>
      <c r="BQ19" s="76">
        <f t="shared" si="36"/>
        <v>2028</v>
      </c>
      <c r="BR19" s="76">
        <f t="shared" si="36"/>
        <v>2028</v>
      </c>
      <c r="BS19" s="76">
        <f t="shared" si="36"/>
        <v>2028</v>
      </c>
      <c r="BT19" s="76">
        <f t="shared" si="36"/>
        <v>2028</v>
      </c>
      <c r="BU19" s="76">
        <f t="shared" si="36"/>
        <v>2028</v>
      </c>
      <c r="BV19" s="76">
        <f t="shared" si="36"/>
        <v>2028</v>
      </c>
      <c r="BW19" s="76">
        <f t="shared" si="36"/>
        <v>2029</v>
      </c>
      <c r="BX19" s="76">
        <f t="shared" si="36"/>
        <v>2029</v>
      </c>
      <c r="BY19" s="76">
        <f t="shared" si="36"/>
        <v>2029</v>
      </c>
      <c r="BZ19" s="76">
        <f t="shared" si="36"/>
        <v>2029</v>
      </c>
      <c r="CA19" s="76">
        <f t="shared" si="36"/>
        <v>2029</v>
      </c>
      <c r="CB19" s="76">
        <f t="shared" si="36"/>
        <v>2029</v>
      </c>
      <c r="CC19" s="76">
        <f t="shared" si="36"/>
        <v>2029</v>
      </c>
      <c r="CD19" s="76">
        <f t="shared" si="36"/>
        <v>2029</v>
      </c>
      <c r="CE19" s="76">
        <f t="shared" si="36"/>
        <v>2029</v>
      </c>
      <c r="CF19" s="76">
        <f t="shared" si="36"/>
        <v>2029</v>
      </c>
      <c r="CG19" s="76">
        <f t="shared" si="36"/>
        <v>2029</v>
      </c>
      <c r="CH19" s="76">
        <f t="shared" si="36"/>
        <v>2029</v>
      </c>
      <c r="CI19" s="76">
        <f t="shared" si="36"/>
        <v>2030</v>
      </c>
      <c r="CJ19" s="76">
        <f t="shared" si="36"/>
        <v>2030</v>
      </c>
      <c r="CK19" s="76">
        <f t="shared" si="36"/>
        <v>2030</v>
      </c>
    </row>
    <row r="20" spans="2:89">
      <c r="B20" s="32" t="s">
        <v>170</v>
      </c>
      <c r="C20" s="33"/>
      <c r="D20" s="33"/>
      <c r="E20" s="34"/>
      <c r="F20" s="76">
        <f t="shared" ref="F20:AG20" si="37">DATE(F19,12,31)-DATE(F19,1,1)+1</f>
        <v>365</v>
      </c>
      <c r="G20" s="76">
        <f t="shared" si="37"/>
        <v>365</v>
      </c>
      <c r="H20" s="76">
        <f t="shared" si="37"/>
        <v>365</v>
      </c>
      <c r="I20" s="76">
        <f t="shared" si="37"/>
        <v>365</v>
      </c>
      <c r="J20" s="76">
        <f t="shared" si="37"/>
        <v>365</v>
      </c>
      <c r="K20" s="76">
        <f t="shared" si="37"/>
        <v>365</v>
      </c>
      <c r="L20" s="76">
        <f t="shared" si="37"/>
        <v>365</v>
      </c>
      <c r="M20" s="76">
        <f t="shared" si="37"/>
        <v>365</v>
      </c>
      <c r="N20" s="76">
        <f t="shared" si="37"/>
        <v>365</v>
      </c>
      <c r="O20" s="76">
        <f t="shared" si="37"/>
        <v>366</v>
      </c>
      <c r="P20" s="76">
        <f t="shared" si="37"/>
        <v>366</v>
      </c>
      <c r="Q20" s="76">
        <f t="shared" si="37"/>
        <v>366</v>
      </c>
      <c r="R20" s="76">
        <f t="shared" si="37"/>
        <v>366</v>
      </c>
      <c r="S20" s="76">
        <f t="shared" si="37"/>
        <v>366</v>
      </c>
      <c r="T20" s="76">
        <f t="shared" si="37"/>
        <v>366</v>
      </c>
      <c r="U20" s="76">
        <f t="shared" si="37"/>
        <v>366</v>
      </c>
      <c r="V20" s="76">
        <f t="shared" si="37"/>
        <v>366</v>
      </c>
      <c r="W20" s="76">
        <f t="shared" si="37"/>
        <v>366</v>
      </c>
      <c r="X20" s="76">
        <f t="shared" si="37"/>
        <v>366</v>
      </c>
      <c r="Y20" s="76">
        <f t="shared" si="37"/>
        <v>366</v>
      </c>
      <c r="Z20" s="76">
        <f t="shared" si="37"/>
        <v>366</v>
      </c>
      <c r="AA20" s="76">
        <f t="shared" si="37"/>
        <v>365</v>
      </c>
      <c r="AB20" s="76">
        <f t="shared" si="37"/>
        <v>365</v>
      </c>
      <c r="AC20" s="76">
        <f t="shared" si="37"/>
        <v>365</v>
      </c>
      <c r="AD20" s="76">
        <f t="shared" si="37"/>
        <v>365</v>
      </c>
      <c r="AE20" s="76">
        <f t="shared" si="37"/>
        <v>365</v>
      </c>
      <c r="AF20" s="76">
        <f t="shared" si="37"/>
        <v>365</v>
      </c>
      <c r="AG20" s="76">
        <f t="shared" si="37"/>
        <v>365</v>
      </c>
      <c r="AH20" s="76">
        <f t="shared" ref="AH20:BM20" si="38">DATE(AH19,12,31)-DATE(AH19,1,1)+1</f>
        <v>365</v>
      </c>
      <c r="AI20" s="76">
        <f t="shared" si="38"/>
        <v>365</v>
      </c>
      <c r="AJ20" s="76">
        <f t="shared" si="38"/>
        <v>365</v>
      </c>
      <c r="AK20" s="76">
        <f t="shared" si="38"/>
        <v>365</v>
      </c>
      <c r="AL20" s="76">
        <f t="shared" si="38"/>
        <v>365</v>
      </c>
      <c r="AM20" s="76">
        <f t="shared" si="38"/>
        <v>365</v>
      </c>
      <c r="AN20" s="76">
        <f t="shared" si="38"/>
        <v>365</v>
      </c>
      <c r="AO20" s="76">
        <f t="shared" si="38"/>
        <v>365</v>
      </c>
      <c r="AP20" s="76">
        <f t="shared" si="38"/>
        <v>365</v>
      </c>
      <c r="AQ20" s="76">
        <f t="shared" si="38"/>
        <v>365</v>
      </c>
      <c r="AR20" s="76">
        <f t="shared" si="38"/>
        <v>365</v>
      </c>
      <c r="AS20" s="76">
        <f t="shared" si="38"/>
        <v>365</v>
      </c>
      <c r="AT20" s="76">
        <f t="shared" si="38"/>
        <v>365</v>
      </c>
      <c r="AU20" s="76">
        <f t="shared" si="38"/>
        <v>365</v>
      </c>
      <c r="AV20" s="76">
        <f t="shared" si="38"/>
        <v>365</v>
      </c>
      <c r="AW20" s="76">
        <f t="shared" si="38"/>
        <v>365</v>
      </c>
      <c r="AX20" s="76">
        <f t="shared" si="38"/>
        <v>365</v>
      </c>
      <c r="AY20" s="76">
        <f t="shared" si="38"/>
        <v>365</v>
      </c>
      <c r="AZ20" s="76">
        <f t="shared" si="38"/>
        <v>365</v>
      </c>
      <c r="BA20" s="76">
        <f t="shared" si="38"/>
        <v>365</v>
      </c>
      <c r="BB20" s="76">
        <f t="shared" si="38"/>
        <v>365</v>
      </c>
      <c r="BC20" s="76">
        <f t="shared" si="38"/>
        <v>365</v>
      </c>
      <c r="BD20" s="76">
        <f t="shared" si="38"/>
        <v>365</v>
      </c>
      <c r="BE20" s="76">
        <f t="shared" si="38"/>
        <v>365</v>
      </c>
      <c r="BF20" s="76">
        <f t="shared" si="38"/>
        <v>365</v>
      </c>
      <c r="BG20" s="76">
        <f t="shared" si="38"/>
        <v>365</v>
      </c>
      <c r="BH20" s="76">
        <f t="shared" si="38"/>
        <v>365</v>
      </c>
      <c r="BI20" s="76">
        <f t="shared" si="38"/>
        <v>365</v>
      </c>
      <c r="BJ20" s="76">
        <f t="shared" si="38"/>
        <v>365</v>
      </c>
      <c r="BK20" s="76">
        <f t="shared" si="38"/>
        <v>366</v>
      </c>
      <c r="BL20" s="76">
        <f t="shared" si="38"/>
        <v>366</v>
      </c>
      <c r="BM20" s="76">
        <f t="shared" si="38"/>
        <v>366</v>
      </c>
      <c r="BN20" s="76">
        <f t="shared" ref="BN20:CK20" si="39">DATE(BN19,12,31)-DATE(BN19,1,1)+1</f>
        <v>366</v>
      </c>
      <c r="BO20" s="76">
        <f t="shared" si="39"/>
        <v>366</v>
      </c>
      <c r="BP20" s="76">
        <f t="shared" si="39"/>
        <v>366</v>
      </c>
      <c r="BQ20" s="76">
        <f t="shared" si="39"/>
        <v>366</v>
      </c>
      <c r="BR20" s="76">
        <f t="shared" si="39"/>
        <v>366</v>
      </c>
      <c r="BS20" s="76">
        <f t="shared" si="39"/>
        <v>366</v>
      </c>
      <c r="BT20" s="76">
        <f t="shared" si="39"/>
        <v>366</v>
      </c>
      <c r="BU20" s="76">
        <f t="shared" si="39"/>
        <v>366</v>
      </c>
      <c r="BV20" s="76">
        <f t="shared" si="39"/>
        <v>366</v>
      </c>
      <c r="BW20" s="76">
        <f t="shared" si="39"/>
        <v>365</v>
      </c>
      <c r="BX20" s="76">
        <f t="shared" si="39"/>
        <v>365</v>
      </c>
      <c r="BY20" s="76">
        <f t="shared" si="39"/>
        <v>365</v>
      </c>
      <c r="BZ20" s="76">
        <f t="shared" si="39"/>
        <v>365</v>
      </c>
      <c r="CA20" s="76">
        <f t="shared" si="39"/>
        <v>365</v>
      </c>
      <c r="CB20" s="76">
        <f t="shared" si="39"/>
        <v>365</v>
      </c>
      <c r="CC20" s="76">
        <f t="shared" si="39"/>
        <v>365</v>
      </c>
      <c r="CD20" s="76">
        <f t="shared" si="39"/>
        <v>365</v>
      </c>
      <c r="CE20" s="76">
        <f t="shared" si="39"/>
        <v>365</v>
      </c>
      <c r="CF20" s="76">
        <f t="shared" si="39"/>
        <v>365</v>
      </c>
      <c r="CG20" s="76">
        <f t="shared" si="39"/>
        <v>365</v>
      </c>
      <c r="CH20" s="76">
        <f t="shared" si="39"/>
        <v>365</v>
      </c>
      <c r="CI20" s="76">
        <f t="shared" si="39"/>
        <v>365</v>
      </c>
      <c r="CJ20" s="76">
        <f t="shared" si="39"/>
        <v>365</v>
      </c>
      <c r="CK20" s="76">
        <f t="shared" si="39"/>
        <v>365</v>
      </c>
    </row>
    <row r="21" spans="2:89">
      <c r="B21" s="32" t="s">
        <v>9</v>
      </c>
      <c r="C21" s="33"/>
      <c r="D21" s="33"/>
      <c r="E21" s="34"/>
      <c r="F21" s="76">
        <f t="shared" ref="F21:AG21" si="40">MONTH(F9)</f>
        <v>4</v>
      </c>
      <c r="G21" s="76">
        <f t="shared" si="40"/>
        <v>5</v>
      </c>
      <c r="H21" s="76">
        <f t="shared" si="40"/>
        <v>6</v>
      </c>
      <c r="I21" s="76">
        <f t="shared" si="40"/>
        <v>7</v>
      </c>
      <c r="J21" s="76">
        <f t="shared" si="40"/>
        <v>8</v>
      </c>
      <c r="K21" s="76">
        <f t="shared" si="40"/>
        <v>9</v>
      </c>
      <c r="L21" s="76">
        <f t="shared" si="40"/>
        <v>10</v>
      </c>
      <c r="M21" s="76">
        <f t="shared" si="40"/>
        <v>11</v>
      </c>
      <c r="N21" s="76">
        <f t="shared" si="40"/>
        <v>12</v>
      </c>
      <c r="O21" s="76">
        <f t="shared" si="40"/>
        <v>1</v>
      </c>
      <c r="P21" s="76">
        <f t="shared" si="40"/>
        <v>2</v>
      </c>
      <c r="Q21" s="76">
        <f t="shared" si="40"/>
        <v>3</v>
      </c>
      <c r="R21" s="76">
        <f t="shared" si="40"/>
        <v>4</v>
      </c>
      <c r="S21" s="76">
        <f t="shared" si="40"/>
        <v>5</v>
      </c>
      <c r="T21" s="76">
        <f t="shared" si="40"/>
        <v>6</v>
      </c>
      <c r="U21" s="76">
        <f t="shared" si="40"/>
        <v>7</v>
      </c>
      <c r="V21" s="76">
        <f t="shared" si="40"/>
        <v>8</v>
      </c>
      <c r="W21" s="76">
        <f t="shared" si="40"/>
        <v>9</v>
      </c>
      <c r="X21" s="76">
        <f t="shared" si="40"/>
        <v>10</v>
      </c>
      <c r="Y21" s="76">
        <f t="shared" si="40"/>
        <v>11</v>
      </c>
      <c r="Z21" s="76">
        <f t="shared" si="40"/>
        <v>12</v>
      </c>
      <c r="AA21" s="76">
        <f t="shared" si="40"/>
        <v>1</v>
      </c>
      <c r="AB21" s="76">
        <f t="shared" si="40"/>
        <v>2</v>
      </c>
      <c r="AC21" s="76">
        <f t="shared" si="40"/>
        <v>3</v>
      </c>
      <c r="AD21" s="76">
        <f t="shared" si="40"/>
        <v>4</v>
      </c>
      <c r="AE21" s="76">
        <f t="shared" si="40"/>
        <v>5</v>
      </c>
      <c r="AF21" s="76">
        <f t="shared" si="40"/>
        <v>6</v>
      </c>
      <c r="AG21" s="76">
        <f t="shared" si="40"/>
        <v>7</v>
      </c>
      <c r="AH21" s="76">
        <f t="shared" ref="AH21:BM21" si="41">MONTH(AH9)</f>
        <v>8</v>
      </c>
      <c r="AI21" s="76">
        <f t="shared" si="41"/>
        <v>9</v>
      </c>
      <c r="AJ21" s="76">
        <f t="shared" si="41"/>
        <v>10</v>
      </c>
      <c r="AK21" s="76">
        <f t="shared" si="41"/>
        <v>11</v>
      </c>
      <c r="AL21" s="76">
        <f t="shared" si="41"/>
        <v>12</v>
      </c>
      <c r="AM21" s="76">
        <f t="shared" si="41"/>
        <v>1</v>
      </c>
      <c r="AN21" s="76">
        <f t="shared" si="41"/>
        <v>2</v>
      </c>
      <c r="AO21" s="76">
        <f t="shared" si="41"/>
        <v>3</v>
      </c>
      <c r="AP21" s="76">
        <f t="shared" si="41"/>
        <v>4</v>
      </c>
      <c r="AQ21" s="76">
        <f t="shared" si="41"/>
        <v>5</v>
      </c>
      <c r="AR21" s="76">
        <f t="shared" si="41"/>
        <v>6</v>
      </c>
      <c r="AS21" s="76">
        <f t="shared" si="41"/>
        <v>7</v>
      </c>
      <c r="AT21" s="76">
        <f t="shared" si="41"/>
        <v>8</v>
      </c>
      <c r="AU21" s="76">
        <f t="shared" si="41"/>
        <v>9</v>
      </c>
      <c r="AV21" s="76">
        <f t="shared" si="41"/>
        <v>10</v>
      </c>
      <c r="AW21" s="76">
        <f t="shared" si="41"/>
        <v>11</v>
      </c>
      <c r="AX21" s="76">
        <f t="shared" si="41"/>
        <v>12</v>
      </c>
      <c r="AY21" s="76">
        <f t="shared" si="41"/>
        <v>1</v>
      </c>
      <c r="AZ21" s="76">
        <f t="shared" si="41"/>
        <v>2</v>
      </c>
      <c r="BA21" s="76">
        <f t="shared" si="41"/>
        <v>3</v>
      </c>
      <c r="BB21" s="76">
        <f t="shared" si="41"/>
        <v>4</v>
      </c>
      <c r="BC21" s="76">
        <f t="shared" si="41"/>
        <v>5</v>
      </c>
      <c r="BD21" s="76">
        <f t="shared" si="41"/>
        <v>6</v>
      </c>
      <c r="BE21" s="76">
        <f t="shared" si="41"/>
        <v>7</v>
      </c>
      <c r="BF21" s="76">
        <f t="shared" si="41"/>
        <v>8</v>
      </c>
      <c r="BG21" s="76">
        <f t="shared" si="41"/>
        <v>9</v>
      </c>
      <c r="BH21" s="76">
        <f t="shared" si="41"/>
        <v>10</v>
      </c>
      <c r="BI21" s="76">
        <f t="shared" si="41"/>
        <v>11</v>
      </c>
      <c r="BJ21" s="76">
        <f t="shared" si="41"/>
        <v>12</v>
      </c>
      <c r="BK21" s="76">
        <f t="shared" si="41"/>
        <v>1</v>
      </c>
      <c r="BL21" s="76">
        <f t="shared" si="41"/>
        <v>2</v>
      </c>
      <c r="BM21" s="76">
        <f t="shared" si="41"/>
        <v>3</v>
      </c>
      <c r="BN21" s="76">
        <f t="shared" ref="BN21:CK21" si="42">MONTH(BN9)</f>
        <v>4</v>
      </c>
      <c r="BO21" s="76">
        <f t="shared" si="42"/>
        <v>5</v>
      </c>
      <c r="BP21" s="76">
        <f t="shared" si="42"/>
        <v>6</v>
      </c>
      <c r="BQ21" s="76">
        <f t="shared" si="42"/>
        <v>7</v>
      </c>
      <c r="BR21" s="76">
        <f t="shared" si="42"/>
        <v>8</v>
      </c>
      <c r="BS21" s="76">
        <f t="shared" si="42"/>
        <v>9</v>
      </c>
      <c r="BT21" s="76">
        <f t="shared" si="42"/>
        <v>10</v>
      </c>
      <c r="BU21" s="76">
        <f t="shared" si="42"/>
        <v>11</v>
      </c>
      <c r="BV21" s="76">
        <f t="shared" si="42"/>
        <v>12</v>
      </c>
      <c r="BW21" s="76">
        <f t="shared" si="42"/>
        <v>1</v>
      </c>
      <c r="BX21" s="76">
        <f t="shared" si="42"/>
        <v>2</v>
      </c>
      <c r="BY21" s="76">
        <f t="shared" si="42"/>
        <v>3</v>
      </c>
      <c r="BZ21" s="76">
        <f t="shared" si="42"/>
        <v>4</v>
      </c>
      <c r="CA21" s="76">
        <f t="shared" si="42"/>
        <v>5</v>
      </c>
      <c r="CB21" s="76">
        <f t="shared" si="42"/>
        <v>6</v>
      </c>
      <c r="CC21" s="76">
        <f t="shared" si="42"/>
        <v>7</v>
      </c>
      <c r="CD21" s="76">
        <f t="shared" si="42"/>
        <v>8</v>
      </c>
      <c r="CE21" s="76">
        <f t="shared" si="42"/>
        <v>9</v>
      </c>
      <c r="CF21" s="76">
        <f t="shared" si="42"/>
        <v>10</v>
      </c>
      <c r="CG21" s="76">
        <f t="shared" si="42"/>
        <v>11</v>
      </c>
      <c r="CH21" s="76">
        <f t="shared" si="42"/>
        <v>12</v>
      </c>
      <c r="CI21" s="76">
        <f t="shared" si="42"/>
        <v>1</v>
      </c>
      <c r="CJ21" s="76">
        <f t="shared" si="42"/>
        <v>2</v>
      </c>
      <c r="CK21" s="76">
        <f t="shared" si="42"/>
        <v>3</v>
      </c>
    </row>
    <row r="22" spans="2:89">
      <c r="B22" s="32" t="s">
        <v>728</v>
      </c>
      <c r="C22" s="33"/>
      <c r="D22" s="33"/>
      <c r="E22" s="34"/>
      <c r="F22" s="76">
        <f t="shared" ref="F22:AK22" si="43">ROUNDUP(F21/Мес_в_полугод,0)</f>
        <v>1</v>
      </c>
      <c r="G22" s="76">
        <f t="shared" si="43"/>
        <v>1</v>
      </c>
      <c r="H22" s="76">
        <f t="shared" si="43"/>
        <v>1</v>
      </c>
      <c r="I22" s="76">
        <f t="shared" si="43"/>
        <v>2</v>
      </c>
      <c r="J22" s="76">
        <f t="shared" si="43"/>
        <v>2</v>
      </c>
      <c r="K22" s="76">
        <f t="shared" si="43"/>
        <v>2</v>
      </c>
      <c r="L22" s="76">
        <f t="shared" si="43"/>
        <v>2</v>
      </c>
      <c r="M22" s="76">
        <f t="shared" si="43"/>
        <v>2</v>
      </c>
      <c r="N22" s="76">
        <f t="shared" si="43"/>
        <v>2</v>
      </c>
      <c r="O22" s="76">
        <f t="shared" si="43"/>
        <v>1</v>
      </c>
      <c r="P22" s="76">
        <f t="shared" si="43"/>
        <v>1</v>
      </c>
      <c r="Q22" s="76">
        <f t="shared" si="43"/>
        <v>1</v>
      </c>
      <c r="R22" s="76">
        <f t="shared" si="43"/>
        <v>1</v>
      </c>
      <c r="S22" s="76">
        <f t="shared" si="43"/>
        <v>1</v>
      </c>
      <c r="T22" s="76">
        <f t="shared" si="43"/>
        <v>1</v>
      </c>
      <c r="U22" s="76">
        <f t="shared" si="43"/>
        <v>2</v>
      </c>
      <c r="V22" s="76">
        <f t="shared" si="43"/>
        <v>2</v>
      </c>
      <c r="W22" s="76">
        <f t="shared" si="43"/>
        <v>2</v>
      </c>
      <c r="X22" s="76">
        <f t="shared" si="43"/>
        <v>2</v>
      </c>
      <c r="Y22" s="76">
        <f t="shared" si="43"/>
        <v>2</v>
      </c>
      <c r="Z22" s="76">
        <f t="shared" si="43"/>
        <v>2</v>
      </c>
      <c r="AA22" s="76">
        <f t="shared" si="43"/>
        <v>1</v>
      </c>
      <c r="AB22" s="76">
        <f t="shared" si="43"/>
        <v>1</v>
      </c>
      <c r="AC22" s="76">
        <f t="shared" si="43"/>
        <v>1</v>
      </c>
      <c r="AD22" s="76">
        <f t="shared" si="43"/>
        <v>1</v>
      </c>
      <c r="AE22" s="76">
        <f t="shared" si="43"/>
        <v>1</v>
      </c>
      <c r="AF22" s="76">
        <f t="shared" si="43"/>
        <v>1</v>
      </c>
      <c r="AG22" s="76">
        <f t="shared" si="43"/>
        <v>2</v>
      </c>
      <c r="AH22" s="76">
        <f t="shared" si="43"/>
        <v>2</v>
      </c>
      <c r="AI22" s="76">
        <f t="shared" si="43"/>
        <v>2</v>
      </c>
      <c r="AJ22" s="76">
        <f t="shared" si="43"/>
        <v>2</v>
      </c>
      <c r="AK22" s="76">
        <f t="shared" si="43"/>
        <v>2</v>
      </c>
      <c r="AL22" s="76">
        <f t="shared" ref="AL22:BQ22" si="44">ROUNDUP(AL21/Мес_в_полугод,0)</f>
        <v>2</v>
      </c>
      <c r="AM22" s="76">
        <f t="shared" si="44"/>
        <v>1</v>
      </c>
      <c r="AN22" s="76">
        <f t="shared" si="44"/>
        <v>1</v>
      </c>
      <c r="AO22" s="76">
        <f t="shared" si="44"/>
        <v>1</v>
      </c>
      <c r="AP22" s="76">
        <f t="shared" si="44"/>
        <v>1</v>
      </c>
      <c r="AQ22" s="76">
        <f t="shared" si="44"/>
        <v>1</v>
      </c>
      <c r="AR22" s="76">
        <f t="shared" si="44"/>
        <v>1</v>
      </c>
      <c r="AS22" s="76">
        <f t="shared" si="44"/>
        <v>2</v>
      </c>
      <c r="AT22" s="76">
        <f t="shared" si="44"/>
        <v>2</v>
      </c>
      <c r="AU22" s="76">
        <f t="shared" si="44"/>
        <v>2</v>
      </c>
      <c r="AV22" s="76">
        <f t="shared" si="44"/>
        <v>2</v>
      </c>
      <c r="AW22" s="76">
        <f t="shared" si="44"/>
        <v>2</v>
      </c>
      <c r="AX22" s="76">
        <f t="shared" si="44"/>
        <v>2</v>
      </c>
      <c r="AY22" s="76">
        <f t="shared" si="44"/>
        <v>1</v>
      </c>
      <c r="AZ22" s="76">
        <f t="shared" si="44"/>
        <v>1</v>
      </c>
      <c r="BA22" s="76">
        <f t="shared" si="44"/>
        <v>1</v>
      </c>
      <c r="BB22" s="76">
        <f t="shared" si="44"/>
        <v>1</v>
      </c>
      <c r="BC22" s="76">
        <f t="shared" si="44"/>
        <v>1</v>
      </c>
      <c r="BD22" s="76">
        <f t="shared" si="44"/>
        <v>1</v>
      </c>
      <c r="BE22" s="76">
        <f t="shared" si="44"/>
        <v>2</v>
      </c>
      <c r="BF22" s="76">
        <f t="shared" si="44"/>
        <v>2</v>
      </c>
      <c r="BG22" s="76">
        <f t="shared" si="44"/>
        <v>2</v>
      </c>
      <c r="BH22" s="76">
        <f t="shared" si="44"/>
        <v>2</v>
      </c>
      <c r="BI22" s="76">
        <f t="shared" si="44"/>
        <v>2</v>
      </c>
      <c r="BJ22" s="76">
        <f t="shared" si="44"/>
        <v>2</v>
      </c>
      <c r="BK22" s="76">
        <f t="shared" si="44"/>
        <v>1</v>
      </c>
      <c r="BL22" s="76">
        <f t="shared" si="44"/>
        <v>1</v>
      </c>
      <c r="BM22" s="76">
        <f t="shared" si="44"/>
        <v>1</v>
      </c>
      <c r="BN22" s="76">
        <f t="shared" si="44"/>
        <v>1</v>
      </c>
      <c r="BO22" s="76">
        <f t="shared" si="44"/>
        <v>1</v>
      </c>
      <c r="BP22" s="76">
        <f t="shared" si="44"/>
        <v>1</v>
      </c>
      <c r="BQ22" s="76">
        <f t="shared" si="44"/>
        <v>2</v>
      </c>
      <c r="BR22" s="76">
        <f t="shared" ref="BR22:CK22" si="45">ROUNDUP(BR21/Мес_в_полугод,0)</f>
        <v>2</v>
      </c>
      <c r="BS22" s="76">
        <f t="shared" si="45"/>
        <v>2</v>
      </c>
      <c r="BT22" s="76">
        <f t="shared" si="45"/>
        <v>2</v>
      </c>
      <c r="BU22" s="76">
        <f t="shared" si="45"/>
        <v>2</v>
      </c>
      <c r="BV22" s="76">
        <f t="shared" si="45"/>
        <v>2</v>
      </c>
      <c r="BW22" s="76">
        <f t="shared" si="45"/>
        <v>1</v>
      </c>
      <c r="BX22" s="76">
        <f t="shared" si="45"/>
        <v>1</v>
      </c>
      <c r="BY22" s="76">
        <f t="shared" si="45"/>
        <v>1</v>
      </c>
      <c r="BZ22" s="76">
        <f t="shared" si="45"/>
        <v>1</v>
      </c>
      <c r="CA22" s="76">
        <f t="shared" si="45"/>
        <v>1</v>
      </c>
      <c r="CB22" s="76">
        <f t="shared" si="45"/>
        <v>1</v>
      </c>
      <c r="CC22" s="76">
        <f t="shared" si="45"/>
        <v>2</v>
      </c>
      <c r="CD22" s="76">
        <f t="shared" si="45"/>
        <v>2</v>
      </c>
      <c r="CE22" s="76">
        <f t="shared" si="45"/>
        <v>2</v>
      </c>
      <c r="CF22" s="76">
        <f t="shared" si="45"/>
        <v>2</v>
      </c>
      <c r="CG22" s="76">
        <f t="shared" si="45"/>
        <v>2</v>
      </c>
      <c r="CH22" s="76">
        <f t="shared" si="45"/>
        <v>2</v>
      </c>
      <c r="CI22" s="76">
        <f t="shared" si="45"/>
        <v>1</v>
      </c>
      <c r="CJ22" s="76">
        <f t="shared" si="45"/>
        <v>1</v>
      </c>
      <c r="CK22" s="76">
        <f t="shared" si="45"/>
        <v>1</v>
      </c>
    </row>
    <row r="23" spans="2:89">
      <c r="B23" s="32" t="s">
        <v>729</v>
      </c>
      <c r="C23" s="33"/>
      <c r="D23" s="33"/>
      <c r="E23" s="34"/>
      <c r="F23" s="76">
        <f t="shared" ref="F23:BQ23" si="46">IF(F21-FLOOR(F21,6)=0,6,F21-FLOOR(F21,6))</f>
        <v>4</v>
      </c>
      <c r="G23" s="76">
        <f t="shared" si="46"/>
        <v>5</v>
      </c>
      <c r="H23" s="76">
        <f t="shared" si="46"/>
        <v>6</v>
      </c>
      <c r="I23" s="76">
        <f t="shared" si="46"/>
        <v>1</v>
      </c>
      <c r="J23" s="76">
        <f t="shared" si="46"/>
        <v>2</v>
      </c>
      <c r="K23" s="76">
        <f t="shared" si="46"/>
        <v>3</v>
      </c>
      <c r="L23" s="76">
        <f t="shared" si="46"/>
        <v>4</v>
      </c>
      <c r="M23" s="76">
        <f t="shared" si="46"/>
        <v>5</v>
      </c>
      <c r="N23" s="76">
        <f t="shared" si="46"/>
        <v>6</v>
      </c>
      <c r="O23" s="76">
        <f t="shared" si="46"/>
        <v>1</v>
      </c>
      <c r="P23" s="76">
        <f t="shared" si="46"/>
        <v>2</v>
      </c>
      <c r="Q23" s="76">
        <f t="shared" si="46"/>
        <v>3</v>
      </c>
      <c r="R23" s="76">
        <f t="shared" si="46"/>
        <v>4</v>
      </c>
      <c r="S23" s="76">
        <f t="shared" si="46"/>
        <v>5</v>
      </c>
      <c r="T23" s="76">
        <f t="shared" si="46"/>
        <v>6</v>
      </c>
      <c r="U23" s="76">
        <f t="shared" si="46"/>
        <v>1</v>
      </c>
      <c r="V23" s="76">
        <f t="shared" si="46"/>
        <v>2</v>
      </c>
      <c r="W23" s="76">
        <f t="shared" si="46"/>
        <v>3</v>
      </c>
      <c r="X23" s="76">
        <f t="shared" si="46"/>
        <v>4</v>
      </c>
      <c r="Y23" s="76">
        <f t="shared" si="46"/>
        <v>5</v>
      </c>
      <c r="Z23" s="76">
        <f t="shared" si="46"/>
        <v>6</v>
      </c>
      <c r="AA23" s="76">
        <f t="shared" si="46"/>
        <v>1</v>
      </c>
      <c r="AB23" s="76">
        <f t="shared" si="46"/>
        <v>2</v>
      </c>
      <c r="AC23" s="76">
        <f t="shared" si="46"/>
        <v>3</v>
      </c>
      <c r="AD23" s="76">
        <f t="shared" si="46"/>
        <v>4</v>
      </c>
      <c r="AE23" s="76">
        <f t="shared" si="46"/>
        <v>5</v>
      </c>
      <c r="AF23" s="76">
        <f t="shared" si="46"/>
        <v>6</v>
      </c>
      <c r="AG23" s="76">
        <f t="shared" si="46"/>
        <v>1</v>
      </c>
      <c r="AH23" s="76">
        <f t="shared" si="46"/>
        <v>2</v>
      </c>
      <c r="AI23" s="76">
        <f t="shared" si="46"/>
        <v>3</v>
      </c>
      <c r="AJ23" s="76">
        <f t="shared" si="46"/>
        <v>4</v>
      </c>
      <c r="AK23" s="76">
        <f t="shared" si="46"/>
        <v>5</v>
      </c>
      <c r="AL23" s="76">
        <f t="shared" si="46"/>
        <v>6</v>
      </c>
      <c r="AM23" s="76">
        <f t="shared" si="46"/>
        <v>1</v>
      </c>
      <c r="AN23" s="76">
        <f t="shared" si="46"/>
        <v>2</v>
      </c>
      <c r="AO23" s="76">
        <f t="shared" si="46"/>
        <v>3</v>
      </c>
      <c r="AP23" s="76">
        <f t="shared" si="46"/>
        <v>4</v>
      </c>
      <c r="AQ23" s="76">
        <f t="shared" si="46"/>
        <v>5</v>
      </c>
      <c r="AR23" s="76">
        <f t="shared" si="46"/>
        <v>6</v>
      </c>
      <c r="AS23" s="76">
        <f t="shared" si="46"/>
        <v>1</v>
      </c>
      <c r="AT23" s="76">
        <f t="shared" si="46"/>
        <v>2</v>
      </c>
      <c r="AU23" s="76">
        <f t="shared" si="46"/>
        <v>3</v>
      </c>
      <c r="AV23" s="76">
        <f t="shared" si="46"/>
        <v>4</v>
      </c>
      <c r="AW23" s="76">
        <f t="shared" si="46"/>
        <v>5</v>
      </c>
      <c r="AX23" s="76">
        <f t="shared" si="46"/>
        <v>6</v>
      </c>
      <c r="AY23" s="76">
        <f t="shared" si="46"/>
        <v>1</v>
      </c>
      <c r="AZ23" s="76">
        <f t="shared" si="46"/>
        <v>2</v>
      </c>
      <c r="BA23" s="76">
        <f t="shared" si="46"/>
        <v>3</v>
      </c>
      <c r="BB23" s="76">
        <f t="shared" si="46"/>
        <v>4</v>
      </c>
      <c r="BC23" s="76">
        <f t="shared" si="46"/>
        <v>5</v>
      </c>
      <c r="BD23" s="76">
        <f t="shared" si="46"/>
        <v>6</v>
      </c>
      <c r="BE23" s="76">
        <f t="shared" si="46"/>
        <v>1</v>
      </c>
      <c r="BF23" s="76">
        <f t="shared" si="46"/>
        <v>2</v>
      </c>
      <c r="BG23" s="76">
        <f t="shared" si="46"/>
        <v>3</v>
      </c>
      <c r="BH23" s="76">
        <f t="shared" si="46"/>
        <v>4</v>
      </c>
      <c r="BI23" s="76">
        <f t="shared" si="46"/>
        <v>5</v>
      </c>
      <c r="BJ23" s="76">
        <f t="shared" si="46"/>
        <v>6</v>
      </c>
      <c r="BK23" s="76">
        <f t="shared" si="46"/>
        <v>1</v>
      </c>
      <c r="BL23" s="76">
        <f t="shared" si="46"/>
        <v>2</v>
      </c>
      <c r="BM23" s="76">
        <f t="shared" si="46"/>
        <v>3</v>
      </c>
      <c r="BN23" s="76">
        <f t="shared" si="46"/>
        <v>4</v>
      </c>
      <c r="BO23" s="76">
        <f t="shared" si="46"/>
        <v>5</v>
      </c>
      <c r="BP23" s="76">
        <f t="shared" si="46"/>
        <v>6</v>
      </c>
      <c r="BQ23" s="76">
        <f t="shared" si="46"/>
        <v>1</v>
      </c>
      <c r="BR23" s="76">
        <f t="shared" ref="BR23:CK23" si="47">IF(BR21-FLOOR(BR21,6)=0,6,BR21-FLOOR(BR21,6))</f>
        <v>2</v>
      </c>
      <c r="BS23" s="76">
        <f t="shared" si="47"/>
        <v>3</v>
      </c>
      <c r="BT23" s="76">
        <f t="shared" si="47"/>
        <v>4</v>
      </c>
      <c r="BU23" s="76">
        <f t="shared" si="47"/>
        <v>5</v>
      </c>
      <c r="BV23" s="76">
        <f t="shared" si="47"/>
        <v>6</v>
      </c>
      <c r="BW23" s="76">
        <f t="shared" si="47"/>
        <v>1</v>
      </c>
      <c r="BX23" s="76">
        <f t="shared" si="47"/>
        <v>2</v>
      </c>
      <c r="BY23" s="76">
        <f t="shared" si="47"/>
        <v>3</v>
      </c>
      <c r="BZ23" s="76">
        <f t="shared" si="47"/>
        <v>4</v>
      </c>
      <c r="CA23" s="76">
        <f t="shared" si="47"/>
        <v>5</v>
      </c>
      <c r="CB23" s="76">
        <f t="shared" si="47"/>
        <v>6</v>
      </c>
      <c r="CC23" s="76">
        <f t="shared" si="47"/>
        <v>1</v>
      </c>
      <c r="CD23" s="76">
        <f t="shared" si="47"/>
        <v>2</v>
      </c>
      <c r="CE23" s="76">
        <f t="shared" si="47"/>
        <v>3</v>
      </c>
      <c r="CF23" s="76">
        <f t="shared" si="47"/>
        <v>4</v>
      </c>
      <c r="CG23" s="76">
        <f t="shared" si="47"/>
        <v>5</v>
      </c>
      <c r="CH23" s="76">
        <f t="shared" si="47"/>
        <v>6</v>
      </c>
      <c r="CI23" s="76">
        <f t="shared" si="47"/>
        <v>1</v>
      </c>
      <c r="CJ23" s="76">
        <f t="shared" si="47"/>
        <v>2</v>
      </c>
      <c r="CK23" s="76">
        <f t="shared" si="47"/>
        <v>3</v>
      </c>
    </row>
    <row r="24" spans="2:89">
      <c r="B24" s="32" t="s">
        <v>224</v>
      </c>
      <c r="C24" s="33"/>
      <c r="D24" s="33"/>
      <c r="E24" s="34"/>
      <c r="F24" s="76">
        <f t="shared" ref="F24:AK24" si="48">ROUNDUP(F21/Мес_в_кв,0)</f>
        <v>2</v>
      </c>
      <c r="G24" s="76">
        <f t="shared" si="48"/>
        <v>2</v>
      </c>
      <c r="H24" s="76">
        <f t="shared" si="48"/>
        <v>2</v>
      </c>
      <c r="I24" s="76">
        <f t="shared" si="48"/>
        <v>3</v>
      </c>
      <c r="J24" s="76">
        <f t="shared" si="48"/>
        <v>3</v>
      </c>
      <c r="K24" s="76">
        <f t="shared" si="48"/>
        <v>3</v>
      </c>
      <c r="L24" s="76">
        <f t="shared" si="48"/>
        <v>4</v>
      </c>
      <c r="M24" s="76">
        <f t="shared" si="48"/>
        <v>4</v>
      </c>
      <c r="N24" s="76">
        <f t="shared" si="48"/>
        <v>4</v>
      </c>
      <c r="O24" s="76">
        <f t="shared" si="48"/>
        <v>1</v>
      </c>
      <c r="P24" s="76">
        <f t="shared" si="48"/>
        <v>1</v>
      </c>
      <c r="Q24" s="76">
        <f t="shared" si="48"/>
        <v>1</v>
      </c>
      <c r="R24" s="76">
        <f t="shared" si="48"/>
        <v>2</v>
      </c>
      <c r="S24" s="76">
        <f t="shared" si="48"/>
        <v>2</v>
      </c>
      <c r="T24" s="76">
        <f t="shared" si="48"/>
        <v>2</v>
      </c>
      <c r="U24" s="76">
        <f t="shared" si="48"/>
        <v>3</v>
      </c>
      <c r="V24" s="76">
        <f t="shared" si="48"/>
        <v>3</v>
      </c>
      <c r="W24" s="76">
        <f t="shared" si="48"/>
        <v>3</v>
      </c>
      <c r="X24" s="76">
        <f t="shared" si="48"/>
        <v>4</v>
      </c>
      <c r="Y24" s="76">
        <f t="shared" si="48"/>
        <v>4</v>
      </c>
      <c r="Z24" s="76">
        <f t="shared" si="48"/>
        <v>4</v>
      </c>
      <c r="AA24" s="76">
        <f t="shared" si="48"/>
        <v>1</v>
      </c>
      <c r="AB24" s="76">
        <f t="shared" si="48"/>
        <v>1</v>
      </c>
      <c r="AC24" s="76">
        <f t="shared" si="48"/>
        <v>1</v>
      </c>
      <c r="AD24" s="76">
        <f t="shared" si="48"/>
        <v>2</v>
      </c>
      <c r="AE24" s="76">
        <f t="shared" si="48"/>
        <v>2</v>
      </c>
      <c r="AF24" s="76">
        <f t="shared" si="48"/>
        <v>2</v>
      </c>
      <c r="AG24" s="76">
        <f t="shared" si="48"/>
        <v>3</v>
      </c>
      <c r="AH24" s="76">
        <f t="shared" si="48"/>
        <v>3</v>
      </c>
      <c r="AI24" s="76">
        <f t="shared" si="48"/>
        <v>3</v>
      </c>
      <c r="AJ24" s="76">
        <f t="shared" si="48"/>
        <v>4</v>
      </c>
      <c r="AK24" s="76">
        <f t="shared" si="48"/>
        <v>4</v>
      </c>
      <c r="AL24" s="76">
        <f t="shared" ref="AL24:BQ24" si="49">ROUNDUP(AL21/Мес_в_кв,0)</f>
        <v>4</v>
      </c>
      <c r="AM24" s="76">
        <f t="shared" si="49"/>
        <v>1</v>
      </c>
      <c r="AN24" s="76">
        <f t="shared" si="49"/>
        <v>1</v>
      </c>
      <c r="AO24" s="76">
        <f t="shared" si="49"/>
        <v>1</v>
      </c>
      <c r="AP24" s="76">
        <f t="shared" si="49"/>
        <v>2</v>
      </c>
      <c r="AQ24" s="76">
        <f t="shared" si="49"/>
        <v>2</v>
      </c>
      <c r="AR24" s="76">
        <f t="shared" si="49"/>
        <v>2</v>
      </c>
      <c r="AS24" s="76">
        <f t="shared" si="49"/>
        <v>3</v>
      </c>
      <c r="AT24" s="76">
        <f t="shared" si="49"/>
        <v>3</v>
      </c>
      <c r="AU24" s="76">
        <f t="shared" si="49"/>
        <v>3</v>
      </c>
      <c r="AV24" s="76">
        <f t="shared" si="49"/>
        <v>4</v>
      </c>
      <c r="AW24" s="76">
        <f t="shared" si="49"/>
        <v>4</v>
      </c>
      <c r="AX24" s="76">
        <f t="shared" si="49"/>
        <v>4</v>
      </c>
      <c r="AY24" s="76">
        <f t="shared" si="49"/>
        <v>1</v>
      </c>
      <c r="AZ24" s="76">
        <f t="shared" si="49"/>
        <v>1</v>
      </c>
      <c r="BA24" s="76">
        <f t="shared" si="49"/>
        <v>1</v>
      </c>
      <c r="BB24" s="76">
        <f t="shared" si="49"/>
        <v>2</v>
      </c>
      <c r="BC24" s="76">
        <f t="shared" si="49"/>
        <v>2</v>
      </c>
      <c r="BD24" s="76">
        <f t="shared" si="49"/>
        <v>2</v>
      </c>
      <c r="BE24" s="76">
        <f t="shared" si="49"/>
        <v>3</v>
      </c>
      <c r="BF24" s="76">
        <f t="shared" si="49"/>
        <v>3</v>
      </c>
      <c r="BG24" s="76">
        <f t="shared" si="49"/>
        <v>3</v>
      </c>
      <c r="BH24" s="76">
        <f t="shared" si="49"/>
        <v>4</v>
      </c>
      <c r="BI24" s="76">
        <f t="shared" si="49"/>
        <v>4</v>
      </c>
      <c r="BJ24" s="76">
        <f t="shared" si="49"/>
        <v>4</v>
      </c>
      <c r="BK24" s="76">
        <f t="shared" si="49"/>
        <v>1</v>
      </c>
      <c r="BL24" s="76">
        <f t="shared" si="49"/>
        <v>1</v>
      </c>
      <c r="BM24" s="76">
        <f t="shared" si="49"/>
        <v>1</v>
      </c>
      <c r="BN24" s="76">
        <f t="shared" si="49"/>
        <v>2</v>
      </c>
      <c r="BO24" s="76">
        <f t="shared" si="49"/>
        <v>2</v>
      </c>
      <c r="BP24" s="76">
        <f t="shared" si="49"/>
        <v>2</v>
      </c>
      <c r="BQ24" s="76">
        <f t="shared" si="49"/>
        <v>3</v>
      </c>
      <c r="BR24" s="76">
        <f t="shared" ref="BR24:CK24" si="50">ROUNDUP(BR21/Мес_в_кв,0)</f>
        <v>3</v>
      </c>
      <c r="BS24" s="76">
        <f t="shared" si="50"/>
        <v>3</v>
      </c>
      <c r="BT24" s="76">
        <f t="shared" si="50"/>
        <v>4</v>
      </c>
      <c r="BU24" s="76">
        <f t="shared" si="50"/>
        <v>4</v>
      </c>
      <c r="BV24" s="76">
        <f t="shared" si="50"/>
        <v>4</v>
      </c>
      <c r="BW24" s="76">
        <f t="shared" si="50"/>
        <v>1</v>
      </c>
      <c r="BX24" s="76">
        <f t="shared" si="50"/>
        <v>1</v>
      </c>
      <c r="BY24" s="76">
        <f t="shared" si="50"/>
        <v>1</v>
      </c>
      <c r="BZ24" s="76">
        <f t="shared" si="50"/>
        <v>2</v>
      </c>
      <c r="CA24" s="76">
        <f t="shared" si="50"/>
        <v>2</v>
      </c>
      <c r="CB24" s="76">
        <f t="shared" si="50"/>
        <v>2</v>
      </c>
      <c r="CC24" s="76">
        <f t="shared" si="50"/>
        <v>3</v>
      </c>
      <c r="CD24" s="76">
        <f t="shared" si="50"/>
        <v>3</v>
      </c>
      <c r="CE24" s="76">
        <f t="shared" si="50"/>
        <v>3</v>
      </c>
      <c r="CF24" s="76">
        <f t="shared" si="50"/>
        <v>4</v>
      </c>
      <c r="CG24" s="76">
        <f t="shared" si="50"/>
        <v>4</v>
      </c>
      <c r="CH24" s="76">
        <f t="shared" si="50"/>
        <v>4</v>
      </c>
      <c r="CI24" s="76">
        <f t="shared" si="50"/>
        <v>1</v>
      </c>
      <c r="CJ24" s="76">
        <f t="shared" si="50"/>
        <v>1</v>
      </c>
      <c r="CK24" s="76">
        <f t="shared" si="50"/>
        <v>1</v>
      </c>
    </row>
    <row r="25" spans="2:89">
      <c r="B25" s="32" t="s">
        <v>225</v>
      </c>
      <c r="C25" s="33"/>
      <c r="D25" s="33"/>
      <c r="E25" s="34"/>
      <c r="F25" s="76">
        <f t="shared" ref="F25:AK25" si="51">IF(F21-FLOOR(F21,3)=0,3,F21-FLOOR(F21,3))</f>
        <v>1</v>
      </c>
      <c r="G25" s="76">
        <f t="shared" si="51"/>
        <v>2</v>
      </c>
      <c r="H25" s="76">
        <f t="shared" si="51"/>
        <v>3</v>
      </c>
      <c r="I25" s="76">
        <f t="shared" si="51"/>
        <v>1</v>
      </c>
      <c r="J25" s="76">
        <f t="shared" si="51"/>
        <v>2</v>
      </c>
      <c r="K25" s="76">
        <f t="shared" si="51"/>
        <v>3</v>
      </c>
      <c r="L25" s="76">
        <f t="shared" si="51"/>
        <v>1</v>
      </c>
      <c r="M25" s="76">
        <f t="shared" si="51"/>
        <v>2</v>
      </c>
      <c r="N25" s="76">
        <f t="shared" si="51"/>
        <v>3</v>
      </c>
      <c r="O25" s="76">
        <f t="shared" si="51"/>
        <v>1</v>
      </c>
      <c r="P25" s="76">
        <f t="shared" si="51"/>
        <v>2</v>
      </c>
      <c r="Q25" s="76">
        <f t="shared" si="51"/>
        <v>3</v>
      </c>
      <c r="R25" s="76">
        <f t="shared" si="51"/>
        <v>1</v>
      </c>
      <c r="S25" s="76">
        <f t="shared" si="51"/>
        <v>2</v>
      </c>
      <c r="T25" s="76">
        <f t="shared" si="51"/>
        <v>3</v>
      </c>
      <c r="U25" s="76">
        <f t="shared" si="51"/>
        <v>1</v>
      </c>
      <c r="V25" s="76">
        <f t="shared" si="51"/>
        <v>2</v>
      </c>
      <c r="W25" s="76">
        <f t="shared" si="51"/>
        <v>3</v>
      </c>
      <c r="X25" s="76">
        <f t="shared" si="51"/>
        <v>1</v>
      </c>
      <c r="Y25" s="76">
        <f t="shared" si="51"/>
        <v>2</v>
      </c>
      <c r="Z25" s="76">
        <f t="shared" si="51"/>
        <v>3</v>
      </c>
      <c r="AA25" s="76">
        <f t="shared" si="51"/>
        <v>1</v>
      </c>
      <c r="AB25" s="76">
        <f t="shared" si="51"/>
        <v>2</v>
      </c>
      <c r="AC25" s="76">
        <f t="shared" si="51"/>
        <v>3</v>
      </c>
      <c r="AD25" s="76">
        <f t="shared" si="51"/>
        <v>1</v>
      </c>
      <c r="AE25" s="76">
        <f t="shared" si="51"/>
        <v>2</v>
      </c>
      <c r="AF25" s="76">
        <f t="shared" si="51"/>
        <v>3</v>
      </c>
      <c r="AG25" s="76">
        <f t="shared" si="51"/>
        <v>1</v>
      </c>
      <c r="AH25" s="76">
        <f t="shared" si="51"/>
        <v>2</v>
      </c>
      <c r="AI25" s="76">
        <f t="shared" si="51"/>
        <v>3</v>
      </c>
      <c r="AJ25" s="76">
        <f t="shared" si="51"/>
        <v>1</v>
      </c>
      <c r="AK25" s="76">
        <f t="shared" si="51"/>
        <v>2</v>
      </c>
      <c r="AL25" s="76">
        <f t="shared" ref="AL25:BQ25" si="52">IF(AL21-FLOOR(AL21,3)=0,3,AL21-FLOOR(AL21,3))</f>
        <v>3</v>
      </c>
      <c r="AM25" s="76">
        <f t="shared" si="52"/>
        <v>1</v>
      </c>
      <c r="AN25" s="76">
        <f t="shared" si="52"/>
        <v>2</v>
      </c>
      <c r="AO25" s="76">
        <f t="shared" si="52"/>
        <v>3</v>
      </c>
      <c r="AP25" s="76">
        <f t="shared" si="52"/>
        <v>1</v>
      </c>
      <c r="AQ25" s="76">
        <f t="shared" si="52"/>
        <v>2</v>
      </c>
      <c r="AR25" s="76">
        <f t="shared" si="52"/>
        <v>3</v>
      </c>
      <c r="AS25" s="76">
        <f t="shared" si="52"/>
        <v>1</v>
      </c>
      <c r="AT25" s="76">
        <f t="shared" si="52"/>
        <v>2</v>
      </c>
      <c r="AU25" s="76">
        <f t="shared" si="52"/>
        <v>3</v>
      </c>
      <c r="AV25" s="76">
        <f t="shared" si="52"/>
        <v>1</v>
      </c>
      <c r="AW25" s="76">
        <f t="shared" si="52"/>
        <v>2</v>
      </c>
      <c r="AX25" s="76">
        <f t="shared" si="52"/>
        <v>3</v>
      </c>
      <c r="AY25" s="76">
        <f t="shared" si="52"/>
        <v>1</v>
      </c>
      <c r="AZ25" s="76">
        <f t="shared" si="52"/>
        <v>2</v>
      </c>
      <c r="BA25" s="76">
        <f t="shared" si="52"/>
        <v>3</v>
      </c>
      <c r="BB25" s="76">
        <f t="shared" si="52"/>
        <v>1</v>
      </c>
      <c r="BC25" s="76">
        <f t="shared" si="52"/>
        <v>2</v>
      </c>
      <c r="BD25" s="76">
        <f t="shared" si="52"/>
        <v>3</v>
      </c>
      <c r="BE25" s="76">
        <f t="shared" si="52"/>
        <v>1</v>
      </c>
      <c r="BF25" s="76">
        <f t="shared" si="52"/>
        <v>2</v>
      </c>
      <c r="BG25" s="76">
        <f t="shared" si="52"/>
        <v>3</v>
      </c>
      <c r="BH25" s="76">
        <f t="shared" si="52"/>
        <v>1</v>
      </c>
      <c r="BI25" s="76">
        <f t="shared" si="52"/>
        <v>2</v>
      </c>
      <c r="BJ25" s="76">
        <f t="shared" si="52"/>
        <v>3</v>
      </c>
      <c r="BK25" s="76">
        <f t="shared" si="52"/>
        <v>1</v>
      </c>
      <c r="BL25" s="76">
        <f t="shared" si="52"/>
        <v>2</v>
      </c>
      <c r="BM25" s="76">
        <f t="shared" si="52"/>
        <v>3</v>
      </c>
      <c r="BN25" s="76">
        <f t="shared" si="52"/>
        <v>1</v>
      </c>
      <c r="BO25" s="76">
        <f t="shared" si="52"/>
        <v>2</v>
      </c>
      <c r="BP25" s="76">
        <f t="shared" si="52"/>
        <v>3</v>
      </c>
      <c r="BQ25" s="76">
        <f t="shared" si="52"/>
        <v>1</v>
      </c>
      <c r="BR25" s="76">
        <f t="shared" ref="BR25:CK25" si="53">IF(BR21-FLOOR(BR21,3)=0,3,BR21-FLOOR(BR21,3))</f>
        <v>2</v>
      </c>
      <c r="BS25" s="76">
        <f t="shared" si="53"/>
        <v>3</v>
      </c>
      <c r="BT25" s="76">
        <f t="shared" si="53"/>
        <v>1</v>
      </c>
      <c r="BU25" s="76">
        <f t="shared" si="53"/>
        <v>2</v>
      </c>
      <c r="BV25" s="76">
        <f t="shared" si="53"/>
        <v>3</v>
      </c>
      <c r="BW25" s="76">
        <f t="shared" si="53"/>
        <v>1</v>
      </c>
      <c r="BX25" s="76">
        <f t="shared" si="53"/>
        <v>2</v>
      </c>
      <c r="BY25" s="76">
        <f t="shared" si="53"/>
        <v>3</v>
      </c>
      <c r="BZ25" s="76">
        <f t="shared" si="53"/>
        <v>1</v>
      </c>
      <c r="CA25" s="76">
        <f t="shared" si="53"/>
        <v>2</v>
      </c>
      <c r="CB25" s="76">
        <f t="shared" si="53"/>
        <v>3</v>
      </c>
      <c r="CC25" s="76">
        <f t="shared" si="53"/>
        <v>1</v>
      </c>
      <c r="CD25" s="76">
        <f t="shared" si="53"/>
        <v>2</v>
      </c>
      <c r="CE25" s="76">
        <f t="shared" si="53"/>
        <v>3</v>
      </c>
      <c r="CF25" s="76">
        <f t="shared" si="53"/>
        <v>1</v>
      </c>
      <c r="CG25" s="76">
        <f t="shared" si="53"/>
        <v>2</v>
      </c>
      <c r="CH25" s="76">
        <f t="shared" si="53"/>
        <v>3</v>
      </c>
      <c r="CI25" s="76">
        <f t="shared" si="53"/>
        <v>1</v>
      </c>
      <c r="CJ25" s="76">
        <f t="shared" si="53"/>
        <v>2</v>
      </c>
      <c r="CK25" s="76">
        <f t="shared" si="53"/>
        <v>3</v>
      </c>
    </row>
    <row r="26" spans="2:89">
      <c r="B26" s="32" t="s">
        <v>7</v>
      </c>
      <c r="C26" s="33"/>
      <c r="D26" s="33"/>
      <c r="E26" s="34"/>
      <c r="F26" s="76">
        <f t="shared" ref="F26:AK26" si="54">F9-F8+1</f>
        <v>30</v>
      </c>
      <c r="G26" s="76">
        <f t="shared" si="54"/>
        <v>31</v>
      </c>
      <c r="H26" s="76">
        <f t="shared" si="54"/>
        <v>30</v>
      </c>
      <c r="I26" s="76">
        <f t="shared" si="54"/>
        <v>31</v>
      </c>
      <c r="J26" s="76">
        <f t="shared" si="54"/>
        <v>31</v>
      </c>
      <c r="K26" s="76">
        <f t="shared" si="54"/>
        <v>30</v>
      </c>
      <c r="L26" s="76">
        <f t="shared" si="54"/>
        <v>31</v>
      </c>
      <c r="M26" s="76">
        <f t="shared" si="54"/>
        <v>30</v>
      </c>
      <c r="N26" s="76">
        <f t="shared" si="54"/>
        <v>31</v>
      </c>
      <c r="O26" s="76">
        <f t="shared" si="54"/>
        <v>31</v>
      </c>
      <c r="P26" s="76">
        <f t="shared" si="54"/>
        <v>29</v>
      </c>
      <c r="Q26" s="76">
        <f t="shared" si="54"/>
        <v>31</v>
      </c>
      <c r="R26" s="76">
        <f t="shared" si="54"/>
        <v>30</v>
      </c>
      <c r="S26" s="76">
        <f t="shared" si="54"/>
        <v>31</v>
      </c>
      <c r="T26" s="76">
        <f t="shared" si="54"/>
        <v>30</v>
      </c>
      <c r="U26" s="76">
        <f t="shared" si="54"/>
        <v>31</v>
      </c>
      <c r="V26" s="76">
        <f t="shared" si="54"/>
        <v>31</v>
      </c>
      <c r="W26" s="76">
        <f t="shared" si="54"/>
        <v>30</v>
      </c>
      <c r="X26" s="76">
        <f t="shared" si="54"/>
        <v>31</v>
      </c>
      <c r="Y26" s="76">
        <f t="shared" si="54"/>
        <v>30</v>
      </c>
      <c r="Z26" s="76">
        <f t="shared" si="54"/>
        <v>31</v>
      </c>
      <c r="AA26" s="76">
        <f t="shared" si="54"/>
        <v>31</v>
      </c>
      <c r="AB26" s="76">
        <f t="shared" si="54"/>
        <v>28</v>
      </c>
      <c r="AC26" s="76">
        <f t="shared" si="54"/>
        <v>31</v>
      </c>
      <c r="AD26" s="76">
        <f t="shared" si="54"/>
        <v>30</v>
      </c>
      <c r="AE26" s="76">
        <f t="shared" si="54"/>
        <v>31</v>
      </c>
      <c r="AF26" s="76">
        <f t="shared" si="54"/>
        <v>30</v>
      </c>
      <c r="AG26" s="76">
        <f t="shared" si="54"/>
        <v>31</v>
      </c>
      <c r="AH26" s="76">
        <f t="shared" si="54"/>
        <v>31</v>
      </c>
      <c r="AI26" s="76">
        <f t="shared" si="54"/>
        <v>30</v>
      </c>
      <c r="AJ26" s="76">
        <f t="shared" si="54"/>
        <v>31</v>
      </c>
      <c r="AK26" s="76">
        <f t="shared" si="54"/>
        <v>30</v>
      </c>
      <c r="AL26" s="76">
        <f t="shared" ref="AL26:BQ26" si="55">AL9-AL8+1</f>
        <v>31</v>
      </c>
      <c r="AM26" s="76">
        <f t="shared" si="55"/>
        <v>31</v>
      </c>
      <c r="AN26" s="76">
        <f t="shared" si="55"/>
        <v>28</v>
      </c>
      <c r="AO26" s="76">
        <f t="shared" si="55"/>
        <v>31</v>
      </c>
      <c r="AP26" s="76">
        <f t="shared" si="55"/>
        <v>30</v>
      </c>
      <c r="AQ26" s="76">
        <f t="shared" si="55"/>
        <v>31</v>
      </c>
      <c r="AR26" s="76">
        <f t="shared" si="55"/>
        <v>30</v>
      </c>
      <c r="AS26" s="76">
        <f t="shared" si="55"/>
        <v>31</v>
      </c>
      <c r="AT26" s="76">
        <f t="shared" si="55"/>
        <v>31</v>
      </c>
      <c r="AU26" s="76">
        <f t="shared" si="55"/>
        <v>30</v>
      </c>
      <c r="AV26" s="76">
        <f t="shared" si="55"/>
        <v>31</v>
      </c>
      <c r="AW26" s="76">
        <f t="shared" si="55"/>
        <v>30</v>
      </c>
      <c r="AX26" s="76">
        <f t="shared" si="55"/>
        <v>31</v>
      </c>
      <c r="AY26" s="76">
        <f t="shared" si="55"/>
        <v>31</v>
      </c>
      <c r="AZ26" s="76">
        <f t="shared" si="55"/>
        <v>28</v>
      </c>
      <c r="BA26" s="76">
        <f t="shared" si="55"/>
        <v>31</v>
      </c>
      <c r="BB26" s="76">
        <f t="shared" si="55"/>
        <v>30</v>
      </c>
      <c r="BC26" s="76">
        <f t="shared" si="55"/>
        <v>31</v>
      </c>
      <c r="BD26" s="76">
        <f t="shared" si="55"/>
        <v>30</v>
      </c>
      <c r="BE26" s="76">
        <f t="shared" si="55"/>
        <v>31</v>
      </c>
      <c r="BF26" s="76">
        <f t="shared" si="55"/>
        <v>31</v>
      </c>
      <c r="BG26" s="76">
        <f t="shared" si="55"/>
        <v>30</v>
      </c>
      <c r="BH26" s="76">
        <f t="shared" si="55"/>
        <v>31</v>
      </c>
      <c r="BI26" s="76">
        <f t="shared" si="55"/>
        <v>30</v>
      </c>
      <c r="BJ26" s="76">
        <f t="shared" si="55"/>
        <v>31</v>
      </c>
      <c r="BK26" s="76">
        <f t="shared" si="55"/>
        <v>31</v>
      </c>
      <c r="BL26" s="76">
        <f t="shared" si="55"/>
        <v>29</v>
      </c>
      <c r="BM26" s="76">
        <f t="shared" si="55"/>
        <v>31</v>
      </c>
      <c r="BN26" s="76">
        <f t="shared" si="55"/>
        <v>30</v>
      </c>
      <c r="BO26" s="76">
        <f t="shared" si="55"/>
        <v>31</v>
      </c>
      <c r="BP26" s="76">
        <f t="shared" si="55"/>
        <v>30</v>
      </c>
      <c r="BQ26" s="76">
        <f t="shared" si="55"/>
        <v>31</v>
      </c>
      <c r="BR26" s="76">
        <f t="shared" ref="BR26:CK26" si="56">BR9-BR8+1</f>
        <v>31</v>
      </c>
      <c r="BS26" s="76">
        <f t="shared" si="56"/>
        <v>30</v>
      </c>
      <c r="BT26" s="76">
        <f t="shared" si="56"/>
        <v>31</v>
      </c>
      <c r="BU26" s="76">
        <f t="shared" si="56"/>
        <v>30</v>
      </c>
      <c r="BV26" s="76">
        <f t="shared" si="56"/>
        <v>31</v>
      </c>
      <c r="BW26" s="76">
        <f t="shared" si="56"/>
        <v>31</v>
      </c>
      <c r="BX26" s="76">
        <f t="shared" si="56"/>
        <v>28</v>
      </c>
      <c r="BY26" s="76">
        <f t="shared" si="56"/>
        <v>31</v>
      </c>
      <c r="BZ26" s="76">
        <f t="shared" si="56"/>
        <v>30</v>
      </c>
      <c r="CA26" s="76">
        <f t="shared" si="56"/>
        <v>31</v>
      </c>
      <c r="CB26" s="76">
        <f t="shared" si="56"/>
        <v>30</v>
      </c>
      <c r="CC26" s="76">
        <f t="shared" si="56"/>
        <v>31</v>
      </c>
      <c r="CD26" s="76">
        <f t="shared" si="56"/>
        <v>31</v>
      </c>
      <c r="CE26" s="76">
        <f t="shared" si="56"/>
        <v>30</v>
      </c>
      <c r="CF26" s="76">
        <f t="shared" si="56"/>
        <v>31</v>
      </c>
      <c r="CG26" s="76">
        <f t="shared" si="56"/>
        <v>30</v>
      </c>
      <c r="CH26" s="76">
        <f t="shared" si="56"/>
        <v>31</v>
      </c>
      <c r="CI26" s="76">
        <f t="shared" si="56"/>
        <v>31</v>
      </c>
      <c r="CJ26" s="76">
        <f t="shared" si="56"/>
        <v>28</v>
      </c>
      <c r="CK26" s="76">
        <f t="shared" si="56"/>
        <v>31</v>
      </c>
    </row>
    <row r="27" spans="2:89">
      <c r="B27" s="32" t="s">
        <v>8</v>
      </c>
      <c r="C27" s="33"/>
      <c r="D27" s="33"/>
      <c r="E27" s="34"/>
      <c r="F27" s="76">
        <f>E27+1</f>
        <v>1</v>
      </c>
      <c r="G27" s="76">
        <f t="shared" ref="G27:AG27" si="57">F27+1</f>
        <v>2</v>
      </c>
      <c r="H27" s="76">
        <f t="shared" si="57"/>
        <v>3</v>
      </c>
      <c r="I27" s="76">
        <f t="shared" si="57"/>
        <v>4</v>
      </c>
      <c r="J27" s="76">
        <f t="shared" si="57"/>
        <v>5</v>
      </c>
      <c r="K27" s="76">
        <f t="shared" si="57"/>
        <v>6</v>
      </c>
      <c r="L27" s="76">
        <f t="shared" si="57"/>
        <v>7</v>
      </c>
      <c r="M27" s="76">
        <f t="shared" si="57"/>
        <v>8</v>
      </c>
      <c r="N27" s="76">
        <f t="shared" si="57"/>
        <v>9</v>
      </c>
      <c r="O27" s="76">
        <f t="shared" si="57"/>
        <v>10</v>
      </c>
      <c r="P27" s="76">
        <f t="shared" si="57"/>
        <v>11</v>
      </c>
      <c r="Q27" s="76">
        <f t="shared" si="57"/>
        <v>12</v>
      </c>
      <c r="R27" s="76">
        <f t="shared" si="57"/>
        <v>13</v>
      </c>
      <c r="S27" s="76">
        <f t="shared" si="57"/>
        <v>14</v>
      </c>
      <c r="T27" s="76">
        <f t="shared" si="57"/>
        <v>15</v>
      </c>
      <c r="U27" s="76">
        <f t="shared" si="57"/>
        <v>16</v>
      </c>
      <c r="V27" s="76">
        <f t="shared" si="57"/>
        <v>17</v>
      </c>
      <c r="W27" s="76">
        <f t="shared" si="57"/>
        <v>18</v>
      </c>
      <c r="X27" s="76">
        <f t="shared" si="57"/>
        <v>19</v>
      </c>
      <c r="Y27" s="76">
        <f t="shared" si="57"/>
        <v>20</v>
      </c>
      <c r="Z27" s="76">
        <f t="shared" si="57"/>
        <v>21</v>
      </c>
      <c r="AA27" s="76">
        <f t="shared" si="57"/>
        <v>22</v>
      </c>
      <c r="AB27" s="76">
        <f t="shared" si="57"/>
        <v>23</v>
      </c>
      <c r="AC27" s="76">
        <f t="shared" si="57"/>
        <v>24</v>
      </c>
      <c r="AD27" s="76">
        <f t="shared" si="57"/>
        <v>25</v>
      </c>
      <c r="AE27" s="76">
        <f t="shared" si="57"/>
        <v>26</v>
      </c>
      <c r="AF27" s="76">
        <f t="shared" si="57"/>
        <v>27</v>
      </c>
      <c r="AG27" s="76">
        <f t="shared" si="57"/>
        <v>28</v>
      </c>
      <c r="AH27" s="76">
        <f t="shared" ref="AH27:BM27" si="58">AG27+1</f>
        <v>29</v>
      </c>
      <c r="AI27" s="76">
        <f t="shared" si="58"/>
        <v>30</v>
      </c>
      <c r="AJ27" s="76">
        <f t="shared" si="58"/>
        <v>31</v>
      </c>
      <c r="AK27" s="76">
        <f t="shared" si="58"/>
        <v>32</v>
      </c>
      <c r="AL27" s="76">
        <f t="shared" si="58"/>
        <v>33</v>
      </c>
      <c r="AM27" s="76">
        <f t="shared" si="58"/>
        <v>34</v>
      </c>
      <c r="AN27" s="76">
        <f t="shared" si="58"/>
        <v>35</v>
      </c>
      <c r="AO27" s="76">
        <f t="shared" si="58"/>
        <v>36</v>
      </c>
      <c r="AP27" s="76">
        <f t="shared" si="58"/>
        <v>37</v>
      </c>
      <c r="AQ27" s="76">
        <f t="shared" si="58"/>
        <v>38</v>
      </c>
      <c r="AR27" s="76">
        <f t="shared" si="58"/>
        <v>39</v>
      </c>
      <c r="AS27" s="76">
        <f t="shared" si="58"/>
        <v>40</v>
      </c>
      <c r="AT27" s="76">
        <f t="shared" si="58"/>
        <v>41</v>
      </c>
      <c r="AU27" s="76">
        <f t="shared" si="58"/>
        <v>42</v>
      </c>
      <c r="AV27" s="76">
        <f t="shared" si="58"/>
        <v>43</v>
      </c>
      <c r="AW27" s="76">
        <f t="shared" si="58"/>
        <v>44</v>
      </c>
      <c r="AX27" s="76">
        <f t="shared" si="58"/>
        <v>45</v>
      </c>
      <c r="AY27" s="76">
        <f t="shared" si="58"/>
        <v>46</v>
      </c>
      <c r="AZ27" s="76">
        <f t="shared" si="58"/>
        <v>47</v>
      </c>
      <c r="BA27" s="76">
        <f t="shared" si="58"/>
        <v>48</v>
      </c>
      <c r="BB27" s="76">
        <f t="shared" si="58"/>
        <v>49</v>
      </c>
      <c r="BC27" s="76">
        <f t="shared" si="58"/>
        <v>50</v>
      </c>
      <c r="BD27" s="76">
        <f t="shared" si="58"/>
        <v>51</v>
      </c>
      <c r="BE27" s="76">
        <f t="shared" si="58"/>
        <v>52</v>
      </c>
      <c r="BF27" s="76">
        <f t="shared" si="58"/>
        <v>53</v>
      </c>
      <c r="BG27" s="76">
        <f t="shared" si="58"/>
        <v>54</v>
      </c>
      <c r="BH27" s="76">
        <f t="shared" si="58"/>
        <v>55</v>
      </c>
      <c r="BI27" s="76">
        <f t="shared" si="58"/>
        <v>56</v>
      </c>
      <c r="BJ27" s="76">
        <f t="shared" si="58"/>
        <v>57</v>
      </c>
      <c r="BK27" s="76">
        <f t="shared" si="58"/>
        <v>58</v>
      </c>
      <c r="BL27" s="76">
        <f t="shared" si="58"/>
        <v>59</v>
      </c>
      <c r="BM27" s="76">
        <f t="shared" si="58"/>
        <v>60</v>
      </c>
      <c r="BN27" s="76">
        <f t="shared" ref="BN27" si="59">BM27+1</f>
        <v>61</v>
      </c>
      <c r="BO27" s="76">
        <f t="shared" ref="BO27" si="60">BN27+1</f>
        <v>62</v>
      </c>
      <c r="BP27" s="76">
        <f t="shared" ref="BP27" si="61">BO27+1</f>
        <v>63</v>
      </c>
      <c r="BQ27" s="76">
        <f t="shared" ref="BQ27" si="62">BP27+1</f>
        <v>64</v>
      </c>
      <c r="BR27" s="76">
        <f t="shared" ref="BR27" si="63">BQ27+1</f>
        <v>65</v>
      </c>
      <c r="BS27" s="76">
        <f t="shared" ref="BS27" si="64">BR27+1</f>
        <v>66</v>
      </c>
      <c r="BT27" s="76">
        <f t="shared" ref="BT27" si="65">BS27+1</f>
        <v>67</v>
      </c>
      <c r="BU27" s="76">
        <f t="shared" ref="BU27" si="66">BT27+1</f>
        <v>68</v>
      </c>
      <c r="BV27" s="76">
        <f t="shared" ref="BV27" si="67">BU27+1</f>
        <v>69</v>
      </c>
      <c r="BW27" s="76">
        <f t="shared" ref="BW27" si="68">BV27+1</f>
        <v>70</v>
      </c>
      <c r="BX27" s="76">
        <f t="shared" ref="BX27" si="69">BW27+1</f>
        <v>71</v>
      </c>
      <c r="BY27" s="76">
        <f t="shared" ref="BY27" si="70">BX27+1</f>
        <v>72</v>
      </c>
      <c r="BZ27" s="76">
        <f t="shared" ref="BZ27" si="71">BY27+1</f>
        <v>73</v>
      </c>
      <c r="CA27" s="76">
        <f t="shared" ref="CA27" si="72">BZ27+1</f>
        <v>74</v>
      </c>
      <c r="CB27" s="76">
        <f t="shared" ref="CB27" si="73">CA27+1</f>
        <v>75</v>
      </c>
      <c r="CC27" s="76">
        <f t="shared" ref="CC27" si="74">CB27+1</f>
        <v>76</v>
      </c>
      <c r="CD27" s="76">
        <f t="shared" ref="CD27" si="75">CC27+1</f>
        <v>77</v>
      </c>
      <c r="CE27" s="76">
        <f t="shared" ref="CE27" si="76">CD27+1</f>
        <v>78</v>
      </c>
      <c r="CF27" s="76">
        <f t="shared" ref="CF27" si="77">CE27+1</f>
        <v>79</v>
      </c>
      <c r="CG27" s="76">
        <f t="shared" ref="CG27" si="78">CF27+1</f>
        <v>80</v>
      </c>
      <c r="CH27" s="76">
        <f t="shared" ref="CH27" si="79">CG27+1</f>
        <v>81</v>
      </c>
      <c r="CI27" s="76">
        <f t="shared" ref="CI27" si="80">CH27+1</f>
        <v>82</v>
      </c>
      <c r="CJ27" s="76">
        <f t="shared" ref="CJ27" si="81">CI27+1</f>
        <v>83</v>
      </c>
      <c r="CK27" s="76">
        <f t="shared" ref="CK27" si="82">CJ27+1</f>
        <v>84</v>
      </c>
    </row>
    <row r="28" spans="2:89">
      <c r="B28" s="32" t="s">
        <v>47</v>
      </c>
      <c r="C28" s="33"/>
      <c r="D28" s="39"/>
      <c r="E28" s="34"/>
      <c r="F28" s="76">
        <f t="shared" ref="F28:AK28" si="83">(E28+1)*F14</f>
        <v>0</v>
      </c>
      <c r="G28" s="76">
        <f t="shared" si="83"/>
        <v>0</v>
      </c>
      <c r="H28" s="76">
        <f t="shared" si="83"/>
        <v>0</v>
      </c>
      <c r="I28" s="76">
        <f t="shared" si="83"/>
        <v>0</v>
      </c>
      <c r="J28" s="76">
        <f t="shared" si="83"/>
        <v>0</v>
      </c>
      <c r="K28" s="76">
        <f t="shared" si="83"/>
        <v>0</v>
      </c>
      <c r="L28" s="76">
        <f t="shared" si="83"/>
        <v>0</v>
      </c>
      <c r="M28" s="76">
        <f t="shared" si="83"/>
        <v>0</v>
      </c>
      <c r="N28" s="76">
        <f t="shared" si="83"/>
        <v>0</v>
      </c>
      <c r="O28" s="76">
        <f t="shared" si="83"/>
        <v>0</v>
      </c>
      <c r="P28" s="76">
        <f t="shared" si="83"/>
        <v>0</v>
      </c>
      <c r="Q28" s="76">
        <f t="shared" si="83"/>
        <v>0</v>
      </c>
      <c r="R28" s="76">
        <f t="shared" si="83"/>
        <v>1</v>
      </c>
      <c r="S28" s="76">
        <f t="shared" si="83"/>
        <v>2</v>
      </c>
      <c r="T28" s="76">
        <f t="shared" si="83"/>
        <v>3</v>
      </c>
      <c r="U28" s="76">
        <f t="shared" si="83"/>
        <v>4</v>
      </c>
      <c r="V28" s="76">
        <f t="shared" si="83"/>
        <v>5</v>
      </c>
      <c r="W28" s="76">
        <f t="shared" si="83"/>
        <v>6</v>
      </c>
      <c r="X28" s="76">
        <f t="shared" si="83"/>
        <v>7</v>
      </c>
      <c r="Y28" s="76">
        <f t="shared" si="83"/>
        <v>8</v>
      </c>
      <c r="Z28" s="76">
        <f t="shared" si="83"/>
        <v>9</v>
      </c>
      <c r="AA28" s="76">
        <f t="shared" si="83"/>
        <v>10</v>
      </c>
      <c r="AB28" s="76">
        <f t="shared" si="83"/>
        <v>11</v>
      </c>
      <c r="AC28" s="76">
        <f t="shared" si="83"/>
        <v>12</v>
      </c>
      <c r="AD28" s="76">
        <f t="shared" si="83"/>
        <v>13</v>
      </c>
      <c r="AE28" s="76">
        <f t="shared" si="83"/>
        <v>14</v>
      </c>
      <c r="AF28" s="76">
        <f t="shared" si="83"/>
        <v>15</v>
      </c>
      <c r="AG28" s="76">
        <f t="shared" si="83"/>
        <v>16</v>
      </c>
      <c r="AH28" s="76">
        <f t="shared" si="83"/>
        <v>17</v>
      </c>
      <c r="AI28" s="76">
        <f t="shared" si="83"/>
        <v>18</v>
      </c>
      <c r="AJ28" s="76">
        <f t="shared" si="83"/>
        <v>19</v>
      </c>
      <c r="AK28" s="76">
        <f t="shared" si="83"/>
        <v>20</v>
      </c>
      <c r="AL28" s="76">
        <f t="shared" ref="AL28:BQ28" si="84">(AK28+1)*AL14</f>
        <v>21</v>
      </c>
      <c r="AM28" s="76">
        <f t="shared" si="84"/>
        <v>22</v>
      </c>
      <c r="AN28" s="76">
        <f t="shared" si="84"/>
        <v>23</v>
      </c>
      <c r="AO28" s="76">
        <f t="shared" si="84"/>
        <v>24</v>
      </c>
      <c r="AP28" s="76">
        <f t="shared" si="84"/>
        <v>25</v>
      </c>
      <c r="AQ28" s="76">
        <f t="shared" si="84"/>
        <v>26</v>
      </c>
      <c r="AR28" s="76">
        <f t="shared" si="84"/>
        <v>27</v>
      </c>
      <c r="AS28" s="76">
        <f t="shared" si="84"/>
        <v>28</v>
      </c>
      <c r="AT28" s="76">
        <f t="shared" si="84"/>
        <v>29</v>
      </c>
      <c r="AU28" s="76">
        <f t="shared" si="84"/>
        <v>30</v>
      </c>
      <c r="AV28" s="76">
        <f t="shared" si="84"/>
        <v>31</v>
      </c>
      <c r="AW28" s="76">
        <f t="shared" si="84"/>
        <v>32</v>
      </c>
      <c r="AX28" s="76">
        <f t="shared" si="84"/>
        <v>33</v>
      </c>
      <c r="AY28" s="76">
        <f t="shared" si="84"/>
        <v>34</v>
      </c>
      <c r="AZ28" s="76">
        <f t="shared" si="84"/>
        <v>35</v>
      </c>
      <c r="BA28" s="76">
        <f t="shared" si="84"/>
        <v>36</v>
      </c>
      <c r="BB28" s="76">
        <f t="shared" si="84"/>
        <v>37</v>
      </c>
      <c r="BC28" s="76">
        <f t="shared" si="84"/>
        <v>38</v>
      </c>
      <c r="BD28" s="76">
        <f t="shared" si="84"/>
        <v>39</v>
      </c>
      <c r="BE28" s="76">
        <f t="shared" si="84"/>
        <v>40</v>
      </c>
      <c r="BF28" s="76">
        <f t="shared" si="84"/>
        <v>41</v>
      </c>
      <c r="BG28" s="76">
        <f t="shared" si="84"/>
        <v>42</v>
      </c>
      <c r="BH28" s="76">
        <f t="shared" si="84"/>
        <v>43</v>
      </c>
      <c r="BI28" s="76">
        <f t="shared" si="84"/>
        <v>44</v>
      </c>
      <c r="BJ28" s="76">
        <f t="shared" si="84"/>
        <v>45</v>
      </c>
      <c r="BK28" s="76">
        <f t="shared" si="84"/>
        <v>46</v>
      </c>
      <c r="BL28" s="76">
        <f t="shared" si="84"/>
        <v>47</v>
      </c>
      <c r="BM28" s="76">
        <f t="shared" si="84"/>
        <v>48</v>
      </c>
      <c r="BN28" s="76">
        <f t="shared" si="84"/>
        <v>49</v>
      </c>
      <c r="BO28" s="76">
        <f t="shared" si="84"/>
        <v>50</v>
      </c>
      <c r="BP28" s="76">
        <f t="shared" si="84"/>
        <v>51</v>
      </c>
      <c r="BQ28" s="76">
        <f t="shared" si="84"/>
        <v>52</v>
      </c>
      <c r="BR28" s="76">
        <f t="shared" ref="BR28:CK28" si="85">(BQ28+1)*BR14</f>
        <v>53</v>
      </c>
      <c r="BS28" s="76">
        <f t="shared" si="85"/>
        <v>54</v>
      </c>
      <c r="BT28" s="76">
        <f t="shared" si="85"/>
        <v>55</v>
      </c>
      <c r="BU28" s="76">
        <f t="shared" si="85"/>
        <v>56</v>
      </c>
      <c r="BV28" s="76">
        <f t="shared" si="85"/>
        <v>57</v>
      </c>
      <c r="BW28" s="76">
        <f t="shared" si="85"/>
        <v>58</v>
      </c>
      <c r="BX28" s="76">
        <f t="shared" si="85"/>
        <v>59</v>
      </c>
      <c r="BY28" s="76">
        <f t="shared" si="85"/>
        <v>60</v>
      </c>
      <c r="BZ28" s="76">
        <f t="shared" si="85"/>
        <v>61</v>
      </c>
      <c r="CA28" s="76">
        <f t="shared" si="85"/>
        <v>62</v>
      </c>
      <c r="CB28" s="76">
        <f t="shared" si="85"/>
        <v>63</v>
      </c>
      <c r="CC28" s="76">
        <f t="shared" si="85"/>
        <v>64</v>
      </c>
      <c r="CD28" s="76">
        <f t="shared" si="85"/>
        <v>65</v>
      </c>
      <c r="CE28" s="76">
        <f t="shared" si="85"/>
        <v>66</v>
      </c>
      <c r="CF28" s="76">
        <f t="shared" si="85"/>
        <v>67</v>
      </c>
      <c r="CG28" s="76">
        <f t="shared" si="85"/>
        <v>68</v>
      </c>
      <c r="CH28" s="76">
        <f t="shared" si="85"/>
        <v>69</v>
      </c>
      <c r="CI28" s="76">
        <f t="shared" si="85"/>
        <v>70</v>
      </c>
      <c r="CJ28" s="76">
        <f t="shared" si="85"/>
        <v>71</v>
      </c>
      <c r="CK28" s="76">
        <f t="shared" si="85"/>
        <v>72</v>
      </c>
    </row>
    <row r="29" spans="2:89">
      <c r="B29" s="32" t="s">
        <v>517</v>
      </c>
      <c r="C29" s="33"/>
      <c r="D29" s="39"/>
      <c r="E29" s="34"/>
      <c r="F29" s="76">
        <f t="shared" ref="F29:AK29" si="86">ROUNDUP(F28/Мес_в_году,0)</f>
        <v>0</v>
      </c>
      <c r="G29" s="76">
        <f t="shared" si="86"/>
        <v>0</v>
      </c>
      <c r="H29" s="76">
        <f t="shared" si="86"/>
        <v>0</v>
      </c>
      <c r="I29" s="76">
        <f t="shared" si="86"/>
        <v>0</v>
      </c>
      <c r="J29" s="76">
        <f t="shared" si="86"/>
        <v>0</v>
      </c>
      <c r="K29" s="76">
        <f t="shared" si="86"/>
        <v>0</v>
      </c>
      <c r="L29" s="76">
        <f t="shared" si="86"/>
        <v>0</v>
      </c>
      <c r="M29" s="76">
        <f t="shared" si="86"/>
        <v>0</v>
      </c>
      <c r="N29" s="76">
        <f t="shared" si="86"/>
        <v>0</v>
      </c>
      <c r="O29" s="76">
        <f t="shared" si="86"/>
        <v>0</v>
      </c>
      <c r="P29" s="76">
        <f t="shared" si="86"/>
        <v>0</v>
      </c>
      <c r="Q29" s="76">
        <f t="shared" si="86"/>
        <v>0</v>
      </c>
      <c r="R29" s="76">
        <f t="shared" si="86"/>
        <v>1</v>
      </c>
      <c r="S29" s="76">
        <f t="shared" si="86"/>
        <v>1</v>
      </c>
      <c r="T29" s="76">
        <f t="shared" si="86"/>
        <v>1</v>
      </c>
      <c r="U29" s="76">
        <f t="shared" si="86"/>
        <v>1</v>
      </c>
      <c r="V29" s="76">
        <f t="shared" si="86"/>
        <v>1</v>
      </c>
      <c r="W29" s="76">
        <f t="shared" si="86"/>
        <v>1</v>
      </c>
      <c r="X29" s="76">
        <f t="shared" si="86"/>
        <v>1</v>
      </c>
      <c r="Y29" s="76">
        <f t="shared" si="86"/>
        <v>1</v>
      </c>
      <c r="Z29" s="76">
        <f t="shared" si="86"/>
        <v>1</v>
      </c>
      <c r="AA29" s="76">
        <f t="shared" si="86"/>
        <v>1</v>
      </c>
      <c r="AB29" s="76">
        <f t="shared" si="86"/>
        <v>1</v>
      </c>
      <c r="AC29" s="76">
        <f t="shared" si="86"/>
        <v>1</v>
      </c>
      <c r="AD29" s="76">
        <f t="shared" si="86"/>
        <v>2</v>
      </c>
      <c r="AE29" s="76">
        <f t="shared" si="86"/>
        <v>2</v>
      </c>
      <c r="AF29" s="76">
        <f t="shared" si="86"/>
        <v>2</v>
      </c>
      <c r="AG29" s="76">
        <f t="shared" si="86"/>
        <v>2</v>
      </c>
      <c r="AH29" s="76">
        <f t="shared" si="86"/>
        <v>2</v>
      </c>
      <c r="AI29" s="76">
        <f t="shared" si="86"/>
        <v>2</v>
      </c>
      <c r="AJ29" s="76">
        <f t="shared" si="86"/>
        <v>2</v>
      </c>
      <c r="AK29" s="76">
        <f t="shared" si="86"/>
        <v>2</v>
      </c>
      <c r="AL29" s="76">
        <f t="shared" ref="AL29:BM29" si="87">ROUNDUP(AL28/Мес_в_году,0)</f>
        <v>2</v>
      </c>
      <c r="AM29" s="76">
        <f t="shared" si="87"/>
        <v>2</v>
      </c>
      <c r="AN29" s="76">
        <f t="shared" si="87"/>
        <v>2</v>
      </c>
      <c r="AO29" s="76">
        <f t="shared" si="87"/>
        <v>2</v>
      </c>
      <c r="AP29" s="76">
        <f t="shared" si="87"/>
        <v>3</v>
      </c>
      <c r="AQ29" s="76">
        <f t="shared" si="87"/>
        <v>3</v>
      </c>
      <c r="AR29" s="76">
        <f t="shared" si="87"/>
        <v>3</v>
      </c>
      <c r="AS29" s="76">
        <f t="shared" si="87"/>
        <v>3</v>
      </c>
      <c r="AT29" s="76">
        <f t="shared" si="87"/>
        <v>3</v>
      </c>
      <c r="AU29" s="76">
        <f t="shared" si="87"/>
        <v>3</v>
      </c>
      <c r="AV29" s="76">
        <f t="shared" si="87"/>
        <v>3</v>
      </c>
      <c r="AW29" s="76">
        <f t="shared" si="87"/>
        <v>3</v>
      </c>
      <c r="AX29" s="76">
        <f t="shared" si="87"/>
        <v>3</v>
      </c>
      <c r="AY29" s="76">
        <f t="shared" si="87"/>
        <v>3</v>
      </c>
      <c r="AZ29" s="76">
        <f t="shared" si="87"/>
        <v>3</v>
      </c>
      <c r="BA29" s="76">
        <f t="shared" si="87"/>
        <v>3</v>
      </c>
      <c r="BB29" s="76">
        <f t="shared" si="87"/>
        <v>4</v>
      </c>
      <c r="BC29" s="76">
        <f t="shared" si="87"/>
        <v>4</v>
      </c>
      <c r="BD29" s="76">
        <f t="shared" si="87"/>
        <v>4</v>
      </c>
      <c r="BE29" s="76">
        <f t="shared" si="87"/>
        <v>4</v>
      </c>
      <c r="BF29" s="76">
        <f t="shared" si="87"/>
        <v>4</v>
      </c>
      <c r="BG29" s="76">
        <f t="shared" si="87"/>
        <v>4</v>
      </c>
      <c r="BH29" s="76">
        <f t="shared" si="87"/>
        <v>4</v>
      </c>
      <c r="BI29" s="76">
        <f t="shared" si="87"/>
        <v>4</v>
      </c>
      <c r="BJ29" s="76">
        <f t="shared" si="87"/>
        <v>4</v>
      </c>
      <c r="BK29" s="76">
        <f t="shared" si="87"/>
        <v>4</v>
      </c>
      <c r="BL29" s="76">
        <f t="shared" si="87"/>
        <v>4</v>
      </c>
      <c r="BM29" s="76">
        <f t="shared" si="87"/>
        <v>4</v>
      </c>
      <c r="BN29" s="76">
        <f t="shared" ref="BN29:CK29" si="88">ROUNDUP(BN28/Мес_в_году,0)</f>
        <v>5</v>
      </c>
      <c r="BO29" s="76">
        <f t="shared" si="88"/>
        <v>5</v>
      </c>
      <c r="BP29" s="76">
        <f t="shared" si="88"/>
        <v>5</v>
      </c>
      <c r="BQ29" s="76">
        <f t="shared" si="88"/>
        <v>5</v>
      </c>
      <c r="BR29" s="76">
        <f t="shared" si="88"/>
        <v>5</v>
      </c>
      <c r="BS29" s="76">
        <f t="shared" si="88"/>
        <v>5</v>
      </c>
      <c r="BT29" s="76">
        <f t="shared" si="88"/>
        <v>5</v>
      </c>
      <c r="BU29" s="76">
        <f t="shared" si="88"/>
        <v>5</v>
      </c>
      <c r="BV29" s="76">
        <f t="shared" si="88"/>
        <v>5</v>
      </c>
      <c r="BW29" s="76">
        <f t="shared" si="88"/>
        <v>5</v>
      </c>
      <c r="BX29" s="76">
        <f t="shared" si="88"/>
        <v>5</v>
      </c>
      <c r="BY29" s="76">
        <f t="shared" si="88"/>
        <v>5</v>
      </c>
      <c r="BZ29" s="76">
        <f t="shared" si="88"/>
        <v>6</v>
      </c>
      <c r="CA29" s="76">
        <f t="shared" si="88"/>
        <v>6</v>
      </c>
      <c r="CB29" s="76">
        <f t="shared" si="88"/>
        <v>6</v>
      </c>
      <c r="CC29" s="76">
        <f t="shared" si="88"/>
        <v>6</v>
      </c>
      <c r="CD29" s="76">
        <f t="shared" si="88"/>
        <v>6</v>
      </c>
      <c r="CE29" s="76">
        <f t="shared" si="88"/>
        <v>6</v>
      </c>
      <c r="CF29" s="76">
        <f t="shared" si="88"/>
        <v>6</v>
      </c>
      <c r="CG29" s="76">
        <f t="shared" si="88"/>
        <v>6</v>
      </c>
      <c r="CH29" s="76">
        <f t="shared" si="88"/>
        <v>6</v>
      </c>
      <c r="CI29" s="76">
        <f t="shared" si="88"/>
        <v>6</v>
      </c>
      <c r="CJ29" s="76">
        <f t="shared" si="88"/>
        <v>6</v>
      </c>
      <c r="CK29" s="76">
        <f t="shared" si="88"/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/>
    <row r="33"/>
    <row r="34"/>
    <row r="35"/>
    <row r="36"/>
    <row r="37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4:4" hidden="1"/>
    <row r="66" spans="4:4" hidden="1"/>
    <row r="67" spans="4:4" hidden="1"/>
    <row r="68" spans="4:4" hidden="1"/>
    <row r="69" spans="4:4" hidden="1"/>
    <row r="70" spans="4:4" hidden="1"/>
    <row r="71" spans="4:4" hidden="1"/>
    <row r="72" spans="4:4" hidden="1"/>
    <row r="73" spans="4:4" hidden="1"/>
    <row r="74" spans="4:4" hidden="1"/>
    <row r="75" spans="4:4" hidden="1"/>
    <row r="76" spans="4:4" hidden="1"/>
    <row r="77" spans="4:4" hidden="1">
      <c r="D77">
        <v>0</v>
      </c>
    </row>
    <row r="78" spans="4:4" hidden="1"/>
    <row r="79" spans="4:4" hidden="1"/>
    <row r="80" spans="4:4" hidden="1">
      <c r="D80">
        <f>SUM(D77:D79)</f>
        <v>0</v>
      </c>
    </row>
  </sheetData>
  <sheetProtection algorithmName="SHA-512" hashValue="SpcZuPomUQVBhmYM6NyOqjq/EM4pMg4tZDZYA2Ddhu9byH+h748jOrh1Zh18yfXrXSrJXhzyY8RTyD+l1XWNpQ==" saltValue="66gVD7Xb1ZQ8Gds4Cv9FNg==" spinCount="100000" sheet="1" objects="1" scenarios="1"/>
  <mergeCells count="1">
    <mergeCell ref="E1:G2"/>
  </mergeCells>
  <conditionalFormatting sqref="F13:CK14">
    <cfRule type="cellIs" dxfId="30" priority="2" operator="equal">
      <formula>1</formula>
    </cfRule>
  </conditionalFormatting>
  <conditionalFormatting sqref="K1:K2">
    <cfRule type="expression" dxfId="29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7" tint="0.39997558519241921"/>
  </sheetPr>
  <dimension ref="A1:CL153"/>
  <sheetViews>
    <sheetView showGridLines="0" zoomScaleNormal="100" workbookViewId="0">
      <pane xSplit="5" ySplit="10" topLeftCell="F98" activePane="bottomRight" state="frozen"/>
      <selection activeCell="D18" sqref="D18"/>
      <selection pane="topRight" activeCell="D18" sqref="D18"/>
      <selection pane="bottomLeft" activeCell="D18" sqref="D18"/>
      <selection pane="bottomRight" activeCell="G5" sqref="G5"/>
    </sheetView>
  </sheetViews>
  <sheetFormatPr defaultColWidth="0" defaultRowHeight="15" zeroHeight="1"/>
  <cols>
    <col min="1" max="1" width="2.5703125" customWidth="1"/>
    <col min="2" max="2" width="28.5703125" customWidth="1"/>
    <col min="3" max="3" width="7.140625" customWidth="1"/>
    <col min="4" max="4" width="15.140625" bestFit="1" customWidth="1"/>
    <col min="5" max="5" width="12.85546875" customWidth="1"/>
    <col min="6" max="6" width="12" bestFit="1" customWidth="1"/>
    <col min="7" max="7" width="12.42578125" bestFit="1" customWidth="1"/>
    <col min="8" max="8" width="12.140625" bestFit="1" customWidth="1"/>
    <col min="9" max="9" width="13.28515625" customWidth="1"/>
    <col min="10" max="12" width="13.5703125" bestFit="1" customWidth="1"/>
    <col min="13" max="16" width="14.5703125" bestFit="1" customWidth="1"/>
    <col min="17" max="17" width="15.140625" bestFit="1" customWidth="1"/>
    <col min="18" max="20" width="13.7109375" bestFit="1" customWidth="1"/>
    <col min="21" max="22" width="12.140625" bestFit="1" customWidth="1"/>
    <col min="23" max="23" width="12.85546875" bestFit="1" customWidth="1"/>
    <col min="24" max="25" width="12.140625" bestFit="1" customWidth="1"/>
    <col min="26" max="26" width="12.85546875" customWidth="1"/>
    <col min="27" max="27" width="12.28515625" bestFit="1" customWidth="1"/>
    <col min="28" max="29" width="12.42578125" bestFit="1" customWidth="1"/>
    <col min="30" max="30" width="12.140625" bestFit="1" customWidth="1"/>
    <col min="31" max="31" width="12.42578125" bestFit="1" customWidth="1"/>
    <col min="32" max="34" width="12.140625" bestFit="1" customWidth="1"/>
    <col min="35" max="35" width="12.85546875" bestFit="1" customWidth="1"/>
    <col min="36" max="37" width="12.140625" bestFit="1" customWidth="1"/>
    <col min="38" max="38" width="12.85546875" customWidth="1"/>
    <col min="39" max="39" width="12.28515625" bestFit="1" customWidth="1"/>
    <col min="40" max="41" width="12.42578125" bestFit="1" customWidth="1"/>
    <col min="42" max="42" width="12.140625" bestFit="1" customWidth="1"/>
    <col min="43" max="43" width="12.42578125" bestFit="1" customWidth="1"/>
    <col min="44" max="46" width="12.140625" bestFit="1" customWidth="1"/>
    <col min="47" max="47" width="12.85546875" bestFit="1" customWidth="1"/>
    <col min="48" max="49" width="12.140625" bestFit="1" customWidth="1"/>
    <col min="50" max="50" width="12.85546875" customWidth="1"/>
    <col min="51" max="51" width="12.28515625" bestFit="1" customWidth="1"/>
    <col min="52" max="53" width="12.42578125" bestFit="1" customWidth="1"/>
    <col min="54" max="54" width="12.140625" bestFit="1" customWidth="1"/>
    <col min="55" max="55" width="12.42578125" bestFit="1" customWidth="1"/>
    <col min="56" max="58" width="12.140625" bestFit="1" customWidth="1"/>
    <col min="59" max="59" width="12.85546875" bestFit="1" customWidth="1"/>
    <col min="60" max="61" width="12.140625" bestFit="1" customWidth="1"/>
    <col min="62" max="62" width="12.85546875" customWidth="1"/>
    <col min="63" max="63" width="12.28515625" bestFit="1" customWidth="1"/>
    <col min="64" max="65" width="12.42578125" bestFit="1" customWidth="1"/>
    <col min="66" max="66" width="12.140625" bestFit="1" customWidth="1"/>
    <col min="67" max="67" width="12.42578125" bestFit="1" customWidth="1"/>
    <col min="68" max="70" width="12.140625" bestFit="1" customWidth="1"/>
    <col min="71" max="71" width="12.85546875" bestFit="1" customWidth="1"/>
    <col min="72" max="73" width="12.140625" bestFit="1" customWidth="1"/>
    <col min="74" max="74" width="13" bestFit="1" customWidth="1"/>
    <col min="75" max="75" width="12.28515625" bestFit="1" customWidth="1"/>
    <col min="76" max="77" width="12.42578125" bestFit="1" customWidth="1"/>
    <col min="78" max="78" width="12.140625" bestFit="1" customWidth="1"/>
    <col min="79" max="79" width="12.42578125" bestFit="1" customWidth="1"/>
    <col min="80" max="82" width="12.140625" bestFit="1" customWidth="1"/>
    <col min="83" max="83" width="12.85546875" bestFit="1" customWidth="1"/>
    <col min="84" max="85" width="12.140625" bestFit="1" customWidth="1"/>
    <col min="86" max="86" width="13" bestFit="1" customWidth="1"/>
    <col min="87" max="87" width="12.28515625" bestFit="1" customWidth="1"/>
    <col min="88" max="89" width="12.42578125" bestFit="1" customWidth="1"/>
    <col min="90" max="90" width="5.28515625" customWidth="1"/>
    <col min="91" max="16384" width="5.28515625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1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>
      <c r="B8" s="16" t="str">
        <f t="array" ref="B8:B9">Время!B8:B9</f>
        <v>Начало периода</v>
      </c>
      <c r="C8" s="17"/>
      <c r="D8" s="18"/>
      <c r="E8" s="19"/>
      <c r="F8" s="20">
        <f t="array" ref="F8:CK9">Время!F8:CK9</f>
        <v>45017</v>
      </c>
      <c r="G8" s="20">
        <v>45047</v>
      </c>
      <c r="H8" s="20">
        <v>45078</v>
      </c>
      <c r="I8" s="20">
        <v>45108</v>
      </c>
      <c r="J8" s="20">
        <v>45139</v>
      </c>
      <c r="K8" s="20">
        <v>45170</v>
      </c>
      <c r="L8" s="20">
        <v>45200</v>
      </c>
      <c r="M8" s="20">
        <v>45231</v>
      </c>
      <c r="N8" s="20">
        <v>45261</v>
      </c>
      <c r="O8" s="20">
        <v>45292</v>
      </c>
      <c r="P8" s="20">
        <v>45323</v>
      </c>
      <c r="Q8" s="20">
        <v>45352</v>
      </c>
      <c r="R8" s="20">
        <v>45383</v>
      </c>
      <c r="S8" s="20">
        <v>45413</v>
      </c>
      <c r="T8" s="20">
        <v>45444</v>
      </c>
      <c r="U8" s="20">
        <v>45474</v>
      </c>
      <c r="V8" s="20">
        <v>45505</v>
      </c>
      <c r="W8" s="20">
        <v>45536</v>
      </c>
      <c r="X8" s="20">
        <v>45566</v>
      </c>
      <c r="Y8" s="20">
        <v>45597</v>
      </c>
      <c r="Z8" s="20">
        <v>45627</v>
      </c>
      <c r="AA8" s="20">
        <v>45658</v>
      </c>
      <c r="AB8" s="20">
        <v>45689</v>
      </c>
      <c r="AC8" s="20">
        <v>45717</v>
      </c>
      <c r="AD8" s="20">
        <v>45748</v>
      </c>
      <c r="AE8" s="20">
        <v>45778</v>
      </c>
      <c r="AF8" s="20">
        <v>45809</v>
      </c>
      <c r="AG8" s="20">
        <v>45839</v>
      </c>
      <c r="AH8" s="20">
        <v>45870</v>
      </c>
      <c r="AI8" s="20">
        <v>45901</v>
      </c>
      <c r="AJ8" s="20">
        <v>45931</v>
      </c>
      <c r="AK8" s="20">
        <v>45962</v>
      </c>
      <c r="AL8" s="20">
        <v>45992</v>
      </c>
      <c r="AM8" s="20">
        <v>46023</v>
      </c>
      <c r="AN8" s="20">
        <v>46054</v>
      </c>
      <c r="AO8" s="20">
        <v>46082</v>
      </c>
      <c r="AP8" s="20">
        <v>46113</v>
      </c>
      <c r="AQ8" s="20">
        <v>46143</v>
      </c>
      <c r="AR8" s="20">
        <v>46174</v>
      </c>
      <c r="AS8" s="20">
        <v>46204</v>
      </c>
      <c r="AT8" s="20">
        <v>46235</v>
      </c>
      <c r="AU8" s="20">
        <v>46266</v>
      </c>
      <c r="AV8" s="20">
        <v>46296</v>
      </c>
      <c r="AW8" s="20">
        <v>46327</v>
      </c>
      <c r="AX8" s="20">
        <v>46357</v>
      </c>
      <c r="AY8" s="20">
        <v>46388</v>
      </c>
      <c r="AZ8" s="20">
        <v>46419</v>
      </c>
      <c r="BA8" s="20">
        <v>46447</v>
      </c>
      <c r="BB8" s="20">
        <v>46478</v>
      </c>
      <c r="BC8" s="20">
        <v>46508</v>
      </c>
      <c r="BD8" s="20">
        <v>46539</v>
      </c>
      <c r="BE8" s="20">
        <v>46569</v>
      </c>
      <c r="BF8" s="20">
        <v>46600</v>
      </c>
      <c r="BG8" s="20">
        <v>46631</v>
      </c>
      <c r="BH8" s="20">
        <v>46661</v>
      </c>
      <c r="BI8" s="20">
        <v>46692</v>
      </c>
      <c r="BJ8" s="20">
        <v>46722</v>
      </c>
      <c r="BK8" s="20">
        <v>46753</v>
      </c>
      <c r="BL8" s="20">
        <v>46784</v>
      </c>
      <c r="BM8" s="20">
        <v>46813</v>
      </c>
      <c r="BN8" s="20">
        <v>46844</v>
      </c>
      <c r="BO8" s="20">
        <v>46874</v>
      </c>
      <c r="BP8" s="20">
        <v>46905</v>
      </c>
      <c r="BQ8" s="20">
        <v>46935</v>
      </c>
      <c r="BR8" s="20">
        <v>46966</v>
      </c>
      <c r="BS8" s="20">
        <v>46997</v>
      </c>
      <c r="BT8" s="20">
        <v>47027</v>
      </c>
      <c r="BU8" s="20">
        <v>47058</v>
      </c>
      <c r="BV8" s="20">
        <v>47088</v>
      </c>
      <c r="BW8" s="20">
        <v>47119</v>
      </c>
      <c r="BX8" s="20">
        <v>47150</v>
      </c>
      <c r="BY8" s="20">
        <v>47178</v>
      </c>
      <c r="BZ8" s="20">
        <v>47209</v>
      </c>
      <c r="CA8" s="20">
        <v>47239</v>
      </c>
      <c r="CB8" s="20">
        <v>47270</v>
      </c>
      <c r="CC8" s="20">
        <v>47300</v>
      </c>
      <c r="CD8" s="20">
        <v>47331</v>
      </c>
      <c r="CE8" s="20">
        <v>47362</v>
      </c>
      <c r="CF8" s="20">
        <v>47392</v>
      </c>
      <c r="CG8" s="20">
        <v>47423</v>
      </c>
      <c r="CH8" s="20">
        <v>47453</v>
      </c>
      <c r="CI8" s="20">
        <v>47484</v>
      </c>
      <c r="CJ8" s="20">
        <v>47515</v>
      </c>
      <c r="CK8" s="20">
        <v>47543</v>
      </c>
    </row>
    <row r="9" spans="2:89">
      <c r="B9" s="21" t="str">
        <v>Конец периода</v>
      </c>
      <c r="C9" s="22"/>
      <c r="D9" s="23"/>
      <c r="E9" s="24">
        <f>Время!E9</f>
        <v>45016</v>
      </c>
      <c r="F9" s="25">
        <v>45046</v>
      </c>
      <c r="G9" s="25">
        <v>45077</v>
      </c>
      <c r="H9" s="25">
        <v>45107</v>
      </c>
      <c r="I9" s="25">
        <v>45138</v>
      </c>
      <c r="J9" s="25">
        <v>45169</v>
      </c>
      <c r="K9" s="25">
        <v>45199</v>
      </c>
      <c r="L9" s="25">
        <v>45230</v>
      </c>
      <c r="M9" s="25">
        <v>45260</v>
      </c>
      <c r="N9" s="25">
        <v>45291</v>
      </c>
      <c r="O9" s="25">
        <v>45322</v>
      </c>
      <c r="P9" s="25">
        <v>45351</v>
      </c>
      <c r="Q9" s="25">
        <v>45382</v>
      </c>
      <c r="R9" s="25">
        <v>45412</v>
      </c>
      <c r="S9" s="25">
        <v>45443</v>
      </c>
      <c r="T9" s="25">
        <v>45473</v>
      </c>
      <c r="U9" s="25">
        <v>45504</v>
      </c>
      <c r="V9" s="25">
        <v>45535</v>
      </c>
      <c r="W9" s="25">
        <v>45565</v>
      </c>
      <c r="X9" s="25">
        <v>45596</v>
      </c>
      <c r="Y9" s="25">
        <v>45626</v>
      </c>
      <c r="Z9" s="25">
        <v>45657</v>
      </c>
      <c r="AA9" s="25">
        <v>45688</v>
      </c>
      <c r="AB9" s="25">
        <v>45716</v>
      </c>
      <c r="AC9" s="25">
        <v>45747</v>
      </c>
      <c r="AD9" s="25">
        <v>45777</v>
      </c>
      <c r="AE9" s="25">
        <v>45808</v>
      </c>
      <c r="AF9" s="25">
        <v>45838</v>
      </c>
      <c r="AG9" s="25">
        <v>45869</v>
      </c>
      <c r="AH9" s="25">
        <v>45900</v>
      </c>
      <c r="AI9" s="25">
        <v>45930</v>
      </c>
      <c r="AJ9" s="25">
        <v>45961</v>
      </c>
      <c r="AK9" s="25">
        <v>45991</v>
      </c>
      <c r="AL9" s="25">
        <v>46022</v>
      </c>
      <c r="AM9" s="25">
        <v>46053</v>
      </c>
      <c r="AN9" s="25">
        <v>46081</v>
      </c>
      <c r="AO9" s="25">
        <v>46112</v>
      </c>
      <c r="AP9" s="25">
        <v>46142</v>
      </c>
      <c r="AQ9" s="25">
        <v>46173</v>
      </c>
      <c r="AR9" s="25">
        <v>46203</v>
      </c>
      <c r="AS9" s="25">
        <v>46234</v>
      </c>
      <c r="AT9" s="25">
        <v>46265</v>
      </c>
      <c r="AU9" s="25">
        <v>46295</v>
      </c>
      <c r="AV9" s="25">
        <v>46326</v>
      </c>
      <c r="AW9" s="25">
        <v>46356</v>
      </c>
      <c r="AX9" s="25">
        <v>46387</v>
      </c>
      <c r="AY9" s="25">
        <v>46418</v>
      </c>
      <c r="AZ9" s="25">
        <v>46446</v>
      </c>
      <c r="BA9" s="25">
        <v>46477</v>
      </c>
      <c r="BB9" s="25">
        <v>46507</v>
      </c>
      <c r="BC9" s="25">
        <v>46538</v>
      </c>
      <c r="BD9" s="25">
        <v>46568</v>
      </c>
      <c r="BE9" s="25">
        <v>46599</v>
      </c>
      <c r="BF9" s="25">
        <v>46630</v>
      </c>
      <c r="BG9" s="25">
        <v>46660</v>
      </c>
      <c r="BH9" s="25">
        <v>46691</v>
      </c>
      <c r="BI9" s="25">
        <v>46721</v>
      </c>
      <c r="BJ9" s="25">
        <v>46752</v>
      </c>
      <c r="BK9" s="25">
        <v>46783</v>
      </c>
      <c r="BL9" s="25">
        <v>46812</v>
      </c>
      <c r="BM9" s="25">
        <v>46843</v>
      </c>
      <c r="BN9" s="25">
        <v>46873</v>
      </c>
      <c r="BO9" s="25">
        <v>46904</v>
      </c>
      <c r="BP9" s="25">
        <v>46934</v>
      </c>
      <c r="BQ9" s="25">
        <v>46965</v>
      </c>
      <c r="BR9" s="25">
        <v>46996</v>
      </c>
      <c r="BS9" s="25">
        <v>47026</v>
      </c>
      <c r="BT9" s="25">
        <v>47057</v>
      </c>
      <c r="BU9" s="25">
        <v>47087</v>
      </c>
      <c r="BV9" s="25">
        <v>47118</v>
      </c>
      <c r="BW9" s="25">
        <v>47149</v>
      </c>
      <c r="BX9" s="25">
        <v>47177</v>
      </c>
      <c r="BY9" s="25">
        <v>47208</v>
      </c>
      <c r="BZ9" s="25">
        <v>47238</v>
      </c>
      <c r="CA9" s="25">
        <v>47269</v>
      </c>
      <c r="CB9" s="25">
        <v>47299</v>
      </c>
      <c r="CC9" s="25">
        <v>47330</v>
      </c>
      <c r="CD9" s="25">
        <v>47361</v>
      </c>
      <c r="CE9" s="25">
        <v>47391</v>
      </c>
      <c r="CF9" s="25">
        <v>47422</v>
      </c>
      <c r="CG9" s="25">
        <v>47452</v>
      </c>
      <c r="CH9" s="25">
        <v>47483</v>
      </c>
      <c r="CI9" s="25">
        <v>47514</v>
      </c>
      <c r="CJ9" s="25">
        <v>47542</v>
      </c>
      <c r="CK9" s="25"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5"/>
      <c r="G12" s="15"/>
      <c r="H12" s="15"/>
      <c r="I12" s="15"/>
      <c r="J12" s="15"/>
      <c r="K12" s="15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>
      <c r="B13" s="145" t="str">
        <f t="array" ref="B13:B14">Время!B13:B14</f>
        <v>Инвестиции</v>
      </c>
      <c r="C13" s="146"/>
      <c r="D13" s="146"/>
      <c r="E13" s="146"/>
      <c r="F13" s="29">
        <f t="array" ref="F13:CK14">Время!F13:CK14</f>
        <v>1</v>
      </c>
      <c r="G13" s="30">
        <v>1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1">
        <v>0</v>
      </c>
    </row>
    <row r="14" spans="2:89">
      <c r="B14" s="145" t="str">
        <v>Операции</v>
      </c>
      <c r="C14" s="146"/>
      <c r="D14" s="146"/>
      <c r="E14" s="146"/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>
        <v>1</v>
      </c>
      <c r="AU14" s="30">
        <v>1</v>
      </c>
      <c r="AV14" s="30">
        <v>1</v>
      </c>
      <c r="AW14" s="30">
        <v>1</v>
      </c>
      <c r="AX14" s="30">
        <v>1</v>
      </c>
      <c r="AY14" s="30">
        <v>1</v>
      </c>
      <c r="AZ14" s="30">
        <v>1</v>
      </c>
      <c r="BA14" s="30">
        <v>1</v>
      </c>
      <c r="BB14" s="30">
        <v>1</v>
      </c>
      <c r="BC14" s="30">
        <v>1</v>
      </c>
      <c r="BD14" s="30">
        <v>1</v>
      </c>
      <c r="BE14" s="30">
        <v>1</v>
      </c>
      <c r="BF14" s="30">
        <v>1</v>
      </c>
      <c r="BG14" s="30">
        <v>1</v>
      </c>
      <c r="BH14" s="30">
        <v>1</v>
      </c>
      <c r="BI14" s="30">
        <v>1</v>
      </c>
      <c r="BJ14" s="30">
        <v>1</v>
      </c>
      <c r="BK14" s="30">
        <v>1</v>
      </c>
      <c r="BL14" s="30">
        <v>1</v>
      </c>
      <c r="BM14" s="30">
        <v>1</v>
      </c>
      <c r="BN14" s="30">
        <v>1</v>
      </c>
      <c r="BO14" s="30">
        <v>1</v>
      </c>
      <c r="BP14" s="30">
        <v>1</v>
      </c>
      <c r="BQ14" s="30">
        <v>1</v>
      </c>
      <c r="BR14" s="30">
        <v>1</v>
      </c>
      <c r="BS14" s="30">
        <v>1</v>
      </c>
      <c r="BT14" s="30">
        <v>1</v>
      </c>
      <c r="BU14" s="30">
        <v>1</v>
      </c>
      <c r="BV14" s="30">
        <v>1</v>
      </c>
      <c r="BW14" s="30">
        <v>1</v>
      </c>
      <c r="BX14" s="30">
        <v>1</v>
      </c>
      <c r="BY14" s="30">
        <v>1</v>
      </c>
      <c r="BZ14" s="30">
        <v>1</v>
      </c>
      <c r="CA14" s="30">
        <v>1</v>
      </c>
      <c r="CB14" s="30">
        <v>1</v>
      </c>
      <c r="CC14" s="30">
        <v>1</v>
      </c>
      <c r="CD14" s="30">
        <v>1</v>
      </c>
      <c r="CE14" s="30">
        <v>1</v>
      </c>
      <c r="CF14" s="30">
        <v>1</v>
      </c>
      <c r="CG14" s="30">
        <v>1</v>
      </c>
      <c r="CH14" s="30">
        <v>1</v>
      </c>
      <c r="CI14" s="30">
        <v>1</v>
      </c>
      <c r="CJ14" s="30">
        <v>1</v>
      </c>
      <c r="CK14" s="31">
        <v>1</v>
      </c>
    </row>
    <row r="15" spans="2:89" ht="3" customHeight="1">
      <c r="B15" s="14"/>
      <c r="C15" s="14"/>
      <c r="D15" s="14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5"/>
      <c r="G17" s="15"/>
      <c r="H17" s="15"/>
      <c r="I17" s="15"/>
      <c r="J17" s="15"/>
      <c r="K17" s="1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>
      <c r="B18" s="32" t="str">
        <f t="array" ref="B18:B29">Время!B18:B29</f>
        <v>Название периода</v>
      </c>
      <c r="C18" s="33"/>
      <c r="D18" s="33"/>
      <c r="E18" s="34"/>
      <c r="F18" s="35">
        <f t="array" ref="F18:CK29">Время!F18:CK29</f>
        <v>45046</v>
      </c>
      <c r="G18" s="36">
        <v>45077</v>
      </c>
      <c r="H18" s="36">
        <v>45107</v>
      </c>
      <c r="I18" s="36">
        <v>45138</v>
      </c>
      <c r="J18" s="36">
        <v>45169</v>
      </c>
      <c r="K18" s="36">
        <v>45199</v>
      </c>
      <c r="L18" s="36">
        <v>45230</v>
      </c>
      <c r="M18" s="36">
        <v>45260</v>
      </c>
      <c r="N18" s="36">
        <v>45291</v>
      </c>
      <c r="O18" s="36">
        <v>45322</v>
      </c>
      <c r="P18" s="36">
        <v>45351</v>
      </c>
      <c r="Q18" s="36">
        <v>45382</v>
      </c>
      <c r="R18" s="36">
        <v>45412</v>
      </c>
      <c r="S18" s="36">
        <v>45443</v>
      </c>
      <c r="T18" s="36">
        <v>45473</v>
      </c>
      <c r="U18" s="36">
        <v>45504</v>
      </c>
      <c r="V18" s="36">
        <v>45535</v>
      </c>
      <c r="W18" s="36">
        <v>45565</v>
      </c>
      <c r="X18" s="36">
        <v>45596</v>
      </c>
      <c r="Y18" s="36">
        <v>45626</v>
      </c>
      <c r="Z18" s="36">
        <v>45657</v>
      </c>
      <c r="AA18" s="36">
        <v>45688</v>
      </c>
      <c r="AB18" s="36">
        <v>45716</v>
      </c>
      <c r="AC18" s="36">
        <v>45747</v>
      </c>
      <c r="AD18" s="36">
        <v>45777</v>
      </c>
      <c r="AE18" s="36">
        <v>45808</v>
      </c>
      <c r="AF18" s="36">
        <v>45838</v>
      </c>
      <c r="AG18" s="36">
        <v>45869</v>
      </c>
      <c r="AH18" s="36">
        <v>45900</v>
      </c>
      <c r="AI18" s="36">
        <v>45930</v>
      </c>
      <c r="AJ18" s="36">
        <v>45961</v>
      </c>
      <c r="AK18" s="36">
        <v>45991</v>
      </c>
      <c r="AL18" s="36">
        <v>46022</v>
      </c>
      <c r="AM18" s="36">
        <v>46053</v>
      </c>
      <c r="AN18" s="36">
        <v>46081</v>
      </c>
      <c r="AO18" s="36">
        <v>46112</v>
      </c>
      <c r="AP18" s="36">
        <v>46142</v>
      </c>
      <c r="AQ18" s="36">
        <v>46173</v>
      </c>
      <c r="AR18" s="36">
        <v>46203</v>
      </c>
      <c r="AS18" s="36">
        <v>46234</v>
      </c>
      <c r="AT18" s="36">
        <v>46265</v>
      </c>
      <c r="AU18" s="36">
        <v>46295</v>
      </c>
      <c r="AV18" s="36">
        <v>46326</v>
      </c>
      <c r="AW18" s="36">
        <v>46356</v>
      </c>
      <c r="AX18" s="36">
        <v>46387</v>
      </c>
      <c r="AY18" s="36">
        <v>46418</v>
      </c>
      <c r="AZ18" s="36">
        <v>46446</v>
      </c>
      <c r="BA18" s="36">
        <v>46477</v>
      </c>
      <c r="BB18" s="36">
        <v>46507</v>
      </c>
      <c r="BC18" s="36">
        <v>46538</v>
      </c>
      <c r="BD18" s="36">
        <v>46568</v>
      </c>
      <c r="BE18" s="36">
        <v>46599</v>
      </c>
      <c r="BF18" s="36">
        <v>46630</v>
      </c>
      <c r="BG18" s="36">
        <v>46660</v>
      </c>
      <c r="BH18" s="36">
        <v>46691</v>
      </c>
      <c r="BI18" s="36">
        <v>46721</v>
      </c>
      <c r="BJ18" s="36">
        <v>46752</v>
      </c>
      <c r="BK18" s="36">
        <v>46783</v>
      </c>
      <c r="BL18" s="36">
        <v>46812</v>
      </c>
      <c r="BM18" s="36">
        <v>46843</v>
      </c>
      <c r="BN18" s="36">
        <v>46873</v>
      </c>
      <c r="BO18" s="36">
        <v>46904</v>
      </c>
      <c r="BP18" s="36">
        <v>46934</v>
      </c>
      <c r="BQ18" s="36">
        <v>46965</v>
      </c>
      <c r="BR18" s="36">
        <v>46996</v>
      </c>
      <c r="BS18" s="36">
        <v>47026</v>
      </c>
      <c r="BT18" s="36">
        <v>47057</v>
      </c>
      <c r="BU18" s="36">
        <v>47087</v>
      </c>
      <c r="BV18" s="36">
        <v>47118</v>
      </c>
      <c r="BW18" s="36">
        <v>47149</v>
      </c>
      <c r="BX18" s="36">
        <v>47177</v>
      </c>
      <c r="BY18" s="36">
        <v>47208</v>
      </c>
      <c r="BZ18" s="36">
        <v>47238</v>
      </c>
      <c r="CA18" s="36">
        <v>47269</v>
      </c>
      <c r="CB18" s="36">
        <v>47299</v>
      </c>
      <c r="CC18" s="36">
        <v>47330</v>
      </c>
      <c r="CD18" s="36">
        <v>47361</v>
      </c>
      <c r="CE18" s="36">
        <v>47391</v>
      </c>
      <c r="CF18" s="36">
        <v>47422</v>
      </c>
      <c r="CG18" s="36">
        <v>47452</v>
      </c>
      <c r="CH18" s="36">
        <v>47483</v>
      </c>
      <c r="CI18" s="36">
        <v>47514</v>
      </c>
      <c r="CJ18" s="36">
        <v>47542</v>
      </c>
      <c r="CK18" s="36">
        <v>47573</v>
      </c>
    </row>
    <row r="19" spans="2:89">
      <c r="B19" s="37" t="str">
        <v>Календарный год</v>
      </c>
      <c r="C19" s="33"/>
      <c r="D19" s="33"/>
      <c r="E19" s="34"/>
      <c r="F19" s="38">
        <v>2023</v>
      </c>
      <c r="G19" s="38">
        <v>2023</v>
      </c>
      <c r="H19" s="38">
        <v>2023</v>
      </c>
      <c r="I19" s="38">
        <v>2023</v>
      </c>
      <c r="J19" s="38">
        <v>2023</v>
      </c>
      <c r="K19" s="38">
        <v>2023</v>
      </c>
      <c r="L19" s="38">
        <v>2023</v>
      </c>
      <c r="M19" s="38">
        <v>2023</v>
      </c>
      <c r="N19" s="38">
        <v>2023</v>
      </c>
      <c r="O19" s="38">
        <v>2024</v>
      </c>
      <c r="P19" s="38">
        <v>2024</v>
      </c>
      <c r="Q19" s="38">
        <v>2024</v>
      </c>
      <c r="R19" s="38">
        <v>2024</v>
      </c>
      <c r="S19" s="38">
        <v>2024</v>
      </c>
      <c r="T19" s="38">
        <v>2024</v>
      </c>
      <c r="U19" s="38">
        <v>2024</v>
      </c>
      <c r="V19" s="38">
        <v>2024</v>
      </c>
      <c r="W19" s="38">
        <v>2024</v>
      </c>
      <c r="X19" s="38">
        <v>2024</v>
      </c>
      <c r="Y19" s="38">
        <v>2024</v>
      </c>
      <c r="Z19" s="38">
        <v>2024</v>
      </c>
      <c r="AA19" s="38">
        <v>2025</v>
      </c>
      <c r="AB19" s="38">
        <v>2025</v>
      </c>
      <c r="AC19" s="38">
        <v>2025</v>
      </c>
      <c r="AD19" s="38">
        <v>2025</v>
      </c>
      <c r="AE19" s="38">
        <v>2025</v>
      </c>
      <c r="AF19" s="38">
        <v>2025</v>
      </c>
      <c r="AG19" s="38">
        <v>2025</v>
      </c>
      <c r="AH19" s="38">
        <v>2025</v>
      </c>
      <c r="AI19" s="38">
        <v>2025</v>
      </c>
      <c r="AJ19" s="38">
        <v>2025</v>
      </c>
      <c r="AK19" s="38">
        <v>2025</v>
      </c>
      <c r="AL19" s="38">
        <v>2025</v>
      </c>
      <c r="AM19" s="38">
        <v>2026</v>
      </c>
      <c r="AN19" s="38">
        <v>2026</v>
      </c>
      <c r="AO19" s="38">
        <v>2026</v>
      </c>
      <c r="AP19" s="38">
        <v>2026</v>
      </c>
      <c r="AQ19" s="38">
        <v>2026</v>
      </c>
      <c r="AR19" s="38">
        <v>2026</v>
      </c>
      <c r="AS19" s="38">
        <v>2026</v>
      </c>
      <c r="AT19" s="38">
        <v>2026</v>
      </c>
      <c r="AU19" s="38">
        <v>2026</v>
      </c>
      <c r="AV19" s="38">
        <v>2026</v>
      </c>
      <c r="AW19" s="38">
        <v>2026</v>
      </c>
      <c r="AX19" s="38">
        <v>2026</v>
      </c>
      <c r="AY19" s="38">
        <v>2027</v>
      </c>
      <c r="AZ19" s="38">
        <v>2027</v>
      </c>
      <c r="BA19" s="38">
        <v>2027</v>
      </c>
      <c r="BB19" s="38">
        <v>2027</v>
      </c>
      <c r="BC19" s="38">
        <v>2027</v>
      </c>
      <c r="BD19" s="38">
        <v>2027</v>
      </c>
      <c r="BE19" s="38">
        <v>2027</v>
      </c>
      <c r="BF19" s="38">
        <v>2027</v>
      </c>
      <c r="BG19" s="38">
        <v>2027</v>
      </c>
      <c r="BH19" s="38">
        <v>2027</v>
      </c>
      <c r="BI19" s="38">
        <v>2027</v>
      </c>
      <c r="BJ19" s="38">
        <v>2027</v>
      </c>
      <c r="BK19" s="38">
        <v>2028</v>
      </c>
      <c r="BL19" s="38">
        <v>2028</v>
      </c>
      <c r="BM19" s="38">
        <v>2028</v>
      </c>
      <c r="BN19" s="38">
        <v>2028</v>
      </c>
      <c r="BO19" s="38">
        <v>2028</v>
      </c>
      <c r="BP19" s="38">
        <v>2028</v>
      </c>
      <c r="BQ19" s="38">
        <v>2028</v>
      </c>
      <c r="BR19" s="38">
        <v>2028</v>
      </c>
      <c r="BS19" s="38">
        <v>2028</v>
      </c>
      <c r="BT19" s="38">
        <v>2028</v>
      </c>
      <c r="BU19" s="38">
        <v>2028</v>
      </c>
      <c r="BV19" s="38">
        <v>2028</v>
      </c>
      <c r="BW19" s="38">
        <v>2029</v>
      </c>
      <c r="BX19" s="38">
        <v>2029</v>
      </c>
      <c r="BY19" s="38">
        <v>2029</v>
      </c>
      <c r="BZ19" s="38">
        <v>2029</v>
      </c>
      <c r="CA19" s="38">
        <v>2029</v>
      </c>
      <c r="CB19" s="38">
        <v>2029</v>
      </c>
      <c r="CC19" s="38">
        <v>2029</v>
      </c>
      <c r="CD19" s="38">
        <v>2029</v>
      </c>
      <c r="CE19" s="38">
        <v>2029</v>
      </c>
      <c r="CF19" s="38">
        <v>2029</v>
      </c>
      <c r="CG19" s="38">
        <v>2029</v>
      </c>
      <c r="CH19" s="38">
        <v>2029</v>
      </c>
      <c r="CI19" s="38">
        <v>2030</v>
      </c>
      <c r="CJ19" s="38">
        <v>2030</v>
      </c>
      <c r="CK19" s="38">
        <v>2030</v>
      </c>
    </row>
    <row r="20" spans="2:89">
      <c r="B20" s="37" t="str">
        <v>Дней в году</v>
      </c>
      <c r="C20" s="33"/>
      <c r="D20" s="33"/>
      <c r="E20" s="34"/>
      <c r="F20" s="38">
        <v>365</v>
      </c>
      <c r="G20" s="38">
        <v>365</v>
      </c>
      <c r="H20" s="38">
        <v>365</v>
      </c>
      <c r="I20" s="38">
        <v>365</v>
      </c>
      <c r="J20" s="38">
        <v>365</v>
      </c>
      <c r="K20" s="38">
        <v>365</v>
      </c>
      <c r="L20" s="38">
        <v>365</v>
      </c>
      <c r="M20" s="38">
        <v>365</v>
      </c>
      <c r="N20" s="38">
        <v>365</v>
      </c>
      <c r="O20" s="38">
        <v>366</v>
      </c>
      <c r="P20" s="38">
        <v>366</v>
      </c>
      <c r="Q20" s="38">
        <v>366</v>
      </c>
      <c r="R20" s="38">
        <v>366</v>
      </c>
      <c r="S20" s="38">
        <v>366</v>
      </c>
      <c r="T20" s="38">
        <v>366</v>
      </c>
      <c r="U20" s="38">
        <v>366</v>
      </c>
      <c r="V20" s="38">
        <v>366</v>
      </c>
      <c r="W20" s="38">
        <v>366</v>
      </c>
      <c r="X20" s="38">
        <v>366</v>
      </c>
      <c r="Y20" s="38">
        <v>366</v>
      </c>
      <c r="Z20" s="38">
        <v>366</v>
      </c>
      <c r="AA20" s="38">
        <v>365</v>
      </c>
      <c r="AB20" s="38">
        <v>365</v>
      </c>
      <c r="AC20" s="38">
        <v>365</v>
      </c>
      <c r="AD20" s="38">
        <v>365</v>
      </c>
      <c r="AE20" s="38">
        <v>365</v>
      </c>
      <c r="AF20" s="38">
        <v>365</v>
      </c>
      <c r="AG20" s="38">
        <v>365</v>
      </c>
      <c r="AH20" s="38">
        <v>365</v>
      </c>
      <c r="AI20" s="38">
        <v>365</v>
      </c>
      <c r="AJ20" s="38">
        <v>365</v>
      </c>
      <c r="AK20" s="38">
        <v>365</v>
      </c>
      <c r="AL20" s="38">
        <v>365</v>
      </c>
      <c r="AM20" s="38">
        <v>365</v>
      </c>
      <c r="AN20" s="38">
        <v>365</v>
      </c>
      <c r="AO20" s="38">
        <v>365</v>
      </c>
      <c r="AP20" s="38">
        <v>365</v>
      </c>
      <c r="AQ20" s="38">
        <v>365</v>
      </c>
      <c r="AR20" s="38">
        <v>365</v>
      </c>
      <c r="AS20" s="38">
        <v>365</v>
      </c>
      <c r="AT20" s="38">
        <v>365</v>
      </c>
      <c r="AU20" s="38">
        <v>365</v>
      </c>
      <c r="AV20" s="38">
        <v>365</v>
      </c>
      <c r="AW20" s="38">
        <v>365</v>
      </c>
      <c r="AX20" s="38">
        <v>365</v>
      </c>
      <c r="AY20" s="38">
        <v>365</v>
      </c>
      <c r="AZ20" s="38">
        <v>365</v>
      </c>
      <c r="BA20" s="38">
        <v>365</v>
      </c>
      <c r="BB20" s="38">
        <v>365</v>
      </c>
      <c r="BC20" s="38">
        <v>365</v>
      </c>
      <c r="BD20" s="38">
        <v>365</v>
      </c>
      <c r="BE20" s="38">
        <v>365</v>
      </c>
      <c r="BF20" s="38">
        <v>365</v>
      </c>
      <c r="BG20" s="38">
        <v>365</v>
      </c>
      <c r="BH20" s="38">
        <v>365</v>
      </c>
      <c r="BI20" s="38">
        <v>365</v>
      </c>
      <c r="BJ20" s="38">
        <v>365</v>
      </c>
      <c r="BK20" s="38">
        <v>366</v>
      </c>
      <c r="BL20" s="38">
        <v>366</v>
      </c>
      <c r="BM20" s="38">
        <v>366</v>
      </c>
      <c r="BN20" s="38">
        <v>366</v>
      </c>
      <c r="BO20" s="38">
        <v>366</v>
      </c>
      <c r="BP20" s="38">
        <v>366</v>
      </c>
      <c r="BQ20" s="38">
        <v>366</v>
      </c>
      <c r="BR20" s="38">
        <v>366</v>
      </c>
      <c r="BS20" s="38">
        <v>366</v>
      </c>
      <c r="BT20" s="38">
        <v>366</v>
      </c>
      <c r="BU20" s="38">
        <v>366</v>
      </c>
      <c r="BV20" s="38">
        <v>366</v>
      </c>
      <c r="BW20" s="38">
        <v>365</v>
      </c>
      <c r="BX20" s="38">
        <v>365</v>
      </c>
      <c r="BY20" s="38">
        <v>365</v>
      </c>
      <c r="BZ20" s="38">
        <v>365</v>
      </c>
      <c r="CA20" s="38">
        <v>365</v>
      </c>
      <c r="CB20" s="38">
        <v>365</v>
      </c>
      <c r="CC20" s="38">
        <v>365</v>
      </c>
      <c r="CD20" s="38">
        <v>365</v>
      </c>
      <c r="CE20" s="38">
        <v>365</v>
      </c>
      <c r="CF20" s="38">
        <v>365</v>
      </c>
      <c r="CG20" s="38">
        <v>365</v>
      </c>
      <c r="CH20" s="38">
        <v>365</v>
      </c>
      <c r="CI20" s="38">
        <v>365</v>
      </c>
      <c r="CJ20" s="38">
        <v>365</v>
      </c>
      <c r="CK20" s="38">
        <v>365</v>
      </c>
    </row>
    <row r="21" spans="2:89">
      <c r="B21" s="37" t="str">
        <v>№ месяца</v>
      </c>
      <c r="C21" s="33"/>
      <c r="D21" s="33"/>
      <c r="E21" s="34"/>
      <c r="F21" s="38">
        <v>4</v>
      </c>
      <c r="G21" s="38">
        <v>5</v>
      </c>
      <c r="H21" s="38">
        <v>6</v>
      </c>
      <c r="I21" s="38">
        <v>7</v>
      </c>
      <c r="J21" s="38">
        <v>8</v>
      </c>
      <c r="K21" s="38">
        <v>9</v>
      </c>
      <c r="L21" s="38">
        <v>10</v>
      </c>
      <c r="M21" s="38">
        <v>11</v>
      </c>
      <c r="N21" s="38">
        <v>12</v>
      </c>
      <c r="O21" s="38">
        <v>1</v>
      </c>
      <c r="P21" s="38">
        <v>2</v>
      </c>
      <c r="Q21" s="38">
        <v>3</v>
      </c>
      <c r="R21" s="38">
        <v>4</v>
      </c>
      <c r="S21" s="38">
        <v>5</v>
      </c>
      <c r="T21" s="38">
        <v>6</v>
      </c>
      <c r="U21" s="38">
        <v>7</v>
      </c>
      <c r="V21" s="38">
        <v>8</v>
      </c>
      <c r="W21" s="38">
        <v>9</v>
      </c>
      <c r="X21" s="38">
        <v>10</v>
      </c>
      <c r="Y21" s="38">
        <v>11</v>
      </c>
      <c r="Z21" s="38">
        <v>12</v>
      </c>
      <c r="AA21" s="38">
        <v>1</v>
      </c>
      <c r="AB21" s="38">
        <v>2</v>
      </c>
      <c r="AC21" s="38">
        <v>3</v>
      </c>
      <c r="AD21" s="38">
        <v>4</v>
      </c>
      <c r="AE21" s="38">
        <v>5</v>
      </c>
      <c r="AF21" s="38">
        <v>6</v>
      </c>
      <c r="AG21" s="38">
        <v>7</v>
      </c>
      <c r="AH21" s="38">
        <v>8</v>
      </c>
      <c r="AI21" s="38">
        <v>9</v>
      </c>
      <c r="AJ21" s="38">
        <v>10</v>
      </c>
      <c r="AK21" s="38">
        <v>11</v>
      </c>
      <c r="AL21" s="38">
        <v>12</v>
      </c>
      <c r="AM21" s="38">
        <v>1</v>
      </c>
      <c r="AN21" s="38">
        <v>2</v>
      </c>
      <c r="AO21" s="38">
        <v>3</v>
      </c>
      <c r="AP21" s="38">
        <v>4</v>
      </c>
      <c r="AQ21" s="38">
        <v>5</v>
      </c>
      <c r="AR21" s="38">
        <v>6</v>
      </c>
      <c r="AS21" s="38">
        <v>7</v>
      </c>
      <c r="AT21" s="38">
        <v>8</v>
      </c>
      <c r="AU21" s="38">
        <v>9</v>
      </c>
      <c r="AV21" s="38">
        <v>10</v>
      </c>
      <c r="AW21" s="38">
        <v>11</v>
      </c>
      <c r="AX21" s="38">
        <v>12</v>
      </c>
      <c r="AY21" s="38">
        <v>1</v>
      </c>
      <c r="AZ21" s="38">
        <v>2</v>
      </c>
      <c r="BA21" s="38">
        <v>3</v>
      </c>
      <c r="BB21" s="38">
        <v>4</v>
      </c>
      <c r="BC21" s="38">
        <v>5</v>
      </c>
      <c r="BD21" s="38">
        <v>6</v>
      </c>
      <c r="BE21" s="38">
        <v>7</v>
      </c>
      <c r="BF21" s="38">
        <v>8</v>
      </c>
      <c r="BG21" s="38">
        <v>9</v>
      </c>
      <c r="BH21" s="38">
        <v>10</v>
      </c>
      <c r="BI21" s="38">
        <v>11</v>
      </c>
      <c r="BJ21" s="38">
        <v>12</v>
      </c>
      <c r="BK21" s="38">
        <v>1</v>
      </c>
      <c r="BL21" s="38">
        <v>2</v>
      </c>
      <c r="BM21" s="38">
        <v>3</v>
      </c>
      <c r="BN21" s="38">
        <v>4</v>
      </c>
      <c r="BO21" s="38">
        <v>5</v>
      </c>
      <c r="BP21" s="38">
        <v>6</v>
      </c>
      <c r="BQ21" s="38">
        <v>7</v>
      </c>
      <c r="BR21" s="38">
        <v>8</v>
      </c>
      <c r="BS21" s="38">
        <v>9</v>
      </c>
      <c r="BT21" s="38">
        <v>10</v>
      </c>
      <c r="BU21" s="38">
        <v>11</v>
      </c>
      <c r="BV21" s="38">
        <v>12</v>
      </c>
      <c r="BW21" s="38">
        <v>1</v>
      </c>
      <c r="BX21" s="38">
        <v>2</v>
      </c>
      <c r="BY21" s="38">
        <v>3</v>
      </c>
      <c r="BZ21" s="38">
        <v>4</v>
      </c>
      <c r="CA21" s="38">
        <v>5</v>
      </c>
      <c r="CB21" s="38">
        <v>6</v>
      </c>
      <c r="CC21" s="38">
        <v>7</v>
      </c>
      <c r="CD21" s="38">
        <v>8</v>
      </c>
      <c r="CE21" s="38">
        <v>9</v>
      </c>
      <c r="CF21" s="38">
        <v>10</v>
      </c>
      <c r="CG21" s="38">
        <v>11</v>
      </c>
      <c r="CH21" s="38">
        <v>12</v>
      </c>
      <c r="CI21" s="38">
        <v>1</v>
      </c>
      <c r="CJ21" s="38">
        <v>2</v>
      </c>
      <c r="CK21" s="38">
        <v>3</v>
      </c>
    </row>
    <row r="22" spans="2:89">
      <c r="B22" s="37" t="str">
        <v>Календарное полугодие</v>
      </c>
      <c r="C22" s="33"/>
      <c r="D22" s="33"/>
      <c r="E22" s="34"/>
      <c r="F22" s="38">
        <v>1</v>
      </c>
      <c r="G22" s="38">
        <v>1</v>
      </c>
      <c r="H22" s="38">
        <v>1</v>
      </c>
      <c r="I22" s="38">
        <v>2</v>
      </c>
      <c r="J22" s="38">
        <v>2</v>
      </c>
      <c r="K22" s="38">
        <v>2</v>
      </c>
      <c r="L22" s="38">
        <v>2</v>
      </c>
      <c r="M22" s="38">
        <v>2</v>
      </c>
      <c r="N22" s="38">
        <v>2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2</v>
      </c>
      <c r="V22" s="38">
        <v>2</v>
      </c>
      <c r="W22" s="38">
        <v>2</v>
      </c>
      <c r="X22" s="38">
        <v>2</v>
      </c>
      <c r="Y22" s="38">
        <v>2</v>
      </c>
      <c r="Z22" s="38">
        <v>2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2</v>
      </c>
      <c r="AH22" s="38">
        <v>2</v>
      </c>
      <c r="AI22" s="38">
        <v>2</v>
      </c>
      <c r="AJ22" s="38">
        <v>2</v>
      </c>
      <c r="AK22" s="38">
        <v>2</v>
      </c>
      <c r="AL22" s="38">
        <v>2</v>
      </c>
      <c r="AM22" s="38">
        <v>1</v>
      </c>
      <c r="AN22" s="38">
        <v>1</v>
      </c>
      <c r="AO22" s="38">
        <v>1</v>
      </c>
      <c r="AP22" s="38">
        <v>1</v>
      </c>
      <c r="AQ22" s="38">
        <v>1</v>
      </c>
      <c r="AR22" s="38">
        <v>1</v>
      </c>
      <c r="AS22" s="38">
        <v>2</v>
      </c>
      <c r="AT22" s="38">
        <v>2</v>
      </c>
      <c r="AU22" s="38">
        <v>2</v>
      </c>
      <c r="AV22" s="38">
        <v>2</v>
      </c>
      <c r="AW22" s="38">
        <v>2</v>
      </c>
      <c r="AX22" s="38">
        <v>2</v>
      </c>
      <c r="AY22" s="38">
        <v>1</v>
      </c>
      <c r="AZ22" s="38">
        <v>1</v>
      </c>
      <c r="BA22" s="38">
        <v>1</v>
      </c>
      <c r="BB22" s="38">
        <v>1</v>
      </c>
      <c r="BC22" s="38">
        <v>1</v>
      </c>
      <c r="BD22" s="38">
        <v>1</v>
      </c>
      <c r="BE22" s="38">
        <v>2</v>
      </c>
      <c r="BF22" s="38">
        <v>2</v>
      </c>
      <c r="BG22" s="38">
        <v>2</v>
      </c>
      <c r="BH22" s="38">
        <v>2</v>
      </c>
      <c r="BI22" s="38">
        <v>2</v>
      </c>
      <c r="BJ22" s="38">
        <v>2</v>
      </c>
      <c r="BK22" s="38">
        <v>1</v>
      </c>
      <c r="BL22" s="38">
        <v>1</v>
      </c>
      <c r="BM22" s="38">
        <v>1</v>
      </c>
      <c r="BN22" s="38">
        <v>1</v>
      </c>
      <c r="BO22" s="38">
        <v>1</v>
      </c>
      <c r="BP22" s="38">
        <v>1</v>
      </c>
      <c r="BQ22" s="38">
        <v>2</v>
      </c>
      <c r="BR22" s="38">
        <v>2</v>
      </c>
      <c r="BS22" s="38">
        <v>2</v>
      </c>
      <c r="BT22" s="38">
        <v>2</v>
      </c>
      <c r="BU22" s="38">
        <v>2</v>
      </c>
      <c r="BV22" s="38">
        <v>2</v>
      </c>
      <c r="BW22" s="38">
        <v>1</v>
      </c>
      <c r="BX22" s="38">
        <v>1</v>
      </c>
      <c r="BY22" s="38">
        <v>1</v>
      </c>
      <c r="BZ22" s="38">
        <v>1</v>
      </c>
      <c r="CA22" s="38">
        <v>1</v>
      </c>
      <c r="CB22" s="38">
        <v>1</v>
      </c>
      <c r="CC22" s="38">
        <v>2</v>
      </c>
      <c r="CD22" s="38">
        <v>2</v>
      </c>
      <c r="CE22" s="38">
        <v>2</v>
      </c>
      <c r="CF22" s="38">
        <v>2</v>
      </c>
      <c r="CG22" s="38">
        <v>2</v>
      </c>
      <c r="CH22" s="38">
        <v>2</v>
      </c>
      <c r="CI22" s="38">
        <v>1</v>
      </c>
      <c r="CJ22" s="38">
        <v>1</v>
      </c>
      <c r="CK22" s="38">
        <v>1</v>
      </c>
    </row>
    <row r="23" spans="2:89">
      <c r="B23" s="37" t="str">
        <v>Месяц с начала полугодия</v>
      </c>
      <c r="C23" s="33"/>
      <c r="D23" s="33"/>
      <c r="E23" s="34"/>
      <c r="F23" s="38">
        <v>4</v>
      </c>
      <c r="G23" s="38">
        <v>5</v>
      </c>
      <c r="H23" s="38">
        <v>6</v>
      </c>
      <c r="I23" s="38">
        <v>1</v>
      </c>
      <c r="J23" s="38">
        <v>2</v>
      </c>
      <c r="K23" s="38">
        <v>3</v>
      </c>
      <c r="L23" s="38">
        <v>4</v>
      </c>
      <c r="M23" s="38">
        <v>5</v>
      </c>
      <c r="N23" s="38">
        <v>6</v>
      </c>
      <c r="O23" s="38">
        <v>1</v>
      </c>
      <c r="P23" s="38">
        <v>2</v>
      </c>
      <c r="Q23" s="38">
        <v>3</v>
      </c>
      <c r="R23" s="38">
        <v>4</v>
      </c>
      <c r="S23" s="38">
        <v>5</v>
      </c>
      <c r="T23" s="38">
        <v>6</v>
      </c>
      <c r="U23" s="38">
        <v>1</v>
      </c>
      <c r="V23" s="38">
        <v>2</v>
      </c>
      <c r="W23" s="38">
        <v>3</v>
      </c>
      <c r="X23" s="38">
        <v>4</v>
      </c>
      <c r="Y23" s="38">
        <v>5</v>
      </c>
      <c r="Z23" s="38">
        <v>6</v>
      </c>
      <c r="AA23" s="38">
        <v>1</v>
      </c>
      <c r="AB23" s="38">
        <v>2</v>
      </c>
      <c r="AC23" s="38">
        <v>3</v>
      </c>
      <c r="AD23" s="38">
        <v>4</v>
      </c>
      <c r="AE23" s="38">
        <v>5</v>
      </c>
      <c r="AF23" s="38">
        <v>6</v>
      </c>
      <c r="AG23" s="38">
        <v>1</v>
      </c>
      <c r="AH23" s="38">
        <v>2</v>
      </c>
      <c r="AI23" s="38">
        <v>3</v>
      </c>
      <c r="AJ23" s="38">
        <v>4</v>
      </c>
      <c r="AK23" s="38">
        <v>5</v>
      </c>
      <c r="AL23" s="38">
        <v>6</v>
      </c>
      <c r="AM23" s="38">
        <v>1</v>
      </c>
      <c r="AN23" s="38">
        <v>2</v>
      </c>
      <c r="AO23" s="38">
        <v>3</v>
      </c>
      <c r="AP23" s="38">
        <v>4</v>
      </c>
      <c r="AQ23" s="38">
        <v>5</v>
      </c>
      <c r="AR23" s="38">
        <v>6</v>
      </c>
      <c r="AS23" s="38">
        <v>1</v>
      </c>
      <c r="AT23" s="38">
        <v>2</v>
      </c>
      <c r="AU23" s="38">
        <v>3</v>
      </c>
      <c r="AV23" s="38">
        <v>4</v>
      </c>
      <c r="AW23" s="38">
        <v>5</v>
      </c>
      <c r="AX23" s="38">
        <v>6</v>
      </c>
      <c r="AY23" s="38">
        <v>1</v>
      </c>
      <c r="AZ23" s="38">
        <v>2</v>
      </c>
      <c r="BA23" s="38">
        <v>3</v>
      </c>
      <c r="BB23" s="38">
        <v>4</v>
      </c>
      <c r="BC23" s="38">
        <v>5</v>
      </c>
      <c r="BD23" s="38">
        <v>6</v>
      </c>
      <c r="BE23" s="38">
        <v>1</v>
      </c>
      <c r="BF23" s="38">
        <v>2</v>
      </c>
      <c r="BG23" s="38">
        <v>3</v>
      </c>
      <c r="BH23" s="38">
        <v>4</v>
      </c>
      <c r="BI23" s="38">
        <v>5</v>
      </c>
      <c r="BJ23" s="38">
        <v>6</v>
      </c>
      <c r="BK23" s="38">
        <v>1</v>
      </c>
      <c r="BL23" s="38">
        <v>2</v>
      </c>
      <c r="BM23" s="38">
        <v>3</v>
      </c>
      <c r="BN23" s="38">
        <v>4</v>
      </c>
      <c r="BO23" s="38">
        <v>5</v>
      </c>
      <c r="BP23" s="38">
        <v>6</v>
      </c>
      <c r="BQ23" s="38">
        <v>1</v>
      </c>
      <c r="BR23" s="38">
        <v>2</v>
      </c>
      <c r="BS23" s="38">
        <v>3</v>
      </c>
      <c r="BT23" s="38">
        <v>4</v>
      </c>
      <c r="BU23" s="38">
        <v>5</v>
      </c>
      <c r="BV23" s="38">
        <v>6</v>
      </c>
      <c r="BW23" s="38">
        <v>1</v>
      </c>
      <c r="BX23" s="38">
        <v>2</v>
      </c>
      <c r="BY23" s="38">
        <v>3</v>
      </c>
      <c r="BZ23" s="38">
        <v>4</v>
      </c>
      <c r="CA23" s="38">
        <v>5</v>
      </c>
      <c r="CB23" s="38">
        <v>6</v>
      </c>
      <c r="CC23" s="38">
        <v>1</v>
      </c>
      <c r="CD23" s="38">
        <v>2</v>
      </c>
      <c r="CE23" s="38">
        <v>3</v>
      </c>
      <c r="CF23" s="38">
        <v>4</v>
      </c>
      <c r="CG23" s="38">
        <v>5</v>
      </c>
      <c r="CH23" s="38">
        <v>6</v>
      </c>
      <c r="CI23" s="38">
        <v>1</v>
      </c>
      <c r="CJ23" s="38">
        <v>2</v>
      </c>
      <c r="CK23" s="38">
        <v>3</v>
      </c>
    </row>
    <row r="24" spans="2:89">
      <c r="B24" s="37" t="str">
        <v>Календарный квартал</v>
      </c>
      <c r="C24" s="33"/>
      <c r="D24" s="33"/>
      <c r="E24" s="34"/>
      <c r="F24" s="38">
        <v>2</v>
      </c>
      <c r="G24" s="38">
        <v>2</v>
      </c>
      <c r="H24" s="38">
        <v>2</v>
      </c>
      <c r="I24" s="38">
        <v>3</v>
      </c>
      <c r="J24" s="38">
        <v>3</v>
      </c>
      <c r="K24" s="38">
        <v>3</v>
      </c>
      <c r="L24" s="38">
        <v>4</v>
      </c>
      <c r="M24" s="38">
        <v>4</v>
      </c>
      <c r="N24" s="38">
        <v>4</v>
      </c>
      <c r="O24" s="38">
        <v>1</v>
      </c>
      <c r="P24" s="38">
        <v>1</v>
      </c>
      <c r="Q24" s="38">
        <v>1</v>
      </c>
      <c r="R24" s="38">
        <v>2</v>
      </c>
      <c r="S24" s="38">
        <v>2</v>
      </c>
      <c r="T24" s="38">
        <v>2</v>
      </c>
      <c r="U24" s="38">
        <v>3</v>
      </c>
      <c r="V24" s="38">
        <v>3</v>
      </c>
      <c r="W24" s="38">
        <v>3</v>
      </c>
      <c r="X24" s="38">
        <v>4</v>
      </c>
      <c r="Y24" s="38">
        <v>4</v>
      </c>
      <c r="Z24" s="38">
        <v>4</v>
      </c>
      <c r="AA24" s="38">
        <v>1</v>
      </c>
      <c r="AB24" s="38">
        <v>1</v>
      </c>
      <c r="AC24" s="38">
        <v>1</v>
      </c>
      <c r="AD24" s="38">
        <v>2</v>
      </c>
      <c r="AE24" s="38">
        <v>2</v>
      </c>
      <c r="AF24" s="38">
        <v>2</v>
      </c>
      <c r="AG24" s="38">
        <v>3</v>
      </c>
      <c r="AH24" s="38">
        <v>3</v>
      </c>
      <c r="AI24" s="38">
        <v>3</v>
      </c>
      <c r="AJ24" s="38">
        <v>4</v>
      </c>
      <c r="AK24" s="38">
        <v>4</v>
      </c>
      <c r="AL24" s="38">
        <v>4</v>
      </c>
      <c r="AM24" s="38">
        <v>1</v>
      </c>
      <c r="AN24" s="38">
        <v>1</v>
      </c>
      <c r="AO24" s="38">
        <v>1</v>
      </c>
      <c r="AP24" s="38">
        <v>2</v>
      </c>
      <c r="AQ24" s="38">
        <v>2</v>
      </c>
      <c r="AR24" s="38">
        <v>2</v>
      </c>
      <c r="AS24" s="38">
        <v>3</v>
      </c>
      <c r="AT24" s="38">
        <v>3</v>
      </c>
      <c r="AU24" s="38">
        <v>3</v>
      </c>
      <c r="AV24" s="38">
        <v>4</v>
      </c>
      <c r="AW24" s="38">
        <v>4</v>
      </c>
      <c r="AX24" s="38">
        <v>4</v>
      </c>
      <c r="AY24" s="38">
        <v>1</v>
      </c>
      <c r="AZ24" s="38">
        <v>1</v>
      </c>
      <c r="BA24" s="38">
        <v>1</v>
      </c>
      <c r="BB24" s="38">
        <v>2</v>
      </c>
      <c r="BC24" s="38">
        <v>2</v>
      </c>
      <c r="BD24" s="38">
        <v>2</v>
      </c>
      <c r="BE24" s="38">
        <v>3</v>
      </c>
      <c r="BF24" s="38">
        <v>3</v>
      </c>
      <c r="BG24" s="38">
        <v>3</v>
      </c>
      <c r="BH24" s="38">
        <v>4</v>
      </c>
      <c r="BI24" s="38">
        <v>4</v>
      </c>
      <c r="BJ24" s="38">
        <v>4</v>
      </c>
      <c r="BK24" s="38">
        <v>1</v>
      </c>
      <c r="BL24" s="38">
        <v>1</v>
      </c>
      <c r="BM24" s="38">
        <v>1</v>
      </c>
      <c r="BN24" s="38">
        <v>2</v>
      </c>
      <c r="BO24" s="38">
        <v>2</v>
      </c>
      <c r="BP24" s="38">
        <v>2</v>
      </c>
      <c r="BQ24" s="38">
        <v>3</v>
      </c>
      <c r="BR24" s="38">
        <v>3</v>
      </c>
      <c r="BS24" s="38">
        <v>3</v>
      </c>
      <c r="BT24" s="38">
        <v>4</v>
      </c>
      <c r="BU24" s="38">
        <v>4</v>
      </c>
      <c r="BV24" s="38">
        <v>4</v>
      </c>
      <c r="BW24" s="38">
        <v>1</v>
      </c>
      <c r="BX24" s="38">
        <v>1</v>
      </c>
      <c r="BY24" s="38">
        <v>1</v>
      </c>
      <c r="BZ24" s="38">
        <v>2</v>
      </c>
      <c r="CA24" s="38">
        <v>2</v>
      </c>
      <c r="CB24" s="38">
        <v>2</v>
      </c>
      <c r="CC24" s="38">
        <v>3</v>
      </c>
      <c r="CD24" s="38">
        <v>3</v>
      </c>
      <c r="CE24" s="38">
        <v>3</v>
      </c>
      <c r="CF24" s="38">
        <v>4</v>
      </c>
      <c r="CG24" s="38">
        <v>4</v>
      </c>
      <c r="CH24" s="38">
        <v>4</v>
      </c>
      <c r="CI24" s="38">
        <v>1</v>
      </c>
      <c r="CJ24" s="38">
        <v>1</v>
      </c>
      <c r="CK24" s="38">
        <v>1</v>
      </c>
    </row>
    <row r="25" spans="2:89">
      <c r="B25" s="37" t="str">
        <v>Месяц с начала квартала</v>
      </c>
      <c r="C25" s="33"/>
      <c r="D25" s="33"/>
      <c r="E25" s="34"/>
      <c r="F25" s="38">
        <v>1</v>
      </c>
      <c r="G25" s="38">
        <v>2</v>
      </c>
      <c r="H25" s="38">
        <v>3</v>
      </c>
      <c r="I25" s="38">
        <v>1</v>
      </c>
      <c r="J25" s="38">
        <v>2</v>
      </c>
      <c r="K25" s="38">
        <v>3</v>
      </c>
      <c r="L25" s="38">
        <v>1</v>
      </c>
      <c r="M25" s="38">
        <v>2</v>
      </c>
      <c r="N25" s="38">
        <v>3</v>
      </c>
      <c r="O25" s="38">
        <v>1</v>
      </c>
      <c r="P25" s="38">
        <v>2</v>
      </c>
      <c r="Q25" s="38">
        <v>3</v>
      </c>
      <c r="R25" s="38">
        <v>1</v>
      </c>
      <c r="S25" s="38">
        <v>2</v>
      </c>
      <c r="T25" s="38">
        <v>3</v>
      </c>
      <c r="U25" s="38">
        <v>1</v>
      </c>
      <c r="V25" s="38">
        <v>2</v>
      </c>
      <c r="W25" s="38">
        <v>3</v>
      </c>
      <c r="X25" s="38">
        <v>1</v>
      </c>
      <c r="Y25" s="38">
        <v>2</v>
      </c>
      <c r="Z25" s="38">
        <v>3</v>
      </c>
      <c r="AA25" s="38">
        <v>1</v>
      </c>
      <c r="AB25" s="38">
        <v>2</v>
      </c>
      <c r="AC25" s="38">
        <v>3</v>
      </c>
      <c r="AD25" s="38">
        <v>1</v>
      </c>
      <c r="AE25" s="38">
        <v>2</v>
      </c>
      <c r="AF25" s="38">
        <v>3</v>
      </c>
      <c r="AG25" s="38">
        <v>1</v>
      </c>
      <c r="AH25" s="38">
        <v>2</v>
      </c>
      <c r="AI25" s="38">
        <v>3</v>
      </c>
      <c r="AJ25" s="38">
        <v>1</v>
      </c>
      <c r="AK25" s="38">
        <v>2</v>
      </c>
      <c r="AL25" s="38">
        <v>3</v>
      </c>
      <c r="AM25" s="38">
        <v>1</v>
      </c>
      <c r="AN25" s="38">
        <v>2</v>
      </c>
      <c r="AO25" s="38">
        <v>3</v>
      </c>
      <c r="AP25" s="38">
        <v>1</v>
      </c>
      <c r="AQ25" s="38">
        <v>2</v>
      </c>
      <c r="AR25" s="38">
        <v>3</v>
      </c>
      <c r="AS25" s="38">
        <v>1</v>
      </c>
      <c r="AT25" s="38">
        <v>2</v>
      </c>
      <c r="AU25" s="38">
        <v>3</v>
      </c>
      <c r="AV25" s="38">
        <v>1</v>
      </c>
      <c r="AW25" s="38">
        <v>2</v>
      </c>
      <c r="AX25" s="38">
        <v>3</v>
      </c>
      <c r="AY25" s="38">
        <v>1</v>
      </c>
      <c r="AZ25" s="38">
        <v>2</v>
      </c>
      <c r="BA25" s="38">
        <v>3</v>
      </c>
      <c r="BB25" s="38">
        <v>1</v>
      </c>
      <c r="BC25" s="38">
        <v>2</v>
      </c>
      <c r="BD25" s="38">
        <v>3</v>
      </c>
      <c r="BE25" s="38">
        <v>1</v>
      </c>
      <c r="BF25" s="38">
        <v>2</v>
      </c>
      <c r="BG25" s="38">
        <v>3</v>
      </c>
      <c r="BH25" s="38">
        <v>1</v>
      </c>
      <c r="BI25" s="38">
        <v>2</v>
      </c>
      <c r="BJ25" s="38">
        <v>3</v>
      </c>
      <c r="BK25" s="38">
        <v>1</v>
      </c>
      <c r="BL25" s="38">
        <v>2</v>
      </c>
      <c r="BM25" s="38">
        <v>3</v>
      </c>
      <c r="BN25" s="38">
        <v>1</v>
      </c>
      <c r="BO25" s="38">
        <v>2</v>
      </c>
      <c r="BP25" s="38">
        <v>3</v>
      </c>
      <c r="BQ25" s="38">
        <v>1</v>
      </c>
      <c r="BR25" s="38">
        <v>2</v>
      </c>
      <c r="BS25" s="38">
        <v>3</v>
      </c>
      <c r="BT25" s="38">
        <v>1</v>
      </c>
      <c r="BU25" s="38">
        <v>2</v>
      </c>
      <c r="BV25" s="38">
        <v>3</v>
      </c>
      <c r="BW25" s="38">
        <v>1</v>
      </c>
      <c r="BX25" s="38">
        <v>2</v>
      </c>
      <c r="BY25" s="38">
        <v>3</v>
      </c>
      <c r="BZ25" s="38">
        <v>1</v>
      </c>
      <c r="CA25" s="38">
        <v>2</v>
      </c>
      <c r="CB25" s="38">
        <v>3</v>
      </c>
      <c r="CC25" s="38">
        <v>1</v>
      </c>
      <c r="CD25" s="38">
        <v>2</v>
      </c>
      <c r="CE25" s="38">
        <v>3</v>
      </c>
      <c r="CF25" s="38">
        <v>1</v>
      </c>
      <c r="CG25" s="38">
        <v>2</v>
      </c>
      <c r="CH25" s="38">
        <v>3</v>
      </c>
      <c r="CI25" s="38">
        <v>1</v>
      </c>
      <c r="CJ25" s="38">
        <v>2</v>
      </c>
      <c r="CK25" s="38">
        <v>3</v>
      </c>
    </row>
    <row r="26" spans="2:89">
      <c r="B26" s="37" t="str">
        <v>Дней в периоде</v>
      </c>
      <c r="C26" s="33"/>
      <c r="D26" s="33"/>
      <c r="E26" s="34"/>
      <c r="F26" s="38">
        <v>30</v>
      </c>
      <c r="G26" s="38">
        <v>31</v>
      </c>
      <c r="H26" s="38">
        <v>30</v>
      </c>
      <c r="I26" s="38">
        <v>31</v>
      </c>
      <c r="J26" s="38">
        <v>31</v>
      </c>
      <c r="K26" s="38">
        <v>30</v>
      </c>
      <c r="L26" s="38">
        <v>31</v>
      </c>
      <c r="M26" s="38">
        <v>30</v>
      </c>
      <c r="N26" s="38">
        <v>31</v>
      </c>
      <c r="O26" s="38">
        <v>31</v>
      </c>
      <c r="P26" s="38">
        <v>29</v>
      </c>
      <c r="Q26" s="38">
        <v>31</v>
      </c>
      <c r="R26" s="38">
        <v>30</v>
      </c>
      <c r="S26" s="38">
        <v>31</v>
      </c>
      <c r="T26" s="38">
        <v>30</v>
      </c>
      <c r="U26" s="38">
        <v>31</v>
      </c>
      <c r="V26" s="38">
        <v>31</v>
      </c>
      <c r="W26" s="38">
        <v>30</v>
      </c>
      <c r="X26" s="38">
        <v>31</v>
      </c>
      <c r="Y26" s="38">
        <v>30</v>
      </c>
      <c r="Z26" s="38">
        <v>31</v>
      </c>
      <c r="AA26" s="38">
        <v>31</v>
      </c>
      <c r="AB26" s="38">
        <v>28</v>
      </c>
      <c r="AC26" s="38">
        <v>31</v>
      </c>
      <c r="AD26" s="38">
        <v>30</v>
      </c>
      <c r="AE26" s="38">
        <v>31</v>
      </c>
      <c r="AF26" s="38">
        <v>30</v>
      </c>
      <c r="AG26" s="38">
        <v>31</v>
      </c>
      <c r="AH26" s="38">
        <v>31</v>
      </c>
      <c r="AI26" s="38">
        <v>30</v>
      </c>
      <c r="AJ26" s="38">
        <v>31</v>
      </c>
      <c r="AK26" s="38">
        <v>30</v>
      </c>
      <c r="AL26" s="38">
        <v>31</v>
      </c>
      <c r="AM26" s="38">
        <v>31</v>
      </c>
      <c r="AN26" s="38">
        <v>28</v>
      </c>
      <c r="AO26" s="38">
        <v>31</v>
      </c>
      <c r="AP26" s="38">
        <v>30</v>
      </c>
      <c r="AQ26" s="38">
        <v>31</v>
      </c>
      <c r="AR26" s="38">
        <v>30</v>
      </c>
      <c r="AS26" s="38">
        <v>31</v>
      </c>
      <c r="AT26" s="38">
        <v>31</v>
      </c>
      <c r="AU26" s="38">
        <v>30</v>
      </c>
      <c r="AV26" s="38">
        <v>31</v>
      </c>
      <c r="AW26" s="38">
        <v>30</v>
      </c>
      <c r="AX26" s="38">
        <v>31</v>
      </c>
      <c r="AY26" s="38">
        <v>31</v>
      </c>
      <c r="AZ26" s="38">
        <v>28</v>
      </c>
      <c r="BA26" s="38">
        <v>31</v>
      </c>
      <c r="BB26" s="38">
        <v>30</v>
      </c>
      <c r="BC26" s="38">
        <v>31</v>
      </c>
      <c r="BD26" s="38">
        <v>30</v>
      </c>
      <c r="BE26" s="38">
        <v>31</v>
      </c>
      <c r="BF26" s="38">
        <v>31</v>
      </c>
      <c r="BG26" s="38">
        <v>30</v>
      </c>
      <c r="BH26" s="38">
        <v>31</v>
      </c>
      <c r="BI26" s="38">
        <v>30</v>
      </c>
      <c r="BJ26" s="38">
        <v>31</v>
      </c>
      <c r="BK26" s="38">
        <v>31</v>
      </c>
      <c r="BL26" s="38">
        <v>29</v>
      </c>
      <c r="BM26" s="38">
        <v>31</v>
      </c>
      <c r="BN26" s="38">
        <v>30</v>
      </c>
      <c r="BO26" s="38">
        <v>31</v>
      </c>
      <c r="BP26" s="38">
        <v>30</v>
      </c>
      <c r="BQ26" s="38">
        <v>31</v>
      </c>
      <c r="BR26" s="38">
        <v>31</v>
      </c>
      <c r="BS26" s="38">
        <v>30</v>
      </c>
      <c r="BT26" s="38">
        <v>31</v>
      </c>
      <c r="BU26" s="38">
        <v>30</v>
      </c>
      <c r="BV26" s="38">
        <v>31</v>
      </c>
      <c r="BW26" s="38">
        <v>31</v>
      </c>
      <c r="BX26" s="38">
        <v>28</v>
      </c>
      <c r="BY26" s="38">
        <v>31</v>
      </c>
      <c r="BZ26" s="38">
        <v>30</v>
      </c>
      <c r="CA26" s="38">
        <v>31</v>
      </c>
      <c r="CB26" s="38">
        <v>30</v>
      </c>
      <c r="CC26" s="38">
        <v>31</v>
      </c>
      <c r="CD26" s="38">
        <v>31</v>
      </c>
      <c r="CE26" s="38">
        <v>30</v>
      </c>
      <c r="CF26" s="38">
        <v>31</v>
      </c>
      <c r="CG26" s="38">
        <v>30</v>
      </c>
      <c r="CH26" s="38">
        <v>31</v>
      </c>
      <c r="CI26" s="38">
        <v>31</v>
      </c>
      <c r="CJ26" s="38">
        <v>28</v>
      </c>
      <c r="CK26" s="38">
        <v>31</v>
      </c>
    </row>
    <row r="27" spans="2:89">
      <c r="B27" s="37" t="str">
        <v>№ периода</v>
      </c>
      <c r="C27" s="33"/>
      <c r="D27" s="33"/>
      <c r="E27" s="34"/>
      <c r="F27" s="38">
        <v>1</v>
      </c>
      <c r="G27" s="38">
        <v>2</v>
      </c>
      <c r="H27" s="38">
        <v>3</v>
      </c>
      <c r="I27" s="38">
        <v>4</v>
      </c>
      <c r="J27" s="38">
        <v>5</v>
      </c>
      <c r="K27" s="38">
        <v>6</v>
      </c>
      <c r="L27" s="38">
        <v>7</v>
      </c>
      <c r="M27" s="38">
        <v>8</v>
      </c>
      <c r="N27" s="38">
        <v>9</v>
      </c>
      <c r="O27" s="38">
        <v>10</v>
      </c>
      <c r="P27" s="38">
        <v>11</v>
      </c>
      <c r="Q27" s="38">
        <v>12</v>
      </c>
      <c r="R27" s="38">
        <v>13</v>
      </c>
      <c r="S27" s="38">
        <v>14</v>
      </c>
      <c r="T27" s="38">
        <v>15</v>
      </c>
      <c r="U27" s="38">
        <v>16</v>
      </c>
      <c r="V27" s="38">
        <v>17</v>
      </c>
      <c r="W27" s="38">
        <v>18</v>
      </c>
      <c r="X27" s="38">
        <v>19</v>
      </c>
      <c r="Y27" s="38">
        <v>20</v>
      </c>
      <c r="Z27" s="38">
        <v>21</v>
      </c>
      <c r="AA27" s="38">
        <v>22</v>
      </c>
      <c r="AB27" s="38">
        <v>23</v>
      </c>
      <c r="AC27" s="38">
        <v>24</v>
      </c>
      <c r="AD27" s="38">
        <v>25</v>
      </c>
      <c r="AE27" s="38">
        <v>26</v>
      </c>
      <c r="AF27" s="38">
        <v>27</v>
      </c>
      <c r="AG27" s="38">
        <v>28</v>
      </c>
      <c r="AH27" s="38">
        <v>29</v>
      </c>
      <c r="AI27" s="38">
        <v>30</v>
      </c>
      <c r="AJ27" s="38">
        <v>31</v>
      </c>
      <c r="AK27" s="38">
        <v>32</v>
      </c>
      <c r="AL27" s="38">
        <v>33</v>
      </c>
      <c r="AM27" s="38">
        <v>34</v>
      </c>
      <c r="AN27" s="38">
        <v>35</v>
      </c>
      <c r="AO27" s="38">
        <v>36</v>
      </c>
      <c r="AP27" s="38">
        <v>37</v>
      </c>
      <c r="AQ27" s="38">
        <v>38</v>
      </c>
      <c r="AR27" s="38">
        <v>39</v>
      </c>
      <c r="AS27" s="38">
        <v>40</v>
      </c>
      <c r="AT27" s="38">
        <v>41</v>
      </c>
      <c r="AU27" s="38">
        <v>42</v>
      </c>
      <c r="AV27" s="38">
        <v>43</v>
      </c>
      <c r="AW27" s="38">
        <v>44</v>
      </c>
      <c r="AX27" s="38">
        <v>45</v>
      </c>
      <c r="AY27" s="38">
        <v>46</v>
      </c>
      <c r="AZ27" s="38">
        <v>47</v>
      </c>
      <c r="BA27" s="38">
        <v>48</v>
      </c>
      <c r="BB27" s="38">
        <v>49</v>
      </c>
      <c r="BC27" s="38">
        <v>50</v>
      </c>
      <c r="BD27" s="38">
        <v>51</v>
      </c>
      <c r="BE27" s="38">
        <v>52</v>
      </c>
      <c r="BF27" s="38">
        <v>53</v>
      </c>
      <c r="BG27" s="38">
        <v>54</v>
      </c>
      <c r="BH27" s="38">
        <v>55</v>
      </c>
      <c r="BI27" s="38">
        <v>56</v>
      </c>
      <c r="BJ27" s="38">
        <v>57</v>
      </c>
      <c r="BK27" s="38">
        <v>58</v>
      </c>
      <c r="BL27" s="38">
        <v>59</v>
      </c>
      <c r="BM27" s="38">
        <v>60</v>
      </c>
      <c r="BN27" s="38">
        <v>61</v>
      </c>
      <c r="BO27" s="38">
        <v>62</v>
      </c>
      <c r="BP27" s="38">
        <v>63</v>
      </c>
      <c r="BQ27" s="38">
        <v>64</v>
      </c>
      <c r="BR27" s="38">
        <v>65</v>
      </c>
      <c r="BS27" s="38">
        <v>66</v>
      </c>
      <c r="BT27" s="38">
        <v>67</v>
      </c>
      <c r="BU27" s="38">
        <v>68</v>
      </c>
      <c r="BV27" s="38">
        <v>69</v>
      </c>
      <c r="BW27" s="38">
        <v>70</v>
      </c>
      <c r="BX27" s="38">
        <v>71</v>
      </c>
      <c r="BY27" s="38">
        <v>72</v>
      </c>
      <c r="BZ27" s="38">
        <v>73</v>
      </c>
      <c r="CA27" s="38">
        <v>74</v>
      </c>
      <c r="CB27" s="38">
        <v>75</v>
      </c>
      <c r="CC27" s="38">
        <v>76</v>
      </c>
      <c r="CD27" s="38">
        <v>77</v>
      </c>
      <c r="CE27" s="38">
        <v>78</v>
      </c>
      <c r="CF27" s="38">
        <v>79</v>
      </c>
      <c r="CG27" s="38">
        <v>80</v>
      </c>
      <c r="CH27" s="38">
        <v>81</v>
      </c>
      <c r="CI27" s="38">
        <v>82</v>
      </c>
      <c r="CJ27" s="38">
        <v>83</v>
      </c>
      <c r="CK27" s="38">
        <v>84</v>
      </c>
    </row>
    <row r="28" spans="2:89">
      <c r="B28" s="37" t="str">
        <v>№ операционного периода</v>
      </c>
      <c r="C28" s="33"/>
      <c r="D28" s="39"/>
      <c r="E28" s="34"/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1</v>
      </c>
      <c r="S28" s="38">
        <v>2</v>
      </c>
      <c r="T28" s="38">
        <v>3</v>
      </c>
      <c r="U28" s="38">
        <v>4</v>
      </c>
      <c r="V28" s="38">
        <v>5</v>
      </c>
      <c r="W28" s="38">
        <v>6</v>
      </c>
      <c r="X28" s="38">
        <v>7</v>
      </c>
      <c r="Y28" s="38">
        <v>8</v>
      </c>
      <c r="Z28" s="38">
        <v>9</v>
      </c>
      <c r="AA28" s="38">
        <v>10</v>
      </c>
      <c r="AB28" s="38">
        <v>11</v>
      </c>
      <c r="AC28" s="38">
        <v>12</v>
      </c>
      <c r="AD28" s="38">
        <v>13</v>
      </c>
      <c r="AE28" s="38">
        <v>14</v>
      </c>
      <c r="AF28" s="38">
        <v>15</v>
      </c>
      <c r="AG28" s="38">
        <v>16</v>
      </c>
      <c r="AH28" s="38">
        <v>17</v>
      </c>
      <c r="AI28" s="38">
        <v>18</v>
      </c>
      <c r="AJ28" s="38">
        <v>19</v>
      </c>
      <c r="AK28" s="38">
        <v>20</v>
      </c>
      <c r="AL28" s="38">
        <v>21</v>
      </c>
      <c r="AM28" s="38">
        <v>22</v>
      </c>
      <c r="AN28" s="38">
        <v>23</v>
      </c>
      <c r="AO28" s="38">
        <v>24</v>
      </c>
      <c r="AP28" s="38">
        <v>25</v>
      </c>
      <c r="AQ28" s="38">
        <v>26</v>
      </c>
      <c r="AR28" s="38">
        <v>27</v>
      </c>
      <c r="AS28" s="38">
        <v>28</v>
      </c>
      <c r="AT28" s="38">
        <v>29</v>
      </c>
      <c r="AU28" s="38">
        <v>30</v>
      </c>
      <c r="AV28" s="38">
        <v>31</v>
      </c>
      <c r="AW28" s="38">
        <v>32</v>
      </c>
      <c r="AX28" s="38">
        <v>33</v>
      </c>
      <c r="AY28" s="38">
        <v>34</v>
      </c>
      <c r="AZ28" s="38">
        <v>35</v>
      </c>
      <c r="BA28" s="38">
        <v>36</v>
      </c>
      <c r="BB28" s="38">
        <v>37</v>
      </c>
      <c r="BC28" s="38">
        <v>38</v>
      </c>
      <c r="BD28" s="38">
        <v>39</v>
      </c>
      <c r="BE28" s="38">
        <v>40</v>
      </c>
      <c r="BF28" s="38">
        <v>41</v>
      </c>
      <c r="BG28" s="38">
        <v>42</v>
      </c>
      <c r="BH28" s="38">
        <v>43</v>
      </c>
      <c r="BI28" s="38">
        <v>44</v>
      </c>
      <c r="BJ28" s="38">
        <v>45</v>
      </c>
      <c r="BK28" s="38">
        <v>46</v>
      </c>
      <c r="BL28" s="38">
        <v>47</v>
      </c>
      <c r="BM28" s="38">
        <v>48</v>
      </c>
      <c r="BN28" s="38">
        <v>49</v>
      </c>
      <c r="BO28" s="38">
        <v>50</v>
      </c>
      <c r="BP28" s="38">
        <v>51</v>
      </c>
      <c r="BQ28" s="38">
        <v>52</v>
      </c>
      <c r="BR28" s="38">
        <v>53</v>
      </c>
      <c r="BS28" s="38">
        <v>54</v>
      </c>
      <c r="BT28" s="38">
        <v>55</v>
      </c>
      <c r="BU28" s="38">
        <v>56</v>
      </c>
      <c r="BV28" s="38">
        <v>57</v>
      </c>
      <c r="BW28" s="38">
        <v>58</v>
      </c>
      <c r="BX28" s="38">
        <v>59</v>
      </c>
      <c r="BY28" s="38">
        <v>60</v>
      </c>
      <c r="BZ28" s="38">
        <v>61</v>
      </c>
      <c r="CA28" s="38">
        <v>62</v>
      </c>
      <c r="CB28" s="38">
        <v>63</v>
      </c>
      <c r="CC28" s="38">
        <v>64</v>
      </c>
      <c r="CD28" s="38">
        <v>65</v>
      </c>
      <c r="CE28" s="38">
        <v>66</v>
      </c>
      <c r="CF28" s="38">
        <v>67</v>
      </c>
      <c r="CG28" s="38">
        <v>68</v>
      </c>
      <c r="CH28" s="38">
        <v>69</v>
      </c>
      <c r="CI28" s="38">
        <v>70</v>
      </c>
      <c r="CJ28" s="38">
        <v>71</v>
      </c>
      <c r="CK28" s="38">
        <v>72</v>
      </c>
    </row>
    <row r="29" spans="2:89">
      <c r="B29" s="37" t="str">
        <v>№ операционного года</v>
      </c>
      <c r="C29" s="33"/>
      <c r="D29" s="39"/>
      <c r="E29" s="34"/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2</v>
      </c>
      <c r="AE29" s="38">
        <v>2</v>
      </c>
      <c r="AF29" s="38">
        <v>2</v>
      </c>
      <c r="AG29" s="38">
        <v>2</v>
      </c>
      <c r="AH29" s="38">
        <v>2</v>
      </c>
      <c r="AI29" s="38">
        <v>2</v>
      </c>
      <c r="AJ29" s="38">
        <v>2</v>
      </c>
      <c r="AK29" s="38">
        <v>2</v>
      </c>
      <c r="AL29" s="38">
        <v>2</v>
      </c>
      <c r="AM29" s="38">
        <v>2</v>
      </c>
      <c r="AN29" s="38">
        <v>2</v>
      </c>
      <c r="AO29" s="38">
        <v>2</v>
      </c>
      <c r="AP29" s="38">
        <v>3</v>
      </c>
      <c r="AQ29" s="38">
        <v>3</v>
      </c>
      <c r="AR29" s="38">
        <v>3</v>
      </c>
      <c r="AS29" s="38">
        <v>3</v>
      </c>
      <c r="AT29" s="38">
        <v>3</v>
      </c>
      <c r="AU29" s="38">
        <v>3</v>
      </c>
      <c r="AV29" s="38">
        <v>3</v>
      </c>
      <c r="AW29" s="38">
        <v>3</v>
      </c>
      <c r="AX29" s="38">
        <v>3</v>
      </c>
      <c r="AY29" s="38">
        <v>3</v>
      </c>
      <c r="AZ29" s="38">
        <v>3</v>
      </c>
      <c r="BA29" s="38">
        <v>3</v>
      </c>
      <c r="BB29" s="38">
        <v>4</v>
      </c>
      <c r="BC29" s="38">
        <v>4</v>
      </c>
      <c r="BD29" s="38">
        <v>4</v>
      </c>
      <c r="BE29" s="38">
        <v>4</v>
      </c>
      <c r="BF29" s="38">
        <v>4</v>
      </c>
      <c r="BG29" s="38">
        <v>4</v>
      </c>
      <c r="BH29" s="38">
        <v>4</v>
      </c>
      <c r="BI29" s="38">
        <v>4</v>
      </c>
      <c r="BJ29" s="38">
        <v>4</v>
      </c>
      <c r="BK29" s="38">
        <v>4</v>
      </c>
      <c r="BL29" s="38">
        <v>4</v>
      </c>
      <c r="BM29" s="38">
        <v>4</v>
      </c>
      <c r="BN29" s="38">
        <v>5</v>
      </c>
      <c r="BO29" s="38">
        <v>5</v>
      </c>
      <c r="BP29" s="38">
        <v>5</v>
      </c>
      <c r="BQ29" s="38">
        <v>5</v>
      </c>
      <c r="BR29" s="38">
        <v>5</v>
      </c>
      <c r="BS29" s="38">
        <v>5</v>
      </c>
      <c r="BT29" s="38">
        <v>5</v>
      </c>
      <c r="BU29" s="38">
        <v>5</v>
      </c>
      <c r="BV29" s="38">
        <v>5</v>
      </c>
      <c r="BW29" s="38">
        <v>5</v>
      </c>
      <c r="BX29" s="38">
        <v>5</v>
      </c>
      <c r="BY29" s="38">
        <v>5</v>
      </c>
      <c r="BZ29" s="38">
        <v>6</v>
      </c>
      <c r="CA29" s="38">
        <v>6</v>
      </c>
      <c r="CB29" s="38">
        <v>6</v>
      </c>
      <c r="CC29" s="38">
        <v>6</v>
      </c>
      <c r="CD29" s="38">
        <v>6</v>
      </c>
      <c r="CE29" s="38">
        <v>6</v>
      </c>
      <c r="CF29" s="38">
        <v>6</v>
      </c>
      <c r="CG29" s="38">
        <v>6</v>
      </c>
      <c r="CH29" s="38">
        <v>6</v>
      </c>
      <c r="CI29" s="38">
        <v>6</v>
      </c>
      <c r="CJ29" s="38">
        <v>6</v>
      </c>
      <c r="CK29" s="38"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2:89" ht="20.25" thickBot="1">
      <c r="B33" s="26" t="s">
        <v>54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</row>
    <row r="34" spans="2:89" ht="15.75" thickTop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</row>
    <row r="35" spans="2:89" ht="18" thickBot="1">
      <c r="B35" s="100" t="s">
        <v>55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</row>
    <row r="36" spans="2:89" ht="15.75" thickTop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</row>
    <row r="37" spans="2:89">
      <c r="B37" s="170" t="str">
        <f t="array" ref="B37:B42">Капексы_наименования</f>
        <v>Проектно-сметная документация</v>
      </c>
      <c r="C37" s="171"/>
      <c r="D37" s="172">
        <f>SUM(F37:CK37)</f>
        <v>1</v>
      </c>
      <c r="E37" s="173"/>
      <c r="F37" s="159">
        <f t="array" ref="F37:CK42">Капексы_график_оплаты</f>
        <v>0.33</v>
      </c>
      <c r="G37" s="174">
        <v>0.33</v>
      </c>
      <c r="H37" s="174">
        <v>0.34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0</v>
      </c>
      <c r="AD37" s="174">
        <v>0</v>
      </c>
      <c r="AE37" s="174">
        <v>0</v>
      </c>
      <c r="AF37" s="174">
        <v>0</v>
      </c>
      <c r="AG37" s="174">
        <v>0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74">
        <v>0</v>
      </c>
      <c r="BP37" s="174">
        <v>0</v>
      </c>
      <c r="BQ37" s="174">
        <v>0</v>
      </c>
      <c r="BR37" s="174">
        <v>0</v>
      </c>
      <c r="BS37" s="174">
        <v>0</v>
      </c>
      <c r="BT37" s="174">
        <v>0</v>
      </c>
      <c r="BU37" s="174">
        <v>0</v>
      </c>
      <c r="BV37" s="174">
        <v>0</v>
      </c>
      <c r="BW37" s="174">
        <v>0</v>
      </c>
      <c r="BX37" s="174">
        <v>0</v>
      </c>
      <c r="BY37" s="174">
        <v>0</v>
      </c>
      <c r="BZ37" s="174">
        <v>0</v>
      </c>
      <c r="CA37" s="174">
        <v>0</v>
      </c>
      <c r="CB37" s="174">
        <v>0</v>
      </c>
      <c r="CC37" s="174">
        <v>0</v>
      </c>
      <c r="CD37" s="174">
        <v>0</v>
      </c>
      <c r="CE37" s="174">
        <v>0</v>
      </c>
      <c r="CF37" s="174">
        <v>0</v>
      </c>
      <c r="CG37" s="174">
        <v>0</v>
      </c>
      <c r="CH37" s="174">
        <v>0</v>
      </c>
      <c r="CI37" s="174">
        <v>0</v>
      </c>
      <c r="CJ37" s="174">
        <v>0</v>
      </c>
      <c r="CK37" s="174">
        <v>0</v>
      </c>
    </row>
    <row r="38" spans="2:89">
      <c r="B38" s="175" t="str">
        <v>Строительно -монтажные работы</v>
      </c>
      <c r="C38" s="171"/>
      <c r="D38" s="172">
        <f t="shared" ref="D38:D42" si="0">SUM(F38:CK38)</f>
        <v>1.0000000000000002</v>
      </c>
      <c r="E38" s="173"/>
      <c r="F38" s="174">
        <v>0.04</v>
      </c>
      <c r="G38" s="174">
        <v>0.04</v>
      </c>
      <c r="H38" s="174">
        <v>0.03</v>
      </c>
      <c r="I38" s="174">
        <v>0.15</v>
      </c>
      <c r="J38" s="174">
        <v>0.15</v>
      </c>
      <c r="K38" s="174">
        <v>0.15</v>
      </c>
      <c r="L38" s="174">
        <v>7.0000000000000007E-2</v>
      </c>
      <c r="M38" s="174">
        <v>7.0000000000000007E-2</v>
      </c>
      <c r="N38" s="174">
        <v>0.08</v>
      </c>
      <c r="O38" s="174">
        <v>7.0000000000000007E-2</v>
      </c>
      <c r="P38" s="174">
        <v>7.0000000000000007E-2</v>
      </c>
      <c r="Q38" s="174">
        <v>0.08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  <c r="AD38" s="174">
        <v>0</v>
      </c>
      <c r="AE38" s="174">
        <v>0</v>
      </c>
      <c r="AF38" s="174">
        <v>0</v>
      </c>
      <c r="AG38" s="174">
        <v>0</v>
      </c>
      <c r="AH38" s="174">
        <v>0</v>
      </c>
      <c r="AI38" s="174">
        <v>0</v>
      </c>
      <c r="AJ38" s="174">
        <v>0</v>
      </c>
      <c r="AK38" s="174">
        <v>0</v>
      </c>
      <c r="AL38" s="174">
        <v>0</v>
      </c>
      <c r="AM38" s="174">
        <v>0</v>
      </c>
      <c r="AN38" s="174">
        <v>0</v>
      </c>
      <c r="AO38" s="174">
        <v>0</v>
      </c>
      <c r="AP38" s="174">
        <v>0</v>
      </c>
      <c r="AQ38" s="174">
        <v>0</v>
      </c>
      <c r="AR38" s="174">
        <v>0</v>
      </c>
      <c r="AS38" s="174">
        <v>0</v>
      </c>
      <c r="AT38" s="174">
        <v>0</v>
      </c>
      <c r="AU38" s="174">
        <v>0</v>
      </c>
      <c r="AV38" s="174">
        <v>0</v>
      </c>
      <c r="AW38" s="174">
        <v>0</v>
      </c>
      <c r="AX38" s="174">
        <v>0</v>
      </c>
      <c r="AY38" s="174">
        <v>0</v>
      </c>
      <c r="AZ38" s="174">
        <v>0</v>
      </c>
      <c r="BA38" s="174">
        <v>0</v>
      </c>
      <c r="BB38" s="174">
        <v>0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74">
        <v>0</v>
      </c>
      <c r="BP38" s="174">
        <v>0</v>
      </c>
      <c r="BQ38" s="174">
        <v>0</v>
      </c>
      <c r="BR38" s="174">
        <v>0</v>
      </c>
      <c r="BS38" s="174">
        <v>0</v>
      </c>
      <c r="BT38" s="174">
        <v>0</v>
      </c>
      <c r="BU38" s="174">
        <v>0</v>
      </c>
      <c r="BV38" s="174">
        <v>0</v>
      </c>
      <c r="BW38" s="174">
        <v>0</v>
      </c>
      <c r="BX38" s="174">
        <v>0</v>
      </c>
      <c r="BY38" s="174">
        <v>0</v>
      </c>
      <c r="BZ38" s="174">
        <v>0</v>
      </c>
      <c r="CA38" s="174">
        <v>0</v>
      </c>
      <c r="CB38" s="174">
        <v>0</v>
      </c>
      <c r="CC38" s="174">
        <v>0</v>
      </c>
      <c r="CD38" s="174">
        <v>0</v>
      </c>
      <c r="CE38" s="174">
        <v>0</v>
      </c>
      <c r="CF38" s="174">
        <v>0</v>
      </c>
      <c r="CG38" s="174">
        <v>0</v>
      </c>
      <c r="CH38" s="174">
        <v>0</v>
      </c>
      <c r="CI38" s="174">
        <v>0</v>
      </c>
      <c r="CJ38" s="174">
        <v>0</v>
      </c>
      <c r="CK38" s="174">
        <v>0</v>
      </c>
    </row>
    <row r="39" spans="2:89">
      <c r="B39" s="175" t="str">
        <v xml:space="preserve">Оборудование </v>
      </c>
      <c r="C39" s="171"/>
      <c r="D39" s="172">
        <f t="shared" si="0"/>
        <v>1</v>
      </c>
      <c r="E39" s="173"/>
      <c r="F39" s="174">
        <v>7.0000000000000007E-2</v>
      </c>
      <c r="G39" s="174">
        <v>7.0000000000000007E-2</v>
      </c>
      <c r="H39" s="174">
        <v>7.0000000000000007E-2</v>
      </c>
      <c r="I39" s="174">
        <v>0.12</v>
      </c>
      <c r="J39" s="174">
        <v>0.12</v>
      </c>
      <c r="K39" s="174">
        <v>0.11</v>
      </c>
      <c r="L39" s="174">
        <v>0.11</v>
      </c>
      <c r="M39" s="174">
        <v>0.12</v>
      </c>
      <c r="N39" s="174">
        <v>0.12</v>
      </c>
      <c r="O39" s="174">
        <v>0.02</v>
      </c>
      <c r="P39" s="174">
        <v>0.03</v>
      </c>
      <c r="Q39" s="174">
        <v>0.04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  <c r="AD39" s="174">
        <v>0</v>
      </c>
      <c r="AE39" s="174">
        <v>0</v>
      </c>
      <c r="AF39" s="174">
        <v>0</v>
      </c>
      <c r="AG39" s="174">
        <v>0</v>
      </c>
      <c r="AH39" s="174">
        <v>0</v>
      </c>
      <c r="AI39" s="174">
        <v>0</v>
      </c>
      <c r="AJ39" s="174">
        <v>0</v>
      </c>
      <c r="AK39" s="174">
        <v>0</v>
      </c>
      <c r="AL39" s="174">
        <v>0</v>
      </c>
      <c r="AM39" s="174">
        <v>0</v>
      </c>
      <c r="AN39" s="174">
        <v>0</v>
      </c>
      <c r="AO39" s="174">
        <v>0</v>
      </c>
      <c r="AP39" s="174">
        <v>0</v>
      </c>
      <c r="AQ39" s="174">
        <v>0</v>
      </c>
      <c r="AR39" s="174">
        <v>0</v>
      </c>
      <c r="AS39" s="174">
        <v>0</v>
      </c>
      <c r="AT39" s="174">
        <v>0</v>
      </c>
      <c r="AU39" s="174">
        <v>0</v>
      </c>
      <c r="AV39" s="174">
        <v>0</v>
      </c>
      <c r="AW39" s="174">
        <v>0</v>
      </c>
      <c r="AX39" s="174">
        <v>0</v>
      </c>
      <c r="AY39" s="174">
        <v>0</v>
      </c>
      <c r="AZ39" s="174">
        <v>0</v>
      </c>
      <c r="BA39" s="174">
        <v>0</v>
      </c>
      <c r="BB39" s="174">
        <v>0</v>
      </c>
      <c r="BC39" s="174">
        <v>0</v>
      </c>
      <c r="BD39" s="174">
        <v>0</v>
      </c>
      <c r="BE39" s="174">
        <v>0</v>
      </c>
      <c r="BF39" s="174">
        <v>0</v>
      </c>
      <c r="BG39" s="174">
        <v>0</v>
      </c>
      <c r="BH39" s="174">
        <v>0</v>
      </c>
      <c r="BI39" s="174">
        <v>0</v>
      </c>
      <c r="BJ39" s="174">
        <v>0</v>
      </c>
      <c r="BK39" s="174">
        <v>0</v>
      </c>
      <c r="BL39" s="174">
        <v>0</v>
      </c>
      <c r="BM39" s="174">
        <v>0</v>
      </c>
      <c r="BN39" s="174">
        <v>0</v>
      </c>
      <c r="BO39" s="174">
        <v>0</v>
      </c>
      <c r="BP39" s="174">
        <v>0</v>
      </c>
      <c r="BQ39" s="174">
        <v>0</v>
      </c>
      <c r="BR39" s="174">
        <v>0</v>
      </c>
      <c r="BS39" s="174">
        <v>0</v>
      </c>
      <c r="BT39" s="174">
        <v>0</v>
      </c>
      <c r="BU39" s="174">
        <v>0</v>
      </c>
      <c r="BV39" s="174">
        <v>0</v>
      </c>
      <c r="BW39" s="174">
        <v>0</v>
      </c>
      <c r="BX39" s="174">
        <v>0</v>
      </c>
      <c r="BY39" s="174">
        <v>0</v>
      </c>
      <c r="BZ39" s="174">
        <v>0</v>
      </c>
      <c r="CA39" s="174">
        <v>0</v>
      </c>
      <c r="CB39" s="174">
        <v>0</v>
      </c>
      <c r="CC39" s="174">
        <v>0</v>
      </c>
      <c r="CD39" s="174">
        <v>0</v>
      </c>
      <c r="CE39" s="174">
        <v>0</v>
      </c>
      <c r="CF39" s="174">
        <v>0</v>
      </c>
      <c r="CG39" s="174">
        <v>0</v>
      </c>
      <c r="CH39" s="174">
        <v>0</v>
      </c>
      <c r="CI39" s="174">
        <v>0</v>
      </c>
      <c r="CJ39" s="174">
        <v>0</v>
      </c>
      <c r="CK39" s="174">
        <v>0</v>
      </c>
    </row>
    <row r="40" spans="2:89">
      <c r="B40" s="175" t="str">
        <v>Прочие капитальные вложения</v>
      </c>
      <c r="C40" s="171"/>
      <c r="D40" s="172">
        <f t="shared" si="0"/>
        <v>1</v>
      </c>
      <c r="E40" s="173"/>
      <c r="F40" s="174">
        <v>0.05</v>
      </c>
      <c r="G40" s="174">
        <v>0.05</v>
      </c>
      <c r="H40" s="174">
        <v>0.05</v>
      </c>
      <c r="I40" s="174">
        <v>0.09</v>
      </c>
      <c r="J40" s="174">
        <v>0.09</v>
      </c>
      <c r="K40" s="174">
        <v>0.1</v>
      </c>
      <c r="L40" s="174">
        <v>0</v>
      </c>
      <c r="M40" s="174">
        <v>0</v>
      </c>
      <c r="N40" s="174">
        <v>0</v>
      </c>
      <c r="O40" s="174">
        <v>0.18</v>
      </c>
      <c r="P40" s="174">
        <v>0.19</v>
      </c>
      <c r="Q40" s="174">
        <v>0.2</v>
      </c>
      <c r="R40" s="174">
        <v>0</v>
      </c>
      <c r="S40" s="174">
        <v>0</v>
      </c>
      <c r="T40" s="174">
        <v>0</v>
      </c>
      <c r="U40" s="174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  <c r="AD40" s="174">
        <v>0</v>
      </c>
      <c r="AE40" s="174">
        <v>0</v>
      </c>
      <c r="AF40" s="174">
        <v>0</v>
      </c>
      <c r="AG40" s="174">
        <v>0</v>
      </c>
      <c r="AH40" s="174">
        <v>0</v>
      </c>
      <c r="AI40" s="174">
        <v>0</v>
      </c>
      <c r="AJ40" s="174">
        <v>0</v>
      </c>
      <c r="AK40" s="174">
        <v>0</v>
      </c>
      <c r="AL40" s="174">
        <v>0</v>
      </c>
      <c r="AM40" s="174">
        <v>0</v>
      </c>
      <c r="AN40" s="174">
        <v>0</v>
      </c>
      <c r="AO40" s="174">
        <v>0</v>
      </c>
      <c r="AP40" s="174">
        <v>0</v>
      </c>
      <c r="AQ40" s="174">
        <v>0</v>
      </c>
      <c r="AR40" s="174">
        <v>0</v>
      </c>
      <c r="AS40" s="174">
        <v>0</v>
      </c>
      <c r="AT40" s="174">
        <v>0</v>
      </c>
      <c r="AU40" s="174">
        <v>0</v>
      </c>
      <c r="AV40" s="174">
        <v>0</v>
      </c>
      <c r="AW40" s="174">
        <v>0</v>
      </c>
      <c r="AX40" s="174">
        <v>0</v>
      </c>
      <c r="AY40" s="174">
        <v>0</v>
      </c>
      <c r="AZ40" s="174">
        <v>0</v>
      </c>
      <c r="BA40" s="174">
        <v>0</v>
      </c>
      <c r="BB40" s="174">
        <v>0</v>
      </c>
      <c r="BC40" s="174">
        <v>0</v>
      </c>
      <c r="BD40" s="174">
        <v>0</v>
      </c>
      <c r="BE40" s="174">
        <v>0</v>
      </c>
      <c r="BF40" s="174">
        <v>0</v>
      </c>
      <c r="BG40" s="174">
        <v>0</v>
      </c>
      <c r="BH40" s="174">
        <v>0</v>
      </c>
      <c r="BI40" s="174">
        <v>0</v>
      </c>
      <c r="BJ40" s="174">
        <v>0</v>
      </c>
      <c r="BK40" s="174">
        <v>0</v>
      </c>
      <c r="BL40" s="174">
        <v>0</v>
      </c>
      <c r="BM40" s="174">
        <v>0</v>
      </c>
      <c r="BN40" s="174">
        <v>0</v>
      </c>
      <c r="BO40" s="174">
        <v>0</v>
      </c>
      <c r="BP40" s="174">
        <v>0</v>
      </c>
      <c r="BQ40" s="174">
        <v>0</v>
      </c>
      <c r="BR40" s="174">
        <v>0</v>
      </c>
      <c r="BS40" s="174">
        <v>0</v>
      </c>
      <c r="BT40" s="174">
        <v>0</v>
      </c>
      <c r="BU40" s="174">
        <v>0</v>
      </c>
      <c r="BV40" s="174">
        <v>0</v>
      </c>
      <c r="BW40" s="174">
        <v>0</v>
      </c>
      <c r="BX40" s="174">
        <v>0</v>
      </c>
      <c r="BY40" s="174">
        <v>0</v>
      </c>
      <c r="BZ40" s="174">
        <v>0</v>
      </c>
      <c r="CA40" s="174">
        <v>0</v>
      </c>
      <c r="CB40" s="174">
        <v>0</v>
      </c>
      <c r="CC40" s="174">
        <v>0</v>
      </c>
      <c r="CD40" s="174">
        <v>0</v>
      </c>
      <c r="CE40" s="174">
        <v>0</v>
      </c>
      <c r="CF40" s="174">
        <v>0</v>
      </c>
      <c r="CG40" s="174">
        <v>0</v>
      </c>
      <c r="CH40" s="174">
        <v>0</v>
      </c>
      <c r="CI40" s="174">
        <v>0</v>
      </c>
      <c r="CJ40" s="174">
        <v>0</v>
      </c>
      <c r="CK40" s="174">
        <v>0</v>
      </c>
    </row>
    <row r="41" spans="2:89">
      <c r="B41" s="175" t="str">
        <v>Пусто</v>
      </c>
      <c r="C41" s="171"/>
      <c r="D41" s="172">
        <f t="shared" si="0"/>
        <v>0</v>
      </c>
      <c r="E41" s="173"/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  <c r="AD41" s="174">
        <v>0</v>
      </c>
      <c r="AE41" s="174">
        <v>0</v>
      </c>
      <c r="AF41" s="174">
        <v>0</v>
      </c>
      <c r="AG41" s="174">
        <v>0</v>
      </c>
      <c r="AH41" s="174">
        <v>0</v>
      </c>
      <c r="AI41" s="174">
        <v>0</v>
      </c>
      <c r="AJ41" s="174">
        <v>0</v>
      </c>
      <c r="AK41" s="174">
        <v>0</v>
      </c>
      <c r="AL41" s="174">
        <v>0</v>
      </c>
      <c r="AM41" s="174">
        <v>0</v>
      </c>
      <c r="AN41" s="174">
        <v>0</v>
      </c>
      <c r="AO41" s="174">
        <v>0</v>
      </c>
      <c r="AP41" s="174">
        <v>0</v>
      </c>
      <c r="AQ41" s="174">
        <v>0</v>
      </c>
      <c r="AR41" s="174">
        <v>0</v>
      </c>
      <c r="AS41" s="174">
        <v>0</v>
      </c>
      <c r="AT41" s="174">
        <v>0</v>
      </c>
      <c r="AU41" s="174">
        <v>0</v>
      </c>
      <c r="AV41" s="174">
        <v>0</v>
      </c>
      <c r="AW41" s="174">
        <v>0</v>
      </c>
      <c r="AX41" s="174">
        <v>0</v>
      </c>
      <c r="AY41" s="174">
        <v>0</v>
      </c>
      <c r="AZ41" s="174">
        <v>0</v>
      </c>
      <c r="BA41" s="174">
        <v>0</v>
      </c>
      <c r="BB41" s="174">
        <v>0</v>
      </c>
      <c r="BC41" s="174">
        <v>0</v>
      </c>
      <c r="BD41" s="174">
        <v>0</v>
      </c>
      <c r="BE41" s="174">
        <v>0</v>
      </c>
      <c r="BF41" s="174">
        <v>0</v>
      </c>
      <c r="BG41" s="174">
        <v>0</v>
      </c>
      <c r="BH41" s="174">
        <v>0</v>
      </c>
      <c r="BI41" s="174">
        <v>0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74">
        <v>0</v>
      </c>
      <c r="BP41" s="174">
        <v>0</v>
      </c>
      <c r="BQ41" s="174">
        <v>0</v>
      </c>
      <c r="BR41" s="174">
        <v>0</v>
      </c>
      <c r="BS41" s="174">
        <v>0</v>
      </c>
      <c r="BT41" s="174">
        <v>0</v>
      </c>
      <c r="BU41" s="174">
        <v>0</v>
      </c>
      <c r="BV41" s="174">
        <v>0</v>
      </c>
      <c r="BW41" s="174">
        <v>0</v>
      </c>
      <c r="BX41" s="174">
        <v>0</v>
      </c>
      <c r="BY41" s="174">
        <v>0</v>
      </c>
      <c r="BZ41" s="174">
        <v>0</v>
      </c>
      <c r="CA41" s="174">
        <v>0</v>
      </c>
      <c r="CB41" s="174">
        <v>0</v>
      </c>
      <c r="CC41" s="174">
        <v>0</v>
      </c>
      <c r="CD41" s="174">
        <v>0</v>
      </c>
      <c r="CE41" s="174">
        <v>0</v>
      </c>
      <c r="CF41" s="174">
        <v>0</v>
      </c>
      <c r="CG41" s="174">
        <v>0</v>
      </c>
      <c r="CH41" s="174">
        <v>0</v>
      </c>
      <c r="CI41" s="174">
        <v>0</v>
      </c>
      <c r="CJ41" s="174">
        <v>0</v>
      </c>
      <c r="CK41" s="174">
        <v>0</v>
      </c>
    </row>
    <row r="42" spans="2:89">
      <c r="B42" s="175" t="str">
        <v>Пусто</v>
      </c>
      <c r="C42" s="171"/>
      <c r="D42" s="172">
        <f t="shared" si="0"/>
        <v>0</v>
      </c>
      <c r="E42" s="173"/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  <c r="AD42" s="174">
        <v>0</v>
      </c>
      <c r="AE42" s="174">
        <v>0</v>
      </c>
      <c r="AF42" s="174">
        <v>0</v>
      </c>
      <c r="AG42" s="174">
        <v>0</v>
      </c>
      <c r="AH42" s="174">
        <v>0</v>
      </c>
      <c r="AI42" s="174">
        <v>0</v>
      </c>
      <c r="AJ42" s="174">
        <v>0</v>
      </c>
      <c r="AK42" s="174">
        <v>0</v>
      </c>
      <c r="AL42" s="174">
        <v>0</v>
      </c>
      <c r="AM42" s="174">
        <v>0</v>
      </c>
      <c r="AN42" s="174">
        <v>0</v>
      </c>
      <c r="AO42" s="174">
        <v>0</v>
      </c>
      <c r="AP42" s="174">
        <v>0</v>
      </c>
      <c r="AQ42" s="174">
        <v>0</v>
      </c>
      <c r="AR42" s="174">
        <v>0</v>
      </c>
      <c r="AS42" s="174">
        <v>0</v>
      </c>
      <c r="AT42" s="174">
        <v>0</v>
      </c>
      <c r="AU42" s="174">
        <v>0</v>
      </c>
      <c r="AV42" s="174">
        <v>0</v>
      </c>
      <c r="AW42" s="174">
        <v>0</v>
      </c>
      <c r="AX42" s="174">
        <v>0</v>
      </c>
      <c r="AY42" s="174">
        <v>0</v>
      </c>
      <c r="AZ42" s="174">
        <v>0</v>
      </c>
      <c r="BA42" s="174">
        <v>0</v>
      </c>
      <c r="BB42" s="174">
        <v>0</v>
      </c>
      <c r="BC42" s="174">
        <v>0</v>
      </c>
      <c r="BD42" s="174">
        <v>0</v>
      </c>
      <c r="BE42" s="174">
        <v>0</v>
      </c>
      <c r="BF42" s="174">
        <v>0</v>
      </c>
      <c r="BG42" s="174">
        <v>0</v>
      </c>
      <c r="BH42" s="174">
        <v>0</v>
      </c>
      <c r="BI42" s="174">
        <v>0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74">
        <v>0</v>
      </c>
      <c r="BP42" s="174">
        <v>0</v>
      </c>
      <c r="BQ42" s="174">
        <v>0</v>
      </c>
      <c r="BR42" s="174">
        <v>0</v>
      </c>
      <c r="BS42" s="174">
        <v>0</v>
      </c>
      <c r="BT42" s="174">
        <v>0</v>
      </c>
      <c r="BU42" s="174">
        <v>0</v>
      </c>
      <c r="BV42" s="174">
        <v>0</v>
      </c>
      <c r="BW42" s="174">
        <v>0</v>
      </c>
      <c r="BX42" s="174">
        <v>0</v>
      </c>
      <c r="BY42" s="174">
        <v>0</v>
      </c>
      <c r="BZ42" s="174">
        <v>0</v>
      </c>
      <c r="CA42" s="174">
        <v>0</v>
      </c>
      <c r="CB42" s="174">
        <v>0</v>
      </c>
      <c r="CC42" s="174">
        <v>0</v>
      </c>
      <c r="CD42" s="174">
        <v>0</v>
      </c>
      <c r="CE42" s="174">
        <v>0</v>
      </c>
      <c r="CF42" s="174">
        <v>0</v>
      </c>
      <c r="CG42" s="174">
        <v>0</v>
      </c>
      <c r="CH42" s="174">
        <v>0</v>
      </c>
      <c r="CI42" s="174">
        <v>0</v>
      </c>
      <c r="CJ42" s="174">
        <v>0</v>
      </c>
      <c r="CK42" s="174">
        <v>0</v>
      </c>
    </row>
    <row r="43" spans="2:89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</row>
    <row r="44" spans="2:89" ht="18" thickBot="1">
      <c r="B44" s="100" t="s">
        <v>285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</row>
    <row r="45" spans="2:89" ht="15.75" thickTop="1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</row>
    <row r="46" spans="2:89" ht="15.75" thickBot="1">
      <c r="B46" s="96" t="str">
        <f>"Платежи в текущих ценах, в "&amp;Ед_измерения_денег&amp;" в т.ч. НДС"</f>
        <v>Платежи в текущих ценах, в  руб. в т.ч. НДС</v>
      </c>
      <c r="C46" s="96"/>
      <c r="D46" s="127"/>
      <c r="E46" s="96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</row>
    <row r="47" spans="2:89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</row>
    <row r="48" spans="2:89">
      <c r="B48" s="45" t="str">
        <f t="array" ref="B48:B53">Капексы_наименования</f>
        <v>Проектно-сметная документация</v>
      </c>
      <c r="C48" s="46"/>
      <c r="D48" s="47">
        <f>SUM(F48:CK48)</f>
        <v>3000000</v>
      </c>
      <c r="E48" s="48"/>
      <c r="F48" s="49">
        <f t="array" ref="F48:CK53">Капексы_суммы*F37:CK42</f>
        <v>990000</v>
      </c>
      <c r="G48" s="49">
        <v>990000</v>
      </c>
      <c r="H48" s="49">
        <v>1020000.0000000001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</row>
    <row r="49" spans="2:89">
      <c r="B49" s="86" t="str">
        <v>Строительно -монтажные работы</v>
      </c>
      <c r="C49" s="46"/>
      <c r="D49" s="47">
        <f t="shared" ref="D49:D53" si="1">SUM(F49:CK49)</f>
        <v>450000000</v>
      </c>
      <c r="E49" s="48"/>
      <c r="F49" s="176">
        <v>18000000</v>
      </c>
      <c r="G49" s="176">
        <v>18000000</v>
      </c>
      <c r="H49" s="176">
        <v>13500000</v>
      </c>
      <c r="I49" s="176">
        <v>67500000</v>
      </c>
      <c r="J49" s="176">
        <v>67500000</v>
      </c>
      <c r="K49" s="176">
        <v>67500000</v>
      </c>
      <c r="L49" s="176">
        <v>31500000.000000004</v>
      </c>
      <c r="M49" s="176">
        <v>31500000.000000004</v>
      </c>
      <c r="N49" s="176">
        <v>36000000</v>
      </c>
      <c r="O49" s="176">
        <v>31500000.000000004</v>
      </c>
      <c r="P49" s="176">
        <v>31500000.000000004</v>
      </c>
      <c r="Q49" s="176">
        <v>36000000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 s="176">
        <v>0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 s="176">
        <v>0</v>
      </c>
      <c r="BD49" s="176">
        <v>0</v>
      </c>
      <c r="BE49" s="176">
        <v>0</v>
      </c>
      <c r="BF49" s="176">
        <v>0</v>
      </c>
      <c r="BG49" s="176">
        <v>0</v>
      </c>
      <c r="BH49" s="176">
        <v>0</v>
      </c>
      <c r="BI49" s="176">
        <v>0</v>
      </c>
      <c r="BJ49" s="176">
        <v>0</v>
      </c>
      <c r="BK49" s="176">
        <v>0</v>
      </c>
      <c r="BL49" s="176">
        <v>0</v>
      </c>
      <c r="BM49" s="176">
        <v>0</v>
      </c>
      <c r="BN49" s="176">
        <v>0</v>
      </c>
      <c r="BO49" s="176">
        <v>0</v>
      </c>
      <c r="BP49" s="176">
        <v>0</v>
      </c>
      <c r="BQ49" s="176">
        <v>0</v>
      </c>
      <c r="BR49" s="176">
        <v>0</v>
      </c>
      <c r="BS49" s="176">
        <v>0</v>
      </c>
      <c r="BT49" s="176">
        <v>0</v>
      </c>
      <c r="BU49" s="176">
        <v>0</v>
      </c>
      <c r="BV49" s="176">
        <v>0</v>
      </c>
      <c r="BW49" s="176">
        <v>0</v>
      </c>
      <c r="BX49" s="176">
        <v>0</v>
      </c>
      <c r="BY49" s="176">
        <v>0</v>
      </c>
      <c r="BZ49" s="176">
        <v>0</v>
      </c>
      <c r="CA49" s="176">
        <v>0</v>
      </c>
      <c r="CB49" s="176">
        <v>0</v>
      </c>
      <c r="CC49" s="176">
        <v>0</v>
      </c>
      <c r="CD49" s="176">
        <v>0</v>
      </c>
      <c r="CE49" s="176">
        <v>0</v>
      </c>
      <c r="CF49" s="176">
        <v>0</v>
      </c>
      <c r="CG49" s="176">
        <v>0</v>
      </c>
      <c r="CH49" s="176">
        <v>0</v>
      </c>
      <c r="CI49" s="176">
        <v>0</v>
      </c>
      <c r="CJ49" s="176">
        <v>0</v>
      </c>
      <c r="CK49" s="176">
        <v>0</v>
      </c>
    </row>
    <row r="50" spans="2:89">
      <c r="B50" s="86" t="str">
        <v xml:space="preserve">Оборудование </v>
      </c>
      <c r="C50" s="46"/>
      <c r="D50" s="47">
        <f t="shared" si="1"/>
        <v>570000000</v>
      </c>
      <c r="E50" s="48"/>
      <c r="F50" s="176">
        <v>39900000.000000007</v>
      </c>
      <c r="G50" s="176">
        <v>39900000.000000007</v>
      </c>
      <c r="H50" s="176">
        <v>39900000.000000007</v>
      </c>
      <c r="I50" s="176">
        <v>68400000</v>
      </c>
      <c r="J50" s="176">
        <v>68400000</v>
      </c>
      <c r="K50" s="176">
        <v>62700000</v>
      </c>
      <c r="L50" s="176">
        <v>62700000</v>
      </c>
      <c r="M50" s="176">
        <v>68400000</v>
      </c>
      <c r="N50" s="176">
        <v>68400000</v>
      </c>
      <c r="O50" s="176">
        <v>11400000</v>
      </c>
      <c r="P50" s="176">
        <v>17100000</v>
      </c>
      <c r="Q50" s="176">
        <v>22800000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176">
        <v>0</v>
      </c>
      <c r="BM50" s="176">
        <v>0</v>
      </c>
      <c r="BN50" s="176">
        <v>0</v>
      </c>
      <c r="BO50" s="176">
        <v>0</v>
      </c>
      <c r="BP50" s="176">
        <v>0</v>
      </c>
      <c r="BQ50" s="176">
        <v>0</v>
      </c>
      <c r="BR50" s="176">
        <v>0</v>
      </c>
      <c r="BS50" s="176">
        <v>0</v>
      </c>
      <c r="BT50" s="176">
        <v>0</v>
      </c>
      <c r="BU50" s="176">
        <v>0</v>
      </c>
      <c r="BV50" s="176">
        <v>0</v>
      </c>
      <c r="BW50" s="176">
        <v>0</v>
      </c>
      <c r="BX50" s="176">
        <v>0</v>
      </c>
      <c r="BY50" s="176">
        <v>0</v>
      </c>
      <c r="BZ50" s="176">
        <v>0</v>
      </c>
      <c r="CA50" s="176">
        <v>0</v>
      </c>
      <c r="CB50" s="176">
        <v>0</v>
      </c>
      <c r="CC50" s="176">
        <v>0</v>
      </c>
      <c r="CD50" s="176">
        <v>0</v>
      </c>
      <c r="CE50" s="176">
        <v>0</v>
      </c>
      <c r="CF50" s="176">
        <v>0</v>
      </c>
      <c r="CG50" s="176">
        <v>0</v>
      </c>
      <c r="CH50" s="176">
        <v>0</v>
      </c>
      <c r="CI50" s="176">
        <v>0</v>
      </c>
      <c r="CJ50" s="176">
        <v>0</v>
      </c>
      <c r="CK50" s="176">
        <v>0</v>
      </c>
    </row>
    <row r="51" spans="2:89">
      <c r="B51" s="86" t="str">
        <v>Прочие капитальные вложения</v>
      </c>
      <c r="C51" s="46"/>
      <c r="D51" s="47">
        <f t="shared" si="1"/>
        <v>137000000</v>
      </c>
      <c r="E51" s="48"/>
      <c r="F51" s="176">
        <v>6850000</v>
      </c>
      <c r="G51" s="176">
        <v>6850000</v>
      </c>
      <c r="H51" s="176">
        <v>6850000</v>
      </c>
      <c r="I51" s="176">
        <v>12330000</v>
      </c>
      <c r="J51" s="176">
        <v>12330000</v>
      </c>
      <c r="K51" s="176">
        <v>13700000</v>
      </c>
      <c r="L51" s="176">
        <v>0</v>
      </c>
      <c r="M51" s="176">
        <v>0</v>
      </c>
      <c r="N51" s="176">
        <v>0</v>
      </c>
      <c r="O51" s="176">
        <v>24660000</v>
      </c>
      <c r="P51" s="176">
        <v>26030000</v>
      </c>
      <c r="Q51" s="176">
        <v>27400000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176">
        <v>0</v>
      </c>
      <c r="BK51" s="176">
        <v>0</v>
      </c>
      <c r="BL51" s="176">
        <v>0</v>
      </c>
      <c r="BM51" s="176">
        <v>0</v>
      </c>
      <c r="BN51" s="176">
        <v>0</v>
      </c>
      <c r="BO51" s="176">
        <v>0</v>
      </c>
      <c r="BP51" s="176">
        <v>0</v>
      </c>
      <c r="BQ51" s="176">
        <v>0</v>
      </c>
      <c r="BR51" s="176">
        <v>0</v>
      </c>
      <c r="BS51" s="176">
        <v>0</v>
      </c>
      <c r="BT51" s="176">
        <v>0</v>
      </c>
      <c r="BU51" s="176">
        <v>0</v>
      </c>
      <c r="BV51" s="176">
        <v>0</v>
      </c>
      <c r="BW51" s="176">
        <v>0</v>
      </c>
      <c r="BX51" s="176">
        <v>0</v>
      </c>
      <c r="BY51" s="176">
        <v>0</v>
      </c>
      <c r="BZ51" s="176">
        <v>0</v>
      </c>
      <c r="CA51" s="176">
        <v>0</v>
      </c>
      <c r="CB51" s="176">
        <v>0</v>
      </c>
      <c r="CC51" s="176">
        <v>0</v>
      </c>
      <c r="CD51" s="176">
        <v>0</v>
      </c>
      <c r="CE51" s="176">
        <v>0</v>
      </c>
      <c r="CF51" s="176">
        <v>0</v>
      </c>
      <c r="CG51" s="176">
        <v>0</v>
      </c>
      <c r="CH51" s="176">
        <v>0</v>
      </c>
      <c r="CI51" s="176">
        <v>0</v>
      </c>
      <c r="CJ51" s="176">
        <v>0</v>
      </c>
      <c r="CK51" s="176">
        <v>0</v>
      </c>
    </row>
    <row r="52" spans="2:89">
      <c r="B52" s="86" t="str">
        <v>Пусто</v>
      </c>
      <c r="C52" s="46"/>
      <c r="D52" s="47">
        <f t="shared" si="1"/>
        <v>0</v>
      </c>
      <c r="E52" s="48"/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 s="176">
        <v>0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 s="176">
        <v>0</v>
      </c>
      <c r="BD52" s="176">
        <v>0</v>
      </c>
      <c r="BE52" s="176">
        <v>0</v>
      </c>
      <c r="BF52" s="176">
        <v>0</v>
      </c>
      <c r="BG52" s="176">
        <v>0</v>
      </c>
      <c r="BH52" s="176">
        <v>0</v>
      </c>
      <c r="BI52" s="176">
        <v>0</v>
      </c>
      <c r="BJ52" s="176">
        <v>0</v>
      </c>
      <c r="BK52" s="176">
        <v>0</v>
      </c>
      <c r="BL52" s="176">
        <v>0</v>
      </c>
      <c r="BM52" s="176">
        <v>0</v>
      </c>
      <c r="BN52" s="176">
        <v>0</v>
      </c>
      <c r="BO52" s="176">
        <v>0</v>
      </c>
      <c r="BP52" s="176">
        <v>0</v>
      </c>
      <c r="BQ52" s="176">
        <v>0</v>
      </c>
      <c r="BR52" s="176">
        <v>0</v>
      </c>
      <c r="BS52" s="176">
        <v>0</v>
      </c>
      <c r="BT52" s="176">
        <v>0</v>
      </c>
      <c r="BU52" s="176">
        <v>0</v>
      </c>
      <c r="BV52" s="176">
        <v>0</v>
      </c>
      <c r="BW52" s="176">
        <v>0</v>
      </c>
      <c r="BX52" s="176">
        <v>0</v>
      </c>
      <c r="BY52" s="176">
        <v>0</v>
      </c>
      <c r="BZ52" s="176">
        <v>0</v>
      </c>
      <c r="CA52" s="176">
        <v>0</v>
      </c>
      <c r="CB52" s="176">
        <v>0</v>
      </c>
      <c r="CC52" s="176">
        <v>0</v>
      </c>
      <c r="CD52" s="176">
        <v>0</v>
      </c>
      <c r="CE52" s="176">
        <v>0</v>
      </c>
      <c r="CF52" s="176">
        <v>0</v>
      </c>
      <c r="CG52" s="176">
        <v>0</v>
      </c>
      <c r="CH52" s="176">
        <v>0</v>
      </c>
      <c r="CI52" s="176">
        <v>0</v>
      </c>
      <c r="CJ52" s="176">
        <v>0</v>
      </c>
      <c r="CK52" s="176">
        <v>0</v>
      </c>
    </row>
    <row r="53" spans="2:89" ht="15.75" thickBot="1">
      <c r="B53" s="86" t="str">
        <v>Пусто</v>
      </c>
      <c r="C53" s="46"/>
      <c r="D53" s="47">
        <f t="shared" si="1"/>
        <v>0</v>
      </c>
      <c r="E53" s="48"/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 s="176">
        <v>0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 s="176">
        <v>0</v>
      </c>
      <c r="BD53" s="176">
        <v>0</v>
      </c>
      <c r="BE53" s="176">
        <v>0</v>
      </c>
      <c r="BF53" s="176">
        <v>0</v>
      </c>
      <c r="BG53" s="176">
        <v>0</v>
      </c>
      <c r="BH53" s="176">
        <v>0</v>
      </c>
      <c r="BI53" s="176">
        <v>0</v>
      </c>
      <c r="BJ53" s="176">
        <v>0</v>
      </c>
      <c r="BK53" s="176">
        <v>0</v>
      </c>
      <c r="BL53" s="176">
        <v>0</v>
      </c>
      <c r="BM53" s="176">
        <v>0</v>
      </c>
      <c r="BN53" s="176">
        <v>0</v>
      </c>
      <c r="BO53" s="176">
        <v>0</v>
      </c>
      <c r="BP53" s="176">
        <v>0</v>
      </c>
      <c r="BQ53" s="176">
        <v>0</v>
      </c>
      <c r="BR53" s="176">
        <v>0</v>
      </c>
      <c r="BS53" s="176">
        <v>0</v>
      </c>
      <c r="BT53" s="176">
        <v>0</v>
      </c>
      <c r="BU53" s="176">
        <v>0</v>
      </c>
      <c r="BV53" s="176">
        <v>0</v>
      </c>
      <c r="BW53" s="176">
        <v>0</v>
      </c>
      <c r="BX53" s="176">
        <v>0</v>
      </c>
      <c r="BY53" s="176">
        <v>0</v>
      </c>
      <c r="BZ53" s="176">
        <v>0</v>
      </c>
      <c r="CA53" s="176">
        <v>0</v>
      </c>
      <c r="CB53" s="176">
        <v>0</v>
      </c>
      <c r="CC53" s="176">
        <v>0</v>
      </c>
      <c r="CD53" s="176">
        <v>0</v>
      </c>
      <c r="CE53" s="176">
        <v>0</v>
      </c>
      <c r="CF53" s="176">
        <v>0</v>
      </c>
      <c r="CG53" s="176">
        <v>0</v>
      </c>
      <c r="CH53" s="176">
        <v>0</v>
      </c>
      <c r="CI53" s="176">
        <v>0</v>
      </c>
      <c r="CJ53" s="176">
        <v>0</v>
      </c>
      <c r="CK53" s="176">
        <v>0</v>
      </c>
    </row>
    <row r="54" spans="2:89" ht="15.75" thickTop="1">
      <c r="B54" s="50" t="s">
        <v>50</v>
      </c>
      <c r="C54" s="51"/>
      <c r="D54" s="52">
        <f>SUM(D48:D53)</f>
        <v>1160000000</v>
      </c>
      <c r="E54" s="53"/>
      <c r="F54" s="54">
        <f>SUM(F48:F53)</f>
        <v>65740000.000000007</v>
      </c>
      <c r="G54" s="54">
        <f t="shared" ref="G54:AG54" si="2">SUM(G48:G53)</f>
        <v>65740000.000000007</v>
      </c>
      <c r="H54" s="54">
        <f t="shared" si="2"/>
        <v>61270000.000000007</v>
      </c>
      <c r="I54" s="54">
        <f t="shared" si="2"/>
        <v>148230000</v>
      </c>
      <c r="J54" s="54">
        <f t="shared" si="2"/>
        <v>148230000</v>
      </c>
      <c r="K54" s="54">
        <f t="shared" si="2"/>
        <v>143900000</v>
      </c>
      <c r="L54" s="54">
        <f t="shared" si="2"/>
        <v>94200000</v>
      </c>
      <c r="M54" s="54">
        <f t="shared" si="2"/>
        <v>99900000</v>
      </c>
      <c r="N54" s="54">
        <f t="shared" si="2"/>
        <v>104400000</v>
      </c>
      <c r="O54" s="54">
        <f t="shared" si="2"/>
        <v>67560000</v>
      </c>
      <c r="P54" s="54">
        <f t="shared" si="2"/>
        <v>74630000</v>
      </c>
      <c r="Q54" s="54">
        <f t="shared" si="2"/>
        <v>86200000</v>
      </c>
      <c r="R54" s="54">
        <f t="shared" si="2"/>
        <v>0</v>
      </c>
      <c r="S54" s="54">
        <f t="shared" si="2"/>
        <v>0</v>
      </c>
      <c r="T54" s="54">
        <f t="shared" si="2"/>
        <v>0</v>
      </c>
      <c r="U54" s="54">
        <f t="shared" si="2"/>
        <v>0</v>
      </c>
      <c r="V54" s="54">
        <f t="shared" si="2"/>
        <v>0</v>
      </c>
      <c r="W54" s="54">
        <f t="shared" si="2"/>
        <v>0</v>
      </c>
      <c r="X54" s="54">
        <f t="shared" si="2"/>
        <v>0</v>
      </c>
      <c r="Y54" s="54">
        <f t="shared" si="2"/>
        <v>0</v>
      </c>
      <c r="Z54" s="54">
        <f t="shared" si="2"/>
        <v>0</v>
      </c>
      <c r="AA54" s="54">
        <f t="shared" si="2"/>
        <v>0</v>
      </c>
      <c r="AB54" s="54">
        <f t="shared" si="2"/>
        <v>0</v>
      </c>
      <c r="AC54" s="54">
        <f t="shared" si="2"/>
        <v>0</v>
      </c>
      <c r="AD54" s="54">
        <f t="shared" si="2"/>
        <v>0</v>
      </c>
      <c r="AE54" s="54">
        <f t="shared" si="2"/>
        <v>0</v>
      </c>
      <c r="AF54" s="54">
        <f t="shared" si="2"/>
        <v>0</v>
      </c>
      <c r="AG54" s="54">
        <f t="shared" si="2"/>
        <v>0</v>
      </c>
      <c r="AH54" s="54">
        <f t="shared" ref="AH54:BM54" si="3">SUM(AH48:AH53)</f>
        <v>0</v>
      </c>
      <c r="AI54" s="54">
        <f t="shared" si="3"/>
        <v>0</v>
      </c>
      <c r="AJ54" s="54">
        <f t="shared" si="3"/>
        <v>0</v>
      </c>
      <c r="AK54" s="54">
        <f t="shared" si="3"/>
        <v>0</v>
      </c>
      <c r="AL54" s="54">
        <f t="shared" si="3"/>
        <v>0</v>
      </c>
      <c r="AM54" s="54">
        <f t="shared" si="3"/>
        <v>0</v>
      </c>
      <c r="AN54" s="54">
        <f t="shared" si="3"/>
        <v>0</v>
      </c>
      <c r="AO54" s="54">
        <f t="shared" si="3"/>
        <v>0</v>
      </c>
      <c r="AP54" s="54">
        <f t="shared" si="3"/>
        <v>0</v>
      </c>
      <c r="AQ54" s="54">
        <f t="shared" si="3"/>
        <v>0</v>
      </c>
      <c r="AR54" s="54">
        <f t="shared" si="3"/>
        <v>0</v>
      </c>
      <c r="AS54" s="54">
        <f t="shared" si="3"/>
        <v>0</v>
      </c>
      <c r="AT54" s="54">
        <f t="shared" si="3"/>
        <v>0</v>
      </c>
      <c r="AU54" s="54">
        <f t="shared" si="3"/>
        <v>0</v>
      </c>
      <c r="AV54" s="54">
        <f t="shared" si="3"/>
        <v>0</v>
      </c>
      <c r="AW54" s="54">
        <f t="shared" si="3"/>
        <v>0</v>
      </c>
      <c r="AX54" s="54">
        <f t="shared" si="3"/>
        <v>0</v>
      </c>
      <c r="AY54" s="54">
        <f t="shared" si="3"/>
        <v>0</v>
      </c>
      <c r="AZ54" s="54">
        <f t="shared" si="3"/>
        <v>0</v>
      </c>
      <c r="BA54" s="54">
        <f t="shared" si="3"/>
        <v>0</v>
      </c>
      <c r="BB54" s="54">
        <f t="shared" si="3"/>
        <v>0</v>
      </c>
      <c r="BC54" s="54">
        <f t="shared" si="3"/>
        <v>0</v>
      </c>
      <c r="BD54" s="54">
        <f t="shared" si="3"/>
        <v>0</v>
      </c>
      <c r="BE54" s="54">
        <f t="shared" si="3"/>
        <v>0</v>
      </c>
      <c r="BF54" s="54">
        <f t="shared" si="3"/>
        <v>0</v>
      </c>
      <c r="BG54" s="54">
        <f t="shared" si="3"/>
        <v>0</v>
      </c>
      <c r="BH54" s="54">
        <f t="shared" si="3"/>
        <v>0</v>
      </c>
      <c r="BI54" s="54">
        <f t="shared" si="3"/>
        <v>0</v>
      </c>
      <c r="BJ54" s="54">
        <f t="shared" si="3"/>
        <v>0</v>
      </c>
      <c r="BK54" s="54">
        <f t="shared" si="3"/>
        <v>0</v>
      </c>
      <c r="BL54" s="54">
        <f t="shared" si="3"/>
        <v>0</v>
      </c>
      <c r="BM54" s="54">
        <f t="shared" si="3"/>
        <v>0</v>
      </c>
      <c r="BN54" s="54">
        <f t="shared" ref="BN54:CK54" si="4">SUM(BN48:BN53)</f>
        <v>0</v>
      </c>
      <c r="BO54" s="54">
        <f t="shared" si="4"/>
        <v>0</v>
      </c>
      <c r="BP54" s="54">
        <f t="shared" si="4"/>
        <v>0</v>
      </c>
      <c r="BQ54" s="54">
        <f t="shared" si="4"/>
        <v>0</v>
      </c>
      <c r="BR54" s="54">
        <f t="shared" si="4"/>
        <v>0</v>
      </c>
      <c r="BS54" s="54">
        <f t="shared" si="4"/>
        <v>0</v>
      </c>
      <c r="BT54" s="54">
        <f t="shared" si="4"/>
        <v>0</v>
      </c>
      <c r="BU54" s="54">
        <f t="shared" si="4"/>
        <v>0</v>
      </c>
      <c r="BV54" s="54">
        <f t="shared" si="4"/>
        <v>0</v>
      </c>
      <c r="BW54" s="54">
        <f t="shared" si="4"/>
        <v>0</v>
      </c>
      <c r="BX54" s="54">
        <f t="shared" si="4"/>
        <v>0</v>
      </c>
      <c r="BY54" s="54">
        <f t="shared" si="4"/>
        <v>0</v>
      </c>
      <c r="BZ54" s="54">
        <f t="shared" si="4"/>
        <v>0</v>
      </c>
      <c r="CA54" s="54">
        <f t="shared" si="4"/>
        <v>0</v>
      </c>
      <c r="CB54" s="54">
        <f t="shared" si="4"/>
        <v>0</v>
      </c>
      <c r="CC54" s="54">
        <f t="shared" si="4"/>
        <v>0</v>
      </c>
      <c r="CD54" s="54">
        <f t="shared" si="4"/>
        <v>0</v>
      </c>
      <c r="CE54" s="54">
        <f t="shared" si="4"/>
        <v>0</v>
      </c>
      <c r="CF54" s="54">
        <f t="shared" si="4"/>
        <v>0</v>
      </c>
      <c r="CG54" s="54">
        <f t="shared" si="4"/>
        <v>0</v>
      </c>
      <c r="CH54" s="54">
        <f t="shared" si="4"/>
        <v>0</v>
      </c>
      <c r="CI54" s="54">
        <f t="shared" si="4"/>
        <v>0</v>
      </c>
      <c r="CJ54" s="54">
        <f t="shared" si="4"/>
        <v>0</v>
      </c>
      <c r="CK54" s="54">
        <f t="shared" si="4"/>
        <v>0</v>
      </c>
    </row>
    <row r="55" spans="2:89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</row>
    <row r="56" spans="2:89">
      <c r="B56" s="77" t="s">
        <v>520</v>
      </c>
      <c r="C56" s="124"/>
      <c r="D56" s="152"/>
      <c r="E56" s="153">
        <f>IF(Предпосылки!F74=Инвестиции!D54,1,0)</f>
        <v>1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</row>
    <row r="57" spans="2:89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</row>
    <row r="58" spans="2:89" ht="15.75" thickBot="1">
      <c r="B58" s="96" t="s">
        <v>61</v>
      </c>
      <c r="C58" s="96"/>
      <c r="D58" s="127"/>
      <c r="E58" s="96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</row>
    <row r="59" spans="2:89">
      <c r="B59" s="14"/>
      <c r="C59" s="14"/>
      <c r="D59" s="14"/>
      <c r="E59" s="1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  <c r="BI59" s="154"/>
      <c r="BJ59" s="154"/>
      <c r="BK59" s="154"/>
      <c r="BL59" s="154"/>
      <c r="BM59" s="15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</row>
    <row r="60" spans="2:89">
      <c r="B60" s="155" t="s">
        <v>39</v>
      </c>
      <c r="C60" s="156"/>
      <c r="D60" s="160"/>
      <c r="E60" s="158"/>
      <c r="F60" s="159">
        <f t="shared" ref="F60:AK60" si="5">IFERROR(LOOKUP(F$19,Капексы_год_инфляции,Капексы_уровень_инфляции),0)</f>
        <v>0</v>
      </c>
      <c r="G60" s="159">
        <f t="shared" si="5"/>
        <v>0</v>
      </c>
      <c r="H60" s="159">
        <f t="shared" si="5"/>
        <v>0</v>
      </c>
      <c r="I60" s="159">
        <f t="shared" si="5"/>
        <v>0</v>
      </c>
      <c r="J60" s="159">
        <f t="shared" si="5"/>
        <v>0</v>
      </c>
      <c r="K60" s="159">
        <f t="shared" si="5"/>
        <v>0</v>
      </c>
      <c r="L60" s="159">
        <f t="shared" si="5"/>
        <v>0</v>
      </c>
      <c r="M60" s="159">
        <f t="shared" si="5"/>
        <v>0</v>
      </c>
      <c r="N60" s="159">
        <f t="shared" si="5"/>
        <v>0</v>
      </c>
      <c r="O60" s="159">
        <f t="shared" si="5"/>
        <v>0</v>
      </c>
      <c r="P60" s="159">
        <f t="shared" si="5"/>
        <v>0</v>
      </c>
      <c r="Q60" s="159">
        <f t="shared" si="5"/>
        <v>0</v>
      </c>
      <c r="R60" s="159">
        <f t="shared" si="5"/>
        <v>0</v>
      </c>
      <c r="S60" s="159">
        <f t="shared" si="5"/>
        <v>0</v>
      </c>
      <c r="T60" s="159">
        <f t="shared" si="5"/>
        <v>0</v>
      </c>
      <c r="U60" s="159">
        <f t="shared" si="5"/>
        <v>0</v>
      </c>
      <c r="V60" s="159">
        <f t="shared" si="5"/>
        <v>0</v>
      </c>
      <c r="W60" s="159">
        <f t="shared" si="5"/>
        <v>0</v>
      </c>
      <c r="X60" s="159">
        <f t="shared" si="5"/>
        <v>0</v>
      </c>
      <c r="Y60" s="159">
        <f t="shared" si="5"/>
        <v>0</v>
      </c>
      <c r="Z60" s="159">
        <f t="shared" si="5"/>
        <v>0</v>
      </c>
      <c r="AA60" s="159">
        <f t="shared" si="5"/>
        <v>0</v>
      </c>
      <c r="AB60" s="159">
        <f t="shared" si="5"/>
        <v>0</v>
      </c>
      <c r="AC60" s="159">
        <f t="shared" si="5"/>
        <v>0</v>
      </c>
      <c r="AD60" s="159">
        <f t="shared" si="5"/>
        <v>0</v>
      </c>
      <c r="AE60" s="159">
        <f t="shared" si="5"/>
        <v>0</v>
      </c>
      <c r="AF60" s="159">
        <f t="shared" si="5"/>
        <v>0</v>
      </c>
      <c r="AG60" s="159">
        <f t="shared" si="5"/>
        <v>0</v>
      </c>
      <c r="AH60" s="159">
        <f t="shared" si="5"/>
        <v>0</v>
      </c>
      <c r="AI60" s="159">
        <f t="shared" si="5"/>
        <v>0</v>
      </c>
      <c r="AJ60" s="159">
        <f t="shared" si="5"/>
        <v>0</v>
      </c>
      <c r="AK60" s="159">
        <f t="shared" si="5"/>
        <v>0</v>
      </c>
      <c r="AL60" s="159">
        <f t="shared" ref="AL60:CK60" si="6">IFERROR(LOOKUP(AL$19,Капексы_год_инфляции,Капексы_уровень_инфляции),0)</f>
        <v>0</v>
      </c>
      <c r="AM60" s="159">
        <f t="shared" si="6"/>
        <v>0</v>
      </c>
      <c r="AN60" s="159">
        <f t="shared" si="6"/>
        <v>0</v>
      </c>
      <c r="AO60" s="159">
        <f t="shared" si="6"/>
        <v>0</v>
      </c>
      <c r="AP60" s="159">
        <f t="shared" si="6"/>
        <v>0</v>
      </c>
      <c r="AQ60" s="159">
        <f t="shared" si="6"/>
        <v>0</v>
      </c>
      <c r="AR60" s="159">
        <f t="shared" si="6"/>
        <v>0</v>
      </c>
      <c r="AS60" s="159">
        <f t="shared" si="6"/>
        <v>0</v>
      </c>
      <c r="AT60" s="159">
        <f t="shared" si="6"/>
        <v>0</v>
      </c>
      <c r="AU60" s="159">
        <f t="shared" si="6"/>
        <v>0</v>
      </c>
      <c r="AV60" s="159">
        <f t="shared" si="6"/>
        <v>0</v>
      </c>
      <c r="AW60" s="159">
        <f t="shared" si="6"/>
        <v>0</v>
      </c>
      <c r="AX60" s="159">
        <f t="shared" si="6"/>
        <v>0</v>
      </c>
      <c r="AY60" s="159">
        <f t="shared" si="6"/>
        <v>0</v>
      </c>
      <c r="AZ60" s="159">
        <f t="shared" si="6"/>
        <v>0</v>
      </c>
      <c r="BA60" s="159">
        <f t="shared" si="6"/>
        <v>0</v>
      </c>
      <c r="BB60" s="159">
        <f t="shared" si="6"/>
        <v>0</v>
      </c>
      <c r="BC60" s="159">
        <f t="shared" si="6"/>
        <v>0</v>
      </c>
      <c r="BD60" s="159">
        <f t="shared" si="6"/>
        <v>0</v>
      </c>
      <c r="BE60" s="159">
        <f t="shared" si="6"/>
        <v>0</v>
      </c>
      <c r="BF60" s="159">
        <f t="shared" si="6"/>
        <v>0</v>
      </c>
      <c r="BG60" s="159">
        <f t="shared" si="6"/>
        <v>0</v>
      </c>
      <c r="BH60" s="159">
        <f t="shared" si="6"/>
        <v>0</v>
      </c>
      <c r="BI60" s="159">
        <f t="shared" si="6"/>
        <v>0</v>
      </c>
      <c r="BJ60" s="159">
        <f t="shared" si="6"/>
        <v>0</v>
      </c>
      <c r="BK60" s="159">
        <f t="shared" si="6"/>
        <v>0</v>
      </c>
      <c r="BL60" s="159">
        <f t="shared" si="6"/>
        <v>0</v>
      </c>
      <c r="BM60" s="159">
        <f t="shared" si="6"/>
        <v>0</v>
      </c>
      <c r="BN60" s="159">
        <f t="shared" si="6"/>
        <v>0</v>
      </c>
      <c r="BO60" s="159">
        <f t="shared" si="6"/>
        <v>0</v>
      </c>
      <c r="BP60" s="159">
        <f t="shared" si="6"/>
        <v>0</v>
      </c>
      <c r="BQ60" s="159">
        <f t="shared" si="6"/>
        <v>0</v>
      </c>
      <c r="BR60" s="159">
        <f t="shared" si="6"/>
        <v>0</v>
      </c>
      <c r="BS60" s="159">
        <f t="shared" si="6"/>
        <v>0</v>
      </c>
      <c r="BT60" s="159">
        <f t="shared" si="6"/>
        <v>0</v>
      </c>
      <c r="BU60" s="159">
        <f t="shared" si="6"/>
        <v>0</v>
      </c>
      <c r="BV60" s="159">
        <f t="shared" si="6"/>
        <v>0</v>
      </c>
      <c r="BW60" s="159">
        <f t="shared" si="6"/>
        <v>0</v>
      </c>
      <c r="BX60" s="159">
        <f t="shared" si="6"/>
        <v>0</v>
      </c>
      <c r="BY60" s="159">
        <f t="shared" si="6"/>
        <v>0</v>
      </c>
      <c r="BZ60" s="159">
        <f t="shared" si="6"/>
        <v>0</v>
      </c>
      <c r="CA60" s="159">
        <f t="shared" si="6"/>
        <v>0</v>
      </c>
      <c r="CB60" s="159">
        <f t="shared" si="6"/>
        <v>0</v>
      </c>
      <c r="CC60" s="159">
        <f t="shared" si="6"/>
        <v>0</v>
      </c>
      <c r="CD60" s="159">
        <f t="shared" si="6"/>
        <v>0</v>
      </c>
      <c r="CE60" s="159">
        <f t="shared" si="6"/>
        <v>0</v>
      </c>
      <c r="CF60" s="159">
        <f t="shared" si="6"/>
        <v>0</v>
      </c>
      <c r="CG60" s="159">
        <f t="shared" si="6"/>
        <v>0</v>
      </c>
      <c r="CH60" s="159">
        <f t="shared" si="6"/>
        <v>0</v>
      </c>
      <c r="CI60" s="159">
        <f t="shared" si="6"/>
        <v>0</v>
      </c>
      <c r="CJ60" s="159">
        <f t="shared" si="6"/>
        <v>0</v>
      </c>
      <c r="CK60" s="159">
        <f t="shared" si="6"/>
        <v>0</v>
      </c>
    </row>
    <row r="61" spans="2:89" ht="15.75" thickBot="1">
      <c r="B61" s="155" t="s">
        <v>40</v>
      </c>
      <c r="C61" s="156"/>
      <c r="D61" s="160"/>
      <c r="E61" s="158"/>
      <c r="F61" s="159">
        <f>(1+F60)^(F$26/F$20)-1</f>
        <v>0</v>
      </c>
      <c r="G61" s="159">
        <f t="shared" ref="G61:BR61" si="7">(1+G60)^(G$26/G$20)-1</f>
        <v>0</v>
      </c>
      <c r="H61" s="159">
        <f t="shared" si="7"/>
        <v>0</v>
      </c>
      <c r="I61" s="159">
        <f t="shared" si="7"/>
        <v>0</v>
      </c>
      <c r="J61" s="159">
        <f t="shared" si="7"/>
        <v>0</v>
      </c>
      <c r="K61" s="159">
        <f t="shared" si="7"/>
        <v>0</v>
      </c>
      <c r="L61" s="159">
        <f t="shared" si="7"/>
        <v>0</v>
      </c>
      <c r="M61" s="159">
        <f t="shared" si="7"/>
        <v>0</v>
      </c>
      <c r="N61" s="159">
        <f t="shared" si="7"/>
        <v>0</v>
      </c>
      <c r="O61" s="159">
        <f t="shared" si="7"/>
        <v>0</v>
      </c>
      <c r="P61" s="159">
        <f t="shared" si="7"/>
        <v>0</v>
      </c>
      <c r="Q61" s="159">
        <f t="shared" si="7"/>
        <v>0</v>
      </c>
      <c r="R61" s="159">
        <f t="shared" si="7"/>
        <v>0</v>
      </c>
      <c r="S61" s="159">
        <f t="shared" si="7"/>
        <v>0</v>
      </c>
      <c r="T61" s="159">
        <f t="shared" si="7"/>
        <v>0</v>
      </c>
      <c r="U61" s="159">
        <f t="shared" si="7"/>
        <v>0</v>
      </c>
      <c r="V61" s="159">
        <f t="shared" si="7"/>
        <v>0</v>
      </c>
      <c r="W61" s="159">
        <f t="shared" si="7"/>
        <v>0</v>
      </c>
      <c r="X61" s="159">
        <f t="shared" si="7"/>
        <v>0</v>
      </c>
      <c r="Y61" s="159">
        <f t="shared" si="7"/>
        <v>0</v>
      </c>
      <c r="Z61" s="159">
        <f t="shared" si="7"/>
        <v>0</v>
      </c>
      <c r="AA61" s="159">
        <f t="shared" si="7"/>
        <v>0</v>
      </c>
      <c r="AB61" s="159">
        <f t="shared" si="7"/>
        <v>0</v>
      </c>
      <c r="AC61" s="159">
        <f t="shared" si="7"/>
        <v>0</v>
      </c>
      <c r="AD61" s="159">
        <f t="shared" si="7"/>
        <v>0</v>
      </c>
      <c r="AE61" s="159">
        <f t="shared" si="7"/>
        <v>0</v>
      </c>
      <c r="AF61" s="159">
        <f t="shared" si="7"/>
        <v>0</v>
      </c>
      <c r="AG61" s="159">
        <f t="shared" si="7"/>
        <v>0</v>
      </c>
      <c r="AH61" s="159">
        <f t="shared" si="7"/>
        <v>0</v>
      </c>
      <c r="AI61" s="159">
        <f t="shared" si="7"/>
        <v>0</v>
      </c>
      <c r="AJ61" s="159">
        <f t="shared" si="7"/>
        <v>0</v>
      </c>
      <c r="AK61" s="159">
        <f t="shared" si="7"/>
        <v>0</v>
      </c>
      <c r="AL61" s="159">
        <f t="shared" si="7"/>
        <v>0</v>
      </c>
      <c r="AM61" s="159">
        <f t="shared" si="7"/>
        <v>0</v>
      </c>
      <c r="AN61" s="159">
        <f t="shared" si="7"/>
        <v>0</v>
      </c>
      <c r="AO61" s="159">
        <f t="shared" si="7"/>
        <v>0</v>
      </c>
      <c r="AP61" s="159">
        <f t="shared" si="7"/>
        <v>0</v>
      </c>
      <c r="AQ61" s="159">
        <f t="shared" si="7"/>
        <v>0</v>
      </c>
      <c r="AR61" s="159">
        <f t="shared" si="7"/>
        <v>0</v>
      </c>
      <c r="AS61" s="159">
        <f t="shared" si="7"/>
        <v>0</v>
      </c>
      <c r="AT61" s="159">
        <f t="shared" si="7"/>
        <v>0</v>
      </c>
      <c r="AU61" s="159">
        <f t="shared" si="7"/>
        <v>0</v>
      </c>
      <c r="AV61" s="159">
        <f t="shared" si="7"/>
        <v>0</v>
      </c>
      <c r="AW61" s="159">
        <f t="shared" si="7"/>
        <v>0</v>
      </c>
      <c r="AX61" s="159">
        <f t="shared" si="7"/>
        <v>0</v>
      </c>
      <c r="AY61" s="159">
        <f t="shared" si="7"/>
        <v>0</v>
      </c>
      <c r="AZ61" s="159">
        <f t="shared" si="7"/>
        <v>0</v>
      </c>
      <c r="BA61" s="159">
        <f t="shared" si="7"/>
        <v>0</v>
      </c>
      <c r="BB61" s="159">
        <f t="shared" si="7"/>
        <v>0</v>
      </c>
      <c r="BC61" s="159">
        <f t="shared" si="7"/>
        <v>0</v>
      </c>
      <c r="BD61" s="159">
        <f t="shared" si="7"/>
        <v>0</v>
      </c>
      <c r="BE61" s="159">
        <f t="shared" si="7"/>
        <v>0</v>
      </c>
      <c r="BF61" s="159">
        <f t="shared" si="7"/>
        <v>0</v>
      </c>
      <c r="BG61" s="159">
        <f t="shared" si="7"/>
        <v>0</v>
      </c>
      <c r="BH61" s="159">
        <f t="shared" si="7"/>
        <v>0</v>
      </c>
      <c r="BI61" s="159">
        <f t="shared" si="7"/>
        <v>0</v>
      </c>
      <c r="BJ61" s="159">
        <f t="shared" si="7"/>
        <v>0</v>
      </c>
      <c r="BK61" s="159">
        <f t="shared" si="7"/>
        <v>0</v>
      </c>
      <c r="BL61" s="159">
        <f t="shared" si="7"/>
        <v>0</v>
      </c>
      <c r="BM61" s="159">
        <f t="shared" si="7"/>
        <v>0</v>
      </c>
      <c r="BN61" s="159">
        <f t="shared" si="7"/>
        <v>0</v>
      </c>
      <c r="BO61" s="159">
        <f t="shared" si="7"/>
        <v>0</v>
      </c>
      <c r="BP61" s="159">
        <f t="shared" si="7"/>
        <v>0</v>
      </c>
      <c r="BQ61" s="159">
        <f t="shared" si="7"/>
        <v>0</v>
      </c>
      <c r="BR61" s="159">
        <f t="shared" si="7"/>
        <v>0</v>
      </c>
      <c r="BS61" s="159">
        <f t="shared" ref="BS61:CK61" si="8">(1+BS60)^(BS$26/BS$20)-1</f>
        <v>0</v>
      </c>
      <c r="BT61" s="159">
        <f t="shared" si="8"/>
        <v>0</v>
      </c>
      <c r="BU61" s="159">
        <f t="shared" si="8"/>
        <v>0</v>
      </c>
      <c r="BV61" s="159">
        <f t="shared" si="8"/>
        <v>0</v>
      </c>
      <c r="BW61" s="159">
        <f t="shared" si="8"/>
        <v>0</v>
      </c>
      <c r="BX61" s="159">
        <f t="shared" si="8"/>
        <v>0</v>
      </c>
      <c r="BY61" s="159">
        <f t="shared" si="8"/>
        <v>0</v>
      </c>
      <c r="BZ61" s="159">
        <f t="shared" si="8"/>
        <v>0</v>
      </c>
      <c r="CA61" s="159">
        <f t="shared" si="8"/>
        <v>0</v>
      </c>
      <c r="CB61" s="159">
        <f t="shared" si="8"/>
        <v>0</v>
      </c>
      <c r="CC61" s="159">
        <f t="shared" si="8"/>
        <v>0</v>
      </c>
      <c r="CD61" s="159">
        <f t="shared" si="8"/>
        <v>0</v>
      </c>
      <c r="CE61" s="159">
        <f t="shared" si="8"/>
        <v>0</v>
      </c>
      <c r="CF61" s="159">
        <f t="shared" si="8"/>
        <v>0</v>
      </c>
      <c r="CG61" s="159">
        <f t="shared" si="8"/>
        <v>0</v>
      </c>
      <c r="CH61" s="159">
        <f t="shared" si="8"/>
        <v>0</v>
      </c>
      <c r="CI61" s="159">
        <f t="shared" si="8"/>
        <v>0</v>
      </c>
      <c r="CJ61" s="159">
        <f t="shared" si="8"/>
        <v>0</v>
      </c>
      <c r="CK61" s="159">
        <f t="shared" si="8"/>
        <v>0</v>
      </c>
    </row>
    <row r="62" spans="2:89" ht="15.75" thickTop="1">
      <c r="B62" s="161" t="s">
        <v>41</v>
      </c>
      <c r="C62" s="162"/>
      <c r="D62" s="163"/>
      <c r="E62" s="164">
        <v>1</v>
      </c>
      <c r="F62" s="165">
        <f>E62*(1+F61)</f>
        <v>1</v>
      </c>
      <c r="G62" s="165">
        <f t="shared" ref="G62:BR62" si="9">F62*(1+G61)</f>
        <v>1</v>
      </c>
      <c r="H62" s="165">
        <f t="shared" si="9"/>
        <v>1</v>
      </c>
      <c r="I62" s="165">
        <f t="shared" si="9"/>
        <v>1</v>
      </c>
      <c r="J62" s="165">
        <f t="shared" si="9"/>
        <v>1</v>
      </c>
      <c r="K62" s="165">
        <f t="shared" si="9"/>
        <v>1</v>
      </c>
      <c r="L62" s="165">
        <f t="shared" si="9"/>
        <v>1</v>
      </c>
      <c r="M62" s="165">
        <f t="shared" si="9"/>
        <v>1</v>
      </c>
      <c r="N62" s="165">
        <f t="shared" si="9"/>
        <v>1</v>
      </c>
      <c r="O62" s="165">
        <f t="shared" si="9"/>
        <v>1</v>
      </c>
      <c r="P62" s="165">
        <f t="shared" si="9"/>
        <v>1</v>
      </c>
      <c r="Q62" s="165">
        <f t="shared" si="9"/>
        <v>1</v>
      </c>
      <c r="R62" s="165">
        <f t="shared" si="9"/>
        <v>1</v>
      </c>
      <c r="S62" s="165">
        <f t="shared" si="9"/>
        <v>1</v>
      </c>
      <c r="T62" s="165">
        <f t="shared" si="9"/>
        <v>1</v>
      </c>
      <c r="U62" s="165">
        <f t="shared" si="9"/>
        <v>1</v>
      </c>
      <c r="V62" s="165">
        <f t="shared" si="9"/>
        <v>1</v>
      </c>
      <c r="W62" s="165">
        <f t="shared" si="9"/>
        <v>1</v>
      </c>
      <c r="X62" s="165">
        <f t="shared" si="9"/>
        <v>1</v>
      </c>
      <c r="Y62" s="165">
        <f t="shared" si="9"/>
        <v>1</v>
      </c>
      <c r="Z62" s="165">
        <f t="shared" si="9"/>
        <v>1</v>
      </c>
      <c r="AA62" s="165">
        <f t="shared" si="9"/>
        <v>1</v>
      </c>
      <c r="AB62" s="165">
        <f t="shared" si="9"/>
        <v>1</v>
      </c>
      <c r="AC62" s="165">
        <f t="shared" si="9"/>
        <v>1</v>
      </c>
      <c r="AD62" s="165">
        <f t="shared" si="9"/>
        <v>1</v>
      </c>
      <c r="AE62" s="165">
        <f t="shared" si="9"/>
        <v>1</v>
      </c>
      <c r="AF62" s="165">
        <f t="shared" si="9"/>
        <v>1</v>
      </c>
      <c r="AG62" s="165">
        <f t="shared" si="9"/>
        <v>1</v>
      </c>
      <c r="AH62" s="165">
        <f t="shared" si="9"/>
        <v>1</v>
      </c>
      <c r="AI62" s="165">
        <f t="shared" si="9"/>
        <v>1</v>
      </c>
      <c r="AJ62" s="165">
        <f t="shared" si="9"/>
        <v>1</v>
      </c>
      <c r="AK62" s="165">
        <f t="shared" si="9"/>
        <v>1</v>
      </c>
      <c r="AL62" s="165">
        <f t="shared" si="9"/>
        <v>1</v>
      </c>
      <c r="AM62" s="165">
        <f t="shared" si="9"/>
        <v>1</v>
      </c>
      <c r="AN62" s="165">
        <f t="shared" si="9"/>
        <v>1</v>
      </c>
      <c r="AO62" s="165">
        <f t="shared" si="9"/>
        <v>1</v>
      </c>
      <c r="AP62" s="165">
        <f t="shared" si="9"/>
        <v>1</v>
      </c>
      <c r="AQ62" s="165">
        <f t="shared" si="9"/>
        <v>1</v>
      </c>
      <c r="AR62" s="165">
        <f t="shared" si="9"/>
        <v>1</v>
      </c>
      <c r="AS62" s="165">
        <f t="shared" si="9"/>
        <v>1</v>
      </c>
      <c r="AT62" s="165">
        <f t="shared" si="9"/>
        <v>1</v>
      </c>
      <c r="AU62" s="165">
        <f t="shared" si="9"/>
        <v>1</v>
      </c>
      <c r="AV62" s="165">
        <f t="shared" si="9"/>
        <v>1</v>
      </c>
      <c r="AW62" s="165">
        <f t="shared" si="9"/>
        <v>1</v>
      </c>
      <c r="AX62" s="165">
        <f t="shared" si="9"/>
        <v>1</v>
      </c>
      <c r="AY62" s="165">
        <f t="shared" si="9"/>
        <v>1</v>
      </c>
      <c r="AZ62" s="165">
        <f t="shared" si="9"/>
        <v>1</v>
      </c>
      <c r="BA62" s="165">
        <f t="shared" si="9"/>
        <v>1</v>
      </c>
      <c r="BB62" s="165">
        <f t="shared" si="9"/>
        <v>1</v>
      </c>
      <c r="BC62" s="165">
        <f t="shared" si="9"/>
        <v>1</v>
      </c>
      <c r="BD62" s="165">
        <f t="shared" si="9"/>
        <v>1</v>
      </c>
      <c r="BE62" s="165">
        <f t="shared" si="9"/>
        <v>1</v>
      </c>
      <c r="BF62" s="165">
        <f t="shared" si="9"/>
        <v>1</v>
      </c>
      <c r="BG62" s="165">
        <f t="shared" si="9"/>
        <v>1</v>
      </c>
      <c r="BH62" s="165">
        <f t="shared" si="9"/>
        <v>1</v>
      </c>
      <c r="BI62" s="165">
        <f t="shared" si="9"/>
        <v>1</v>
      </c>
      <c r="BJ62" s="165">
        <f t="shared" si="9"/>
        <v>1</v>
      </c>
      <c r="BK62" s="165">
        <f t="shared" si="9"/>
        <v>1</v>
      </c>
      <c r="BL62" s="165">
        <f t="shared" si="9"/>
        <v>1</v>
      </c>
      <c r="BM62" s="165">
        <f t="shared" si="9"/>
        <v>1</v>
      </c>
      <c r="BN62" s="165">
        <f t="shared" si="9"/>
        <v>1</v>
      </c>
      <c r="BO62" s="165">
        <f t="shared" si="9"/>
        <v>1</v>
      </c>
      <c r="BP62" s="165">
        <f t="shared" si="9"/>
        <v>1</v>
      </c>
      <c r="BQ62" s="165">
        <f t="shared" si="9"/>
        <v>1</v>
      </c>
      <c r="BR62" s="165">
        <f t="shared" si="9"/>
        <v>1</v>
      </c>
      <c r="BS62" s="165">
        <f t="shared" ref="BS62:CK62" si="10">BR62*(1+BS61)</f>
        <v>1</v>
      </c>
      <c r="BT62" s="165">
        <f t="shared" si="10"/>
        <v>1</v>
      </c>
      <c r="BU62" s="165">
        <f t="shared" si="10"/>
        <v>1</v>
      </c>
      <c r="BV62" s="165">
        <f t="shared" si="10"/>
        <v>1</v>
      </c>
      <c r="BW62" s="165">
        <f t="shared" si="10"/>
        <v>1</v>
      </c>
      <c r="BX62" s="165">
        <f t="shared" si="10"/>
        <v>1</v>
      </c>
      <c r="BY62" s="165">
        <f t="shared" si="10"/>
        <v>1</v>
      </c>
      <c r="BZ62" s="165">
        <f t="shared" si="10"/>
        <v>1</v>
      </c>
      <c r="CA62" s="165">
        <f t="shared" si="10"/>
        <v>1</v>
      </c>
      <c r="CB62" s="165">
        <f t="shared" si="10"/>
        <v>1</v>
      </c>
      <c r="CC62" s="165">
        <f t="shared" si="10"/>
        <v>1</v>
      </c>
      <c r="CD62" s="165">
        <f t="shared" si="10"/>
        <v>1</v>
      </c>
      <c r="CE62" s="165">
        <f t="shared" si="10"/>
        <v>1</v>
      </c>
      <c r="CF62" s="165">
        <f t="shared" si="10"/>
        <v>1</v>
      </c>
      <c r="CG62" s="165">
        <f t="shared" si="10"/>
        <v>1</v>
      </c>
      <c r="CH62" s="165">
        <f t="shared" si="10"/>
        <v>1</v>
      </c>
      <c r="CI62" s="165">
        <f t="shared" si="10"/>
        <v>1</v>
      </c>
      <c r="CJ62" s="165">
        <f t="shared" si="10"/>
        <v>1</v>
      </c>
      <c r="CK62" s="165">
        <f t="shared" si="10"/>
        <v>1</v>
      </c>
    </row>
    <row r="63" spans="2:89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</row>
    <row r="64" spans="2:89" ht="15.75" thickBot="1">
      <c r="B64" s="96" t="str">
        <f>"Платежи с учетом инфляции, в "&amp;Ед_измерения_денег&amp;" в т.ч. НДС"</f>
        <v>Платежи с учетом инфляции, в  руб. в т.ч. НДС</v>
      </c>
      <c r="C64" s="96"/>
      <c r="D64" s="127"/>
      <c r="E64" s="96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</row>
    <row r="65" spans="2:89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</row>
    <row r="66" spans="2:89">
      <c r="B66" s="45" t="str">
        <f t="array" ref="B66:B71">Капексы_наименования</f>
        <v>Проектно-сметная документация</v>
      </c>
      <c r="C66" s="46"/>
      <c r="D66" s="47">
        <f>SUM(F66:CK66)</f>
        <v>3000000</v>
      </c>
      <c r="E66" s="48"/>
      <c r="F66" s="49">
        <f t="array" ref="F66:CK71">F48:CK53*F62:CK62</f>
        <v>990000</v>
      </c>
      <c r="G66" s="176">
        <v>990000</v>
      </c>
      <c r="H66" s="176">
        <v>1020000.0000000001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0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 s="176">
        <v>0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 s="176">
        <v>0</v>
      </c>
      <c r="BD66" s="176">
        <v>0</v>
      </c>
      <c r="BE66" s="176">
        <v>0</v>
      </c>
      <c r="BF66" s="176">
        <v>0</v>
      </c>
      <c r="BG66" s="176">
        <v>0</v>
      </c>
      <c r="BH66" s="176">
        <v>0</v>
      </c>
      <c r="BI66" s="176">
        <v>0</v>
      </c>
      <c r="BJ66" s="176">
        <v>0</v>
      </c>
      <c r="BK66" s="176">
        <v>0</v>
      </c>
      <c r="BL66" s="176">
        <v>0</v>
      </c>
      <c r="BM66" s="176">
        <v>0</v>
      </c>
      <c r="BN66" s="176">
        <v>0</v>
      </c>
      <c r="BO66" s="176">
        <v>0</v>
      </c>
      <c r="BP66" s="176">
        <v>0</v>
      </c>
      <c r="BQ66" s="176">
        <v>0</v>
      </c>
      <c r="BR66" s="176">
        <v>0</v>
      </c>
      <c r="BS66" s="176">
        <v>0</v>
      </c>
      <c r="BT66" s="176">
        <v>0</v>
      </c>
      <c r="BU66" s="176">
        <v>0</v>
      </c>
      <c r="BV66" s="176">
        <v>0</v>
      </c>
      <c r="BW66" s="176">
        <v>0</v>
      </c>
      <c r="BX66" s="176">
        <v>0</v>
      </c>
      <c r="BY66" s="176">
        <v>0</v>
      </c>
      <c r="BZ66" s="176">
        <v>0</v>
      </c>
      <c r="CA66" s="176">
        <v>0</v>
      </c>
      <c r="CB66" s="176">
        <v>0</v>
      </c>
      <c r="CC66" s="176">
        <v>0</v>
      </c>
      <c r="CD66" s="176">
        <v>0</v>
      </c>
      <c r="CE66" s="176">
        <v>0</v>
      </c>
      <c r="CF66" s="176">
        <v>0</v>
      </c>
      <c r="CG66" s="176">
        <v>0</v>
      </c>
      <c r="CH66" s="176">
        <v>0</v>
      </c>
      <c r="CI66" s="176">
        <v>0</v>
      </c>
      <c r="CJ66" s="176">
        <v>0</v>
      </c>
      <c r="CK66" s="176">
        <v>0</v>
      </c>
    </row>
    <row r="67" spans="2:89">
      <c r="B67" s="86" t="str">
        <v>Строительно -монтажные работы</v>
      </c>
      <c r="C67" s="46"/>
      <c r="D67" s="47">
        <f t="shared" ref="D67:D71" si="11">SUM(F67:CK67)</f>
        <v>450000000</v>
      </c>
      <c r="E67" s="48"/>
      <c r="F67" s="176">
        <v>18000000</v>
      </c>
      <c r="G67" s="176">
        <v>18000000</v>
      </c>
      <c r="H67" s="176">
        <v>13500000</v>
      </c>
      <c r="I67" s="176">
        <v>67500000</v>
      </c>
      <c r="J67" s="176">
        <v>67500000</v>
      </c>
      <c r="K67" s="176">
        <v>67500000</v>
      </c>
      <c r="L67" s="176">
        <v>31500000.000000004</v>
      </c>
      <c r="M67" s="176">
        <v>31500000.000000004</v>
      </c>
      <c r="N67" s="176">
        <v>36000000</v>
      </c>
      <c r="O67" s="176">
        <v>31500000.000000004</v>
      </c>
      <c r="P67" s="176">
        <v>31500000.000000004</v>
      </c>
      <c r="Q67" s="176">
        <v>36000000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0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 s="176">
        <v>0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 s="176">
        <v>0</v>
      </c>
      <c r="BD67" s="176">
        <v>0</v>
      </c>
      <c r="BE67" s="176">
        <v>0</v>
      </c>
      <c r="BF67" s="176">
        <v>0</v>
      </c>
      <c r="BG67" s="176">
        <v>0</v>
      </c>
      <c r="BH67" s="176">
        <v>0</v>
      </c>
      <c r="BI67" s="176">
        <v>0</v>
      </c>
      <c r="BJ67" s="176">
        <v>0</v>
      </c>
      <c r="BK67" s="176">
        <v>0</v>
      </c>
      <c r="BL67" s="176">
        <v>0</v>
      </c>
      <c r="BM67" s="176">
        <v>0</v>
      </c>
      <c r="BN67" s="176">
        <v>0</v>
      </c>
      <c r="BO67" s="176">
        <v>0</v>
      </c>
      <c r="BP67" s="176">
        <v>0</v>
      </c>
      <c r="BQ67" s="176">
        <v>0</v>
      </c>
      <c r="BR67" s="176">
        <v>0</v>
      </c>
      <c r="BS67" s="176">
        <v>0</v>
      </c>
      <c r="BT67" s="176">
        <v>0</v>
      </c>
      <c r="BU67" s="176">
        <v>0</v>
      </c>
      <c r="BV67" s="176">
        <v>0</v>
      </c>
      <c r="BW67" s="176">
        <v>0</v>
      </c>
      <c r="BX67" s="176">
        <v>0</v>
      </c>
      <c r="BY67" s="176">
        <v>0</v>
      </c>
      <c r="BZ67" s="176">
        <v>0</v>
      </c>
      <c r="CA67" s="176">
        <v>0</v>
      </c>
      <c r="CB67" s="176">
        <v>0</v>
      </c>
      <c r="CC67" s="176">
        <v>0</v>
      </c>
      <c r="CD67" s="176">
        <v>0</v>
      </c>
      <c r="CE67" s="176">
        <v>0</v>
      </c>
      <c r="CF67" s="176">
        <v>0</v>
      </c>
      <c r="CG67" s="176">
        <v>0</v>
      </c>
      <c r="CH67" s="176">
        <v>0</v>
      </c>
      <c r="CI67" s="176">
        <v>0</v>
      </c>
      <c r="CJ67" s="176">
        <v>0</v>
      </c>
      <c r="CK67" s="176">
        <v>0</v>
      </c>
    </row>
    <row r="68" spans="2:89">
      <c r="B68" s="86" t="str">
        <v xml:space="preserve">Оборудование </v>
      </c>
      <c r="C68" s="46"/>
      <c r="D68" s="47">
        <f t="shared" si="11"/>
        <v>570000000</v>
      </c>
      <c r="E68" s="48"/>
      <c r="F68" s="176">
        <v>39900000.000000007</v>
      </c>
      <c r="G68" s="176">
        <v>39900000.000000007</v>
      </c>
      <c r="H68" s="176">
        <v>39900000.000000007</v>
      </c>
      <c r="I68" s="176">
        <v>68400000</v>
      </c>
      <c r="J68" s="176">
        <v>68400000</v>
      </c>
      <c r="K68" s="176">
        <v>62700000</v>
      </c>
      <c r="L68" s="176">
        <v>62700000</v>
      </c>
      <c r="M68" s="176">
        <v>68400000</v>
      </c>
      <c r="N68" s="176">
        <v>68400000</v>
      </c>
      <c r="O68" s="176">
        <v>11400000</v>
      </c>
      <c r="P68" s="176">
        <v>17100000</v>
      </c>
      <c r="Q68" s="176">
        <v>22800000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0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 s="176">
        <v>0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 s="176">
        <v>0</v>
      </c>
      <c r="BD68" s="176">
        <v>0</v>
      </c>
      <c r="BE68" s="176">
        <v>0</v>
      </c>
      <c r="BF68" s="176">
        <v>0</v>
      </c>
      <c r="BG68" s="176">
        <v>0</v>
      </c>
      <c r="BH68" s="176">
        <v>0</v>
      </c>
      <c r="BI68" s="176">
        <v>0</v>
      </c>
      <c r="BJ68" s="176">
        <v>0</v>
      </c>
      <c r="BK68" s="176">
        <v>0</v>
      </c>
      <c r="BL68" s="176">
        <v>0</v>
      </c>
      <c r="BM68" s="176">
        <v>0</v>
      </c>
      <c r="BN68" s="176">
        <v>0</v>
      </c>
      <c r="BO68" s="176">
        <v>0</v>
      </c>
      <c r="BP68" s="176">
        <v>0</v>
      </c>
      <c r="BQ68" s="176">
        <v>0</v>
      </c>
      <c r="BR68" s="176">
        <v>0</v>
      </c>
      <c r="BS68" s="176">
        <v>0</v>
      </c>
      <c r="BT68" s="176">
        <v>0</v>
      </c>
      <c r="BU68" s="176">
        <v>0</v>
      </c>
      <c r="BV68" s="176">
        <v>0</v>
      </c>
      <c r="BW68" s="176">
        <v>0</v>
      </c>
      <c r="BX68" s="176">
        <v>0</v>
      </c>
      <c r="BY68" s="176">
        <v>0</v>
      </c>
      <c r="BZ68" s="176">
        <v>0</v>
      </c>
      <c r="CA68" s="176">
        <v>0</v>
      </c>
      <c r="CB68" s="176">
        <v>0</v>
      </c>
      <c r="CC68" s="176">
        <v>0</v>
      </c>
      <c r="CD68" s="176">
        <v>0</v>
      </c>
      <c r="CE68" s="176">
        <v>0</v>
      </c>
      <c r="CF68" s="176">
        <v>0</v>
      </c>
      <c r="CG68" s="176">
        <v>0</v>
      </c>
      <c r="CH68" s="176">
        <v>0</v>
      </c>
      <c r="CI68" s="176">
        <v>0</v>
      </c>
      <c r="CJ68" s="176">
        <v>0</v>
      </c>
      <c r="CK68" s="176">
        <v>0</v>
      </c>
    </row>
    <row r="69" spans="2:89">
      <c r="B69" s="86" t="str">
        <v>Прочие капитальные вложения</v>
      </c>
      <c r="C69" s="46"/>
      <c r="D69" s="47">
        <f t="shared" si="11"/>
        <v>137000000</v>
      </c>
      <c r="E69" s="48"/>
      <c r="F69" s="176">
        <v>6850000</v>
      </c>
      <c r="G69" s="176">
        <v>6850000</v>
      </c>
      <c r="H69" s="176">
        <v>6850000</v>
      </c>
      <c r="I69" s="176">
        <v>12330000</v>
      </c>
      <c r="J69" s="176">
        <v>12330000</v>
      </c>
      <c r="K69" s="176">
        <v>13700000</v>
      </c>
      <c r="L69" s="176">
        <v>0</v>
      </c>
      <c r="M69" s="176">
        <v>0</v>
      </c>
      <c r="N69" s="176">
        <v>0</v>
      </c>
      <c r="O69" s="176">
        <v>24660000</v>
      </c>
      <c r="P69" s="176">
        <v>26030000</v>
      </c>
      <c r="Q69" s="176">
        <v>27400000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0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 s="176">
        <v>0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 s="176">
        <v>0</v>
      </c>
      <c r="BD69" s="176">
        <v>0</v>
      </c>
      <c r="BE69" s="176">
        <v>0</v>
      </c>
      <c r="BF69" s="176">
        <v>0</v>
      </c>
      <c r="BG69" s="176">
        <v>0</v>
      </c>
      <c r="BH69" s="176">
        <v>0</v>
      </c>
      <c r="BI69" s="176">
        <v>0</v>
      </c>
      <c r="BJ69" s="176">
        <v>0</v>
      </c>
      <c r="BK69" s="176">
        <v>0</v>
      </c>
      <c r="BL69" s="176">
        <v>0</v>
      </c>
      <c r="BM69" s="176">
        <v>0</v>
      </c>
      <c r="BN69" s="176">
        <v>0</v>
      </c>
      <c r="BO69" s="176">
        <v>0</v>
      </c>
      <c r="BP69" s="176">
        <v>0</v>
      </c>
      <c r="BQ69" s="176">
        <v>0</v>
      </c>
      <c r="BR69" s="176">
        <v>0</v>
      </c>
      <c r="BS69" s="176">
        <v>0</v>
      </c>
      <c r="BT69" s="176">
        <v>0</v>
      </c>
      <c r="BU69" s="176">
        <v>0</v>
      </c>
      <c r="BV69" s="176">
        <v>0</v>
      </c>
      <c r="BW69" s="176">
        <v>0</v>
      </c>
      <c r="BX69" s="176">
        <v>0</v>
      </c>
      <c r="BY69" s="176">
        <v>0</v>
      </c>
      <c r="BZ69" s="176">
        <v>0</v>
      </c>
      <c r="CA69" s="176">
        <v>0</v>
      </c>
      <c r="CB69" s="176">
        <v>0</v>
      </c>
      <c r="CC69" s="176">
        <v>0</v>
      </c>
      <c r="CD69" s="176">
        <v>0</v>
      </c>
      <c r="CE69" s="176">
        <v>0</v>
      </c>
      <c r="CF69" s="176">
        <v>0</v>
      </c>
      <c r="CG69" s="176">
        <v>0</v>
      </c>
      <c r="CH69" s="176">
        <v>0</v>
      </c>
      <c r="CI69" s="176">
        <v>0</v>
      </c>
      <c r="CJ69" s="176">
        <v>0</v>
      </c>
      <c r="CK69" s="176">
        <v>0</v>
      </c>
    </row>
    <row r="70" spans="2:89">
      <c r="B70" s="86" t="str">
        <v>Пусто</v>
      </c>
      <c r="C70" s="46"/>
      <c r="D70" s="47">
        <f t="shared" si="11"/>
        <v>0</v>
      </c>
      <c r="E70" s="48"/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 s="176">
        <v>0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 s="176">
        <v>0</v>
      </c>
      <c r="BD70" s="176">
        <v>0</v>
      </c>
      <c r="BE70" s="176">
        <v>0</v>
      </c>
      <c r="BF70" s="176">
        <v>0</v>
      </c>
      <c r="BG70" s="176">
        <v>0</v>
      </c>
      <c r="BH70" s="176">
        <v>0</v>
      </c>
      <c r="BI70" s="176">
        <v>0</v>
      </c>
      <c r="BJ70" s="176">
        <v>0</v>
      </c>
      <c r="BK70" s="176">
        <v>0</v>
      </c>
      <c r="BL70" s="176">
        <v>0</v>
      </c>
      <c r="BM70" s="176">
        <v>0</v>
      </c>
      <c r="BN70" s="176">
        <v>0</v>
      </c>
      <c r="BO70" s="176">
        <v>0</v>
      </c>
      <c r="BP70" s="176">
        <v>0</v>
      </c>
      <c r="BQ70" s="176">
        <v>0</v>
      </c>
      <c r="BR70" s="176">
        <v>0</v>
      </c>
      <c r="BS70" s="176">
        <v>0</v>
      </c>
      <c r="BT70" s="176">
        <v>0</v>
      </c>
      <c r="BU70" s="176">
        <v>0</v>
      </c>
      <c r="BV70" s="176">
        <v>0</v>
      </c>
      <c r="BW70" s="176">
        <v>0</v>
      </c>
      <c r="BX70" s="176">
        <v>0</v>
      </c>
      <c r="BY70" s="176">
        <v>0</v>
      </c>
      <c r="BZ70" s="176">
        <v>0</v>
      </c>
      <c r="CA70" s="176">
        <v>0</v>
      </c>
      <c r="CB70" s="176">
        <v>0</v>
      </c>
      <c r="CC70" s="176">
        <v>0</v>
      </c>
      <c r="CD70" s="176">
        <v>0</v>
      </c>
      <c r="CE70" s="176">
        <v>0</v>
      </c>
      <c r="CF70" s="176">
        <v>0</v>
      </c>
      <c r="CG70" s="176">
        <v>0</v>
      </c>
      <c r="CH70" s="176">
        <v>0</v>
      </c>
      <c r="CI70" s="176">
        <v>0</v>
      </c>
      <c r="CJ70" s="176">
        <v>0</v>
      </c>
      <c r="CK70" s="176">
        <v>0</v>
      </c>
    </row>
    <row r="71" spans="2:89" ht="15.75" thickBot="1">
      <c r="B71" s="86" t="str">
        <v>Пусто</v>
      </c>
      <c r="C71" s="46"/>
      <c r="D71" s="47">
        <f t="shared" si="11"/>
        <v>0</v>
      </c>
      <c r="E71" s="48"/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0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 s="176">
        <v>0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 s="176">
        <v>0</v>
      </c>
      <c r="BD71" s="176">
        <v>0</v>
      </c>
      <c r="BE71" s="176">
        <v>0</v>
      </c>
      <c r="BF71" s="176">
        <v>0</v>
      </c>
      <c r="BG71" s="176">
        <v>0</v>
      </c>
      <c r="BH71" s="176">
        <v>0</v>
      </c>
      <c r="BI71" s="176">
        <v>0</v>
      </c>
      <c r="BJ71" s="176">
        <v>0</v>
      </c>
      <c r="BK71" s="176">
        <v>0</v>
      </c>
      <c r="BL71" s="176">
        <v>0</v>
      </c>
      <c r="BM71" s="176">
        <v>0</v>
      </c>
      <c r="BN71" s="176">
        <v>0</v>
      </c>
      <c r="BO71" s="176">
        <v>0</v>
      </c>
      <c r="BP71" s="176">
        <v>0</v>
      </c>
      <c r="BQ71" s="176">
        <v>0</v>
      </c>
      <c r="BR71" s="176">
        <v>0</v>
      </c>
      <c r="BS71" s="176">
        <v>0</v>
      </c>
      <c r="BT71" s="176">
        <v>0</v>
      </c>
      <c r="BU71" s="176">
        <v>0</v>
      </c>
      <c r="BV71" s="176">
        <v>0</v>
      </c>
      <c r="BW71" s="176">
        <v>0</v>
      </c>
      <c r="BX71" s="176">
        <v>0</v>
      </c>
      <c r="BY71" s="176">
        <v>0</v>
      </c>
      <c r="BZ71" s="176">
        <v>0</v>
      </c>
      <c r="CA71" s="176">
        <v>0</v>
      </c>
      <c r="CB71" s="176">
        <v>0</v>
      </c>
      <c r="CC71" s="176">
        <v>0</v>
      </c>
      <c r="CD71" s="176">
        <v>0</v>
      </c>
      <c r="CE71" s="176">
        <v>0</v>
      </c>
      <c r="CF71" s="176">
        <v>0</v>
      </c>
      <c r="CG71" s="176">
        <v>0</v>
      </c>
      <c r="CH71" s="176">
        <v>0</v>
      </c>
      <c r="CI71" s="176">
        <v>0</v>
      </c>
      <c r="CJ71" s="176">
        <v>0</v>
      </c>
      <c r="CK71" s="176">
        <v>0</v>
      </c>
    </row>
    <row r="72" spans="2:89" ht="15.75" thickTop="1">
      <c r="B72" s="50" t="s">
        <v>50</v>
      </c>
      <c r="C72" s="51"/>
      <c r="D72" s="52">
        <f>SUM(D66:D71)</f>
        <v>1160000000</v>
      </c>
      <c r="E72" s="53"/>
      <c r="F72" s="54">
        <f t="shared" ref="F72:AG72" si="12">SUM(F66:F71)</f>
        <v>65740000.000000007</v>
      </c>
      <c r="G72" s="54">
        <f t="shared" si="12"/>
        <v>65740000.000000007</v>
      </c>
      <c r="H72" s="54">
        <f t="shared" si="12"/>
        <v>61270000.000000007</v>
      </c>
      <c r="I72" s="54">
        <f t="shared" si="12"/>
        <v>148230000</v>
      </c>
      <c r="J72" s="54">
        <f t="shared" si="12"/>
        <v>148230000</v>
      </c>
      <c r="K72" s="54">
        <f t="shared" si="12"/>
        <v>143900000</v>
      </c>
      <c r="L72" s="54">
        <f t="shared" si="12"/>
        <v>94200000</v>
      </c>
      <c r="M72" s="54">
        <f t="shared" si="12"/>
        <v>99900000</v>
      </c>
      <c r="N72" s="54">
        <f t="shared" si="12"/>
        <v>104400000</v>
      </c>
      <c r="O72" s="54">
        <f t="shared" si="12"/>
        <v>67560000</v>
      </c>
      <c r="P72" s="54">
        <f t="shared" si="12"/>
        <v>74630000</v>
      </c>
      <c r="Q72" s="54">
        <f t="shared" si="12"/>
        <v>86200000</v>
      </c>
      <c r="R72" s="54">
        <f t="shared" si="12"/>
        <v>0</v>
      </c>
      <c r="S72" s="54">
        <f t="shared" si="12"/>
        <v>0</v>
      </c>
      <c r="T72" s="54">
        <f t="shared" si="12"/>
        <v>0</v>
      </c>
      <c r="U72" s="54">
        <f t="shared" si="12"/>
        <v>0</v>
      </c>
      <c r="V72" s="54">
        <f t="shared" si="12"/>
        <v>0</v>
      </c>
      <c r="W72" s="54">
        <f t="shared" si="12"/>
        <v>0</v>
      </c>
      <c r="X72" s="54">
        <f t="shared" si="12"/>
        <v>0</v>
      </c>
      <c r="Y72" s="54">
        <f t="shared" si="12"/>
        <v>0</v>
      </c>
      <c r="Z72" s="54">
        <f t="shared" si="12"/>
        <v>0</v>
      </c>
      <c r="AA72" s="54">
        <f t="shared" si="12"/>
        <v>0</v>
      </c>
      <c r="AB72" s="54">
        <f t="shared" si="12"/>
        <v>0</v>
      </c>
      <c r="AC72" s="54">
        <f t="shared" si="12"/>
        <v>0</v>
      </c>
      <c r="AD72" s="54">
        <f t="shared" si="12"/>
        <v>0</v>
      </c>
      <c r="AE72" s="54">
        <f t="shared" si="12"/>
        <v>0</v>
      </c>
      <c r="AF72" s="54">
        <f t="shared" si="12"/>
        <v>0</v>
      </c>
      <c r="AG72" s="54">
        <f t="shared" si="12"/>
        <v>0</v>
      </c>
      <c r="AH72" s="54">
        <f t="shared" ref="AH72:BM72" si="13">SUM(AH66:AH71)</f>
        <v>0</v>
      </c>
      <c r="AI72" s="54">
        <f t="shared" si="13"/>
        <v>0</v>
      </c>
      <c r="AJ72" s="54">
        <f t="shared" si="13"/>
        <v>0</v>
      </c>
      <c r="AK72" s="54">
        <f t="shared" si="13"/>
        <v>0</v>
      </c>
      <c r="AL72" s="54">
        <f t="shared" si="13"/>
        <v>0</v>
      </c>
      <c r="AM72" s="54">
        <f t="shared" si="13"/>
        <v>0</v>
      </c>
      <c r="AN72" s="54">
        <f t="shared" si="13"/>
        <v>0</v>
      </c>
      <c r="AO72" s="54">
        <f t="shared" si="13"/>
        <v>0</v>
      </c>
      <c r="AP72" s="54">
        <f t="shared" si="13"/>
        <v>0</v>
      </c>
      <c r="AQ72" s="54">
        <f t="shared" si="13"/>
        <v>0</v>
      </c>
      <c r="AR72" s="54">
        <f t="shared" si="13"/>
        <v>0</v>
      </c>
      <c r="AS72" s="54">
        <f t="shared" si="13"/>
        <v>0</v>
      </c>
      <c r="AT72" s="54">
        <f t="shared" si="13"/>
        <v>0</v>
      </c>
      <c r="AU72" s="54">
        <f t="shared" si="13"/>
        <v>0</v>
      </c>
      <c r="AV72" s="54">
        <f t="shared" si="13"/>
        <v>0</v>
      </c>
      <c r="AW72" s="54">
        <f t="shared" si="13"/>
        <v>0</v>
      </c>
      <c r="AX72" s="54">
        <f t="shared" si="13"/>
        <v>0</v>
      </c>
      <c r="AY72" s="54">
        <f t="shared" si="13"/>
        <v>0</v>
      </c>
      <c r="AZ72" s="54">
        <f t="shared" si="13"/>
        <v>0</v>
      </c>
      <c r="BA72" s="54">
        <f t="shared" si="13"/>
        <v>0</v>
      </c>
      <c r="BB72" s="54">
        <f t="shared" si="13"/>
        <v>0</v>
      </c>
      <c r="BC72" s="54">
        <f t="shared" si="13"/>
        <v>0</v>
      </c>
      <c r="BD72" s="54">
        <f t="shared" si="13"/>
        <v>0</v>
      </c>
      <c r="BE72" s="54">
        <f t="shared" si="13"/>
        <v>0</v>
      </c>
      <c r="BF72" s="54">
        <f t="shared" si="13"/>
        <v>0</v>
      </c>
      <c r="BG72" s="54">
        <f t="shared" si="13"/>
        <v>0</v>
      </c>
      <c r="BH72" s="54">
        <f t="shared" si="13"/>
        <v>0</v>
      </c>
      <c r="BI72" s="54">
        <f t="shared" si="13"/>
        <v>0</v>
      </c>
      <c r="BJ72" s="54">
        <f t="shared" si="13"/>
        <v>0</v>
      </c>
      <c r="BK72" s="54">
        <f t="shared" si="13"/>
        <v>0</v>
      </c>
      <c r="BL72" s="54">
        <f t="shared" si="13"/>
        <v>0</v>
      </c>
      <c r="BM72" s="54">
        <f t="shared" si="13"/>
        <v>0</v>
      </c>
      <c r="BN72" s="54">
        <f t="shared" ref="BN72:CK72" si="14">SUM(BN66:BN71)</f>
        <v>0</v>
      </c>
      <c r="BO72" s="54">
        <f t="shared" si="14"/>
        <v>0</v>
      </c>
      <c r="BP72" s="54">
        <f t="shared" si="14"/>
        <v>0</v>
      </c>
      <c r="BQ72" s="54">
        <f t="shared" si="14"/>
        <v>0</v>
      </c>
      <c r="BR72" s="54">
        <f t="shared" si="14"/>
        <v>0</v>
      </c>
      <c r="BS72" s="54">
        <f t="shared" si="14"/>
        <v>0</v>
      </c>
      <c r="BT72" s="54">
        <f t="shared" si="14"/>
        <v>0</v>
      </c>
      <c r="BU72" s="54">
        <f t="shared" si="14"/>
        <v>0</v>
      </c>
      <c r="BV72" s="54">
        <f t="shared" si="14"/>
        <v>0</v>
      </c>
      <c r="BW72" s="54">
        <f t="shared" si="14"/>
        <v>0</v>
      </c>
      <c r="BX72" s="54">
        <f t="shared" si="14"/>
        <v>0</v>
      </c>
      <c r="BY72" s="54">
        <f t="shared" si="14"/>
        <v>0</v>
      </c>
      <c r="BZ72" s="54">
        <f t="shared" si="14"/>
        <v>0</v>
      </c>
      <c r="CA72" s="54">
        <f t="shared" si="14"/>
        <v>0</v>
      </c>
      <c r="CB72" s="54">
        <f t="shared" si="14"/>
        <v>0</v>
      </c>
      <c r="CC72" s="54">
        <f t="shared" si="14"/>
        <v>0</v>
      </c>
      <c r="CD72" s="54">
        <f t="shared" si="14"/>
        <v>0</v>
      </c>
      <c r="CE72" s="54">
        <f t="shared" si="14"/>
        <v>0</v>
      </c>
      <c r="CF72" s="54">
        <f t="shared" si="14"/>
        <v>0</v>
      </c>
      <c r="CG72" s="54">
        <f t="shared" si="14"/>
        <v>0</v>
      </c>
      <c r="CH72" s="54">
        <f t="shared" si="14"/>
        <v>0</v>
      </c>
      <c r="CI72" s="54">
        <f t="shared" si="14"/>
        <v>0</v>
      </c>
      <c r="CJ72" s="54">
        <f t="shared" si="14"/>
        <v>0</v>
      </c>
      <c r="CK72" s="54">
        <f t="shared" si="14"/>
        <v>0</v>
      </c>
    </row>
    <row r="73" spans="2:89">
      <c r="B73" s="14"/>
      <c r="C73" s="14"/>
      <c r="D73" s="14"/>
      <c r="E73" s="14"/>
      <c r="F73" s="192"/>
      <c r="G73" s="192"/>
      <c r="H73" s="192"/>
      <c r="I73" s="192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</row>
    <row r="74" spans="2:89" ht="18" thickBot="1">
      <c r="B74" s="100" t="str">
        <f>"Основные средства, в "&amp;Ед_измерения_денег&amp;" без НДС"</f>
        <v>Основные средства, в  руб. без НДС</v>
      </c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</row>
    <row r="75" spans="2:89" ht="15.75" thickTop="1"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</row>
    <row r="76" spans="2:89">
      <c r="B76" s="155" t="s">
        <v>131</v>
      </c>
      <c r="C76" s="156"/>
      <c r="D76" s="157">
        <f>Предпосылки!$D$79</f>
        <v>0.14285714285714285</v>
      </c>
      <c r="E76" s="158"/>
      <c r="F76" s="159">
        <f t="shared" ref="F76:BQ76" si="15">$D$76/Мес_в_году</f>
        <v>1.1904761904761904E-2</v>
      </c>
      <c r="G76" s="159">
        <f t="shared" si="15"/>
        <v>1.1904761904761904E-2</v>
      </c>
      <c r="H76" s="159">
        <f t="shared" si="15"/>
        <v>1.1904761904761904E-2</v>
      </c>
      <c r="I76" s="159">
        <f t="shared" si="15"/>
        <v>1.1904761904761904E-2</v>
      </c>
      <c r="J76" s="159">
        <f t="shared" si="15"/>
        <v>1.1904761904761904E-2</v>
      </c>
      <c r="K76" s="159">
        <f t="shared" si="15"/>
        <v>1.1904761904761904E-2</v>
      </c>
      <c r="L76" s="159">
        <f t="shared" si="15"/>
        <v>1.1904761904761904E-2</v>
      </c>
      <c r="M76" s="159">
        <f t="shared" si="15"/>
        <v>1.1904761904761904E-2</v>
      </c>
      <c r="N76" s="159">
        <f t="shared" si="15"/>
        <v>1.1904761904761904E-2</v>
      </c>
      <c r="O76" s="159">
        <f t="shared" si="15"/>
        <v>1.1904761904761904E-2</v>
      </c>
      <c r="P76" s="159">
        <f t="shared" si="15"/>
        <v>1.1904761904761904E-2</v>
      </c>
      <c r="Q76" s="159">
        <f t="shared" si="15"/>
        <v>1.1904761904761904E-2</v>
      </c>
      <c r="R76" s="159">
        <f t="shared" si="15"/>
        <v>1.1904761904761904E-2</v>
      </c>
      <c r="S76" s="159">
        <f t="shared" si="15"/>
        <v>1.1904761904761904E-2</v>
      </c>
      <c r="T76" s="159">
        <f t="shared" si="15"/>
        <v>1.1904761904761904E-2</v>
      </c>
      <c r="U76" s="159">
        <f t="shared" si="15"/>
        <v>1.1904761904761904E-2</v>
      </c>
      <c r="V76" s="159">
        <f t="shared" si="15"/>
        <v>1.1904761904761904E-2</v>
      </c>
      <c r="W76" s="159">
        <f t="shared" si="15"/>
        <v>1.1904761904761904E-2</v>
      </c>
      <c r="X76" s="159">
        <f t="shared" si="15"/>
        <v>1.1904761904761904E-2</v>
      </c>
      <c r="Y76" s="159">
        <f t="shared" si="15"/>
        <v>1.1904761904761904E-2</v>
      </c>
      <c r="Z76" s="159">
        <f t="shared" si="15"/>
        <v>1.1904761904761904E-2</v>
      </c>
      <c r="AA76" s="159">
        <f t="shared" si="15"/>
        <v>1.1904761904761904E-2</v>
      </c>
      <c r="AB76" s="159">
        <f t="shared" si="15"/>
        <v>1.1904761904761904E-2</v>
      </c>
      <c r="AC76" s="159">
        <f t="shared" si="15"/>
        <v>1.1904761904761904E-2</v>
      </c>
      <c r="AD76" s="159">
        <f t="shared" si="15"/>
        <v>1.1904761904761904E-2</v>
      </c>
      <c r="AE76" s="159">
        <f t="shared" si="15"/>
        <v>1.1904761904761904E-2</v>
      </c>
      <c r="AF76" s="159">
        <f t="shared" si="15"/>
        <v>1.1904761904761904E-2</v>
      </c>
      <c r="AG76" s="159">
        <f t="shared" si="15"/>
        <v>1.1904761904761904E-2</v>
      </c>
      <c r="AH76" s="159">
        <f t="shared" si="15"/>
        <v>1.1904761904761904E-2</v>
      </c>
      <c r="AI76" s="159">
        <f t="shared" si="15"/>
        <v>1.1904761904761904E-2</v>
      </c>
      <c r="AJ76" s="159">
        <f t="shared" si="15"/>
        <v>1.1904761904761904E-2</v>
      </c>
      <c r="AK76" s="159">
        <f t="shared" si="15"/>
        <v>1.1904761904761904E-2</v>
      </c>
      <c r="AL76" s="159">
        <f t="shared" si="15"/>
        <v>1.1904761904761904E-2</v>
      </c>
      <c r="AM76" s="159">
        <f t="shared" si="15"/>
        <v>1.1904761904761904E-2</v>
      </c>
      <c r="AN76" s="159">
        <f t="shared" si="15"/>
        <v>1.1904761904761904E-2</v>
      </c>
      <c r="AO76" s="159">
        <f t="shared" si="15"/>
        <v>1.1904761904761904E-2</v>
      </c>
      <c r="AP76" s="159">
        <f t="shared" si="15"/>
        <v>1.1904761904761904E-2</v>
      </c>
      <c r="AQ76" s="159">
        <f t="shared" si="15"/>
        <v>1.1904761904761904E-2</v>
      </c>
      <c r="AR76" s="159">
        <f t="shared" si="15"/>
        <v>1.1904761904761904E-2</v>
      </c>
      <c r="AS76" s="159">
        <f t="shared" si="15"/>
        <v>1.1904761904761904E-2</v>
      </c>
      <c r="AT76" s="159">
        <f t="shared" si="15"/>
        <v>1.1904761904761904E-2</v>
      </c>
      <c r="AU76" s="159">
        <f t="shared" si="15"/>
        <v>1.1904761904761904E-2</v>
      </c>
      <c r="AV76" s="159">
        <f t="shared" si="15"/>
        <v>1.1904761904761904E-2</v>
      </c>
      <c r="AW76" s="159">
        <f t="shared" si="15"/>
        <v>1.1904761904761904E-2</v>
      </c>
      <c r="AX76" s="159">
        <f t="shared" si="15"/>
        <v>1.1904761904761904E-2</v>
      </c>
      <c r="AY76" s="159">
        <f t="shared" si="15"/>
        <v>1.1904761904761904E-2</v>
      </c>
      <c r="AZ76" s="159">
        <f t="shared" si="15"/>
        <v>1.1904761904761904E-2</v>
      </c>
      <c r="BA76" s="159">
        <f t="shared" si="15"/>
        <v>1.1904761904761904E-2</v>
      </c>
      <c r="BB76" s="159">
        <f t="shared" si="15"/>
        <v>1.1904761904761904E-2</v>
      </c>
      <c r="BC76" s="159">
        <f t="shared" si="15"/>
        <v>1.1904761904761904E-2</v>
      </c>
      <c r="BD76" s="159">
        <f t="shared" si="15"/>
        <v>1.1904761904761904E-2</v>
      </c>
      <c r="BE76" s="159">
        <f t="shared" si="15"/>
        <v>1.1904761904761904E-2</v>
      </c>
      <c r="BF76" s="159">
        <f t="shared" si="15"/>
        <v>1.1904761904761904E-2</v>
      </c>
      <c r="BG76" s="159">
        <f t="shared" si="15"/>
        <v>1.1904761904761904E-2</v>
      </c>
      <c r="BH76" s="159">
        <f t="shared" si="15"/>
        <v>1.1904761904761904E-2</v>
      </c>
      <c r="BI76" s="159">
        <f t="shared" si="15"/>
        <v>1.1904761904761904E-2</v>
      </c>
      <c r="BJ76" s="159">
        <f t="shared" si="15"/>
        <v>1.1904761904761904E-2</v>
      </c>
      <c r="BK76" s="159">
        <f t="shared" si="15"/>
        <v>1.1904761904761904E-2</v>
      </c>
      <c r="BL76" s="159">
        <f t="shared" si="15"/>
        <v>1.1904761904761904E-2</v>
      </c>
      <c r="BM76" s="159">
        <f t="shared" si="15"/>
        <v>1.1904761904761904E-2</v>
      </c>
      <c r="BN76" s="159">
        <f t="shared" si="15"/>
        <v>1.1904761904761904E-2</v>
      </c>
      <c r="BO76" s="159">
        <f t="shared" si="15"/>
        <v>1.1904761904761904E-2</v>
      </c>
      <c r="BP76" s="159">
        <f t="shared" si="15"/>
        <v>1.1904761904761904E-2</v>
      </c>
      <c r="BQ76" s="159">
        <f t="shared" si="15"/>
        <v>1.1904761904761904E-2</v>
      </c>
      <c r="BR76" s="159">
        <f t="shared" ref="BR76:CK76" si="16">$D$76/Мес_в_году</f>
        <v>1.1904761904761904E-2</v>
      </c>
      <c r="BS76" s="159">
        <f t="shared" si="16"/>
        <v>1.1904761904761904E-2</v>
      </c>
      <c r="BT76" s="159">
        <f t="shared" si="16"/>
        <v>1.1904761904761904E-2</v>
      </c>
      <c r="BU76" s="159">
        <f t="shared" si="16"/>
        <v>1.1904761904761904E-2</v>
      </c>
      <c r="BV76" s="159">
        <f t="shared" si="16"/>
        <v>1.1904761904761904E-2</v>
      </c>
      <c r="BW76" s="159">
        <f t="shared" si="16"/>
        <v>1.1904761904761904E-2</v>
      </c>
      <c r="BX76" s="159">
        <f t="shared" si="16"/>
        <v>1.1904761904761904E-2</v>
      </c>
      <c r="BY76" s="159">
        <f t="shared" si="16"/>
        <v>1.1904761904761904E-2</v>
      </c>
      <c r="BZ76" s="159">
        <f t="shared" si="16"/>
        <v>1.1904761904761904E-2</v>
      </c>
      <c r="CA76" s="159">
        <f t="shared" si="16"/>
        <v>1.1904761904761904E-2</v>
      </c>
      <c r="CB76" s="159">
        <f t="shared" si="16"/>
        <v>1.1904761904761904E-2</v>
      </c>
      <c r="CC76" s="159">
        <f t="shared" si="16"/>
        <v>1.1904761904761904E-2</v>
      </c>
      <c r="CD76" s="159">
        <f t="shared" si="16"/>
        <v>1.1904761904761904E-2</v>
      </c>
      <c r="CE76" s="159">
        <f t="shared" si="16"/>
        <v>1.1904761904761904E-2</v>
      </c>
      <c r="CF76" s="159">
        <f t="shared" si="16"/>
        <v>1.1904761904761904E-2</v>
      </c>
      <c r="CG76" s="159">
        <f t="shared" si="16"/>
        <v>1.1904761904761904E-2</v>
      </c>
      <c r="CH76" s="159">
        <f t="shared" si="16"/>
        <v>1.1904761904761904E-2</v>
      </c>
      <c r="CI76" s="159">
        <f t="shared" si="16"/>
        <v>1.1904761904761904E-2</v>
      </c>
      <c r="CJ76" s="159">
        <f t="shared" si="16"/>
        <v>1.1904761904761904E-2</v>
      </c>
      <c r="CK76" s="159">
        <f t="shared" si="16"/>
        <v>1.1904761904761904E-2</v>
      </c>
    </row>
    <row r="77" spans="2:89"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</row>
    <row r="78" spans="2:89">
      <c r="B78" s="77" t="s">
        <v>57</v>
      </c>
      <c r="C78" s="78"/>
      <c r="D78" s="98">
        <v>0</v>
      </c>
      <c r="E78" s="79"/>
      <c r="F78" s="80">
        <f t="shared" ref="F78:AK78" si="17">E81</f>
        <v>0</v>
      </c>
      <c r="G78" s="80">
        <f t="shared" ca="1" si="17"/>
        <v>0</v>
      </c>
      <c r="H78" s="80">
        <f t="shared" ca="1" si="17"/>
        <v>0</v>
      </c>
      <c r="I78" s="80">
        <f t="shared" ca="1" si="17"/>
        <v>0</v>
      </c>
      <c r="J78" s="80">
        <f t="shared" ca="1" si="17"/>
        <v>0</v>
      </c>
      <c r="K78" s="80">
        <f t="shared" ca="1" si="17"/>
        <v>0</v>
      </c>
      <c r="L78" s="80">
        <f t="shared" ca="1" si="17"/>
        <v>0</v>
      </c>
      <c r="M78" s="80">
        <f t="shared" ca="1" si="17"/>
        <v>0</v>
      </c>
      <c r="N78" s="80">
        <f t="shared" ca="1" si="17"/>
        <v>0</v>
      </c>
      <c r="O78" s="80">
        <f t="shared" ca="1" si="17"/>
        <v>0</v>
      </c>
      <c r="P78" s="80">
        <f t="shared" ca="1" si="17"/>
        <v>0</v>
      </c>
      <c r="Q78" s="80">
        <f t="shared" ca="1" si="17"/>
        <v>0</v>
      </c>
      <c r="R78" s="80">
        <f t="shared" ca="1" si="17"/>
        <v>1054545454.5454545</v>
      </c>
      <c r="S78" s="80">
        <f t="shared" ca="1" si="17"/>
        <v>1041991341.9913419</v>
      </c>
      <c r="T78" s="80">
        <f t="shared" ca="1" si="17"/>
        <v>1029437229.4372294</v>
      </c>
      <c r="U78" s="80">
        <f t="shared" ca="1" si="17"/>
        <v>1016883116.8831168</v>
      </c>
      <c r="V78" s="80">
        <f t="shared" ca="1" si="17"/>
        <v>1004329004.3290043</v>
      </c>
      <c r="W78" s="80">
        <f t="shared" ca="1" si="17"/>
        <v>991774891.77489173</v>
      </c>
      <c r="X78" s="80">
        <f t="shared" ca="1" si="17"/>
        <v>979220779.22077918</v>
      </c>
      <c r="Y78" s="80">
        <f t="shared" ca="1" si="17"/>
        <v>966666666.66666663</v>
      </c>
      <c r="Z78" s="80">
        <f t="shared" ca="1" si="17"/>
        <v>954112554.11255407</v>
      </c>
      <c r="AA78" s="80">
        <f t="shared" ca="1" si="17"/>
        <v>941558441.55844152</v>
      </c>
      <c r="AB78" s="80">
        <f t="shared" ca="1" si="17"/>
        <v>929004329.00432897</v>
      </c>
      <c r="AC78" s="80">
        <f t="shared" ca="1" si="17"/>
        <v>916450216.45021641</v>
      </c>
      <c r="AD78" s="80">
        <f t="shared" ca="1" si="17"/>
        <v>903896103.89610386</v>
      </c>
      <c r="AE78" s="80">
        <f t="shared" ca="1" si="17"/>
        <v>891341991.34199131</v>
      </c>
      <c r="AF78" s="80">
        <f t="shared" ca="1" si="17"/>
        <v>878787878.78787875</v>
      </c>
      <c r="AG78" s="80">
        <f t="shared" ca="1" si="17"/>
        <v>866233766.2337662</v>
      </c>
      <c r="AH78" s="80">
        <f t="shared" ca="1" si="17"/>
        <v>853679653.67965364</v>
      </c>
      <c r="AI78" s="80">
        <f t="shared" ca="1" si="17"/>
        <v>841125541.12554109</v>
      </c>
      <c r="AJ78" s="80">
        <f t="shared" ca="1" si="17"/>
        <v>828571428.57142854</v>
      </c>
      <c r="AK78" s="80">
        <f t="shared" ca="1" si="17"/>
        <v>816017316.01731598</v>
      </c>
      <c r="AL78" s="80">
        <f t="shared" ref="AL78:BM78" ca="1" si="18">AK81</f>
        <v>803463203.46320343</v>
      </c>
      <c r="AM78" s="80">
        <f t="shared" ca="1" si="18"/>
        <v>790909090.90909088</v>
      </c>
      <c r="AN78" s="80">
        <f t="shared" ca="1" si="18"/>
        <v>778354978.35497832</v>
      </c>
      <c r="AO78" s="80">
        <f t="shared" ca="1" si="18"/>
        <v>765800865.80086577</v>
      </c>
      <c r="AP78" s="80">
        <f t="shared" ca="1" si="18"/>
        <v>753246753.24675322</v>
      </c>
      <c r="AQ78" s="80">
        <f t="shared" ca="1" si="18"/>
        <v>740692640.69264066</v>
      </c>
      <c r="AR78" s="80">
        <f t="shared" ca="1" si="18"/>
        <v>728138528.13852811</v>
      </c>
      <c r="AS78" s="80">
        <f t="shared" ca="1" si="18"/>
        <v>715584415.58441556</v>
      </c>
      <c r="AT78" s="80">
        <f t="shared" ca="1" si="18"/>
        <v>703030303.030303</v>
      </c>
      <c r="AU78" s="80">
        <f t="shared" ca="1" si="18"/>
        <v>690476190.47619045</v>
      </c>
      <c r="AV78" s="80">
        <f t="shared" ca="1" si="18"/>
        <v>677922077.92207789</v>
      </c>
      <c r="AW78" s="80">
        <f t="shared" ca="1" si="18"/>
        <v>665367965.36796534</v>
      </c>
      <c r="AX78" s="80">
        <f t="shared" ca="1" si="18"/>
        <v>652813852.81385279</v>
      </c>
      <c r="AY78" s="80">
        <f t="shared" ca="1" si="18"/>
        <v>640259740.25974023</v>
      </c>
      <c r="AZ78" s="80">
        <f t="shared" ca="1" si="18"/>
        <v>627705627.70562768</v>
      </c>
      <c r="BA78" s="80">
        <f t="shared" ca="1" si="18"/>
        <v>615151515.15151513</v>
      </c>
      <c r="BB78" s="80">
        <f t="shared" ca="1" si="18"/>
        <v>602597402.59740257</v>
      </c>
      <c r="BC78" s="80">
        <f t="shared" ca="1" si="18"/>
        <v>590043290.04329002</v>
      </c>
      <c r="BD78" s="80">
        <f t="shared" ca="1" si="18"/>
        <v>577489177.48917747</v>
      </c>
      <c r="BE78" s="80">
        <f t="shared" ca="1" si="18"/>
        <v>564935064.93506491</v>
      </c>
      <c r="BF78" s="80">
        <f t="shared" ca="1" si="18"/>
        <v>552380952.38095236</v>
      </c>
      <c r="BG78" s="80">
        <f t="shared" ca="1" si="18"/>
        <v>539826839.8268398</v>
      </c>
      <c r="BH78" s="80">
        <f t="shared" ca="1" si="18"/>
        <v>527272727.27272725</v>
      </c>
      <c r="BI78" s="80">
        <f t="shared" ca="1" si="18"/>
        <v>514718614.7186147</v>
      </c>
      <c r="BJ78" s="80">
        <f t="shared" ca="1" si="18"/>
        <v>502164502.16450214</v>
      </c>
      <c r="BK78" s="80">
        <f t="shared" ca="1" si="18"/>
        <v>489610389.61038959</v>
      </c>
      <c r="BL78" s="80">
        <f t="shared" ca="1" si="18"/>
        <v>477056277.05627704</v>
      </c>
      <c r="BM78" s="80">
        <f t="shared" ca="1" si="18"/>
        <v>464502164.50216448</v>
      </c>
      <c r="BN78" s="80">
        <f t="shared" ref="BN78" ca="1" si="19">BM81</f>
        <v>451948051.94805193</v>
      </c>
      <c r="BO78" s="80">
        <f t="shared" ref="BO78" ca="1" si="20">BN81</f>
        <v>439393939.39393938</v>
      </c>
      <c r="BP78" s="80">
        <f t="shared" ref="BP78" ca="1" si="21">BO81</f>
        <v>426839826.83982682</v>
      </c>
      <c r="BQ78" s="80">
        <f t="shared" ref="BQ78" ca="1" si="22">BP81</f>
        <v>414285714.28571427</v>
      </c>
      <c r="BR78" s="80">
        <f t="shared" ref="BR78" ca="1" si="23">BQ81</f>
        <v>401731601.73160172</v>
      </c>
      <c r="BS78" s="80">
        <f t="shared" ref="BS78" ca="1" si="24">BR81</f>
        <v>389177489.17748916</v>
      </c>
      <c r="BT78" s="80">
        <f t="shared" ref="BT78" ca="1" si="25">BS81</f>
        <v>376623376.62337661</v>
      </c>
      <c r="BU78" s="80">
        <f t="shared" ref="BU78" ca="1" si="26">BT81</f>
        <v>364069264.06926405</v>
      </c>
      <c r="BV78" s="80">
        <f t="shared" ref="BV78" ca="1" si="27">BU81</f>
        <v>351515151.5151515</v>
      </c>
      <c r="BW78" s="80">
        <f t="shared" ref="BW78" ca="1" si="28">BV81</f>
        <v>338961038.96103895</v>
      </c>
      <c r="BX78" s="80">
        <f t="shared" ref="BX78" ca="1" si="29">BW81</f>
        <v>326406926.40692639</v>
      </c>
      <c r="BY78" s="80">
        <f t="shared" ref="BY78" ca="1" si="30">BX81</f>
        <v>313852813.85281384</v>
      </c>
      <c r="BZ78" s="80">
        <f t="shared" ref="BZ78" ca="1" si="31">BY81</f>
        <v>301298701.29870129</v>
      </c>
      <c r="CA78" s="80">
        <f t="shared" ref="CA78" ca="1" si="32">BZ81</f>
        <v>288744588.74458873</v>
      </c>
      <c r="CB78" s="80">
        <f t="shared" ref="CB78" ca="1" si="33">CA81</f>
        <v>276190476.19047618</v>
      </c>
      <c r="CC78" s="80">
        <f t="shared" ref="CC78" ca="1" si="34">CB81</f>
        <v>263636363.63636363</v>
      </c>
      <c r="CD78" s="80">
        <f t="shared" ref="CD78" ca="1" si="35">CC81</f>
        <v>251082251.08225107</v>
      </c>
      <c r="CE78" s="80">
        <f t="shared" ref="CE78" ca="1" si="36">CD81</f>
        <v>238528138.52813852</v>
      </c>
      <c r="CF78" s="80">
        <f t="shared" ref="CF78" ca="1" si="37">CE81</f>
        <v>225974025.97402596</v>
      </c>
      <c r="CG78" s="80">
        <f t="shared" ref="CG78" ca="1" si="38">CF81</f>
        <v>213419913.41991341</v>
      </c>
      <c r="CH78" s="80">
        <f t="shared" ref="CH78" ca="1" si="39">CG81</f>
        <v>200865800.86580086</v>
      </c>
      <c r="CI78" s="80">
        <f t="shared" ref="CI78" ca="1" si="40">CH81</f>
        <v>188311688.3116883</v>
      </c>
      <c r="CJ78" s="80">
        <f t="shared" ref="CJ78" ca="1" si="41">CI81</f>
        <v>175757575.75757575</v>
      </c>
      <c r="CK78" s="80">
        <f t="shared" ref="CK78" ca="1" si="42">CJ81</f>
        <v>163203463.2034632</v>
      </c>
    </row>
    <row r="79" spans="2:89">
      <c r="B79" s="77" t="s">
        <v>114</v>
      </c>
      <c r="C79" s="78"/>
      <c r="D79" s="98">
        <f ca="1">SUM(F79:CK79)</f>
        <v>1054545454.5454545</v>
      </c>
      <c r="E79" s="79"/>
      <c r="F79" s="80">
        <f ca="1">$D$72*(F$13-G$13)/(1+Налоги!F$37)</f>
        <v>0</v>
      </c>
      <c r="G79" s="80">
        <f ca="1">$D$72*(G$13-H$13)/(1+Налоги!G$37)</f>
        <v>0</v>
      </c>
      <c r="H79" s="80">
        <f ca="1">$D$72*(H$13-I$13)/(1+Налоги!H$37)</f>
        <v>0</v>
      </c>
      <c r="I79" s="80">
        <f ca="1">$D$72*(I$13-J$13)/(1+Налоги!I$37)</f>
        <v>0</v>
      </c>
      <c r="J79" s="80">
        <f ca="1">$D$72*(J$13-K$13)/(1+Налоги!J$37)</f>
        <v>0</v>
      </c>
      <c r="K79" s="80">
        <f ca="1">$D$72*(K$13-L$13)/(1+Налоги!K$37)</f>
        <v>0</v>
      </c>
      <c r="L79" s="80">
        <f ca="1">$D$72*(L$13-M$13)/(1+Налоги!L$37)</f>
        <v>0</v>
      </c>
      <c r="M79" s="80">
        <f ca="1">$D$72*(M$13-N$13)/(1+Налоги!M$37)</f>
        <v>0</v>
      </c>
      <c r="N79" s="80">
        <f ca="1">$D$72*(N$13-O$13)/(1+Налоги!N$37)</f>
        <v>0</v>
      </c>
      <c r="O79" s="80">
        <f ca="1">$D$72*(O$13-P$13)/(1+Налоги!O$37)</f>
        <v>0</v>
      </c>
      <c r="P79" s="80">
        <f ca="1">$D$72*(P$13-Q$13)/(1+Налоги!P$37)</f>
        <v>0</v>
      </c>
      <c r="Q79" s="80">
        <f ca="1">$D$72*(Q$13-R$13)/(1+Налоги!Q$37)</f>
        <v>1054545454.5454545</v>
      </c>
      <c r="R79" s="80">
        <f ca="1">$D$72*(R$13-S$13)/(1+Налоги!R$37)</f>
        <v>0</v>
      </c>
      <c r="S79" s="80">
        <f ca="1">$D$72*(S$13-T$13)/(1+Налоги!S$37)</f>
        <v>0</v>
      </c>
      <c r="T79" s="80">
        <f ca="1">$D$72*(T$13-U$13)/(1+Налоги!T$37)</f>
        <v>0</v>
      </c>
      <c r="U79" s="80">
        <f ca="1">$D$72*(U$13-V$13)/(1+Налоги!U$37)</f>
        <v>0</v>
      </c>
      <c r="V79" s="80">
        <f ca="1">$D$72*(V$13-W$13)/(1+Налоги!V$37)</f>
        <v>0</v>
      </c>
      <c r="W79" s="80">
        <f ca="1">$D$72*(W$13-X$13)/(1+Налоги!W$37)</f>
        <v>0</v>
      </c>
      <c r="X79" s="80">
        <f ca="1">$D$72*(X$13-Y$13)/(1+Налоги!X$37)</f>
        <v>0</v>
      </c>
      <c r="Y79" s="80">
        <f ca="1">$D$72*(Y$13-Z$13)/(1+Налоги!Y$37)</f>
        <v>0</v>
      </c>
      <c r="Z79" s="80">
        <f ca="1">$D$72*(Z$13-AA$13)/(1+Налоги!Z$37)</f>
        <v>0</v>
      </c>
      <c r="AA79" s="80">
        <f ca="1">$D$72*(AA$13-AB$13)/(1+Налоги!AA$37)</f>
        <v>0</v>
      </c>
      <c r="AB79" s="80">
        <f ca="1">$D$72*(AB$13-AC$13)/(1+Налоги!AB$37)</f>
        <v>0</v>
      </c>
      <c r="AC79" s="80">
        <f ca="1">$D$72*(AC$13-AD$13)/(1+Налоги!AC$37)</f>
        <v>0</v>
      </c>
      <c r="AD79" s="80">
        <f ca="1">$D$72*(AD$13-AE$13)/(1+Налоги!AD$37)</f>
        <v>0</v>
      </c>
      <c r="AE79" s="80">
        <f ca="1">$D$72*(AE$13-AF$13)/(1+Налоги!AE$37)</f>
        <v>0</v>
      </c>
      <c r="AF79" s="80">
        <f ca="1">$D$72*(AF$13-AG$13)/(1+Налоги!AF$37)</f>
        <v>0</v>
      </c>
      <c r="AG79" s="80">
        <f ca="1">$D$72*(AG$13-AH$13)/(1+Налоги!AG$37)</f>
        <v>0</v>
      </c>
      <c r="AH79" s="80">
        <f ca="1">$D$72*(AH$13-AI$13)/(1+Налоги!AH$37)</f>
        <v>0</v>
      </c>
      <c r="AI79" s="80">
        <f ca="1">$D$72*(AI$13-AJ$13)/(1+Налоги!AI$37)</f>
        <v>0</v>
      </c>
      <c r="AJ79" s="80">
        <f ca="1">$D$72*(AJ$13-AK$13)/(1+Налоги!AJ$37)</f>
        <v>0</v>
      </c>
      <c r="AK79" s="80">
        <f ca="1">$D$72*(AK$13-AL$13)/(1+Налоги!AK$37)</f>
        <v>0</v>
      </c>
      <c r="AL79" s="80">
        <f ca="1">$D$72*(AL$13-AM$13)/(1+Налоги!AL$37)</f>
        <v>0</v>
      </c>
      <c r="AM79" s="80">
        <f ca="1">$D$72*(AM$13-AN$13)/(1+Налоги!AM$37)</f>
        <v>0</v>
      </c>
      <c r="AN79" s="80">
        <f ca="1">$D$72*(AN$13-AO$13)/(1+Налоги!AN$37)</f>
        <v>0</v>
      </c>
      <c r="AO79" s="80">
        <f ca="1">$D$72*(AO$13-AP$13)/(1+Налоги!AO$37)</f>
        <v>0</v>
      </c>
      <c r="AP79" s="80">
        <f ca="1">$D$72*(AP$13-AQ$13)/(1+Налоги!AP$37)</f>
        <v>0</v>
      </c>
      <c r="AQ79" s="80">
        <f ca="1">$D$72*(AQ$13-AR$13)/(1+Налоги!AQ$37)</f>
        <v>0</v>
      </c>
      <c r="AR79" s="80">
        <f ca="1">$D$72*(AR$13-AS$13)/(1+Налоги!AR$37)</f>
        <v>0</v>
      </c>
      <c r="AS79" s="80">
        <f ca="1">$D$72*(AS$13-AT$13)/(1+Налоги!AS$37)</f>
        <v>0</v>
      </c>
      <c r="AT79" s="80">
        <f ca="1">$D$72*(AT$13-AU$13)/(1+Налоги!AT$37)</f>
        <v>0</v>
      </c>
      <c r="AU79" s="80">
        <f ca="1">$D$72*(AU$13-AV$13)/(1+Налоги!AU$37)</f>
        <v>0</v>
      </c>
      <c r="AV79" s="80">
        <f ca="1">$D$72*(AV$13-AW$13)/(1+Налоги!AV$37)</f>
        <v>0</v>
      </c>
      <c r="AW79" s="80">
        <f ca="1">$D$72*(AW$13-AX$13)/(1+Налоги!AW$37)</f>
        <v>0</v>
      </c>
      <c r="AX79" s="80">
        <f ca="1">$D$72*(AX$13-AY$13)/(1+Налоги!AX$37)</f>
        <v>0</v>
      </c>
      <c r="AY79" s="80">
        <f ca="1">$D$72*(AY$13-AZ$13)/(1+Налоги!AY$37)</f>
        <v>0</v>
      </c>
      <c r="AZ79" s="80">
        <f ca="1">$D$72*(AZ$13-BA$13)/(1+Налоги!AZ$37)</f>
        <v>0</v>
      </c>
      <c r="BA79" s="80">
        <f ca="1">$D$72*(BA$13-BB$13)/(1+Налоги!BA$37)</f>
        <v>0</v>
      </c>
      <c r="BB79" s="80">
        <f ca="1">$D$72*(BB$13-BC$13)/(1+Налоги!BB$37)</f>
        <v>0</v>
      </c>
      <c r="BC79" s="80">
        <f ca="1">$D$72*(BC$13-BD$13)/(1+Налоги!BC$37)</f>
        <v>0</v>
      </c>
      <c r="BD79" s="80">
        <f ca="1">$D$72*(BD$13-BE$13)/(1+Налоги!BD$37)</f>
        <v>0</v>
      </c>
      <c r="BE79" s="80">
        <f ca="1">$D$72*(BE$13-BF$13)/(1+Налоги!BE$37)</f>
        <v>0</v>
      </c>
      <c r="BF79" s="80">
        <f ca="1">$D$72*(BF$13-BG$13)/(1+Налоги!BF$37)</f>
        <v>0</v>
      </c>
      <c r="BG79" s="80">
        <f ca="1">$D$72*(BG$13-BH$13)/(1+Налоги!BG$37)</f>
        <v>0</v>
      </c>
      <c r="BH79" s="80">
        <f ca="1">$D$72*(BH$13-BI$13)/(1+Налоги!BH$37)</f>
        <v>0</v>
      </c>
      <c r="BI79" s="80">
        <f ca="1">$D$72*(BI$13-BJ$13)/(1+Налоги!BI$37)</f>
        <v>0</v>
      </c>
      <c r="BJ79" s="80">
        <f ca="1">$D$72*(BJ$13-BK$13)/(1+Налоги!BJ$37)</f>
        <v>0</v>
      </c>
      <c r="BK79" s="80">
        <f ca="1">$D$72*(BK$13-BL$13)/(1+Налоги!BK$37)</f>
        <v>0</v>
      </c>
      <c r="BL79" s="80">
        <f ca="1">$D$72*(BL$13-BM$13)/(1+Налоги!BL$37)</f>
        <v>0</v>
      </c>
      <c r="BM79" s="80">
        <f ca="1">$D$72*(BM$13-BN$13)/(1+Налоги!BM$37)</f>
        <v>0</v>
      </c>
      <c r="BN79" s="80">
        <f ca="1">$D$72*(BN$13-BO$13)/(1+Налоги!BN$37)</f>
        <v>0</v>
      </c>
      <c r="BO79" s="80">
        <f ca="1">$D$72*(BO$13-BP$13)/(1+Налоги!BO$37)</f>
        <v>0</v>
      </c>
      <c r="BP79" s="80">
        <f ca="1">$D$72*(BP$13-BQ$13)/(1+Налоги!BP$37)</f>
        <v>0</v>
      </c>
      <c r="BQ79" s="80">
        <f ca="1">$D$72*(BQ$13-BR$13)/(1+Налоги!BQ$37)</f>
        <v>0</v>
      </c>
      <c r="BR79" s="80">
        <f ca="1">$D$72*(BR$13-BS$13)/(1+Налоги!BR$37)</f>
        <v>0</v>
      </c>
      <c r="BS79" s="80">
        <f ca="1">$D$72*(BS$13-BT$13)/(1+Налоги!BS$37)</f>
        <v>0</v>
      </c>
      <c r="BT79" s="80">
        <f ca="1">$D$72*(BT$13-BU$13)/(1+Налоги!BT$37)</f>
        <v>0</v>
      </c>
      <c r="BU79" s="80">
        <f ca="1">$D$72*(BU$13-BV$13)/(1+Налоги!BU$37)</f>
        <v>0</v>
      </c>
      <c r="BV79" s="80">
        <f ca="1">$D$72*(BV$13-BW$13)/(1+Налоги!BV$37)</f>
        <v>0</v>
      </c>
      <c r="BW79" s="80">
        <f ca="1">$D$72*(BW$13-BX$13)/(1+Налоги!BW$37)</f>
        <v>0</v>
      </c>
      <c r="BX79" s="80">
        <f ca="1">$D$72*(BX$13-BY$13)/(1+Налоги!BX$37)</f>
        <v>0</v>
      </c>
      <c r="BY79" s="80">
        <f ca="1">$D$72*(BY$13-BZ$13)/(1+Налоги!BY$37)</f>
        <v>0</v>
      </c>
      <c r="BZ79" s="80">
        <f ca="1">$D$72*(BZ$13-CA$13)/(1+Налоги!BZ$37)</f>
        <v>0</v>
      </c>
      <c r="CA79" s="80">
        <f ca="1">$D$72*(CA$13-CB$13)/(1+Налоги!CA$37)</f>
        <v>0</v>
      </c>
      <c r="CB79" s="80">
        <f ca="1">$D$72*(CB$13-CC$13)/(1+Налоги!CB$37)</f>
        <v>0</v>
      </c>
      <c r="CC79" s="80">
        <f ca="1">$D$72*(CC$13-CD$13)/(1+Налоги!CC$37)</f>
        <v>0</v>
      </c>
      <c r="CD79" s="80">
        <f ca="1">$D$72*(CD$13-CE$13)/(1+Налоги!CD$37)</f>
        <v>0</v>
      </c>
      <c r="CE79" s="80">
        <f ca="1">$D$72*(CE$13-CF$13)/(1+Налоги!CE$37)</f>
        <v>0</v>
      </c>
      <c r="CF79" s="80">
        <f ca="1">$D$72*(CF$13-CG$13)/(1+Налоги!CF$37)</f>
        <v>0</v>
      </c>
      <c r="CG79" s="80">
        <f ca="1">$D$72*(CG$13-CH$13)/(1+Налоги!CG$37)</f>
        <v>0</v>
      </c>
      <c r="CH79" s="80">
        <f ca="1">$D$72*(CH$13-CI$13)/(1+Налоги!CH$37)</f>
        <v>0</v>
      </c>
      <c r="CI79" s="80">
        <f ca="1">$D$72*(CI$13-CJ$13)/(1+Налоги!CI$37)</f>
        <v>0</v>
      </c>
      <c r="CJ79" s="80">
        <f ca="1">$D$72*(CJ$13-CK$13)/(1+Налоги!CJ$37)</f>
        <v>0</v>
      </c>
      <c r="CK79" s="80">
        <f ca="1">$D$72*(CK$13-CL$13)/(1+Налоги!CK$37)</f>
        <v>0</v>
      </c>
    </row>
    <row r="80" spans="2:89" ht="15.75" thickBot="1">
      <c r="B80" s="45" t="s">
        <v>56</v>
      </c>
      <c r="C80" s="46"/>
      <c r="D80" s="98">
        <f ca="1">SUM(F80:CK80)</f>
        <v>-903896103.89610386</v>
      </c>
      <c r="E80" s="48"/>
      <c r="F80" s="49">
        <f t="shared" ref="F80:AK80" ca="1" si="43">-MIN(F78,$D$79*F$76)*F$14</f>
        <v>0</v>
      </c>
      <c r="G80" s="49">
        <f t="shared" ca="1" si="43"/>
        <v>0</v>
      </c>
      <c r="H80" s="49">
        <f t="shared" ca="1" si="43"/>
        <v>0</v>
      </c>
      <c r="I80" s="49">
        <f t="shared" ca="1" si="43"/>
        <v>0</v>
      </c>
      <c r="J80" s="49">
        <f t="shared" ca="1" si="43"/>
        <v>0</v>
      </c>
      <c r="K80" s="49">
        <f t="shared" ca="1" si="43"/>
        <v>0</v>
      </c>
      <c r="L80" s="49">
        <f t="shared" ca="1" si="43"/>
        <v>0</v>
      </c>
      <c r="M80" s="49">
        <f t="shared" ca="1" si="43"/>
        <v>0</v>
      </c>
      <c r="N80" s="49">
        <f t="shared" ca="1" si="43"/>
        <v>0</v>
      </c>
      <c r="O80" s="49">
        <f t="shared" ca="1" si="43"/>
        <v>0</v>
      </c>
      <c r="P80" s="49">
        <f t="shared" ca="1" si="43"/>
        <v>0</v>
      </c>
      <c r="Q80" s="49">
        <f t="shared" ca="1" si="43"/>
        <v>0</v>
      </c>
      <c r="R80" s="49">
        <f t="shared" ca="1" si="43"/>
        <v>-12554112.554112554</v>
      </c>
      <c r="S80" s="49">
        <f t="shared" ca="1" si="43"/>
        <v>-12554112.554112554</v>
      </c>
      <c r="T80" s="49">
        <f t="shared" ca="1" si="43"/>
        <v>-12554112.554112554</v>
      </c>
      <c r="U80" s="49">
        <f t="shared" ca="1" si="43"/>
        <v>-12554112.554112554</v>
      </c>
      <c r="V80" s="49">
        <f t="shared" ca="1" si="43"/>
        <v>-12554112.554112554</v>
      </c>
      <c r="W80" s="49">
        <f t="shared" ca="1" si="43"/>
        <v>-12554112.554112554</v>
      </c>
      <c r="X80" s="49">
        <f t="shared" ca="1" si="43"/>
        <v>-12554112.554112554</v>
      </c>
      <c r="Y80" s="49">
        <f t="shared" ca="1" si="43"/>
        <v>-12554112.554112554</v>
      </c>
      <c r="Z80" s="49">
        <f t="shared" ca="1" si="43"/>
        <v>-12554112.554112554</v>
      </c>
      <c r="AA80" s="49">
        <f t="shared" ca="1" si="43"/>
        <v>-12554112.554112554</v>
      </c>
      <c r="AB80" s="49">
        <f t="shared" ca="1" si="43"/>
        <v>-12554112.554112554</v>
      </c>
      <c r="AC80" s="49">
        <f t="shared" ca="1" si="43"/>
        <v>-12554112.554112554</v>
      </c>
      <c r="AD80" s="49">
        <f t="shared" ca="1" si="43"/>
        <v>-12554112.554112554</v>
      </c>
      <c r="AE80" s="49">
        <f t="shared" ca="1" si="43"/>
        <v>-12554112.554112554</v>
      </c>
      <c r="AF80" s="49">
        <f t="shared" ca="1" si="43"/>
        <v>-12554112.554112554</v>
      </c>
      <c r="AG80" s="49">
        <f t="shared" ca="1" si="43"/>
        <v>-12554112.554112554</v>
      </c>
      <c r="AH80" s="49">
        <f t="shared" ca="1" si="43"/>
        <v>-12554112.554112554</v>
      </c>
      <c r="AI80" s="49">
        <f t="shared" ca="1" si="43"/>
        <v>-12554112.554112554</v>
      </c>
      <c r="AJ80" s="49">
        <f t="shared" ca="1" si="43"/>
        <v>-12554112.554112554</v>
      </c>
      <c r="AK80" s="49">
        <f t="shared" ca="1" si="43"/>
        <v>-12554112.554112554</v>
      </c>
      <c r="AL80" s="49">
        <f t="shared" ref="AL80:BM80" ca="1" si="44">-MIN(AL78,$D$79*AL$76)*AL$14</f>
        <v>-12554112.554112554</v>
      </c>
      <c r="AM80" s="49">
        <f t="shared" ca="1" si="44"/>
        <v>-12554112.554112554</v>
      </c>
      <c r="AN80" s="49">
        <f t="shared" ca="1" si="44"/>
        <v>-12554112.554112554</v>
      </c>
      <c r="AO80" s="49">
        <f t="shared" ca="1" si="44"/>
        <v>-12554112.554112554</v>
      </c>
      <c r="AP80" s="49">
        <f t="shared" ca="1" si="44"/>
        <v>-12554112.554112554</v>
      </c>
      <c r="AQ80" s="49">
        <f t="shared" ca="1" si="44"/>
        <v>-12554112.554112554</v>
      </c>
      <c r="AR80" s="49">
        <f t="shared" ca="1" si="44"/>
        <v>-12554112.554112554</v>
      </c>
      <c r="AS80" s="49">
        <f t="shared" ca="1" si="44"/>
        <v>-12554112.554112554</v>
      </c>
      <c r="AT80" s="49">
        <f t="shared" ca="1" si="44"/>
        <v>-12554112.554112554</v>
      </c>
      <c r="AU80" s="49">
        <f t="shared" ca="1" si="44"/>
        <v>-12554112.554112554</v>
      </c>
      <c r="AV80" s="49">
        <f t="shared" ca="1" si="44"/>
        <v>-12554112.554112554</v>
      </c>
      <c r="AW80" s="49">
        <f t="shared" ca="1" si="44"/>
        <v>-12554112.554112554</v>
      </c>
      <c r="AX80" s="49">
        <f t="shared" ca="1" si="44"/>
        <v>-12554112.554112554</v>
      </c>
      <c r="AY80" s="49">
        <f t="shared" ca="1" si="44"/>
        <v>-12554112.554112554</v>
      </c>
      <c r="AZ80" s="49">
        <f t="shared" ca="1" si="44"/>
        <v>-12554112.554112554</v>
      </c>
      <c r="BA80" s="49">
        <f t="shared" ca="1" si="44"/>
        <v>-12554112.554112554</v>
      </c>
      <c r="BB80" s="49">
        <f t="shared" ca="1" si="44"/>
        <v>-12554112.554112554</v>
      </c>
      <c r="BC80" s="49">
        <f t="shared" ca="1" si="44"/>
        <v>-12554112.554112554</v>
      </c>
      <c r="BD80" s="49">
        <f t="shared" ca="1" si="44"/>
        <v>-12554112.554112554</v>
      </c>
      <c r="BE80" s="49">
        <f t="shared" ca="1" si="44"/>
        <v>-12554112.554112554</v>
      </c>
      <c r="BF80" s="49">
        <f t="shared" ca="1" si="44"/>
        <v>-12554112.554112554</v>
      </c>
      <c r="BG80" s="49">
        <f t="shared" ca="1" si="44"/>
        <v>-12554112.554112554</v>
      </c>
      <c r="BH80" s="49">
        <f t="shared" ca="1" si="44"/>
        <v>-12554112.554112554</v>
      </c>
      <c r="BI80" s="49">
        <f t="shared" ca="1" si="44"/>
        <v>-12554112.554112554</v>
      </c>
      <c r="BJ80" s="49">
        <f t="shared" ca="1" si="44"/>
        <v>-12554112.554112554</v>
      </c>
      <c r="BK80" s="49">
        <f t="shared" ca="1" si="44"/>
        <v>-12554112.554112554</v>
      </c>
      <c r="BL80" s="49">
        <f t="shared" ca="1" si="44"/>
        <v>-12554112.554112554</v>
      </c>
      <c r="BM80" s="49">
        <f t="shared" ca="1" si="44"/>
        <v>-12554112.554112554</v>
      </c>
      <c r="BN80" s="49">
        <f t="shared" ref="BN80:CK80" ca="1" si="45">-MIN(BN78,$D$79*BN$76)*BN$14</f>
        <v>-12554112.554112554</v>
      </c>
      <c r="BO80" s="49">
        <f t="shared" ca="1" si="45"/>
        <v>-12554112.554112554</v>
      </c>
      <c r="BP80" s="49">
        <f t="shared" ca="1" si="45"/>
        <v>-12554112.554112554</v>
      </c>
      <c r="BQ80" s="49">
        <f t="shared" ca="1" si="45"/>
        <v>-12554112.554112554</v>
      </c>
      <c r="BR80" s="49">
        <f t="shared" ca="1" si="45"/>
        <v>-12554112.554112554</v>
      </c>
      <c r="BS80" s="49">
        <f t="shared" ca="1" si="45"/>
        <v>-12554112.554112554</v>
      </c>
      <c r="BT80" s="49">
        <f t="shared" ca="1" si="45"/>
        <v>-12554112.554112554</v>
      </c>
      <c r="BU80" s="49">
        <f t="shared" ca="1" si="45"/>
        <v>-12554112.554112554</v>
      </c>
      <c r="BV80" s="49">
        <f t="shared" ca="1" si="45"/>
        <v>-12554112.554112554</v>
      </c>
      <c r="BW80" s="49">
        <f t="shared" ca="1" si="45"/>
        <v>-12554112.554112554</v>
      </c>
      <c r="BX80" s="49">
        <f t="shared" ca="1" si="45"/>
        <v>-12554112.554112554</v>
      </c>
      <c r="BY80" s="49">
        <f t="shared" ca="1" si="45"/>
        <v>-12554112.554112554</v>
      </c>
      <c r="BZ80" s="49">
        <f t="shared" ca="1" si="45"/>
        <v>-12554112.554112554</v>
      </c>
      <c r="CA80" s="49">
        <f t="shared" ca="1" si="45"/>
        <v>-12554112.554112554</v>
      </c>
      <c r="CB80" s="49">
        <f t="shared" ca="1" si="45"/>
        <v>-12554112.554112554</v>
      </c>
      <c r="CC80" s="49">
        <f t="shared" ca="1" si="45"/>
        <v>-12554112.554112554</v>
      </c>
      <c r="CD80" s="49">
        <f t="shared" ca="1" si="45"/>
        <v>-12554112.554112554</v>
      </c>
      <c r="CE80" s="49">
        <f t="shared" ca="1" si="45"/>
        <v>-12554112.554112554</v>
      </c>
      <c r="CF80" s="49">
        <f t="shared" ca="1" si="45"/>
        <v>-12554112.554112554</v>
      </c>
      <c r="CG80" s="49">
        <f t="shared" ca="1" si="45"/>
        <v>-12554112.554112554</v>
      </c>
      <c r="CH80" s="49">
        <f t="shared" ca="1" si="45"/>
        <v>-12554112.554112554</v>
      </c>
      <c r="CI80" s="49">
        <f t="shared" ca="1" si="45"/>
        <v>-12554112.554112554</v>
      </c>
      <c r="CJ80" s="49">
        <f t="shared" ca="1" si="45"/>
        <v>-12554112.554112554</v>
      </c>
      <c r="CK80" s="49">
        <f t="shared" ca="1" si="45"/>
        <v>-12554112.554112554</v>
      </c>
    </row>
    <row r="81" spans="2:89" ht="15.75" thickTop="1">
      <c r="B81" s="50" t="s">
        <v>58</v>
      </c>
      <c r="C81" s="51"/>
      <c r="D81" s="52">
        <f ca="1">SUM(D78:D80)</f>
        <v>150649350.64935064</v>
      </c>
      <c r="E81" s="53"/>
      <c r="F81" s="54">
        <f ca="1">SUM(F78:F80)</f>
        <v>0</v>
      </c>
      <c r="G81" s="54">
        <f t="shared" ref="G81:AG81" ca="1" si="46">SUM(G78:G80)</f>
        <v>0</v>
      </c>
      <c r="H81" s="54">
        <f t="shared" ca="1" si="46"/>
        <v>0</v>
      </c>
      <c r="I81" s="54">
        <f t="shared" ca="1" si="46"/>
        <v>0</v>
      </c>
      <c r="J81" s="54">
        <f t="shared" ca="1" si="46"/>
        <v>0</v>
      </c>
      <c r="K81" s="54">
        <f t="shared" ca="1" si="46"/>
        <v>0</v>
      </c>
      <c r="L81" s="54">
        <f t="shared" ca="1" si="46"/>
        <v>0</v>
      </c>
      <c r="M81" s="54">
        <f t="shared" ca="1" si="46"/>
        <v>0</v>
      </c>
      <c r="N81" s="54">
        <f t="shared" ca="1" si="46"/>
        <v>0</v>
      </c>
      <c r="O81" s="54">
        <f t="shared" ca="1" si="46"/>
        <v>0</v>
      </c>
      <c r="P81" s="54">
        <f t="shared" ca="1" si="46"/>
        <v>0</v>
      </c>
      <c r="Q81" s="54">
        <f t="shared" ca="1" si="46"/>
        <v>1054545454.5454545</v>
      </c>
      <c r="R81" s="54">
        <f t="shared" ca="1" si="46"/>
        <v>1041991341.9913419</v>
      </c>
      <c r="S81" s="54">
        <f t="shared" ca="1" si="46"/>
        <v>1029437229.4372294</v>
      </c>
      <c r="T81" s="54">
        <f t="shared" ca="1" si="46"/>
        <v>1016883116.8831168</v>
      </c>
      <c r="U81" s="54">
        <f t="shared" ca="1" si="46"/>
        <v>1004329004.3290043</v>
      </c>
      <c r="V81" s="54">
        <f t="shared" ca="1" si="46"/>
        <v>991774891.77489173</v>
      </c>
      <c r="W81" s="54">
        <f t="shared" ca="1" si="46"/>
        <v>979220779.22077918</v>
      </c>
      <c r="X81" s="54">
        <f t="shared" ca="1" si="46"/>
        <v>966666666.66666663</v>
      </c>
      <c r="Y81" s="54">
        <f t="shared" ca="1" si="46"/>
        <v>954112554.11255407</v>
      </c>
      <c r="Z81" s="54">
        <f t="shared" ca="1" si="46"/>
        <v>941558441.55844152</v>
      </c>
      <c r="AA81" s="54">
        <f t="shared" ca="1" si="46"/>
        <v>929004329.00432897</v>
      </c>
      <c r="AB81" s="54">
        <f t="shared" ca="1" si="46"/>
        <v>916450216.45021641</v>
      </c>
      <c r="AC81" s="54">
        <f t="shared" ca="1" si="46"/>
        <v>903896103.89610386</v>
      </c>
      <c r="AD81" s="54">
        <f t="shared" ca="1" si="46"/>
        <v>891341991.34199131</v>
      </c>
      <c r="AE81" s="54">
        <f t="shared" ca="1" si="46"/>
        <v>878787878.78787875</v>
      </c>
      <c r="AF81" s="54">
        <f t="shared" ca="1" si="46"/>
        <v>866233766.2337662</v>
      </c>
      <c r="AG81" s="54">
        <f t="shared" ca="1" si="46"/>
        <v>853679653.67965364</v>
      </c>
      <c r="AH81" s="54">
        <f t="shared" ref="AH81:BM81" ca="1" si="47">SUM(AH78:AH80)</f>
        <v>841125541.12554109</v>
      </c>
      <c r="AI81" s="54">
        <f t="shared" ca="1" si="47"/>
        <v>828571428.57142854</v>
      </c>
      <c r="AJ81" s="54">
        <f t="shared" ca="1" si="47"/>
        <v>816017316.01731598</v>
      </c>
      <c r="AK81" s="54">
        <f t="shared" ca="1" si="47"/>
        <v>803463203.46320343</v>
      </c>
      <c r="AL81" s="54">
        <f t="shared" ca="1" si="47"/>
        <v>790909090.90909088</v>
      </c>
      <c r="AM81" s="54">
        <f t="shared" ca="1" si="47"/>
        <v>778354978.35497832</v>
      </c>
      <c r="AN81" s="54">
        <f t="shared" ca="1" si="47"/>
        <v>765800865.80086577</v>
      </c>
      <c r="AO81" s="54">
        <f t="shared" ca="1" si="47"/>
        <v>753246753.24675322</v>
      </c>
      <c r="AP81" s="54">
        <f t="shared" ca="1" si="47"/>
        <v>740692640.69264066</v>
      </c>
      <c r="AQ81" s="54">
        <f t="shared" ca="1" si="47"/>
        <v>728138528.13852811</v>
      </c>
      <c r="AR81" s="54">
        <f t="shared" ca="1" si="47"/>
        <v>715584415.58441556</v>
      </c>
      <c r="AS81" s="54">
        <f t="shared" ca="1" si="47"/>
        <v>703030303.030303</v>
      </c>
      <c r="AT81" s="54">
        <f t="shared" ca="1" si="47"/>
        <v>690476190.47619045</v>
      </c>
      <c r="AU81" s="54">
        <f t="shared" ca="1" si="47"/>
        <v>677922077.92207789</v>
      </c>
      <c r="AV81" s="54">
        <f t="shared" ca="1" si="47"/>
        <v>665367965.36796534</v>
      </c>
      <c r="AW81" s="54">
        <f t="shared" ca="1" si="47"/>
        <v>652813852.81385279</v>
      </c>
      <c r="AX81" s="54">
        <f t="shared" ca="1" si="47"/>
        <v>640259740.25974023</v>
      </c>
      <c r="AY81" s="54">
        <f t="shared" ca="1" si="47"/>
        <v>627705627.70562768</v>
      </c>
      <c r="AZ81" s="54">
        <f t="shared" ca="1" si="47"/>
        <v>615151515.15151513</v>
      </c>
      <c r="BA81" s="54">
        <f t="shared" ca="1" si="47"/>
        <v>602597402.59740257</v>
      </c>
      <c r="BB81" s="54">
        <f t="shared" ca="1" si="47"/>
        <v>590043290.04329002</v>
      </c>
      <c r="BC81" s="54">
        <f t="shared" ca="1" si="47"/>
        <v>577489177.48917747</v>
      </c>
      <c r="BD81" s="54">
        <f t="shared" ca="1" si="47"/>
        <v>564935064.93506491</v>
      </c>
      <c r="BE81" s="54">
        <f t="shared" ca="1" si="47"/>
        <v>552380952.38095236</v>
      </c>
      <c r="BF81" s="54">
        <f t="shared" ca="1" si="47"/>
        <v>539826839.8268398</v>
      </c>
      <c r="BG81" s="54">
        <f t="shared" ca="1" si="47"/>
        <v>527272727.27272725</v>
      </c>
      <c r="BH81" s="54">
        <f t="shared" ca="1" si="47"/>
        <v>514718614.7186147</v>
      </c>
      <c r="BI81" s="54">
        <f t="shared" ca="1" si="47"/>
        <v>502164502.16450214</v>
      </c>
      <c r="BJ81" s="54">
        <f t="shared" ca="1" si="47"/>
        <v>489610389.61038959</v>
      </c>
      <c r="BK81" s="54">
        <f t="shared" ca="1" si="47"/>
        <v>477056277.05627704</v>
      </c>
      <c r="BL81" s="54">
        <f t="shared" ca="1" si="47"/>
        <v>464502164.50216448</v>
      </c>
      <c r="BM81" s="54">
        <f t="shared" ca="1" si="47"/>
        <v>451948051.94805193</v>
      </c>
      <c r="BN81" s="54">
        <f t="shared" ref="BN81:CK81" ca="1" si="48">SUM(BN78:BN80)</f>
        <v>439393939.39393938</v>
      </c>
      <c r="BO81" s="54">
        <f t="shared" ca="1" si="48"/>
        <v>426839826.83982682</v>
      </c>
      <c r="BP81" s="54">
        <f t="shared" ca="1" si="48"/>
        <v>414285714.28571427</v>
      </c>
      <c r="BQ81" s="54">
        <f t="shared" ca="1" si="48"/>
        <v>401731601.73160172</v>
      </c>
      <c r="BR81" s="54">
        <f t="shared" ca="1" si="48"/>
        <v>389177489.17748916</v>
      </c>
      <c r="BS81" s="54">
        <f t="shared" ca="1" si="48"/>
        <v>376623376.62337661</v>
      </c>
      <c r="BT81" s="54">
        <f t="shared" ca="1" si="48"/>
        <v>364069264.06926405</v>
      </c>
      <c r="BU81" s="54">
        <f t="shared" ca="1" si="48"/>
        <v>351515151.5151515</v>
      </c>
      <c r="BV81" s="54">
        <f t="shared" ca="1" si="48"/>
        <v>338961038.96103895</v>
      </c>
      <c r="BW81" s="54">
        <f t="shared" ca="1" si="48"/>
        <v>326406926.40692639</v>
      </c>
      <c r="BX81" s="54">
        <f t="shared" ca="1" si="48"/>
        <v>313852813.85281384</v>
      </c>
      <c r="BY81" s="54">
        <f t="shared" ca="1" si="48"/>
        <v>301298701.29870129</v>
      </c>
      <c r="BZ81" s="54">
        <f t="shared" ca="1" si="48"/>
        <v>288744588.74458873</v>
      </c>
      <c r="CA81" s="54">
        <f t="shared" ca="1" si="48"/>
        <v>276190476.19047618</v>
      </c>
      <c r="CB81" s="54">
        <f t="shared" ca="1" si="48"/>
        <v>263636363.63636363</v>
      </c>
      <c r="CC81" s="54">
        <f t="shared" ca="1" si="48"/>
        <v>251082251.08225107</v>
      </c>
      <c r="CD81" s="54">
        <f t="shared" ca="1" si="48"/>
        <v>238528138.52813852</v>
      </c>
      <c r="CE81" s="54">
        <f t="shared" ca="1" si="48"/>
        <v>225974025.97402596</v>
      </c>
      <c r="CF81" s="54">
        <f t="shared" ca="1" si="48"/>
        <v>213419913.41991341</v>
      </c>
      <c r="CG81" s="54">
        <f t="shared" ca="1" si="48"/>
        <v>200865800.86580086</v>
      </c>
      <c r="CH81" s="54">
        <f t="shared" ca="1" si="48"/>
        <v>188311688.3116883</v>
      </c>
      <c r="CI81" s="54">
        <f t="shared" ca="1" si="48"/>
        <v>175757575.75757575</v>
      </c>
      <c r="CJ81" s="54">
        <f t="shared" ca="1" si="48"/>
        <v>163203463.2034632</v>
      </c>
      <c r="CK81" s="54">
        <f t="shared" ca="1" si="48"/>
        <v>150649350.64935064</v>
      </c>
    </row>
    <row r="82" spans="2:89"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</row>
    <row r="83" spans="2:89" ht="18" thickBot="1">
      <c r="B83" s="100" t="str">
        <f>"Задолженность по капитальным затратам, в "&amp;Ед_измерения_денег&amp;" в т.ч. НДС"</f>
        <v>Задолженность по капитальным затратам, в  руб. в т.ч. НДС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</row>
    <row r="84" spans="2:89" ht="15.75" thickTop="1">
      <c r="B84" s="14"/>
      <c r="C84" s="14"/>
      <c r="D84" s="186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</row>
    <row r="85" spans="2:89">
      <c r="B85" s="77" t="s">
        <v>57</v>
      </c>
      <c r="C85" s="78"/>
      <c r="D85" s="98">
        <v>0</v>
      </c>
      <c r="E85" s="79"/>
      <c r="F85" s="80">
        <f t="shared" ref="F85:AK85" si="49">E88</f>
        <v>0</v>
      </c>
      <c r="G85" s="80">
        <f t="shared" ca="1" si="49"/>
        <v>65740000.000000007</v>
      </c>
      <c r="H85" s="80">
        <f t="shared" ca="1" si="49"/>
        <v>131480000.00000001</v>
      </c>
      <c r="I85" s="80">
        <f t="shared" ca="1" si="49"/>
        <v>192750000.00000003</v>
      </c>
      <c r="J85" s="80">
        <f t="shared" ca="1" si="49"/>
        <v>340980000</v>
      </c>
      <c r="K85" s="80">
        <f t="shared" ca="1" si="49"/>
        <v>489210000</v>
      </c>
      <c r="L85" s="80">
        <f t="shared" ca="1" si="49"/>
        <v>633110000</v>
      </c>
      <c r="M85" s="80">
        <f t="shared" ca="1" si="49"/>
        <v>727310000</v>
      </c>
      <c r="N85" s="80">
        <f t="shared" ca="1" si="49"/>
        <v>827210000</v>
      </c>
      <c r="O85" s="80">
        <f t="shared" ca="1" si="49"/>
        <v>931610000</v>
      </c>
      <c r="P85" s="80">
        <f t="shared" ca="1" si="49"/>
        <v>999170000</v>
      </c>
      <c r="Q85" s="80">
        <f t="shared" ca="1" si="49"/>
        <v>1073800000</v>
      </c>
      <c r="R85" s="80">
        <f t="shared" ca="1" si="49"/>
        <v>0</v>
      </c>
      <c r="S85" s="80">
        <f t="shared" ca="1" si="49"/>
        <v>0</v>
      </c>
      <c r="T85" s="80">
        <f t="shared" ca="1" si="49"/>
        <v>0</v>
      </c>
      <c r="U85" s="80">
        <f t="shared" ca="1" si="49"/>
        <v>0</v>
      </c>
      <c r="V85" s="80">
        <f t="shared" ca="1" si="49"/>
        <v>0</v>
      </c>
      <c r="W85" s="80">
        <f t="shared" ca="1" si="49"/>
        <v>0</v>
      </c>
      <c r="X85" s="80">
        <f t="shared" ca="1" si="49"/>
        <v>0</v>
      </c>
      <c r="Y85" s="80">
        <f t="shared" ca="1" si="49"/>
        <v>0</v>
      </c>
      <c r="Z85" s="80">
        <f t="shared" ca="1" si="49"/>
        <v>0</v>
      </c>
      <c r="AA85" s="80">
        <f t="shared" ca="1" si="49"/>
        <v>0</v>
      </c>
      <c r="AB85" s="80">
        <f t="shared" ca="1" si="49"/>
        <v>0</v>
      </c>
      <c r="AC85" s="80">
        <f t="shared" ca="1" si="49"/>
        <v>0</v>
      </c>
      <c r="AD85" s="80">
        <f t="shared" ca="1" si="49"/>
        <v>0</v>
      </c>
      <c r="AE85" s="80">
        <f t="shared" ca="1" si="49"/>
        <v>0</v>
      </c>
      <c r="AF85" s="80">
        <f t="shared" ca="1" si="49"/>
        <v>0</v>
      </c>
      <c r="AG85" s="80">
        <f t="shared" ca="1" si="49"/>
        <v>0</v>
      </c>
      <c r="AH85" s="80">
        <f t="shared" ca="1" si="49"/>
        <v>0</v>
      </c>
      <c r="AI85" s="80">
        <f t="shared" ca="1" si="49"/>
        <v>0</v>
      </c>
      <c r="AJ85" s="80">
        <f t="shared" ca="1" si="49"/>
        <v>0</v>
      </c>
      <c r="AK85" s="80">
        <f t="shared" ca="1" si="49"/>
        <v>0</v>
      </c>
      <c r="AL85" s="80">
        <f t="shared" ref="AL85:BM85" ca="1" si="50">AK88</f>
        <v>0</v>
      </c>
      <c r="AM85" s="80">
        <f t="shared" ca="1" si="50"/>
        <v>0</v>
      </c>
      <c r="AN85" s="80">
        <f t="shared" ca="1" si="50"/>
        <v>0</v>
      </c>
      <c r="AO85" s="80">
        <f t="shared" ca="1" si="50"/>
        <v>0</v>
      </c>
      <c r="AP85" s="80">
        <f t="shared" ca="1" si="50"/>
        <v>0</v>
      </c>
      <c r="AQ85" s="80">
        <f t="shared" ca="1" si="50"/>
        <v>0</v>
      </c>
      <c r="AR85" s="80">
        <f t="shared" ca="1" si="50"/>
        <v>0</v>
      </c>
      <c r="AS85" s="80">
        <f t="shared" ca="1" si="50"/>
        <v>0</v>
      </c>
      <c r="AT85" s="80">
        <f t="shared" ca="1" si="50"/>
        <v>0</v>
      </c>
      <c r="AU85" s="80">
        <f t="shared" ca="1" si="50"/>
        <v>0</v>
      </c>
      <c r="AV85" s="80">
        <f t="shared" ca="1" si="50"/>
        <v>0</v>
      </c>
      <c r="AW85" s="80">
        <f t="shared" ca="1" si="50"/>
        <v>0</v>
      </c>
      <c r="AX85" s="80">
        <f t="shared" ca="1" si="50"/>
        <v>0</v>
      </c>
      <c r="AY85" s="80">
        <f t="shared" ca="1" si="50"/>
        <v>0</v>
      </c>
      <c r="AZ85" s="80">
        <f t="shared" ca="1" si="50"/>
        <v>0</v>
      </c>
      <c r="BA85" s="80">
        <f t="shared" ca="1" si="50"/>
        <v>0</v>
      </c>
      <c r="BB85" s="80">
        <f t="shared" ca="1" si="50"/>
        <v>0</v>
      </c>
      <c r="BC85" s="80">
        <f t="shared" ca="1" si="50"/>
        <v>0</v>
      </c>
      <c r="BD85" s="80">
        <f t="shared" ca="1" si="50"/>
        <v>0</v>
      </c>
      <c r="BE85" s="80">
        <f t="shared" ca="1" si="50"/>
        <v>0</v>
      </c>
      <c r="BF85" s="80">
        <f t="shared" ca="1" si="50"/>
        <v>0</v>
      </c>
      <c r="BG85" s="80">
        <f t="shared" ca="1" si="50"/>
        <v>0</v>
      </c>
      <c r="BH85" s="80">
        <f t="shared" ca="1" si="50"/>
        <v>0</v>
      </c>
      <c r="BI85" s="80">
        <f t="shared" ca="1" si="50"/>
        <v>0</v>
      </c>
      <c r="BJ85" s="80">
        <f t="shared" ca="1" si="50"/>
        <v>0</v>
      </c>
      <c r="BK85" s="80">
        <f t="shared" ca="1" si="50"/>
        <v>0</v>
      </c>
      <c r="BL85" s="80">
        <f t="shared" ca="1" si="50"/>
        <v>0</v>
      </c>
      <c r="BM85" s="80">
        <f t="shared" ca="1" si="50"/>
        <v>0</v>
      </c>
      <c r="BN85" s="80">
        <f t="shared" ref="BN85" ca="1" si="51">BM88</f>
        <v>0</v>
      </c>
      <c r="BO85" s="80">
        <f t="shared" ref="BO85" ca="1" si="52">BN88</f>
        <v>0</v>
      </c>
      <c r="BP85" s="80">
        <f t="shared" ref="BP85" ca="1" si="53">BO88</f>
        <v>0</v>
      </c>
      <c r="BQ85" s="80">
        <f t="shared" ref="BQ85" ca="1" si="54">BP88</f>
        <v>0</v>
      </c>
      <c r="BR85" s="80">
        <f t="shared" ref="BR85" ca="1" si="55">BQ88</f>
        <v>0</v>
      </c>
      <c r="BS85" s="80">
        <f t="shared" ref="BS85" ca="1" si="56">BR88</f>
        <v>0</v>
      </c>
      <c r="BT85" s="80">
        <f t="shared" ref="BT85" ca="1" si="57">BS88</f>
        <v>0</v>
      </c>
      <c r="BU85" s="80">
        <f t="shared" ref="BU85" ca="1" si="58">BT88</f>
        <v>0</v>
      </c>
      <c r="BV85" s="80">
        <f t="shared" ref="BV85" ca="1" si="59">BU88</f>
        <v>0</v>
      </c>
      <c r="BW85" s="80">
        <f t="shared" ref="BW85" ca="1" si="60">BV88</f>
        <v>0</v>
      </c>
      <c r="BX85" s="80">
        <f t="shared" ref="BX85" ca="1" si="61">BW88</f>
        <v>0</v>
      </c>
      <c r="BY85" s="80">
        <f t="shared" ref="BY85" ca="1" si="62">BX88</f>
        <v>0</v>
      </c>
      <c r="BZ85" s="80">
        <f t="shared" ref="BZ85" ca="1" si="63">BY88</f>
        <v>0</v>
      </c>
      <c r="CA85" s="80">
        <f t="shared" ref="CA85" ca="1" si="64">BZ88</f>
        <v>0</v>
      </c>
      <c r="CB85" s="80">
        <f t="shared" ref="CB85" ca="1" si="65">CA88</f>
        <v>0</v>
      </c>
      <c r="CC85" s="80">
        <f t="shared" ref="CC85" ca="1" si="66">CB88</f>
        <v>0</v>
      </c>
      <c r="CD85" s="80">
        <f t="shared" ref="CD85" ca="1" si="67">CC88</f>
        <v>0</v>
      </c>
      <c r="CE85" s="80">
        <f t="shared" ref="CE85" ca="1" si="68">CD88</f>
        <v>0</v>
      </c>
      <c r="CF85" s="80">
        <f t="shared" ref="CF85" ca="1" si="69">CE88</f>
        <v>0</v>
      </c>
      <c r="CG85" s="80">
        <f t="shared" ref="CG85" ca="1" si="70">CF88</f>
        <v>0</v>
      </c>
      <c r="CH85" s="80">
        <f t="shared" ref="CH85" ca="1" si="71">CG88</f>
        <v>0</v>
      </c>
      <c r="CI85" s="80">
        <f t="shared" ref="CI85" ca="1" si="72">CH88</f>
        <v>0</v>
      </c>
      <c r="CJ85" s="80">
        <f t="shared" ref="CJ85" ca="1" si="73">CI88</f>
        <v>0</v>
      </c>
      <c r="CK85" s="80">
        <f t="shared" ref="CK85" ca="1" si="74">CJ88</f>
        <v>0</v>
      </c>
    </row>
    <row r="86" spans="2:89">
      <c r="B86" s="77" t="s">
        <v>285</v>
      </c>
      <c r="C86" s="78"/>
      <c r="D86" s="98">
        <f>SUM(F86:BM86)</f>
        <v>1160000000</v>
      </c>
      <c r="E86" s="79"/>
      <c r="F86" s="80">
        <f>F72</f>
        <v>65740000.000000007</v>
      </c>
      <c r="G86" s="80">
        <f t="shared" ref="G86:BM86" si="75">G72</f>
        <v>65740000.000000007</v>
      </c>
      <c r="H86" s="80">
        <f t="shared" si="75"/>
        <v>61270000.000000007</v>
      </c>
      <c r="I86" s="80">
        <f t="shared" si="75"/>
        <v>148230000</v>
      </c>
      <c r="J86" s="80">
        <f t="shared" si="75"/>
        <v>148230000</v>
      </c>
      <c r="K86" s="80">
        <f t="shared" si="75"/>
        <v>143900000</v>
      </c>
      <c r="L86" s="80">
        <f t="shared" si="75"/>
        <v>94200000</v>
      </c>
      <c r="M86" s="80">
        <f t="shared" si="75"/>
        <v>99900000</v>
      </c>
      <c r="N86" s="80">
        <f t="shared" si="75"/>
        <v>104400000</v>
      </c>
      <c r="O86" s="80">
        <f t="shared" si="75"/>
        <v>67560000</v>
      </c>
      <c r="P86" s="80">
        <f t="shared" si="75"/>
        <v>74630000</v>
      </c>
      <c r="Q86" s="80">
        <f t="shared" si="75"/>
        <v>86200000</v>
      </c>
      <c r="R86" s="80">
        <f t="shared" si="75"/>
        <v>0</v>
      </c>
      <c r="S86" s="80">
        <f t="shared" si="75"/>
        <v>0</v>
      </c>
      <c r="T86" s="80">
        <f t="shared" si="75"/>
        <v>0</v>
      </c>
      <c r="U86" s="80">
        <f t="shared" si="75"/>
        <v>0</v>
      </c>
      <c r="V86" s="80">
        <f t="shared" si="75"/>
        <v>0</v>
      </c>
      <c r="W86" s="80">
        <f t="shared" si="75"/>
        <v>0</v>
      </c>
      <c r="X86" s="80">
        <f t="shared" si="75"/>
        <v>0</v>
      </c>
      <c r="Y86" s="80">
        <f t="shared" si="75"/>
        <v>0</v>
      </c>
      <c r="Z86" s="80">
        <f t="shared" si="75"/>
        <v>0</v>
      </c>
      <c r="AA86" s="80">
        <f t="shared" si="75"/>
        <v>0</v>
      </c>
      <c r="AB86" s="80">
        <f t="shared" si="75"/>
        <v>0</v>
      </c>
      <c r="AC86" s="80">
        <f t="shared" si="75"/>
        <v>0</v>
      </c>
      <c r="AD86" s="80">
        <f t="shared" si="75"/>
        <v>0</v>
      </c>
      <c r="AE86" s="80">
        <f t="shared" si="75"/>
        <v>0</v>
      </c>
      <c r="AF86" s="80">
        <f t="shared" si="75"/>
        <v>0</v>
      </c>
      <c r="AG86" s="80">
        <f t="shared" si="75"/>
        <v>0</v>
      </c>
      <c r="AH86" s="80">
        <f t="shared" si="75"/>
        <v>0</v>
      </c>
      <c r="AI86" s="80">
        <f t="shared" si="75"/>
        <v>0</v>
      </c>
      <c r="AJ86" s="80">
        <f t="shared" si="75"/>
        <v>0</v>
      </c>
      <c r="AK86" s="80">
        <f t="shared" si="75"/>
        <v>0</v>
      </c>
      <c r="AL86" s="80">
        <f t="shared" si="75"/>
        <v>0</v>
      </c>
      <c r="AM86" s="80">
        <f t="shared" si="75"/>
        <v>0</v>
      </c>
      <c r="AN86" s="80">
        <f t="shared" si="75"/>
        <v>0</v>
      </c>
      <c r="AO86" s="80">
        <f t="shared" si="75"/>
        <v>0</v>
      </c>
      <c r="AP86" s="80">
        <f t="shared" si="75"/>
        <v>0</v>
      </c>
      <c r="AQ86" s="80">
        <f t="shared" si="75"/>
        <v>0</v>
      </c>
      <c r="AR86" s="80">
        <f t="shared" si="75"/>
        <v>0</v>
      </c>
      <c r="AS86" s="80">
        <f t="shared" si="75"/>
        <v>0</v>
      </c>
      <c r="AT86" s="80">
        <f t="shared" si="75"/>
        <v>0</v>
      </c>
      <c r="AU86" s="80">
        <f t="shared" si="75"/>
        <v>0</v>
      </c>
      <c r="AV86" s="80">
        <f t="shared" si="75"/>
        <v>0</v>
      </c>
      <c r="AW86" s="80">
        <f t="shared" si="75"/>
        <v>0</v>
      </c>
      <c r="AX86" s="80">
        <f t="shared" si="75"/>
        <v>0</v>
      </c>
      <c r="AY86" s="80">
        <f t="shared" si="75"/>
        <v>0</v>
      </c>
      <c r="AZ86" s="80">
        <f t="shared" si="75"/>
        <v>0</v>
      </c>
      <c r="BA86" s="80">
        <f t="shared" si="75"/>
        <v>0</v>
      </c>
      <c r="BB86" s="80">
        <f t="shared" si="75"/>
        <v>0</v>
      </c>
      <c r="BC86" s="80">
        <f t="shared" si="75"/>
        <v>0</v>
      </c>
      <c r="BD86" s="80">
        <f t="shared" si="75"/>
        <v>0</v>
      </c>
      <c r="BE86" s="80">
        <f t="shared" si="75"/>
        <v>0</v>
      </c>
      <c r="BF86" s="80">
        <f t="shared" si="75"/>
        <v>0</v>
      </c>
      <c r="BG86" s="80">
        <f t="shared" si="75"/>
        <v>0</v>
      </c>
      <c r="BH86" s="80">
        <f t="shared" si="75"/>
        <v>0</v>
      </c>
      <c r="BI86" s="80">
        <f t="shared" si="75"/>
        <v>0</v>
      </c>
      <c r="BJ86" s="80">
        <f t="shared" si="75"/>
        <v>0</v>
      </c>
      <c r="BK86" s="80">
        <f t="shared" si="75"/>
        <v>0</v>
      </c>
      <c r="BL86" s="80">
        <f t="shared" si="75"/>
        <v>0</v>
      </c>
      <c r="BM86" s="80">
        <f t="shared" si="75"/>
        <v>0</v>
      </c>
      <c r="BN86" s="80">
        <f t="shared" ref="BN86:CK86" si="76">BN72</f>
        <v>0</v>
      </c>
      <c r="BO86" s="80">
        <f t="shared" si="76"/>
        <v>0</v>
      </c>
      <c r="BP86" s="80">
        <f t="shared" si="76"/>
        <v>0</v>
      </c>
      <c r="BQ86" s="80">
        <f t="shared" si="76"/>
        <v>0</v>
      </c>
      <c r="BR86" s="80">
        <f t="shared" si="76"/>
        <v>0</v>
      </c>
      <c r="BS86" s="80">
        <f t="shared" si="76"/>
        <v>0</v>
      </c>
      <c r="BT86" s="80">
        <f t="shared" si="76"/>
        <v>0</v>
      </c>
      <c r="BU86" s="80">
        <f t="shared" si="76"/>
        <v>0</v>
      </c>
      <c r="BV86" s="80">
        <f t="shared" si="76"/>
        <v>0</v>
      </c>
      <c r="BW86" s="80">
        <f t="shared" si="76"/>
        <v>0</v>
      </c>
      <c r="BX86" s="80">
        <f t="shared" si="76"/>
        <v>0</v>
      </c>
      <c r="BY86" s="80">
        <f t="shared" si="76"/>
        <v>0</v>
      </c>
      <c r="BZ86" s="80">
        <f t="shared" si="76"/>
        <v>0</v>
      </c>
      <c r="CA86" s="80">
        <f t="shared" si="76"/>
        <v>0</v>
      </c>
      <c r="CB86" s="80">
        <f t="shared" si="76"/>
        <v>0</v>
      </c>
      <c r="CC86" s="80">
        <f t="shared" si="76"/>
        <v>0</v>
      </c>
      <c r="CD86" s="80">
        <f t="shared" si="76"/>
        <v>0</v>
      </c>
      <c r="CE86" s="80">
        <f t="shared" si="76"/>
        <v>0</v>
      </c>
      <c r="CF86" s="80">
        <f t="shared" si="76"/>
        <v>0</v>
      </c>
      <c r="CG86" s="80">
        <f t="shared" si="76"/>
        <v>0</v>
      </c>
      <c r="CH86" s="80">
        <f t="shared" si="76"/>
        <v>0</v>
      </c>
      <c r="CI86" s="80">
        <f t="shared" si="76"/>
        <v>0</v>
      </c>
      <c r="CJ86" s="80">
        <f t="shared" si="76"/>
        <v>0</v>
      </c>
      <c r="CK86" s="80">
        <f t="shared" si="76"/>
        <v>0</v>
      </c>
    </row>
    <row r="87" spans="2:89" ht="15.75" thickBot="1">
      <c r="B87" s="45" t="s">
        <v>288</v>
      </c>
      <c r="C87" s="46"/>
      <c r="D87" s="47">
        <f ca="1">SUM(F87:BM87)</f>
        <v>-1160000000</v>
      </c>
      <c r="E87" s="48"/>
      <c r="F87" s="49">
        <f ca="1">-F79*(1+Налоги!F$37)</f>
        <v>0</v>
      </c>
      <c r="G87" s="49">
        <f ca="1">-G79*(1+Налоги!G$37)</f>
        <v>0</v>
      </c>
      <c r="H87" s="49">
        <f ca="1">-H79*(1+Налоги!H$37)</f>
        <v>0</v>
      </c>
      <c r="I87" s="49">
        <f ca="1">-I79*(1+Налоги!I$37)</f>
        <v>0</v>
      </c>
      <c r="J87" s="49">
        <f ca="1">-J79*(1+Налоги!J$37)</f>
        <v>0</v>
      </c>
      <c r="K87" s="49">
        <f ca="1">-K79*(1+Налоги!K$37)</f>
        <v>0</v>
      </c>
      <c r="L87" s="49">
        <f ca="1">-L79*(1+Налоги!L$37)</f>
        <v>0</v>
      </c>
      <c r="M87" s="49">
        <f ca="1">-M79*(1+Налоги!M$37)</f>
        <v>0</v>
      </c>
      <c r="N87" s="49">
        <f ca="1">-N79*(1+Налоги!N$37)</f>
        <v>0</v>
      </c>
      <c r="O87" s="49">
        <f ca="1">-O79*(1+Налоги!O$37)</f>
        <v>0</v>
      </c>
      <c r="P87" s="49">
        <f ca="1">-P79*(1+Налоги!P$37)</f>
        <v>0</v>
      </c>
      <c r="Q87" s="49">
        <f ca="1">-Q79*(1+Налоги!Q$37)</f>
        <v>-1160000000</v>
      </c>
      <c r="R87" s="49">
        <f ca="1">-R79*(1+Налоги!R$37)</f>
        <v>0</v>
      </c>
      <c r="S87" s="49">
        <f ca="1">-S79*(1+Налоги!S$37)</f>
        <v>0</v>
      </c>
      <c r="T87" s="49">
        <f ca="1">-T79*(1+Налоги!T$37)</f>
        <v>0</v>
      </c>
      <c r="U87" s="49">
        <f ca="1">-U79*(1+Налоги!U$37)</f>
        <v>0</v>
      </c>
      <c r="V87" s="49">
        <f ca="1">-V79*(1+Налоги!V$37)</f>
        <v>0</v>
      </c>
      <c r="W87" s="49">
        <f ca="1">-W79*(1+Налоги!W$37)</f>
        <v>0</v>
      </c>
      <c r="X87" s="49">
        <f ca="1">-X79*(1+Налоги!X$37)</f>
        <v>0</v>
      </c>
      <c r="Y87" s="49">
        <f ca="1">-Y79*(1+Налоги!Y$37)</f>
        <v>0</v>
      </c>
      <c r="Z87" s="49">
        <f ca="1">-Z79*(1+Налоги!Z$37)</f>
        <v>0</v>
      </c>
      <c r="AA87" s="49">
        <f ca="1">-AA79*(1+Налоги!AA$37)</f>
        <v>0</v>
      </c>
      <c r="AB87" s="49">
        <f ca="1">-AB79*(1+Налоги!AB$37)</f>
        <v>0</v>
      </c>
      <c r="AC87" s="49">
        <f ca="1">-AC79*(1+Налоги!AC$37)</f>
        <v>0</v>
      </c>
      <c r="AD87" s="49">
        <f ca="1">-AD79*(1+Налоги!AD$37)</f>
        <v>0</v>
      </c>
      <c r="AE87" s="49">
        <f ca="1">-AE79*(1+Налоги!AE$37)</f>
        <v>0</v>
      </c>
      <c r="AF87" s="49">
        <f ca="1">-AF79*(1+Налоги!AF$37)</f>
        <v>0</v>
      </c>
      <c r="AG87" s="49">
        <f ca="1">-AG79*(1+Налоги!AG$37)</f>
        <v>0</v>
      </c>
      <c r="AH87" s="49">
        <f ca="1">-AH79*(1+Налоги!AH$37)</f>
        <v>0</v>
      </c>
      <c r="AI87" s="49">
        <f ca="1">-AI79*(1+Налоги!AI$37)</f>
        <v>0</v>
      </c>
      <c r="AJ87" s="49">
        <f ca="1">-AJ79*(1+Налоги!AJ$37)</f>
        <v>0</v>
      </c>
      <c r="AK87" s="49">
        <f ca="1">-AK79*(1+Налоги!AK$37)</f>
        <v>0</v>
      </c>
      <c r="AL87" s="49">
        <f ca="1">-AL79*(1+Налоги!AL$37)</f>
        <v>0</v>
      </c>
      <c r="AM87" s="49">
        <f ca="1">-AM79*(1+Налоги!AM$37)</f>
        <v>0</v>
      </c>
      <c r="AN87" s="49">
        <f ca="1">-AN79*(1+Налоги!AN$37)</f>
        <v>0</v>
      </c>
      <c r="AO87" s="49">
        <f ca="1">-AO79*(1+Налоги!AO$37)</f>
        <v>0</v>
      </c>
      <c r="AP87" s="49">
        <f ca="1">-AP79*(1+Налоги!AP$37)</f>
        <v>0</v>
      </c>
      <c r="AQ87" s="49">
        <f ca="1">-AQ79*(1+Налоги!AQ$37)</f>
        <v>0</v>
      </c>
      <c r="AR87" s="49">
        <f ca="1">-AR79*(1+Налоги!AR$37)</f>
        <v>0</v>
      </c>
      <c r="AS87" s="49">
        <f ca="1">-AS79*(1+Налоги!AS$37)</f>
        <v>0</v>
      </c>
      <c r="AT87" s="49">
        <f ca="1">-AT79*(1+Налоги!AT$37)</f>
        <v>0</v>
      </c>
      <c r="AU87" s="49">
        <f ca="1">-AU79*(1+Налоги!AU$37)</f>
        <v>0</v>
      </c>
      <c r="AV87" s="49">
        <f ca="1">-AV79*(1+Налоги!AV$37)</f>
        <v>0</v>
      </c>
      <c r="AW87" s="49">
        <f ca="1">-AW79*(1+Налоги!AW$37)</f>
        <v>0</v>
      </c>
      <c r="AX87" s="49">
        <f ca="1">-AX79*(1+Налоги!AX$37)</f>
        <v>0</v>
      </c>
      <c r="AY87" s="49">
        <f ca="1">-AY79*(1+Налоги!AY$37)</f>
        <v>0</v>
      </c>
      <c r="AZ87" s="49">
        <f ca="1">-AZ79*(1+Налоги!AZ$37)</f>
        <v>0</v>
      </c>
      <c r="BA87" s="49">
        <f ca="1">-BA79*(1+Налоги!BA$37)</f>
        <v>0</v>
      </c>
      <c r="BB87" s="49">
        <f ca="1">-BB79*(1+Налоги!BB$37)</f>
        <v>0</v>
      </c>
      <c r="BC87" s="49">
        <f ca="1">-BC79*(1+Налоги!BC$37)</f>
        <v>0</v>
      </c>
      <c r="BD87" s="49">
        <f ca="1">-BD79*(1+Налоги!BD$37)</f>
        <v>0</v>
      </c>
      <c r="BE87" s="49">
        <f ca="1">-BE79*(1+Налоги!BE$37)</f>
        <v>0</v>
      </c>
      <c r="BF87" s="49">
        <f ca="1">-BF79*(1+Налоги!BF$37)</f>
        <v>0</v>
      </c>
      <c r="BG87" s="49">
        <f ca="1">-BG79*(1+Налоги!BG$37)</f>
        <v>0</v>
      </c>
      <c r="BH87" s="49">
        <f ca="1">-BH79*(1+Налоги!BH$37)</f>
        <v>0</v>
      </c>
      <c r="BI87" s="49">
        <f ca="1">-BI79*(1+Налоги!BI$37)</f>
        <v>0</v>
      </c>
      <c r="BJ87" s="49">
        <f ca="1">-BJ79*(1+Налоги!BJ$37)</f>
        <v>0</v>
      </c>
      <c r="BK87" s="49">
        <f ca="1">-BK79*(1+Налоги!BK$37)</f>
        <v>0</v>
      </c>
      <c r="BL87" s="49">
        <f ca="1">-BL79*(1+Налоги!BL$37)</f>
        <v>0</v>
      </c>
      <c r="BM87" s="49">
        <f ca="1">-BM79*(1+Налоги!BM$37)</f>
        <v>0</v>
      </c>
      <c r="BN87" s="49">
        <f ca="1">-BN79*(1+Налоги!BN$37)</f>
        <v>0</v>
      </c>
      <c r="BO87" s="49">
        <f ca="1">-BO79*(1+Налоги!BO$37)</f>
        <v>0</v>
      </c>
      <c r="BP87" s="49">
        <f ca="1">-BP79*(1+Налоги!BP$37)</f>
        <v>0</v>
      </c>
      <c r="BQ87" s="49">
        <f ca="1">-BQ79*(1+Налоги!BQ$37)</f>
        <v>0</v>
      </c>
      <c r="BR87" s="49">
        <f ca="1">-BR79*(1+Налоги!BR$37)</f>
        <v>0</v>
      </c>
      <c r="BS87" s="49">
        <f ca="1">-BS79*(1+Налоги!BS$37)</f>
        <v>0</v>
      </c>
      <c r="BT87" s="49">
        <f ca="1">-BT79*(1+Налоги!BT$37)</f>
        <v>0</v>
      </c>
      <c r="BU87" s="49">
        <f ca="1">-BU79*(1+Налоги!BU$37)</f>
        <v>0</v>
      </c>
      <c r="BV87" s="49">
        <f ca="1">-BV79*(1+Налоги!BV$37)</f>
        <v>0</v>
      </c>
      <c r="BW87" s="49">
        <f ca="1">-BW79*(1+Налоги!BW$37)</f>
        <v>0</v>
      </c>
      <c r="BX87" s="49">
        <f ca="1">-BX79*(1+Налоги!BX$37)</f>
        <v>0</v>
      </c>
      <c r="BY87" s="49">
        <f ca="1">-BY79*(1+Налоги!BY$37)</f>
        <v>0</v>
      </c>
      <c r="BZ87" s="49">
        <f ca="1">-BZ79*(1+Налоги!BZ$37)</f>
        <v>0</v>
      </c>
      <c r="CA87" s="49">
        <f ca="1">-CA79*(1+Налоги!CA$37)</f>
        <v>0</v>
      </c>
      <c r="CB87" s="49">
        <f ca="1">-CB79*(1+Налоги!CB$37)</f>
        <v>0</v>
      </c>
      <c r="CC87" s="49">
        <f ca="1">-CC79*(1+Налоги!CC$37)</f>
        <v>0</v>
      </c>
      <c r="CD87" s="49">
        <f ca="1">-CD79*(1+Налоги!CD$37)</f>
        <v>0</v>
      </c>
      <c r="CE87" s="49">
        <f ca="1">-CE79*(1+Налоги!CE$37)</f>
        <v>0</v>
      </c>
      <c r="CF87" s="49">
        <f ca="1">-CF79*(1+Налоги!CF$37)</f>
        <v>0</v>
      </c>
      <c r="CG87" s="49">
        <f ca="1">-CG79*(1+Налоги!CG$37)</f>
        <v>0</v>
      </c>
      <c r="CH87" s="49">
        <f ca="1">-CH79*(1+Налоги!CH$37)</f>
        <v>0</v>
      </c>
      <c r="CI87" s="49">
        <f ca="1">-CI79*(1+Налоги!CI$37)</f>
        <v>0</v>
      </c>
      <c r="CJ87" s="49">
        <f ca="1">-CJ79*(1+Налоги!CJ$37)</f>
        <v>0</v>
      </c>
      <c r="CK87" s="49">
        <f ca="1">-CK79*(1+Налоги!CK$37)</f>
        <v>0</v>
      </c>
    </row>
    <row r="88" spans="2:89" ht="15.75" thickTop="1">
      <c r="B88" s="50" t="s">
        <v>58</v>
      </c>
      <c r="C88" s="51"/>
      <c r="D88" s="52">
        <f ca="1">SUM(D85:D87)</f>
        <v>0</v>
      </c>
      <c r="E88" s="53"/>
      <c r="F88" s="54">
        <f ca="1">SUM(F85:F87)</f>
        <v>65740000.000000007</v>
      </c>
      <c r="G88" s="54">
        <f t="shared" ref="G88:BM88" ca="1" si="77">SUM(G85:G87)</f>
        <v>131480000.00000001</v>
      </c>
      <c r="H88" s="54">
        <f t="shared" ca="1" si="77"/>
        <v>192750000.00000003</v>
      </c>
      <c r="I88" s="54">
        <f t="shared" ca="1" si="77"/>
        <v>340980000</v>
      </c>
      <c r="J88" s="54">
        <f t="shared" ca="1" si="77"/>
        <v>489210000</v>
      </c>
      <c r="K88" s="54">
        <f t="shared" ca="1" si="77"/>
        <v>633110000</v>
      </c>
      <c r="L88" s="54">
        <f t="shared" ca="1" si="77"/>
        <v>727310000</v>
      </c>
      <c r="M88" s="54">
        <f t="shared" ca="1" si="77"/>
        <v>827210000</v>
      </c>
      <c r="N88" s="54">
        <f t="shared" ca="1" si="77"/>
        <v>931610000</v>
      </c>
      <c r="O88" s="54">
        <f t="shared" ca="1" si="77"/>
        <v>999170000</v>
      </c>
      <c r="P88" s="54">
        <f t="shared" ca="1" si="77"/>
        <v>1073800000</v>
      </c>
      <c r="Q88" s="54">
        <f t="shared" ca="1" si="77"/>
        <v>0</v>
      </c>
      <c r="R88" s="54">
        <f t="shared" ca="1" si="77"/>
        <v>0</v>
      </c>
      <c r="S88" s="54">
        <f t="shared" ca="1" si="77"/>
        <v>0</v>
      </c>
      <c r="T88" s="54">
        <f t="shared" ca="1" si="77"/>
        <v>0</v>
      </c>
      <c r="U88" s="54">
        <f t="shared" ca="1" si="77"/>
        <v>0</v>
      </c>
      <c r="V88" s="54">
        <f t="shared" ca="1" si="77"/>
        <v>0</v>
      </c>
      <c r="W88" s="54">
        <f t="shared" ca="1" si="77"/>
        <v>0</v>
      </c>
      <c r="X88" s="54">
        <f t="shared" ca="1" si="77"/>
        <v>0</v>
      </c>
      <c r="Y88" s="54">
        <f t="shared" ca="1" si="77"/>
        <v>0</v>
      </c>
      <c r="Z88" s="54">
        <f t="shared" ca="1" si="77"/>
        <v>0</v>
      </c>
      <c r="AA88" s="54">
        <f t="shared" ca="1" si="77"/>
        <v>0</v>
      </c>
      <c r="AB88" s="54">
        <f t="shared" ca="1" si="77"/>
        <v>0</v>
      </c>
      <c r="AC88" s="54">
        <f t="shared" ca="1" si="77"/>
        <v>0</v>
      </c>
      <c r="AD88" s="54">
        <f t="shared" ca="1" si="77"/>
        <v>0</v>
      </c>
      <c r="AE88" s="54">
        <f t="shared" ca="1" si="77"/>
        <v>0</v>
      </c>
      <c r="AF88" s="54">
        <f t="shared" ca="1" si="77"/>
        <v>0</v>
      </c>
      <c r="AG88" s="54">
        <f t="shared" ca="1" si="77"/>
        <v>0</v>
      </c>
      <c r="AH88" s="54">
        <f t="shared" ca="1" si="77"/>
        <v>0</v>
      </c>
      <c r="AI88" s="54">
        <f t="shared" ca="1" si="77"/>
        <v>0</v>
      </c>
      <c r="AJ88" s="54">
        <f t="shared" ca="1" si="77"/>
        <v>0</v>
      </c>
      <c r="AK88" s="54">
        <f t="shared" ca="1" si="77"/>
        <v>0</v>
      </c>
      <c r="AL88" s="54">
        <f t="shared" ca="1" si="77"/>
        <v>0</v>
      </c>
      <c r="AM88" s="54">
        <f t="shared" ca="1" si="77"/>
        <v>0</v>
      </c>
      <c r="AN88" s="54">
        <f t="shared" ca="1" si="77"/>
        <v>0</v>
      </c>
      <c r="AO88" s="54">
        <f t="shared" ca="1" si="77"/>
        <v>0</v>
      </c>
      <c r="AP88" s="54">
        <f t="shared" ca="1" si="77"/>
        <v>0</v>
      </c>
      <c r="AQ88" s="54">
        <f t="shared" ca="1" si="77"/>
        <v>0</v>
      </c>
      <c r="AR88" s="54">
        <f t="shared" ca="1" si="77"/>
        <v>0</v>
      </c>
      <c r="AS88" s="54">
        <f t="shared" ca="1" si="77"/>
        <v>0</v>
      </c>
      <c r="AT88" s="54">
        <f t="shared" ca="1" si="77"/>
        <v>0</v>
      </c>
      <c r="AU88" s="54">
        <f t="shared" ca="1" si="77"/>
        <v>0</v>
      </c>
      <c r="AV88" s="54">
        <f t="shared" ca="1" si="77"/>
        <v>0</v>
      </c>
      <c r="AW88" s="54">
        <f t="shared" ca="1" si="77"/>
        <v>0</v>
      </c>
      <c r="AX88" s="54">
        <f t="shared" ca="1" si="77"/>
        <v>0</v>
      </c>
      <c r="AY88" s="54">
        <f t="shared" ca="1" si="77"/>
        <v>0</v>
      </c>
      <c r="AZ88" s="54">
        <f t="shared" ca="1" si="77"/>
        <v>0</v>
      </c>
      <c r="BA88" s="54">
        <f t="shared" ca="1" si="77"/>
        <v>0</v>
      </c>
      <c r="BB88" s="54">
        <f t="shared" ca="1" si="77"/>
        <v>0</v>
      </c>
      <c r="BC88" s="54">
        <f t="shared" ca="1" si="77"/>
        <v>0</v>
      </c>
      <c r="BD88" s="54">
        <f t="shared" ca="1" si="77"/>
        <v>0</v>
      </c>
      <c r="BE88" s="54">
        <f t="shared" ca="1" si="77"/>
        <v>0</v>
      </c>
      <c r="BF88" s="54">
        <f t="shared" ca="1" si="77"/>
        <v>0</v>
      </c>
      <c r="BG88" s="54">
        <f t="shared" ca="1" si="77"/>
        <v>0</v>
      </c>
      <c r="BH88" s="54">
        <f t="shared" ca="1" si="77"/>
        <v>0</v>
      </c>
      <c r="BI88" s="54">
        <f t="shared" ca="1" si="77"/>
        <v>0</v>
      </c>
      <c r="BJ88" s="54">
        <f t="shared" ca="1" si="77"/>
        <v>0</v>
      </c>
      <c r="BK88" s="54">
        <f t="shared" ca="1" si="77"/>
        <v>0</v>
      </c>
      <c r="BL88" s="54">
        <f t="shared" ca="1" si="77"/>
        <v>0</v>
      </c>
      <c r="BM88" s="54">
        <f t="shared" ca="1" si="77"/>
        <v>0</v>
      </c>
      <c r="BN88" s="54">
        <f t="shared" ref="BN88:CK88" ca="1" si="78">SUM(BN85:BN87)</f>
        <v>0</v>
      </c>
      <c r="BO88" s="54">
        <f t="shared" ca="1" si="78"/>
        <v>0</v>
      </c>
      <c r="BP88" s="54">
        <f t="shared" ca="1" si="78"/>
        <v>0</v>
      </c>
      <c r="BQ88" s="54">
        <f t="shared" ca="1" si="78"/>
        <v>0</v>
      </c>
      <c r="BR88" s="54">
        <f t="shared" ca="1" si="78"/>
        <v>0</v>
      </c>
      <c r="BS88" s="54">
        <f t="shared" ca="1" si="78"/>
        <v>0</v>
      </c>
      <c r="BT88" s="54">
        <f t="shared" ca="1" si="78"/>
        <v>0</v>
      </c>
      <c r="BU88" s="54">
        <f t="shared" ca="1" si="78"/>
        <v>0</v>
      </c>
      <c r="BV88" s="54">
        <f t="shared" ca="1" si="78"/>
        <v>0</v>
      </c>
      <c r="BW88" s="54">
        <f t="shared" ca="1" si="78"/>
        <v>0</v>
      </c>
      <c r="BX88" s="54">
        <f t="shared" ca="1" si="78"/>
        <v>0</v>
      </c>
      <c r="BY88" s="54">
        <f t="shared" ca="1" si="78"/>
        <v>0</v>
      </c>
      <c r="BZ88" s="54">
        <f t="shared" ca="1" si="78"/>
        <v>0</v>
      </c>
      <c r="CA88" s="54">
        <f t="shared" ca="1" si="78"/>
        <v>0</v>
      </c>
      <c r="CB88" s="54">
        <f t="shared" ca="1" si="78"/>
        <v>0</v>
      </c>
      <c r="CC88" s="54">
        <f t="shared" ca="1" si="78"/>
        <v>0</v>
      </c>
      <c r="CD88" s="54">
        <f t="shared" ca="1" si="78"/>
        <v>0</v>
      </c>
      <c r="CE88" s="54">
        <f t="shared" ca="1" si="78"/>
        <v>0</v>
      </c>
      <c r="CF88" s="54">
        <f t="shared" ca="1" si="78"/>
        <v>0</v>
      </c>
      <c r="CG88" s="54">
        <f t="shared" ca="1" si="78"/>
        <v>0</v>
      </c>
      <c r="CH88" s="54">
        <f t="shared" ca="1" si="78"/>
        <v>0</v>
      </c>
      <c r="CI88" s="54">
        <f t="shared" ca="1" si="78"/>
        <v>0</v>
      </c>
      <c r="CJ88" s="54">
        <f t="shared" ca="1" si="78"/>
        <v>0</v>
      </c>
      <c r="CK88" s="54">
        <f t="shared" ca="1" si="78"/>
        <v>0</v>
      </c>
    </row>
    <row r="89" spans="2:89">
      <c r="B89" s="14"/>
      <c r="C89" s="14"/>
      <c r="D89" s="186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</row>
    <row r="90" spans="2:89">
      <c r="B90" s="77" t="s">
        <v>286</v>
      </c>
      <c r="C90" s="124"/>
      <c r="D90" s="124"/>
      <c r="E90" s="153"/>
      <c r="F90" s="80">
        <f ca="1">MAX(F88,0)</f>
        <v>65740000.000000007</v>
      </c>
      <c r="G90" s="80">
        <f t="shared" ref="G90:BM90" ca="1" si="79">MAX(G88,0)</f>
        <v>131480000.00000001</v>
      </c>
      <c r="H90" s="80">
        <f t="shared" ca="1" si="79"/>
        <v>192750000.00000003</v>
      </c>
      <c r="I90" s="80">
        <f t="shared" ca="1" si="79"/>
        <v>340980000</v>
      </c>
      <c r="J90" s="80">
        <f t="shared" ca="1" si="79"/>
        <v>489210000</v>
      </c>
      <c r="K90" s="80">
        <f t="shared" ca="1" si="79"/>
        <v>633110000</v>
      </c>
      <c r="L90" s="80">
        <f t="shared" ca="1" si="79"/>
        <v>727310000</v>
      </c>
      <c r="M90" s="80">
        <f t="shared" ca="1" si="79"/>
        <v>827210000</v>
      </c>
      <c r="N90" s="80">
        <f t="shared" ca="1" si="79"/>
        <v>931610000</v>
      </c>
      <c r="O90" s="80">
        <f t="shared" ca="1" si="79"/>
        <v>999170000</v>
      </c>
      <c r="P90" s="80">
        <f t="shared" ca="1" si="79"/>
        <v>1073800000</v>
      </c>
      <c r="Q90" s="80">
        <f t="shared" ca="1" si="79"/>
        <v>0</v>
      </c>
      <c r="R90" s="80">
        <f t="shared" ca="1" si="79"/>
        <v>0</v>
      </c>
      <c r="S90" s="80">
        <f t="shared" ca="1" si="79"/>
        <v>0</v>
      </c>
      <c r="T90" s="80">
        <f t="shared" ca="1" si="79"/>
        <v>0</v>
      </c>
      <c r="U90" s="80">
        <f t="shared" ca="1" si="79"/>
        <v>0</v>
      </c>
      <c r="V90" s="80">
        <f t="shared" ca="1" si="79"/>
        <v>0</v>
      </c>
      <c r="W90" s="80">
        <f t="shared" ca="1" si="79"/>
        <v>0</v>
      </c>
      <c r="X90" s="80">
        <f t="shared" ca="1" si="79"/>
        <v>0</v>
      </c>
      <c r="Y90" s="80">
        <f t="shared" ca="1" si="79"/>
        <v>0</v>
      </c>
      <c r="Z90" s="80">
        <f t="shared" ca="1" si="79"/>
        <v>0</v>
      </c>
      <c r="AA90" s="80">
        <f t="shared" ca="1" si="79"/>
        <v>0</v>
      </c>
      <c r="AB90" s="80">
        <f t="shared" ca="1" si="79"/>
        <v>0</v>
      </c>
      <c r="AC90" s="80">
        <f t="shared" ca="1" si="79"/>
        <v>0</v>
      </c>
      <c r="AD90" s="80">
        <f t="shared" ca="1" si="79"/>
        <v>0</v>
      </c>
      <c r="AE90" s="80">
        <f t="shared" ca="1" si="79"/>
        <v>0</v>
      </c>
      <c r="AF90" s="80">
        <f t="shared" ca="1" si="79"/>
        <v>0</v>
      </c>
      <c r="AG90" s="80">
        <f t="shared" ca="1" si="79"/>
        <v>0</v>
      </c>
      <c r="AH90" s="80">
        <f t="shared" ca="1" si="79"/>
        <v>0</v>
      </c>
      <c r="AI90" s="80">
        <f t="shared" ca="1" si="79"/>
        <v>0</v>
      </c>
      <c r="AJ90" s="80">
        <f t="shared" ca="1" si="79"/>
        <v>0</v>
      </c>
      <c r="AK90" s="80">
        <f t="shared" ca="1" si="79"/>
        <v>0</v>
      </c>
      <c r="AL90" s="80">
        <f t="shared" ca="1" si="79"/>
        <v>0</v>
      </c>
      <c r="AM90" s="80">
        <f t="shared" ca="1" si="79"/>
        <v>0</v>
      </c>
      <c r="AN90" s="80">
        <f t="shared" ca="1" si="79"/>
        <v>0</v>
      </c>
      <c r="AO90" s="80">
        <f t="shared" ca="1" si="79"/>
        <v>0</v>
      </c>
      <c r="AP90" s="80">
        <f t="shared" ca="1" si="79"/>
        <v>0</v>
      </c>
      <c r="AQ90" s="80">
        <f t="shared" ca="1" si="79"/>
        <v>0</v>
      </c>
      <c r="AR90" s="80">
        <f t="shared" ca="1" si="79"/>
        <v>0</v>
      </c>
      <c r="AS90" s="80">
        <f t="shared" ca="1" si="79"/>
        <v>0</v>
      </c>
      <c r="AT90" s="80">
        <f t="shared" ca="1" si="79"/>
        <v>0</v>
      </c>
      <c r="AU90" s="80">
        <f t="shared" ca="1" si="79"/>
        <v>0</v>
      </c>
      <c r="AV90" s="80">
        <f t="shared" ca="1" si="79"/>
        <v>0</v>
      </c>
      <c r="AW90" s="80">
        <f t="shared" ca="1" si="79"/>
        <v>0</v>
      </c>
      <c r="AX90" s="80">
        <f t="shared" ca="1" si="79"/>
        <v>0</v>
      </c>
      <c r="AY90" s="80">
        <f t="shared" ca="1" si="79"/>
        <v>0</v>
      </c>
      <c r="AZ90" s="80">
        <f t="shared" ca="1" si="79"/>
        <v>0</v>
      </c>
      <c r="BA90" s="80">
        <f t="shared" ca="1" si="79"/>
        <v>0</v>
      </c>
      <c r="BB90" s="80">
        <f t="shared" ca="1" si="79"/>
        <v>0</v>
      </c>
      <c r="BC90" s="80">
        <f t="shared" ca="1" si="79"/>
        <v>0</v>
      </c>
      <c r="BD90" s="80">
        <f t="shared" ca="1" si="79"/>
        <v>0</v>
      </c>
      <c r="BE90" s="80">
        <f t="shared" ca="1" si="79"/>
        <v>0</v>
      </c>
      <c r="BF90" s="80">
        <f t="shared" ca="1" si="79"/>
        <v>0</v>
      </c>
      <c r="BG90" s="80">
        <f t="shared" ca="1" si="79"/>
        <v>0</v>
      </c>
      <c r="BH90" s="80">
        <f t="shared" ca="1" si="79"/>
        <v>0</v>
      </c>
      <c r="BI90" s="80">
        <f t="shared" ca="1" si="79"/>
        <v>0</v>
      </c>
      <c r="BJ90" s="80">
        <f t="shared" ca="1" si="79"/>
        <v>0</v>
      </c>
      <c r="BK90" s="80">
        <f t="shared" ca="1" si="79"/>
        <v>0</v>
      </c>
      <c r="BL90" s="80">
        <f t="shared" ca="1" si="79"/>
        <v>0</v>
      </c>
      <c r="BM90" s="80">
        <f t="shared" ca="1" si="79"/>
        <v>0</v>
      </c>
      <c r="BN90" s="80">
        <f t="shared" ref="BN90:CK90" ca="1" si="80">MAX(BN88,0)</f>
        <v>0</v>
      </c>
      <c r="BO90" s="80">
        <f t="shared" ca="1" si="80"/>
        <v>0</v>
      </c>
      <c r="BP90" s="80">
        <f t="shared" ca="1" si="80"/>
        <v>0</v>
      </c>
      <c r="BQ90" s="80">
        <f t="shared" ca="1" si="80"/>
        <v>0</v>
      </c>
      <c r="BR90" s="80">
        <f t="shared" ca="1" si="80"/>
        <v>0</v>
      </c>
      <c r="BS90" s="80">
        <f t="shared" ca="1" si="80"/>
        <v>0</v>
      </c>
      <c r="BT90" s="80">
        <f t="shared" ca="1" si="80"/>
        <v>0</v>
      </c>
      <c r="BU90" s="80">
        <f t="shared" ca="1" si="80"/>
        <v>0</v>
      </c>
      <c r="BV90" s="80">
        <f t="shared" ca="1" si="80"/>
        <v>0</v>
      </c>
      <c r="BW90" s="80">
        <f t="shared" ca="1" si="80"/>
        <v>0</v>
      </c>
      <c r="BX90" s="80">
        <f t="shared" ca="1" si="80"/>
        <v>0</v>
      </c>
      <c r="BY90" s="80">
        <f t="shared" ca="1" si="80"/>
        <v>0</v>
      </c>
      <c r="BZ90" s="80">
        <f t="shared" ca="1" si="80"/>
        <v>0</v>
      </c>
      <c r="CA90" s="80">
        <f t="shared" ca="1" si="80"/>
        <v>0</v>
      </c>
      <c r="CB90" s="80">
        <f t="shared" ca="1" si="80"/>
        <v>0</v>
      </c>
      <c r="CC90" s="80">
        <f t="shared" ca="1" si="80"/>
        <v>0</v>
      </c>
      <c r="CD90" s="80">
        <f t="shared" ca="1" si="80"/>
        <v>0</v>
      </c>
      <c r="CE90" s="80">
        <f t="shared" ca="1" si="80"/>
        <v>0</v>
      </c>
      <c r="CF90" s="80">
        <f t="shared" ca="1" si="80"/>
        <v>0</v>
      </c>
      <c r="CG90" s="80">
        <f t="shared" ca="1" si="80"/>
        <v>0</v>
      </c>
      <c r="CH90" s="80">
        <f t="shared" ca="1" si="80"/>
        <v>0</v>
      </c>
      <c r="CI90" s="80">
        <f t="shared" ca="1" si="80"/>
        <v>0</v>
      </c>
      <c r="CJ90" s="80">
        <f t="shared" ca="1" si="80"/>
        <v>0</v>
      </c>
      <c r="CK90" s="80">
        <f t="shared" ca="1" si="80"/>
        <v>0</v>
      </c>
    </row>
    <row r="91" spans="2:89">
      <c r="B91" s="77" t="s">
        <v>287</v>
      </c>
      <c r="C91" s="124"/>
      <c r="D91" s="124"/>
      <c r="E91" s="153"/>
      <c r="F91" s="80">
        <f ca="1">F90-F88</f>
        <v>0</v>
      </c>
      <c r="G91" s="80">
        <f t="shared" ref="G91:BM91" ca="1" si="81">G90-G88</f>
        <v>0</v>
      </c>
      <c r="H91" s="80">
        <f t="shared" ca="1" si="81"/>
        <v>0</v>
      </c>
      <c r="I91" s="80">
        <f t="shared" ca="1" si="81"/>
        <v>0</v>
      </c>
      <c r="J91" s="80">
        <f t="shared" ca="1" si="81"/>
        <v>0</v>
      </c>
      <c r="K91" s="80">
        <f t="shared" ca="1" si="81"/>
        <v>0</v>
      </c>
      <c r="L91" s="80">
        <f t="shared" ca="1" si="81"/>
        <v>0</v>
      </c>
      <c r="M91" s="80">
        <f t="shared" ca="1" si="81"/>
        <v>0</v>
      </c>
      <c r="N91" s="80">
        <f t="shared" ca="1" si="81"/>
        <v>0</v>
      </c>
      <c r="O91" s="80">
        <f t="shared" ca="1" si="81"/>
        <v>0</v>
      </c>
      <c r="P91" s="80">
        <f t="shared" ca="1" si="81"/>
        <v>0</v>
      </c>
      <c r="Q91" s="80">
        <f t="shared" ca="1" si="81"/>
        <v>0</v>
      </c>
      <c r="R91" s="80">
        <f t="shared" ca="1" si="81"/>
        <v>0</v>
      </c>
      <c r="S91" s="80">
        <f t="shared" ca="1" si="81"/>
        <v>0</v>
      </c>
      <c r="T91" s="80">
        <f t="shared" ca="1" si="81"/>
        <v>0</v>
      </c>
      <c r="U91" s="80">
        <f t="shared" ca="1" si="81"/>
        <v>0</v>
      </c>
      <c r="V91" s="80">
        <f t="shared" ca="1" si="81"/>
        <v>0</v>
      </c>
      <c r="W91" s="80">
        <f t="shared" ca="1" si="81"/>
        <v>0</v>
      </c>
      <c r="X91" s="80">
        <f t="shared" ca="1" si="81"/>
        <v>0</v>
      </c>
      <c r="Y91" s="80">
        <f t="shared" ca="1" si="81"/>
        <v>0</v>
      </c>
      <c r="Z91" s="80">
        <f t="shared" ca="1" si="81"/>
        <v>0</v>
      </c>
      <c r="AA91" s="80">
        <f t="shared" ca="1" si="81"/>
        <v>0</v>
      </c>
      <c r="AB91" s="80">
        <f t="shared" ca="1" si="81"/>
        <v>0</v>
      </c>
      <c r="AC91" s="80">
        <f t="shared" ca="1" si="81"/>
        <v>0</v>
      </c>
      <c r="AD91" s="80">
        <f t="shared" ca="1" si="81"/>
        <v>0</v>
      </c>
      <c r="AE91" s="80">
        <f t="shared" ca="1" si="81"/>
        <v>0</v>
      </c>
      <c r="AF91" s="80">
        <f t="shared" ca="1" si="81"/>
        <v>0</v>
      </c>
      <c r="AG91" s="80">
        <f t="shared" ca="1" si="81"/>
        <v>0</v>
      </c>
      <c r="AH91" s="80">
        <f t="shared" ca="1" si="81"/>
        <v>0</v>
      </c>
      <c r="AI91" s="80">
        <f t="shared" ca="1" si="81"/>
        <v>0</v>
      </c>
      <c r="AJ91" s="80">
        <f t="shared" ca="1" si="81"/>
        <v>0</v>
      </c>
      <c r="AK91" s="80">
        <f t="shared" ca="1" si="81"/>
        <v>0</v>
      </c>
      <c r="AL91" s="80">
        <f t="shared" ca="1" si="81"/>
        <v>0</v>
      </c>
      <c r="AM91" s="80">
        <f t="shared" ca="1" si="81"/>
        <v>0</v>
      </c>
      <c r="AN91" s="80">
        <f t="shared" ca="1" si="81"/>
        <v>0</v>
      </c>
      <c r="AO91" s="80">
        <f t="shared" ca="1" si="81"/>
        <v>0</v>
      </c>
      <c r="AP91" s="80">
        <f t="shared" ca="1" si="81"/>
        <v>0</v>
      </c>
      <c r="AQ91" s="80">
        <f t="shared" ca="1" si="81"/>
        <v>0</v>
      </c>
      <c r="AR91" s="80">
        <f t="shared" ca="1" si="81"/>
        <v>0</v>
      </c>
      <c r="AS91" s="80">
        <f t="shared" ca="1" si="81"/>
        <v>0</v>
      </c>
      <c r="AT91" s="80">
        <f t="shared" ca="1" si="81"/>
        <v>0</v>
      </c>
      <c r="AU91" s="80">
        <f t="shared" ca="1" si="81"/>
        <v>0</v>
      </c>
      <c r="AV91" s="80">
        <f t="shared" ca="1" si="81"/>
        <v>0</v>
      </c>
      <c r="AW91" s="80">
        <f t="shared" ca="1" si="81"/>
        <v>0</v>
      </c>
      <c r="AX91" s="80">
        <f t="shared" ca="1" si="81"/>
        <v>0</v>
      </c>
      <c r="AY91" s="80">
        <f t="shared" ca="1" si="81"/>
        <v>0</v>
      </c>
      <c r="AZ91" s="80">
        <f t="shared" ca="1" si="81"/>
        <v>0</v>
      </c>
      <c r="BA91" s="80">
        <f t="shared" ca="1" si="81"/>
        <v>0</v>
      </c>
      <c r="BB91" s="80">
        <f t="shared" ca="1" si="81"/>
        <v>0</v>
      </c>
      <c r="BC91" s="80">
        <f t="shared" ca="1" si="81"/>
        <v>0</v>
      </c>
      <c r="BD91" s="80">
        <f t="shared" ca="1" si="81"/>
        <v>0</v>
      </c>
      <c r="BE91" s="80">
        <f t="shared" ca="1" si="81"/>
        <v>0</v>
      </c>
      <c r="BF91" s="80">
        <f t="shared" ca="1" si="81"/>
        <v>0</v>
      </c>
      <c r="BG91" s="80">
        <f t="shared" ca="1" si="81"/>
        <v>0</v>
      </c>
      <c r="BH91" s="80">
        <f t="shared" ca="1" si="81"/>
        <v>0</v>
      </c>
      <c r="BI91" s="80">
        <f t="shared" ca="1" si="81"/>
        <v>0</v>
      </c>
      <c r="BJ91" s="80">
        <f t="shared" ca="1" si="81"/>
        <v>0</v>
      </c>
      <c r="BK91" s="80">
        <f t="shared" ca="1" si="81"/>
        <v>0</v>
      </c>
      <c r="BL91" s="80">
        <f t="shared" ca="1" si="81"/>
        <v>0</v>
      </c>
      <c r="BM91" s="80">
        <f t="shared" ca="1" si="81"/>
        <v>0</v>
      </c>
      <c r="BN91" s="80">
        <f t="shared" ref="BN91:CK91" ca="1" si="82">BN90-BN88</f>
        <v>0</v>
      </c>
      <c r="BO91" s="80">
        <f t="shared" ca="1" si="82"/>
        <v>0</v>
      </c>
      <c r="BP91" s="80">
        <f t="shared" ca="1" si="82"/>
        <v>0</v>
      </c>
      <c r="BQ91" s="80">
        <f t="shared" ca="1" si="82"/>
        <v>0</v>
      </c>
      <c r="BR91" s="80">
        <f t="shared" ca="1" si="82"/>
        <v>0</v>
      </c>
      <c r="BS91" s="80">
        <f t="shared" ca="1" si="82"/>
        <v>0</v>
      </c>
      <c r="BT91" s="80">
        <f t="shared" ca="1" si="82"/>
        <v>0</v>
      </c>
      <c r="BU91" s="80">
        <f t="shared" ca="1" si="82"/>
        <v>0</v>
      </c>
      <c r="BV91" s="80">
        <f t="shared" ca="1" si="82"/>
        <v>0</v>
      </c>
      <c r="BW91" s="80">
        <f t="shared" ca="1" si="82"/>
        <v>0</v>
      </c>
      <c r="BX91" s="80">
        <f t="shared" ca="1" si="82"/>
        <v>0</v>
      </c>
      <c r="BY91" s="80">
        <f t="shared" ca="1" si="82"/>
        <v>0</v>
      </c>
      <c r="BZ91" s="80">
        <f t="shared" ca="1" si="82"/>
        <v>0</v>
      </c>
      <c r="CA91" s="80">
        <f t="shared" ca="1" si="82"/>
        <v>0</v>
      </c>
      <c r="CB91" s="80">
        <f t="shared" ca="1" si="82"/>
        <v>0</v>
      </c>
      <c r="CC91" s="80">
        <f t="shared" ca="1" si="82"/>
        <v>0</v>
      </c>
      <c r="CD91" s="80">
        <f t="shared" ca="1" si="82"/>
        <v>0</v>
      </c>
      <c r="CE91" s="80">
        <f t="shared" ca="1" si="82"/>
        <v>0</v>
      </c>
      <c r="CF91" s="80">
        <f t="shared" ca="1" si="82"/>
        <v>0</v>
      </c>
      <c r="CG91" s="80">
        <f t="shared" ca="1" si="82"/>
        <v>0</v>
      </c>
      <c r="CH91" s="80">
        <f t="shared" ca="1" si="82"/>
        <v>0</v>
      </c>
      <c r="CI91" s="80">
        <f t="shared" ca="1" si="82"/>
        <v>0</v>
      </c>
      <c r="CJ91" s="80">
        <f t="shared" ca="1" si="82"/>
        <v>0</v>
      </c>
      <c r="CK91" s="80">
        <f t="shared" ca="1" si="82"/>
        <v>0</v>
      </c>
    </row>
    <row r="92" spans="2:89">
      <c r="B92" s="77" t="s">
        <v>301</v>
      </c>
      <c r="C92" s="124"/>
      <c r="D92" s="124"/>
      <c r="E92" s="153"/>
      <c r="F92" s="80">
        <f ca="1">-(F91-F90)/(1+Налоги!F$37)*Налоги!F$37</f>
        <v>5976363.6363636367</v>
      </c>
      <c r="G92" s="80">
        <f ca="1">-(G91-G90)/(1+Налоги!G$37)*Налоги!G$37</f>
        <v>11952727.272727273</v>
      </c>
      <c r="H92" s="80">
        <f ca="1">-(H91-H90)/(1+Налоги!H$37)*Налоги!H$37</f>
        <v>17522727.272727277</v>
      </c>
      <c r="I92" s="80">
        <f ca="1">-(I91-I90)/(1+Налоги!I$37)*Налоги!I$37</f>
        <v>30998181.818181813</v>
      </c>
      <c r="J92" s="80">
        <f ca="1">-(J91-J90)/(1+Налоги!J$37)*Налоги!J$37</f>
        <v>44473636.363636367</v>
      </c>
      <c r="K92" s="80">
        <f ca="1">-(K91-K90)/(1+Налоги!K$37)*Налоги!K$37</f>
        <v>57555454.545454539</v>
      </c>
      <c r="L92" s="80">
        <f ca="1">-(L91-L90)/(1+Налоги!L$37)*Налоги!L$37</f>
        <v>66119090.909090906</v>
      </c>
      <c r="M92" s="80">
        <f ca="1">-(M91-M90)/(1+Налоги!M$37)*Налоги!M$37</f>
        <v>75200909.090909094</v>
      </c>
      <c r="N92" s="80">
        <f ca="1">-(N91-N90)/(1+Налоги!N$37)*Налоги!N$37</f>
        <v>84691818.181818187</v>
      </c>
      <c r="O92" s="80">
        <f ca="1">-(O91-O90)/(1+Налоги!O$37)*Налоги!O$37</f>
        <v>90833636.36363636</v>
      </c>
      <c r="P92" s="80">
        <f ca="1">-(P91-P90)/(1+Налоги!P$37)*Налоги!P$37</f>
        <v>97618181.818181813</v>
      </c>
      <c r="Q92" s="80">
        <f ca="1">-(Q91-Q90)/(1+Налоги!Q$37)*Налоги!Q$37</f>
        <v>0</v>
      </c>
      <c r="R92" s="80">
        <f ca="1">-(R91-R90)/(1+Налоги!R$37)*Налоги!R$37</f>
        <v>0</v>
      </c>
      <c r="S92" s="80">
        <f ca="1">-(S91-S90)/(1+Налоги!S$37)*Налоги!S$37</f>
        <v>0</v>
      </c>
      <c r="T92" s="80">
        <f ca="1">-(T91-T90)/(1+Налоги!T$37)*Налоги!T$37</f>
        <v>0</v>
      </c>
      <c r="U92" s="80">
        <f ca="1">-(U91-U90)/(1+Налоги!U$37)*Налоги!U$37</f>
        <v>0</v>
      </c>
      <c r="V92" s="80">
        <f ca="1">-(V91-V90)/(1+Налоги!V$37)*Налоги!V$37</f>
        <v>0</v>
      </c>
      <c r="W92" s="80">
        <f ca="1">-(W91-W90)/(1+Налоги!W$37)*Налоги!W$37</f>
        <v>0</v>
      </c>
      <c r="X92" s="80">
        <f ca="1">-(X91-X90)/(1+Налоги!X$37)*Налоги!X$37</f>
        <v>0</v>
      </c>
      <c r="Y92" s="80">
        <f ca="1">-(Y91-Y90)/(1+Налоги!Y$37)*Налоги!Y$37</f>
        <v>0</v>
      </c>
      <c r="Z92" s="80">
        <f ca="1">-(Z91-Z90)/(1+Налоги!Z$37)*Налоги!Z$37</f>
        <v>0</v>
      </c>
      <c r="AA92" s="80">
        <f ca="1">-(AA91-AA90)/(1+Налоги!AA$37)*Налоги!AA$37</f>
        <v>0</v>
      </c>
      <c r="AB92" s="80">
        <f ca="1">-(AB91-AB90)/(1+Налоги!AB$37)*Налоги!AB$37</f>
        <v>0</v>
      </c>
      <c r="AC92" s="80">
        <f ca="1">-(AC91-AC90)/(1+Налоги!AC$37)*Налоги!AC$37</f>
        <v>0</v>
      </c>
      <c r="AD92" s="80">
        <f ca="1">-(AD91-AD90)/(1+Налоги!AD$37)*Налоги!AD$37</f>
        <v>0</v>
      </c>
      <c r="AE92" s="80">
        <f ca="1">-(AE91-AE90)/(1+Налоги!AE$37)*Налоги!AE$37</f>
        <v>0</v>
      </c>
      <c r="AF92" s="80">
        <f ca="1">-(AF91-AF90)/(1+Налоги!AF$37)*Налоги!AF$37</f>
        <v>0</v>
      </c>
      <c r="AG92" s="80">
        <f ca="1">-(AG91-AG90)/(1+Налоги!AG$37)*Налоги!AG$37</f>
        <v>0</v>
      </c>
      <c r="AH92" s="80">
        <f ca="1">-(AH91-AH90)/(1+Налоги!AH$37)*Налоги!AH$37</f>
        <v>0</v>
      </c>
      <c r="AI92" s="80">
        <f ca="1">-(AI91-AI90)/(1+Налоги!AI$37)*Налоги!AI$37</f>
        <v>0</v>
      </c>
      <c r="AJ92" s="80">
        <f ca="1">-(AJ91-AJ90)/(1+Налоги!AJ$37)*Налоги!AJ$37</f>
        <v>0</v>
      </c>
      <c r="AK92" s="80">
        <f ca="1">-(AK91-AK90)/(1+Налоги!AK$37)*Налоги!AK$37</f>
        <v>0</v>
      </c>
      <c r="AL92" s="80">
        <f ca="1">-(AL91-AL90)/(1+Налоги!AL$37)*Налоги!AL$37</f>
        <v>0</v>
      </c>
      <c r="AM92" s="80">
        <f ca="1">-(AM91-AM90)/(1+Налоги!AM$37)*Налоги!AM$37</f>
        <v>0</v>
      </c>
      <c r="AN92" s="80">
        <f ca="1">-(AN91-AN90)/(1+Налоги!AN$37)*Налоги!AN$37</f>
        <v>0</v>
      </c>
      <c r="AO92" s="80">
        <f ca="1">-(AO91-AO90)/(1+Налоги!AO$37)*Налоги!AO$37</f>
        <v>0</v>
      </c>
      <c r="AP92" s="80">
        <f ca="1">-(AP91-AP90)/(1+Налоги!AP$37)*Налоги!AP$37</f>
        <v>0</v>
      </c>
      <c r="AQ92" s="80">
        <f ca="1">-(AQ91-AQ90)/(1+Налоги!AQ$37)*Налоги!AQ$37</f>
        <v>0</v>
      </c>
      <c r="AR92" s="80">
        <f ca="1">-(AR91-AR90)/(1+Налоги!AR$37)*Налоги!AR$37</f>
        <v>0</v>
      </c>
      <c r="AS92" s="80">
        <f ca="1">-(AS91-AS90)/(1+Налоги!AS$37)*Налоги!AS$37</f>
        <v>0</v>
      </c>
      <c r="AT92" s="80">
        <f ca="1">-(AT91-AT90)/(1+Налоги!AT$37)*Налоги!AT$37</f>
        <v>0</v>
      </c>
      <c r="AU92" s="80">
        <f ca="1">-(AU91-AU90)/(1+Налоги!AU$37)*Налоги!AU$37</f>
        <v>0</v>
      </c>
      <c r="AV92" s="80">
        <f ca="1">-(AV91-AV90)/(1+Налоги!AV$37)*Налоги!AV$37</f>
        <v>0</v>
      </c>
      <c r="AW92" s="80">
        <f ca="1">-(AW91-AW90)/(1+Налоги!AW$37)*Налоги!AW$37</f>
        <v>0</v>
      </c>
      <c r="AX92" s="80">
        <f ca="1">-(AX91-AX90)/(1+Налоги!AX$37)*Налоги!AX$37</f>
        <v>0</v>
      </c>
      <c r="AY92" s="80">
        <f ca="1">-(AY91-AY90)/(1+Налоги!AY$37)*Налоги!AY$37</f>
        <v>0</v>
      </c>
      <c r="AZ92" s="80">
        <f ca="1">-(AZ91-AZ90)/(1+Налоги!AZ$37)*Налоги!AZ$37</f>
        <v>0</v>
      </c>
      <c r="BA92" s="80">
        <f ca="1">-(BA91-BA90)/(1+Налоги!BA$37)*Налоги!BA$37</f>
        <v>0</v>
      </c>
      <c r="BB92" s="80">
        <f ca="1">-(BB91-BB90)/(1+Налоги!BB$37)*Налоги!BB$37</f>
        <v>0</v>
      </c>
      <c r="BC92" s="80">
        <f ca="1">-(BC91-BC90)/(1+Налоги!BC$37)*Налоги!BC$37</f>
        <v>0</v>
      </c>
      <c r="BD92" s="80">
        <f ca="1">-(BD91-BD90)/(1+Налоги!BD$37)*Налоги!BD$37</f>
        <v>0</v>
      </c>
      <c r="BE92" s="80">
        <f ca="1">-(BE91-BE90)/(1+Налоги!BE$37)*Налоги!BE$37</f>
        <v>0</v>
      </c>
      <c r="BF92" s="80">
        <f ca="1">-(BF91-BF90)/(1+Налоги!BF$37)*Налоги!BF$37</f>
        <v>0</v>
      </c>
      <c r="BG92" s="80">
        <f ca="1">-(BG91-BG90)/(1+Налоги!BG$37)*Налоги!BG$37</f>
        <v>0</v>
      </c>
      <c r="BH92" s="80">
        <f ca="1">-(BH91-BH90)/(1+Налоги!BH$37)*Налоги!BH$37</f>
        <v>0</v>
      </c>
      <c r="BI92" s="80">
        <f ca="1">-(BI91-BI90)/(1+Налоги!BI$37)*Налоги!BI$37</f>
        <v>0</v>
      </c>
      <c r="BJ92" s="80">
        <f ca="1">-(BJ91-BJ90)/(1+Налоги!BJ$37)*Налоги!BJ$37</f>
        <v>0</v>
      </c>
      <c r="BK92" s="80">
        <f ca="1">-(BK91-BK90)/(1+Налоги!BK$37)*Налоги!BK$37</f>
        <v>0</v>
      </c>
      <c r="BL92" s="80">
        <f ca="1">-(BL91-BL90)/(1+Налоги!BL$37)*Налоги!BL$37</f>
        <v>0</v>
      </c>
      <c r="BM92" s="80">
        <f ca="1">-(BM91-BM90)/(1+Налоги!BM$37)*Налоги!BM$37</f>
        <v>0</v>
      </c>
      <c r="BN92" s="80">
        <f ca="1">-(BN91-BN90)/(1+Налоги!BN$37)*Налоги!BN$37</f>
        <v>0</v>
      </c>
      <c r="BO92" s="80">
        <f ca="1">-(BO91-BO90)/(1+Налоги!BO$37)*Налоги!BO$37</f>
        <v>0</v>
      </c>
      <c r="BP92" s="80">
        <f ca="1">-(BP91-BP90)/(1+Налоги!BP$37)*Налоги!BP$37</f>
        <v>0</v>
      </c>
      <c r="BQ92" s="80">
        <f ca="1">-(BQ91-BQ90)/(1+Налоги!BQ$37)*Налоги!BQ$37</f>
        <v>0</v>
      </c>
      <c r="BR92" s="80">
        <f ca="1">-(BR91-BR90)/(1+Налоги!BR$37)*Налоги!BR$37</f>
        <v>0</v>
      </c>
      <c r="BS92" s="80">
        <f ca="1">-(BS91-BS90)/(1+Налоги!BS$37)*Налоги!BS$37</f>
        <v>0</v>
      </c>
      <c r="BT92" s="80">
        <f ca="1">-(BT91-BT90)/(1+Налоги!BT$37)*Налоги!BT$37</f>
        <v>0</v>
      </c>
      <c r="BU92" s="80">
        <f ca="1">-(BU91-BU90)/(1+Налоги!BU$37)*Налоги!BU$37</f>
        <v>0</v>
      </c>
      <c r="BV92" s="80">
        <f ca="1">-(BV91-BV90)/(1+Налоги!BV$37)*Налоги!BV$37</f>
        <v>0</v>
      </c>
      <c r="BW92" s="80">
        <f ca="1">-(BW91-BW90)/(1+Налоги!BW$37)*Налоги!BW$37</f>
        <v>0</v>
      </c>
      <c r="BX92" s="80">
        <f ca="1">-(BX91-BX90)/(1+Налоги!BX$37)*Налоги!BX$37</f>
        <v>0</v>
      </c>
      <c r="BY92" s="80">
        <f ca="1">-(BY91-BY90)/(1+Налоги!BY$37)*Налоги!BY$37</f>
        <v>0</v>
      </c>
      <c r="BZ92" s="80">
        <f ca="1">-(BZ91-BZ90)/(1+Налоги!BZ$37)*Налоги!BZ$37</f>
        <v>0</v>
      </c>
      <c r="CA92" s="80">
        <f ca="1">-(CA91-CA90)/(1+Налоги!CA$37)*Налоги!CA$37</f>
        <v>0</v>
      </c>
      <c r="CB92" s="80">
        <f ca="1">-(CB91-CB90)/(1+Налоги!CB$37)*Налоги!CB$37</f>
        <v>0</v>
      </c>
      <c r="CC92" s="80">
        <f ca="1">-(CC91-CC90)/(1+Налоги!CC$37)*Налоги!CC$37</f>
        <v>0</v>
      </c>
      <c r="CD92" s="80">
        <f ca="1">-(CD91-CD90)/(1+Налоги!CD$37)*Налоги!CD$37</f>
        <v>0</v>
      </c>
      <c r="CE92" s="80">
        <f ca="1">-(CE91-CE90)/(1+Налоги!CE$37)*Налоги!CE$37</f>
        <v>0</v>
      </c>
      <c r="CF92" s="80">
        <f ca="1">-(CF91-CF90)/(1+Налоги!CF$37)*Налоги!CF$37</f>
        <v>0</v>
      </c>
      <c r="CG92" s="80">
        <f ca="1">-(CG91-CG90)/(1+Налоги!CG$37)*Налоги!CG$37</f>
        <v>0</v>
      </c>
      <c r="CH92" s="80">
        <f ca="1">-(CH91-CH90)/(1+Налоги!CH$37)*Налоги!CH$37</f>
        <v>0</v>
      </c>
      <c r="CI92" s="80">
        <f ca="1">-(CI91-CI90)/(1+Налоги!CI$37)*Налоги!CI$37</f>
        <v>0</v>
      </c>
      <c r="CJ92" s="80">
        <f ca="1">-(CJ91-CJ90)/(1+Налоги!CJ$37)*Налоги!CJ$37</f>
        <v>0</v>
      </c>
      <c r="CK92" s="80">
        <f ca="1">-(CK91-CK90)/(1+Налоги!CK$37)*Налоги!CK$37</f>
        <v>0</v>
      </c>
    </row>
    <row r="93" spans="2:89"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</row>
    <row r="94" spans="2:89" ht="20.25" thickBot="1">
      <c r="B94" s="26" t="s">
        <v>275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</row>
    <row r="95" spans="2:89" ht="15.75" thickTop="1"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</row>
    <row r="96" spans="2:89" ht="18" thickBot="1">
      <c r="B96" s="100" t="s">
        <v>290</v>
      </c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</row>
    <row r="97" spans="2:89" ht="15.75" thickTop="1"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</row>
    <row r="98" spans="2:89" ht="15.75" thickBot="1">
      <c r="B98" s="96" t="s">
        <v>55</v>
      </c>
      <c r="C98" s="96"/>
      <c r="D98" s="127"/>
      <c r="E98" s="96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</row>
    <row r="99" spans="2:89"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</row>
    <row r="100" spans="2:89">
      <c r="B100" s="170" t="str">
        <f t="array" ref="B100:B105">Инвестиции_в_склад_наименования</f>
        <v>Сырье и материалы 1 месяца</v>
      </c>
      <c r="C100" s="171"/>
      <c r="D100" s="172">
        <f t="shared" ref="D100:D105" si="83">SUM(F100:BM100)</f>
        <v>1</v>
      </c>
      <c r="E100" s="173"/>
      <c r="F100" s="159">
        <f t="array" ref="F100:CK105">Инвестиции_в_склад_график_оплаты</f>
        <v>0</v>
      </c>
      <c r="G100" s="174">
        <v>0</v>
      </c>
      <c r="H100" s="174">
        <v>0</v>
      </c>
      <c r="I100" s="174">
        <v>0</v>
      </c>
      <c r="J100" s="174">
        <v>0</v>
      </c>
      <c r="K100" s="174">
        <v>0</v>
      </c>
      <c r="L100" s="174">
        <v>0</v>
      </c>
      <c r="M100" s="174">
        <v>0</v>
      </c>
      <c r="N100" s="174">
        <v>0</v>
      </c>
      <c r="O100" s="174">
        <v>0</v>
      </c>
      <c r="P100" s="174">
        <v>0</v>
      </c>
      <c r="Q100" s="174">
        <v>1</v>
      </c>
      <c r="R100" s="174">
        <v>0</v>
      </c>
      <c r="S100" s="174">
        <v>0</v>
      </c>
      <c r="T100" s="174">
        <v>0</v>
      </c>
      <c r="U100" s="174">
        <v>0</v>
      </c>
      <c r="V100" s="174">
        <v>0</v>
      </c>
      <c r="W100" s="174">
        <v>0</v>
      </c>
      <c r="X100" s="174">
        <v>0</v>
      </c>
      <c r="Y100" s="174">
        <v>0</v>
      </c>
      <c r="Z100" s="174">
        <v>0</v>
      </c>
      <c r="AA100" s="174">
        <v>0</v>
      </c>
      <c r="AB100" s="174">
        <v>0</v>
      </c>
      <c r="AC100" s="174">
        <v>0</v>
      </c>
      <c r="AD100" s="174">
        <v>0</v>
      </c>
      <c r="AE100" s="174">
        <v>0</v>
      </c>
      <c r="AF100" s="174">
        <v>0</v>
      </c>
      <c r="AG100" s="174">
        <v>0</v>
      </c>
      <c r="AH100" s="174">
        <v>0</v>
      </c>
      <c r="AI100" s="174">
        <v>0</v>
      </c>
      <c r="AJ100" s="174">
        <v>0</v>
      </c>
      <c r="AK100" s="174">
        <v>0</v>
      </c>
      <c r="AL100" s="174">
        <v>0</v>
      </c>
      <c r="AM100" s="174">
        <v>0</v>
      </c>
      <c r="AN100" s="174">
        <v>0</v>
      </c>
      <c r="AO100" s="174">
        <v>0</v>
      </c>
      <c r="AP100" s="174">
        <v>0</v>
      </c>
      <c r="AQ100" s="174">
        <v>0</v>
      </c>
      <c r="AR100" s="174">
        <v>0</v>
      </c>
      <c r="AS100" s="174">
        <v>0</v>
      </c>
      <c r="AT100" s="174">
        <v>0</v>
      </c>
      <c r="AU100" s="174">
        <v>0</v>
      </c>
      <c r="AV100" s="174">
        <v>0</v>
      </c>
      <c r="AW100" s="174">
        <v>0</v>
      </c>
      <c r="AX100" s="174">
        <v>0</v>
      </c>
      <c r="AY100" s="174">
        <v>0</v>
      </c>
      <c r="AZ100" s="174">
        <v>0</v>
      </c>
      <c r="BA100" s="174">
        <v>0</v>
      </c>
      <c r="BB100" s="174">
        <v>0</v>
      </c>
      <c r="BC100" s="174">
        <v>0</v>
      </c>
      <c r="BD100" s="174">
        <v>0</v>
      </c>
      <c r="BE100" s="174">
        <v>0</v>
      </c>
      <c r="BF100" s="174">
        <v>0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74">
        <v>0</v>
      </c>
      <c r="BP100" s="174">
        <v>0</v>
      </c>
      <c r="BQ100" s="174">
        <v>0</v>
      </c>
      <c r="BR100" s="174">
        <v>0</v>
      </c>
      <c r="BS100" s="174">
        <v>0</v>
      </c>
      <c r="BT100" s="174">
        <v>0</v>
      </c>
      <c r="BU100" s="174">
        <v>0</v>
      </c>
      <c r="BV100" s="174">
        <v>0</v>
      </c>
      <c r="BW100" s="174">
        <v>0</v>
      </c>
      <c r="BX100" s="174">
        <v>0</v>
      </c>
      <c r="BY100" s="174">
        <v>0</v>
      </c>
      <c r="BZ100" s="174">
        <v>0</v>
      </c>
      <c r="CA100" s="174">
        <v>0</v>
      </c>
      <c r="CB100" s="174">
        <v>0</v>
      </c>
      <c r="CC100" s="174">
        <v>0</v>
      </c>
      <c r="CD100" s="174">
        <v>0</v>
      </c>
      <c r="CE100" s="174">
        <v>0</v>
      </c>
      <c r="CF100" s="174">
        <v>0</v>
      </c>
      <c r="CG100" s="174">
        <v>0</v>
      </c>
      <c r="CH100" s="174">
        <v>0</v>
      </c>
      <c r="CI100" s="174">
        <v>0</v>
      </c>
      <c r="CJ100" s="174">
        <v>0</v>
      </c>
      <c r="CK100" s="174">
        <v>0</v>
      </c>
    </row>
    <row r="101" spans="2:89">
      <c r="B101" s="175" t="str">
        <v>Пусто</v>
      </c>
      <c r="C101" s="171"/>
      <c r="D101" s="172">
        <f t="shared" si="83"/>
        <v>0</v>
      </c>
      <c r="E101" s="173"/>
      <c r="F101" s="174">
        <v>0</v>
      </c>
      <c r="G101" s="174">
        <v>0</v>
      </c>
      <c r="H101" s="174">
        <v>0</v>
      </c>
      <c r="I101" s="174">
        <v>0</v>
      </c>
      <c r="J101" s="174">
        <v>0</v>
      </c>
      <c r="K101" s="174">
        <v>0</v>
      </c>
      <c r="L101" s="174">
        <v>0</v>
      </c>
      <c r="M101" s="174">
        <v>0</v>
      </c>
      <c r="N101" s="174">
        <v>0</v>
      </c>
      <c r="O101" s="174">
        <v>0</v>
      </c>
      <c r="P101" s="174">
        <v>0</v>
      </c>
      <c r="Q101" s="174">
        <v>0</v>
      </c>
      <c r="R101" s="174">
        <v>0</v>
      </c>
      <c r="S101" s="174">
        <v>0</v>
      </c>
      <c r="T101" s="174">
        <v>0</v>
      </c>
      <c r="U101" s="174">
        <v>0</v>
      </c>
      <c r="V101" s="174">
        <v>0</v>
      </c>
      <c r="W101" s="174">
        <v>0</v>
      </c>
      <c r="X101" s="174">
        <v>0</v>
      </c>
      <c r="Y101" s="174">
        <v>0</v>
      </c>
      <c r="Z101" s="174">
        <v>0</v>
      </c>
      <c r="AA101" s="174">
        <v>0</v>
      </c>
      <c r="AB101" s="174">
        <v>0</v>
      </c>
      <c r="AC101" s="174">
        <v>0</v>
      </c>
      <c r="AD101" s="174">
        <v>0</v>
      </c>
      <c r="AE101" s="174">
        <v>0</v>
      </c>
      <c r="AF101" s="174">
        <v>0</v>
      </c>
      <c r="AG101" s="174">
        <v>0</v>
      </c>
      <c r="AH101" s="174">
        <v>0</v>
      </c>
      <c r="AI101" s="174">
        <v>0</v>
      </c>
      <c r="AJ101" s="174">
        <v>0</v>
      </c>
      <c r="AK101" s="174">
        <v>0</v>
      </c>
      <c r="AL101" s="174">
        <v>0</v>
      </c>
      <c r="AM101" s="174">
        <v>0</v>
      </c>
      <c r="AN101" s="174">
        <v>0</v>
      </c>
      <c r="AO101" s="174">
        <v>0</v>
      </c>
      <c r="AP101" s="174">
        <v>0</v>
      </c>
      <c r="AQ101" s="174">
        <v>0</v>
      </c>
      <c r="AR101" s="174">
        <v>0</v>
      </c>
      <c r="AS101" s="174">
        <v>0</v>
      </c>
      <c r="AT101" s="174">
        <v>0</v>
      </c>
      <c r="AU101" s="174">
        <v>0</v>
      </c>
      <c r="AV101" s="174">
        <v>0</v>
      </c>
      <c r="AW101" s="174">
        <v>0</v>
      </c>
      <c r="AX101" s="174">
        <v>0</v>
      </c>
      <c r="AY101" s="174">
        <v>0</v>
      </c>
      <c r="AZ101" s="174">
        <v>0</v>
      </c>
      <c r="BA101" s="174">
        <v>0</v>
      </c>
      <c r="BB101" s="174">
        <v>0</v>
      </c>
      <c r="BC101" s="174">
        <v>0</v>
      </c>
      <c r="BD101" s="174">
        <v>0</v>
      </c>
      <c r="BE101" s="174">
        <v>0</v>
      </c>
      <c r="BF101" s="174">
        <v>0</v>
      </c>
      <c r="BG101" s="174">
        <v>0</v>
      </c>
      <c r="BH101" s="174">
        <v>0</v>
      </c>
      <c r="BI101" s="174">
        <v>0</v>
      </c>
      <c r="BJ101" s="174">
        <v>0</v>
      </c>
      <c r="BK101" s="174">
        <v>0</v>
      </c>
      <c r="BL101" s="174">
        <v>0</v>
      </c>
      <c r="BM101" s="174">
        <v>0</v>
      </c>
      <c r="BN101" s="174">
        <v>0</v>
      </c>
      <c r="BO101" s="174">
        <v>0</v>
      </c>
      <c r="BP101" s="174">
        <v>0</v>
      </c>
      <c r="BQ101" s="174">
        <v>0</v>
      </c>
      <c r="BR101" s="174">
        <v>0</v>
      </c>
      <c r="BS101" s="174">
        <v>0</v>
      </c>
      <c r="BT101" s="174">
        <v>0</v>
      </c>
      <c r="BU101" s="174">
        <v>0</v>
      </c>
      <c r="BV101" s="174">
        <v>0</v>
      </c>
      <c r="BW101" s="174">
        <v>0</v>
      </c>
      <c r="BX101" s="174">
        <v>0</v>
      </c>
      <c r="BY101" s="174">
        <v>0</v>
      </c>
      <c r="BZ101" s="174">
        <v>0</v>
      </c>
      <c r="CA101" s="174">
        <v>0</v>
      </c>
      <c r="CB101" s="174">
        <v>0</v>
      </c>
      <c r="CC101" s="174">
        <v>0</v>
      </c>
      <c r="CD101" s="174">
        <v>0</v>
      </c>
      <c r="CE101" s="174">
        <v>0</v>
      </c>
      <c r="CF101" s="174">
        <v>0</v>
      </c>
      <c r="CG101" s="174">
        <v>0</v>
      </c>
      <c r="CH101" s="174">
        <v>0</v>
      </c>
      <c r="CI101" s="174">
        <v>0</v>
      </c>
      <c r="CJ101" s="174">
        <v>0</v>
      </c>
      <c r="CK101" s="174">
        <v>0</v>
      </c>
    </row>
    <row r="102" spans="2:89">
      <c r="B102" s="175" t="str">
        <v>Пусто</v>
      </c>
      <c r="C102" s="171"/>
      <c r="D102" s="172">
        <f t="shared" si="83"/>
        <v>0</v>
      </c>
      <c r="E102" s="173"/>
      <c r="F102" s="174">
        <v>0</v>
      </c>
      <c r="G102" s="174">
        <v>0</v>
      </c>
      <c r="H102" s="174">
        <v>0</v>
      </c>
      <c r="I102" s="174">
        <v>0</v>
      </c>
      <c r="J102" s="174">
        <v>0</v>
      </c>
      <c r="K102" s="174">
        <v>0</v>
      </c>
      <c r="L102" s="174">
        <v>0</v>
      </c>
      <c r="M102" s="174">
        <v>0</v>
      </c>
      <c r="N102" s="174">
        <v>0</v>
      </c>
      <c r="O102" s="174">
        <v>0</v>
      </c>
      <c r="P102" s="174">
        <v>0</v>
      </c>
      <c r="Q102" s="174">
        <v>0</v>
      </c>
      <c r="R102" s="174">
        <v>0</v>
      </c>
      <c r="S102" s="174">
        <v>0</v>
      </c>
      <c r="T102" s="174">
        <v>0</v>
      </c>
      <c r="U102" s="174">
        <v>0</v>
      </c>
      <c r="V102" s="174">
        <v>0</v>
      </c>
      <c r="W102" s="174">
        <v>0</v>
      </c>
      <c r="X102" s="174">
        <v>0</v>
      </c>
      <c r="Y102" s="174">
        <v>0</v>
      </c>
      <c r="Z102" s="174">
        <v>0</v>
      </c>
      <c r="AA102" s="174">
        <v>0</v>
      </c>
      <c r="AB102" s="174">
        <v>0</v>
      </c>
      <c r="AC102" s="174">
        <v>0</v>
      </c>
      <c r="AD102" s="174">
        <v>0</v>
      </c>
      <c r="AE102" s="174">
        <v>0</v>
      </c>
      <c r="AF102" s="174">
        <v>0</v>
      </c>
      <c r="AG102" s="174">
        <v>0</v>
      </c>
      <c r="AH102" s="174">
        <v>0</v>
      </c>
      <c r="AI102" s="174">
        <v>0</v>
      </c>
      <c r="AJ102" s="174">
        <v>0</v>
      </c>
      <c r="AK102" s="174">
        <v>0</v>
      </c>
      <c r="AL102" s="174">
        <v>0</v>
      </c>
      <c r="AM102" s="174">
        <v>0</v>
      </c>
      <c r="AN102" s="174">
        <v>0</v>
      </c>
      <c r="AO102" s="174">
        <v>0</v>
      </c>
      <c r="AP102" s="174">
        <v>0</v>
      </c>
      <c r="AQ102" s="174">
        <v>0</v>
      </c>
      <c r="AR102" s="174">
        <v>0</v>
      </c>
      <c r="AS102" s="174">
        <v>0</v>
      </c>
      <c r="AT102" s="174">
        <v>0</v>
      </c>
      <c r="AU102" s="174">
        <v>0</v>
      </c>
      <c r="AV102" s="174">
        <v>0</v>
      </c>
      <c r="AW102" s="174">
        <v>0</v>
      </c>
      <c r="AX102" s="174">
        <v>0</v>
      </c>
      <c r="AY102" s="174">
        <v>0</v>
      </c>
      <c r="AZ102" s="174">
        <v>0</v>
      </c>
      <c r="BA102" s="174">
        <v>0</v>
      </c>
      <c r="BB102" s="174">
        <v>0</v>
      </c>
      <c r="BC102" s="174">
        <v>0</v>
      </c>
      <c r="BD102" s="174">
        <v>0</v>
      </c>
      <c r="BE102" s="174">
        <v>0</v>
      </c>
      <c r="BF102" s="174">
        <v>0</v>
      </c>
      <c r="BG102" s="174">
        <v>0</v>
      </c>
      <c r="BH102" s="174">
        <v>0</v>
      </c>
      <c r="BI102" s="174">
        <v>0</v>
      </c>
      <c r="BJ102" s="174">
        <v>0</v>
      </c>
      <c r="BK102" s="174">
        <v>0</v>
      </c>
      <c r="BL102" s="174">
        <v>0</v>
      </c>
      <c r="BM102" s="174">
        <v>0</v>
      </c>
      <c r="BN102" s="174">
        <v>0</v>
      </c>
      <c r="BO102" s="174">
        <v>0</v>
      </c>
      <c r="BP102" s="174">
        <v>0</v>
      </c>
      <c r="BQ102" s="174">
        <v>0</v>
      </c>
      <c r="BR102" s="174">
        <v>0</v>
      </c>
      <c r="BS102" s="174">
        <v>0</v>
      </c>
      <c r="BT102" s="174">
        <v>0</v>
      </c>
      <c r="BU102" s="174">
        <v>0</v>
      </c>
      <c r="BV102" s="174">
        <v>0</v>
      </c>
      <c r="BW102" s="174">
        <v>0</v>
      </c>
      <c r="BX102" s="174">
        <v>0</v>
      </c>
      <c r="BY102" s="174">
        <v>0</v>
      </c>
      <c r="BZ102" s="174">
        <v>0</v>
      </c>
      <c r="CA102" s="174">
        <v>0</v>
      </c>
      <c r="CB102" s="174">
        <v>0</v>
      </c>
      <c r="CC102" s="174">
        <v>0</v>
      </c>
      <c r="CD102" s="174">
        <v>0</v>
      </c>
      <c r="CE102" s="174">
        <v>0</v>
      </c>
      <c r="CF102" s="174">
        <v>0</v>
      </c>
      <c r="CG102" s="174">
        <v>0</v>
      </c>
      <c r="CH102" s="174">
        <v>0</v>
      </c>
      <c r="CI102" s="174">
        <v>0</v>
      </c>
      <c r="CJ102" s="174">
        <v>0</v>
      </c>
      <c r="CK102" s="174">
        <v>0</v>
      </c>
    </row>
    <row r="103" spans="2:89">
      <c r="B103" s="175" t="str">
        <v>Пусто</v>
      </c>
      <c r="C103" s="171"/>
      <c r="D103" s="172">
        <f t="shared" si="83"/>
        <v>0</v>
      </c>
      <c r="E103" s="173"/>
      <c r="F103" s="174">
        <v>0</v>
      </c>
      <c r="G103" s="174">
        <v>0</v>
      </c>
      <c r="H103" s="174">
        <v>0</v>
      </c>
      <c r="I103" s="174">
        <v>0</v>
      </c>
      <c r="J103" s="174">
        <v>0</v>
      </c>
      <c r="K103" s="174">
        <v>0</v>
      </c>
      <c r="L103" s="174">
        <v>0</v>
      </c>
      <c r="M103" s="174">
        <v>0</v>
      </c>
      <c r="N103" s="174">
        <v>0</v>
      </c>
      <c r="O103" s="174">
        <v>0</v>
      </c>
      <c r="P103" s="174">
        <v>0</v>
      </c>
      <c r="Q103" s="174">
        <v>0</v>
      </c>
      <c r="R103" s="174">
        <v>0</v>
      </c>
      <c r="S103" s="174">
        <v>0</v>
      </c>
      <c r="T103" s="174">
        <v>0</v>
      </c>
      <c r="U103" s="174">
        <v>0</v>
      </c>
      <c r="V103" s="174">
        <v>0</v>
      </c>
      <c r="W103" s="174">
        <v>0</v>
      </c>
      <c r="X103" s="174">
        <v>0</v>
      </c>
      <c r="Y103" s="174">
        <v>0</v>
      </c>
      <c r="Z103" s="174">
        <v>0</v>
      </c>
      <c r="AA103" s="174">
        <v>0</v>
      </c>
      <c r="AB103" s="174">
        <v>0</v>
      </c>
      <c r="AC103" s="174">
        <v>0</v>
      </c>
      <c r="AD103" s="174">
        <v>0</v>
      </c>
      <c r="AE103" s="174">
        <v>0</v>
      </c>
      <c r="AF103" s="174">
        <v>0</v>
      </c>
      <c r="AG103" s="174">
        <v>0</v>
      </c>
      <c r="AH103" s="174">
        <v>0</v>
      </c>
      <c r="AI103" s="174">
        <v>0</v>
      </c>
      <c r="AJ103" s="174">
        <v>0</v>
      </c>
      <c r="AK103" s="174">
        <v>0</v>
      </c>
      <c r="AL103" s="174">
        <v>0</v>
      </c>
      <c r="AM103" s="174">
        <v>0</v>
      </c>
      <c r="AN103" s="174">
        <v>0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74">
        <v>0</v>
      </c>
      <c r="BP103" s="174">
        <v>0</v>
      </c>
      <c r="BQ103" s="174">
        <v>0</v>
      </c>
      <c r="BR103" s="174">
        <v>0</v>
      </c>
      <c r="BS103" s="174">
        <v>0</v>
      </c>
      <c r="BT103" s="174">
        <v>0</v>
      </c>
      <c r="BU103" s="174">
        <v>0</v>
      </c>
      <c r="BV103" s="174">
        <v>0</v>
      </c>
      <c r="BW103" s="174">
        <v>0</v>
      </c>
      <c r="BX103" s="174">
        <v>0</v>
      </c>
      <c r="BY103" s="174">
        <v>0</v>
      </c>
      <c r="BZ103" s="174">
        <v>0</v>
      </c>
      <c r="CA103" s="174">
        <v>0</v>
      </c>
      <c r="CB103" s="174">
        <v>0</v>
      </c>
      <c r="CC103" s="174">
        <v>0</v>
      </c>
      <c r="CD103" s="174">
        <v>0</v>
      </c>
      <c r="CE103" s="174">
        <v>0</v>
      </c>
      <c r="CF103" s="174">
        <v>0</v>
      </c>
      <c r="CG103" s="174">
        <v>0</v>
      </c>
      <c r="CH103" s="174">
        <v>0</v>
      </c>
      <c r="CI103" s="174">
        <v>0</v>
      </c>
      <c r="CJ103" s="174">
        <v>0</v>
      </c>
      <c r="CK103" s="174">
        <v>0</v>
      </c>
    </row>
    <row r="104" spans="2:89">
      <c r="B104" s="175" t="str">
        <v>Пусто</v>
      </c>
      <c r="C104" s="171"/>
      <c r="D104" s="172">
        <f t="shared" si="83"/>
        <v>0</v>
      </c>
      <c r="E104" s="173"/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4">
        <v>0</v>
      </c>
      <c r="O104" s="174">
        <v>0</v>
      </c>
      <c r="P104" s="174">
        <v>0</v>
      </c>
      <c r="Q104" s="174">
        <v>0</v>
      </c>
      <c r="R104" s="174">
        <v>0</v>
      </c>
      <c r="S104" s="174">
        <v>0</v>
      </c>
      <c r="T104" s="174">
        <v>0</v>
      </c>
      <c r="U104" s="174">
        <v>0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74">
        <v>0</v>
      </c>
      <c r="BP104" s="174">
        <v>0</v>
      </c>
      <c r="BQ104" s="174">
        <v>0</v>
      </c>
      <c r="BR104" s="174">
        <v>0</v>
      </c>
      <c r="BS104" s="174">
        <v>0</v>
      </c>
      <c r="BT104" s="174">
        <v>0</v>
      </c>
      <c r="BU104" s="174">
        <v>0</v>
      </c>
      <c r="BV104" s="174">
        <v>0</v>
      </c>
      <c r="BW104" s="174">
        <v>0</v>
      </c>
      <c r="BX104" s="174">
        <v>0</v>
      </c>
      <c r="BY104" s="174">
        <v>0</v>
      </c>
      <c r="BZ104" s="174">
        <v>0</v>
      </c>
      <c r="CA104" s="174">
        <v>0</v>
      </c>
      <c r="CB104" s="174">
        <v>0</v>
      </c>
      <c r="CC104" s="174">
        <v>0</v>
      </c>
      <c r="CD104" s="174">
        <v>0</v>
      </c>
      <c r="CE104" s="174">
        <v>0</v>
      </c>
      <c r="CF104" s="174">
        <v>0</v>
      </c>
      <c r="CG104" s="174">
        <v>0</v>
      </c>
      <c r="CH104" s="174">
        <v>0</v>
      </c>
      <c r="CI104" s="174">
        <v>0</v>
      </c>
      <c r="CJ104" s="174">
        <v>0</v>
      </c>
      <c r="CK104" s="174">
        <v>0</v>
      </c>
    </row>
    <row r="105" spans="2:89">
      <c r="B105" s="175" t="str">
        <v>Пусто</v>
      </c>
      <c r="C105" s="171"/>
      <c r="D105" s="172">
        <f t="shared" si="83"/>
        <v>0</v>
      </c>
      <c r="E105" s="173"/>
      <c r="F105" s="174">
        <v>0</v>
      </c>
      <c r="G105" s="174">
        <v>0</v>
      </c>
      <c r="H105" s="174">
        <v>0</v>
      </c>
      <c r="I105" s="174">
        <v>0</v>
      </c>
      <c r="J105" s="174">
        <v>0</v>
      </c>
      <c r="K105" s="174">
        <v>0</v>
      </c>
      <c r="L105" s="174">
        <v>0</v>
      </c>
      <c r="M105" s="174">
        <v>0</v>
      </c>
      <c r="N105" s="174">
        <v>0</v>
      </c>
      <c r="O105" s="174">
        <v>0</v>
      </c>
      <c r="P105" s="174">
        <v>0</v>
      </c>
      <c r="Q105" s="174">
        <v>0</v>
      </c>
      <c r="R105" s="174">
        <v>0</v>
      </c>
      <c r="S105" s="174">
        <v>0</v>
      </c>
      <c r="T105" s="174">
        <v>0</v>
      </c>
      <c r="U105" s="174">
        <v>0</v>
      </c>
      <c r="V105" s="174">
        <v>0</v>
      </c>
      <c r="W105" s="174">
        <v>0</v>
      </c>
      <c r="X105" s="174">
        <v>0</v>
      </c>
      <c r="Y105" s="174">
        <v>0</v>
      </c>
      <c r="Z105" s="174">
        <v>0</v>
      </c>
      <c r="AA105" s="174">
        <v>0</v>
      </c>
      <c r="AB105" s="174">
        <v>0</v>
      </c>
      <c r="AC105" s="174">
        <v>0</v>
      </c>
      <c r="AD105" s="174">
        <v>0</v>
      </c>
      <c r="AE105" s="174">
        <v>0</v>
      </c>
      <c r="AF105" s="174">
        <v>0</v>
      </c>
      <c r="AG105" s="174">
        <v>0</v>
      </c>
      <c r="AH105" s="174">
        <v>0</v>
      </c>
      <c r="AI105" s="174">
        <v>0</v>
      </c>
      <c r="AJ105" s="174">
        <v>0</v>
      </c>
      <c r="AK105" s="174">
        <v>0</v>
      </c>
      <c r="AL105" s="174">
        <v>0</v>
      </c>
      <c r="AM105" s="174">
        <v>0</v>
      </c>
      <c r="AN105" s="174">
        <v>0</v>
      </c>
      <c r="AO105" s="174">
        <v>0</v>
      </c>
      <c r="AP105" s="174">
        <v>0</v>
      </c>
      <c r="AQ105" s="174">
        <v>0</v>
      </c>
      <c r="AR105" s="174">
        <v>0</v>
      </c>
      <c r="AS105" s="174">
        <v>0</v>
      </c>
      <c r="AT105" s="174">
        <v>0</v>
      </c>
      <c r="AU105" s="174">
        <v>0</v>
      </c>
      <c r="AV105" s="174">
        <v>0</v>
      </c>
      <c r="AW105" s="174">
        <v>0</v>
      </c>
      <c r="AX105" s="174">
        <v>0</v>
      </c>
      <c r="AY105" s="174">
        <v>0</v>
      </c>
      <c r="AZ105" s="174">
        <v>0</v>
      </c>
      <c r="BA105" s="174">
        <v>0</v>
      </c>
      <c r="BB105" s="174">
        <v>0</v>
      </c>
      <c r="BC105" s="174">
        <v>0</v>
      </c>
      <c r="BD105" s="174">
        <v>0</v>
      </c>
      <c r="BE105" s="174">
        <v>0</v>
      </c>
      <c r="BF105" s="174">
        <v>0</v>
      </c>
      <c r="BG105" s="174">
        <v>0</v>
      </c>
      <c r="BH105" s="174">
        <v>0</v>
      </c>
      <c r="BI105" s="174">
        <v>0</v>
      </c>
      <c r="BJ105" s="174">
        <v>0</v>
      </c>
      <c r="BK105" s="174">
        <v>0</v>
      </c>
      <c r="BL105" s="174">
        <v>0</v>
      </c>
      <c r="BM105" s="174">
        <v>0</v>
      </c>
      <c r="BN105" s="174">
        <v>0</v>
      </c>
      <c r="BO105" s="174">
        <v>0</v>
      </c>
      <c r="BP105" s="174">
        <v>0</v>
      </c>
      <c r="BQ105" s="174">
        <v>0</v>
      </c>
      <c r="BR105" s="174">
        <v>0</v>
      </c>
      <c r="BS105" s="174">
        <v>0</v>
      </c>
      <c r="BT105" s="174">
        <v>0</v>
      </c>
      <c r="BU105" s="174">
        <v>0</v>
      </c>
      <c r="BV105" s="174">
        <v>0</v>
      </c>
      <c r="BW105" s="174">
        <v>0</v>
      </c>
      <c r="BX105" s="174">
        <v>0</v>
      </c>
      <c r="BY105" s="174">
        <v>0</v>
      </c>
      <c r="BZ105" s="174">
        <v>0</v>
      </c>
      <c r="CA105" s="174">
        <v>0</v>
      </c>
      <c r="CB105" s="174">
        <v>0</v>
      </c>
      <c r="CC105" s="174">
        <v>0</v>
      </c>
      <c r="CD105" s="174">
        <v>0</v>
      </c>
      <c r="CE105" s="174">
        <v>0</v>
      </c>
      <c r="CF105" s="174">
        <v>0</v>
      </c>
      <c r="CG105" s="174">
        <v>0</v>
      </c>
      <c r="CH105" s="174">
        <v>0</v>
      </c>
      <c r="CI105" s="174">
        <v>0</v>
      </c>
      <c r="CJ105" s="174">
        <v>0</v>
      </c>
      <c r="CK105" s="174">
        <v>0</v>
      </c>
    </row>
    <row r="106" spans="2:89"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</row>
    <row r="107" spans="2:89" ht="15.75" thickBot="1">
      <c r="B107" s="96" t="str">
        <f>"Платежи в текущих ценах, в "&amp;Ед_измерения_денег&amp;" в т.ч. НДС"</f>
        <v>Платежи в текущих ценах, в  руб. в т.ч. НДС</v>
      </c>
      <c r="C107" s="96"/>
      <c r="D107" s="127"/>
      <c r="E107" s="96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</row>
    <row r="108" spans="2:89"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</row>
    <row r="109" spans="2:89">
      <c r="B109" s="45" t="str">
        <f t="array" ref="B109:B114">Инвестиции_в_склад_наименования</f>
        <v>Сырье и материалы 1 месяца</v>
      </c>
      <c r="C109" s="46"/>
      <c r="D109" s="47">
        <f t="shared" ref="D109:D114" si="84">SUM(F109:BM109)</f>
        <v>1000000</v>
      </c>
      <c r="E109" s="48"/>
      <c r="F109" s="49">
        <f t="array" ref="F109:CK114">Инвестиции_в_склад_суммы*F100:CK105</f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49">
        <v>0</v>
      </c>
      <c r="O109" s="49">
        <v>0</v>
      </c>
      <c r="P109" s="49">
        <v>0</v>
      </c>
      <c r="Q109" s="49">
        <v>1000000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>
        <v>0</v>
      </c>
      <c r="AF109" s="49">
        <v>0</v>
      </c>
      <c r="AG109" s="49">
        <v>0</v>
      </c>
      <c r="AH109" s="49">
        <v>0</v>
      </c>
      <c r="AI109" s="49">
        <v>0</v>
      </c>
      <c r="AJ109" s="49">
        <v>0</v>
      </c>
      <c r="AK109" s="49">
        <v>0</v>
      </c>
      <c r="AL109" s="49">
        <v>0</v>
      </c>
      <c r="AM109" s="49">
        <v>0</v>
      </c>
      <c r="AN109" s="49">
        <v>0</v>
      </c>
      <c r="AO109" s="49">
        <v>0</v>
      </c>
      <c r="AP109" s="49">
        <v>0</v>
      </c>
      <c r="AQ109" s="49">
        <v>0</v>
      </c>
      <c r="AR109" s="49">
        <v>0</v>
      </c>
      <c r="AS109" s="49">
        <v>0</v>
      </c>
      <c r="AT109" s="49">
        <v>0</v>
      </c>
      <c r="AU109" s="49">
        <v>0</v>
      </c>
      <c r="AV109" s="49">
        <v>0</v>
      </c>
      <c r="AW109" s="49">
        <v>0</v>
      </c>
      <c r="AX109" s="49">
        <v>0</v>
      </c>
      <c r="AY109" s="49">
        <v>0</v>
      </c>
      <c r="AZ109" s="49">
        <v>0</v>
      </c>
      <c r="BA109" s="49">
        <v>0</v>
      </c>
      <c r="BB109" s="49">
        <v>0</v>
      </c>
      <c r="BC109" s="49">
        <v>0</v>
      </c>
      <c r="BD109" s="49">
        <v>0</v>
      </c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9">
        <v>0</v>
      </c>
      <c r="BK109" s="49">
        <v>0</v>
      </c>
      <c r="BL109" s="49">
        <v>0</v>
      </c>
      <c r="BM109" s="49">
        <v>0</v>
      </c>
      <c r="BN109" s="49">
        <v>0</v>
      </c>
      <c r="BO109" s="49">
        <v>0</v>
      </c>
      <c r="BP109" s="49">
        <v>0</v>
      </c>
      <c r="BQ109" s="49">
        <v>0</v>
      </c>
      <c r="BR109" s="49">
        <v>0</v>
      </c>
      <c r="BS109" s="49">
        <v>0</v>
      </c>
      <c r="BT109" s="49">
        <v>0</v>
      </c>
      <c r="BU109" s="49">
        <v>0</v>
      </c>
      <c r="BV109" s="49">
        <v>0</v>
      </c>
      <c r="BW109" s="49">
        <v>0</v>
      </c>
      <c r="BX109" s="49">
        <v>0</v>
      </c>
      <c r="BY109" s="49">
        <v>0</v>
      </c>
      <c r="BZ109" s="49">
        <v>0</v>
      </c>
      <c r="CA109" s="49">
        <v>0</v>
      </c>
      <c r="CB109" s="49">
        <v>0</v>
      </c>
      <c r="CC109" s="49">
        <v>0</v>
      </c>
      <c r="CD109" s="49">
        <v>0</v>
      </c>
      <c r="CE109" s="49">
        <v>0</v>
      </c>
      <c r="CF109" s="49">
        <v>0</v>
      </c>
      <c r="CG109" s="49">
        <v>0</v>
      </c>
      <c r="CH109" s="49">
        <v>0</v>
      </c>
      <c r="CI109" s="49">
        <v>0</v>
      </c>
      <c r="CJ109" s="49">
        <v>0</v>
      </c>
      <c r="CK109" s="49">
        <v>0</v>
      </c>
    </row>
    <row r="110" spans="2:89">
      <c r="B110" s="86" t="str">
        <v>Пусто</v>
      </c>
      <c r="C110" s="46"/>
      <c r="D110" s="47">
        <f t="shared" si="84"/>
        <v>0</v>
      </c>
      <c r="E110" s="48"/>
      <c r="F110" s="176">
        <v>0</v>
      </c>
      <c r="G110" s="176">
        <v>0</v>
      </c>
      <c r="H110" s="176">
        <v>0</v>
      </c>
      <c r="I110" s="176">
        <v>0</v>
      </c>
      <c r="J110" s="176">
        <v>0</v>
      </c>
      <c r="K110" s="176">
        <v>0</v>
      </c>
      <c r="L110" s="176">
        <v>0</v>
      </c>
      <c r="M110" s="176">
        <v>0</v>
      </c>
      <c r="N110" s="176">
        <v>0</v>
      </c>
      <c r="O110" s="176">
        <v>0</v>
      </c>
      <c r="P110" s="176">
        <v>0</v>
      </c>
      <c r="Q110" s="176">
        <v>0</v>
      </c>
      <c r="R110" s="176">
        <v>0</v>
      </c>
      <c r="S110" s="176">
        <v>0</v>
      </c>
      <c r="T110" s="176">
        <v>0</v>
      </c>
      <c r="U110" s="176">
        <v>0</v>
      </c>
      <c r="V110" s="176">
        <v>0</v>
      </c>
      <c r="W110" s="176">
        <v>0</v>
      </c>
      <c r="X110" s="176">
        <v>0</v>
      </c>
      <c r="Y110" s="176">
        <v>0</v>
      </c>
      <c r="Z110" s="176">
        <v>0</v>
      </c>
      <c r="AA110" s="176">
        <v>0</v>
      </c>
      <c r="AB110" s="176">
        <v>0</v>
      </c>
      <c r="AC110" s="176">
        <v>0</v>
      </c>
      <c r="AD110" s="176">
        <v>0</v>
      </c>
      <c r="AE110" s="176">
        <v>0</v>
      </c>
      <c r="AF110" s="176">
        <v>0</v>
      </c>
      <c r="AG110" s="176">
        <v>0</v>
      </c>
      <c r="AH110" s="176">
        <v>0</v>
      </c>
      <c r="AI110" s="176">
        <v>0</v>
      </c>
      <c r="AJ110" s="176">
        <v>0</v>
      </c>
      <c r="AK110" s="176">
        <v>0</v>
      </c>
      <c r="AL110" s="176">
        <v>0</v>
      </c>
      <c r="AM110" s="176">
        <v>0</v>
      </c>
      <c r="AN110" s="176">
        <v>0</v>
      </c>
      <c r="AO110" s="176">
        <v>0</v>
      </c>
      <c r="AP110" s="176">
        <v>0</v>
      </c>
      <c r="AQ110" s="176">
        <v>0</v>
      </c>
      <c r="AR110" s="176">
        <v>0</v>
      </c>
      <c r="AS110" s="176">
        <v>0</v>
      </c>
      <c r="AT110" s="176">
        <v>0</v>
      </c>
      <c r="AU110" s="176">
        <v>0</v>
      </c>
      <c r="AV110" s="176">
        <v>0</v>
      </c>
      <c r="AW110" s="176">
        <v>0</v>
      </c>
      <c r="AX110" s="176">
        <v>0</v>
      </c>
      <c r="AY110" s="176">
        <v>0</v>
      </c>
      <c r="AZ110" s="176">
        <v>0</v>
      </c>
      <c r="BA110" s="176">
        <v>0</v>
      </c>
      <c r="BB110" s="176">
        <v>0</v>
      </c>
      <c r="BC110" s="176">
        <v>0</v>
      </c>
      <c r="BD110" s="176">
        <v>0</v>
      </c>
      <c r="BE110" s="176">
        <v>0</v>
      </c>
      <c r="BF110" s="176">
        <v>0</v>
      </c>
      <c r="BG110" s="176">
        <v>0</v>
      </c>
      <c r="BH110" s="176">
        <v>0</v>
      </c>
      <c r="BI110" s="176">
        <v>0</v>
      </c>
      <c r="BJ110" s="176">
        <v>0</v>
      </c>
      <c r="BK110" s="176">
        <v>0</v>
      </c>
      <c r="BL110" s="176">
        <v>0</v>
      </c>
      <c r="BM110" s="176">
        <v>0</v>
      </c>
      <c r="BN110" s="176">
        <v>0</v>
      </c>
      <c r="BO110" s="176">
        <v>0</v>
      </c>
      <c r="BP110" s="176">
        <v>0</v>
      </c>
      <c r="BQ110" s="176">
        <v>0</v>
      </c>
      <c r="BR110" s="176">
        <v>0</v>
      </c>
      <c r="BS110" s="176">
        <v>0</v>
      </c>
      <c r="BT110" s="176">
        <v>0</v>
      </c>
      <c r="BU110" s="176">
        <v>0</v>
      </c>
      <c r="BV110" s="176">
        <v>0</v>
      </c>
      <c r="BW110" s="176">
        <v>0</v>
      </c>
      <c r="BX110" s="176">
        <v>0</v>
      </c>
      <c r="BY110" s="176">
        <v>0</v>
      </c>
      <c r="BZ110" s="176">
        <v>0</v>
      </c>
      <c r="CA110" s="176">
        <v>0</v>
      </c>
      <c r="CB110" s="176">
        <v>0</v>
      </c>
      <c r="CC110" s="176">
        <v>0</v>
      </c>
      <c r="CD110" s="176">
        <v>0</v>
      </c>
      <c r="CE110" s="176">
        <v>0</v>
      </c>
      <c r="CF110" s="176">
        <v>0</v>
      </c>
      <c r="CG110" s="176">
        <v>0</v>
      </c>
      <c r="CH110" s="176">
        <v>0</v>
      </c>
      <c r="CI110" s="176">
        <v>0</v>
      </c>
      <c r="CJ110" s="176">
        <v>0</v>
      </c>
      <c r="CK110" s="176">
        <v>0</v>
      </c>
    </row>
    <row r="111" spans="2:89">
      <c r="B111" s="86" t="str">
        <v>Пусто</v>
      </c>
      <c r="C111" s="46"/>
      <c r="D111" s="47">
        <f t="shared" si="84"/>
        <v>0</v>
      </c>
      <c r="E111" s="48"/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0</v>
      </c>
      <c r="M111" s="176">
        <v>0</v>
      </c>
      <c r="N111" s="176">
        <v>0</v>
      </c>
      <c r="O111" s="176">
        <v>0</v>
      </c>
      <c r="P111" s="176">
        <v>0</v>
      </c>
      <c r="Q111" s="176">
        <v>0</v>
      </c>
      <c r="R111" s="176">
        <v>0</v>
      </c>
      <c r="S111" s="176">
        <v>0</v>
      </c>
      <c r="T111" s="176">
        <v>0</v>
      </c>
      <c r="U111" s="176">
        <v>0</v>
      </c>
      <c r="V111" s="176">
        <v>0</v>
      </c>
      <c r="W111" s="176">
        <v>0</v>
      </c>
      <c r="X111" s="176">
        <v>0</v>
      </c>
      <c r="Y111" s="176">
        <v>0</v>
      </c>
      <c r="Z111" s="176">
        <v>0</v>
      </c>
      <c r="AA111" s="176">
        <v>0</v>
      </c>
      <c r="AB111" s="176">
        <v>0</v>
      </c>
      <c r="AC111" s="176">
        <v>0</v>
      </c>
      <c r="AD111" s="176">
        <v>0</v>
      </c>
      <c r="AE111" s="176">
        <v>0</v>
      </c>
      <c r="AF111" s="176">
        <v>0</v>
      </c>
      <c r="AG111" s="176">
        <v>0</v>
      </c>
      <c r="AH111" s="176">
        <v>0</v>
      </c>
      <c r="AI111" s="176">
        <v>0</v>
      </c>
      <c r="AJ111" s="176">
        <v>0</v>
      </c>
      <c r="AK111" s="176">
        <v>0</v>
      </c>
      <c r="AL111" s="176">
        <v>0</v>
      </c>
      <c r="AM111" s="176">
        <v>0</v>
      </c>
      <c r="AN111" s="176">
        <v>0</v>
      </c>
      <c r="AO111" s="176">
        <v>0</v>
      </c>
      <c r="AP111" s="176">
        <v>0</v>
      </c>
      <c r="AQ111" s="176">
        <v>0</v>
      </c>
      <c r="AR111" s="176">
        <v>0</v>
      </c>
      <c r="AS111" s="176">
        <v>0</v>
      </c>
      <c r="AT111" s="176">
        <v>0</v>
      </c>
      <c r="AU111" s="176">
        <v>0</v>
      </c>
      <c r="AV111" s="176">
        <v>0</v>
      </c>
      <c r="AW111" s="176">
        <v>0</v>
      </c>
      <c r="AX111" s="176">
        <v>0</v>
      </c>
      <c r="AY111" s="176">
        <v>0</v>
      </c>
      <c r="AZ111" s="176">
        <v>0</v>
      </c>
      <c r="BA111" s="176">
        <v>0</v>
      </c>
      <c r="BB111" s="176">
        <v>0</v>
      </c>
      <c r="BC111" s="176">
        <v>0</v>
      </c>
      <c r="BD111" s="176">
        <v>0</v>
      </c>
      <c r="BE111" s="176">
        <v>0</v>
      </c>
      <c r="BF111" s="176">
        <v>0</v>
      </c>
      <c r="BG111" s="176">
        <v>0</v>
      </c>
      <c r="BH111" s="176">
        <v>0</v>
      </c>
      <c r="BI111" s="176">
        <v>0</v>
      </c>
      <c r="BJ111" s="176">
        <v>0</v>
      </c>
      <c r="BK111" s="176">
        <v>0</v>
      </c>
      <c r="BL111" s="176">
        <v>0</v>
      </c>
      <c r="BM111" s="176">
        <v>0</v>
      </c>
      <c r="BN111" s="176">
        <v>0</v>
      </c>
      <c r="BO111" s="176">
        <v>0</v>
      </c>
      <c r="BP111" s="176">
        <v>0</v>
      </c>
      <c r="BQ111" s="176">
        <v>0</v>
      </c>
      <c r="BR111" s="176">
        <v>0</v>
      </c>
      <c r="BS111" s="176">
        <v>0</v>
      </c>
      <c r="BT111" s="176">
        <v>0</v>
      </c>
      <c r="BU111" s="176">
        <v>0</v>
      </c>
      <c r="BV111" s="176">
        <v>0</v>
      </c>
      <c r="BW111" s="176">
        <v>0</v>
      </c>
      <c r="BX111" s="176">
        <v>0</v>
      </c>
      <c r="BY111" s="176">
        <v>0</v>
      </c>
      <c r="BZ111" s="176">
        <v>0</v>
      </c>
      <c r="CA111" s="176">
        <v>0</v>
      </c>
      <c r="CB111" s="176">
        <v>0</v>
      </c>
      <c r="CC111" s="176">
        <v>0</v>
      </c>
      <c r="CD111" s="176">
        <v>0</v>
      </c>
      <c r="CE111" s="176">
        <v>0</v>
      </c>
      <c r="CF111" s="176">
        <v>0</v>
      </c>
      <c r="CG111" s="176">
        <v>0</v>
      </c>
      <c r="CH111" s="176">
        <v>0</v>
      </c>
      <c r="CI111" s="176">
        <v>0</v>
      </c>
      <c r="CJ111" s="176">
        <v>0</v>
      </c>
      <c r="CK111" s="176">
        <v>0</v>
      </c>
    </row>
    <row r="112" spans="2:89">
      <c r="B112" s="86" t="str">
        <v>Пусто</v>
      </c>
      <c r="C112" s="46"/>
      <c r="D112" s="47">
        <f t="shared" si="84"/>
        <v>0</v>
      </c>
      <c r="E112" s="48"/>
      <c r="F112" s="176">
        <v>0</v>
      </c>
      <c r="G112" s="176">
        <v>0</v>
      </c>
      <c r="H112" s="176">
        <v>0</v>
      </c>
      <c r="I112" s="176">
        <v>0</v>
      </c>
      <c r="J112" s="176">
        <v>0</v>
      </c>
      <c r="K112" s="176">
        <v>0</v>
      </c>
      <c r="L112" s="176">
        <v>0</v>
      </c>
      <c r="M112" s="176">
        <v>0</v>
      </c>
      <c r="N112" s="176">
        <v>0</v>
      </c>
      <c r="O112" s="176">
        <v>0</v>
      </c>
      <c r="P112" s="176">
        <v>0</v>
      </c>
      <c r="Q112" s="176">
        <v>0</v>
      </c>
      <c r="R112" s="176">
        <v>0</v>
      </c>
      <c r="S112" s="176">
        <v>0</v>
      </c>
      <c r="T112" s="176">
        <v>0</v>
      </c>
      <c r="U112" s="176">
        <v>0</v>
      </c>
      <c r="V112" s="176">
        <v>0</v>
      </c>
      <c r="W112" s="176">
        <v>0</v>
      </c>
      <c r="X112" s="176">
        <v>0</v>
      </c>
      <c r="Y112" s="176">
        <v>0</v>
      </c>
      <c r="Z112" s="176">
        <v>0</v>
      </c>
      <c r="AA112" s="176">
        <v>0</v>
      </c>
      <c r="AB112" s="176">
        <v>0</v>
      </c>
      <c r="AC112" s="176">
        <v>0</v>
      </c>
      <c r="AD112" s="176">
        <v>0</v>
      </c>
      <c r="AE112" s="176">
        <v>0</v>
      </c>
      <c r="AF112" s="176">
        <v>0</v>
      </c>
      <c r="AG112" s="176">
        <v>0</v>
      </c>
      <c r="AH112" s="176">
        <v>0</v>
      </c>
      <c r="AI112" s="176">
        <v>0</v>
      </c>
      <c r="AJ112" s="176">
        <v>0</v>
      </c>
      <c r="AK112" s="176">
        <v>0</v>
      </c>
      <c r="AL112" s="176">
        <v>0</v>
      </c>
      <c r="AM112" s="176">
        <v>0</v>
      </c>
      <c r="AN112" s="176">
        <v>0</v>
      </c>
      <c r="AO112" s="176">
        <v>0</v>
      </c>
      <c r="AP112" s="176">
        <v>0</v>
      </c>
      <c r="AQ112" s="176">
        <v>0</v>
      </c>
      <c r="AR112" s="176">
        <v>0</v>
      </c>
      <c r="AS112" s="176">
        <v>0</v>
      </c>
      <c r="AT112" s="176">
        <v>0</v>
      </c>
      <c r="AU112" s="176">
        <v>0</v>
      </c>
      <c r="AV112" s="176">
        <v>0</v>
      </c>
      <c r="AW112" s="176">
        <v>0</v>
      </c>
      <c r="AX112" s="176">
        <v>0</v>
      </c>
      <c r="AY112" s="176">
        <v>0</v>
      </c>
      <c r="AZ112" s="176">
        <v>0</v>
      </c>
      <c r="BA112" s="176">
        <v>0</v>
      </c>
      <c r="BB112" s="176">
        <v>0</v>
      </c>
      <c r="BC112" s="176">
        <v>0</v>
      </c>
      <c r="BD112" s="176">
        <v>0</v>
      </c>
      <c r="BE112" s="176">
        <v>0</v>
      </c>
      <c r="BF112" s="176">
        <v>0</v>
      </c>
      <c r="BG112" s="176">
        <v>0</v>
      </c>
      <c r="BH112" s="176">
        <v>0</v>
      </c>
      <c r="BI112" s="176">
        <v>0</v>
      </c>
      <c r="BJ112" s="176">
        <v>0</v>
      </c>
      <c r="BK112" s="176">
        <v>0</v>
      </c>
      <c r="BL112" s="176">
        <v>0</v>
      </c>
      <c r="BM112" s="176">
        <v>0</v>
      </c>
      <c r="BN112" s="176">
        <v>0</v>
      </c>
      <c r="BO112" s="176">
        <v>0</v>
      </c>
      <c r="BP112" s="176">
        <v>0</v>
      </c>
      <c r="BQ112" s="176">
        <v>0</v>
      </c>
      <c r="BR112" s="176">
        <v>0</v>
      </c>
      <c r="BS112" s="176">
        <v>0</v>
      </c>
      <c r="BT112" s="176">
        <v>0</v>
      </c>
      <c r="BU112" s="176">
        <v>0</v>
      </c>
      <c r="BV112" s="176">
        <v>0</v>
      </c>
      <c r="BW112" s="176">
        <v>0</v>
      </c>
      <c r="BX112" s="176">
        <v>0</v>
      </c>
      <c r="BY112" s="176">
        <v>0</v>
      </c>
      <c r="BZ112" s="176">
        <v>0</v>
      </c>
      <c r="CA112" s="176">
        <v>0</v>
      </c>
      <c r="CB112" s="176">
        <v>0</v>
      </c>
      <c r="CC112" s="176">
        <v>0</v>
      </c>
      <c r="CD112" s="176">
        <v>0</v>
      </c>
      <c r="CE112" s="176">
        <v>0</v>
      </c>
      <c r="CF112" s="176">
        <v>0</v>
      </c>
      <c r="CG112" s="176">
        <v>0</v>
      </c>
      <c r="CH112" s="176">
        <v>0</v>
      </c>
      <c r="CI112" s="176">
        <v>0</v>
      </c>
      <c r="CJ112" s="176">
        <v>0</v>
      </c>
      <c r="CK112" s="176">
        <v>0</v>
      </c>
    </row>
    <row r="113" spans="2:89">
      <c r="B113" s="86" t="str">
        <v>Пусто</v>
      </c>
      <c r="C113" s="46"/>
      <c r="D113" s="47">
        <f t="shared" si="84"/>
        <v>0</v>
      </c>
      <c r="E113" s="48"/>
      <c r="F113" s="176">
        <v>0</v>
      </c>
      <c r="G113" s="176">
        <v>0</v>
      </c>
      <c r="H113" s="176">
        <v>0</v>
      </c>
      <c r="I113" s="176">
        <v>0</v>
      </c>
      <c r="J113" s="176">
        <v>0</v>
      </c>
      <c r="K113" s="176">
        <v>0</v>
      </c>
      <c r="L113" s="176">
        <v>0</v>
      </c>
      <c r="M113" s="176">
        <v>0</v>
      </c>
      <c r="N113" s="176">
        <v>0</v>
      </c>
      <c r="O113" s="176">
        <v>0</v>
      </c>
      <c r="P113" s="176">
        <v>0</v>
      </c>
      <c r="Q113" s="176">
        <v>0</v>
      </c>
      <c r="R113" s="176">
        <v>0</v>
      </c>
      <c r="S113" s="176">
        <v>0</v>
      </c>
      <c r="T113" s="176">
        <v>0</v>
      </c>
      <c r="U113" s="176">
        <v>0</v>
      </c>
      <c r="V113" s="176">
        <v>0</v>
      </c>
      <c r="W113" s="176">
        <v>0</v>
      </c>
      <c r="X113" s="176">
        <v>0</v>
      </c>
      <c r="Y113" s="176">
        <v>0</v>
      </c>
      <c r="Z113" s="176">
        <v>0</v>
      </c>
      <c r="AA113" s="176">
        <v>0</v>
      </c>
      <c r="AB113" s="176">
        <v>0</v>
      </c>
      <c r="AC113" s="176">
        <v>0</v>
      </c>
      <c r="AD113" s="176">
        <v>0</v>
      </c>
      <c r="AE113" s="176">
        <v>0</v>
      </c>
      <c r="AF113" s="176">
        <v>0</v>
      </c>
      <c r="AG113" s="176">
        <v>0</v>
      </c>
      <c r="AH113" s="176">
        <v>0</v>
      </c>
      <c r="AI113" s="176">
        <v>0</v>
      </c>
      <c r="AJ113" s="176">
        <v>0</v>
      </c>
      <c r="AK113" s="176">
        <v>0</v>
      </c>
      <c r="AL113" s="176">
        <v>0</v>
      </c>
      <c r="AM113" s="176">
        <v>0</v>
      </c>
      <c r="AN113" s="176">
        <v>0</v>
      </c>
      <c r="AO113" s="176">
        <v>0</v>
      </c>
      <c r="AP113" s="176">
        <v>0</v>
      </c>
      <c r="AQ113" s="176">
        <v>0</v>
      </c>
      <c r="AR113" s="176">
        <v>0</v>
      </c>
      <c r="AS113" s="176">
        <v>0</v>
      </c>
      <c r="AT113" s="176">
        <v>0</v>
      </c>
      <c r="AU113" s="176">
        <v>0</v>
      </c>
      <c r="AV113" s="176">
        <v>0</v>
      </c>
      <c r="AW113" s="176">
        <v>0</v>
      </c>
      <c r="AX113" s="176">
        <v>0</v>
      </c>
      <c r="AY113" s="176">
        <v>0</v>
      </c>
      <c r="AZ113" s="176">
        <v>0</v>
      </c>
      <c r="BA113" s="176">
        <v>0</v>
      </c>
      <c r="BB113" s="176">
        <v>0</v>
      </c>
      <c r="BC113" s="176">
        <v>0</v>
      </c>
      <c r="BD113" s="176">
        <v>0</v>
      </c>
      <c r="BE113" s="176">
        <v>0</v>
      </c>
      <c r="BF113" s="176">
        <v>0</v>
      </c>
      <c r="BG113" s="176">
        <v>0</v>
      </c>
      <c r="BH113" s="176">
        <v>0</v>
      </c>
      <c r="BI113" s="176">
        <v>0</v>
      </c>
      <c r="BJ113" s="176">
        <v>0</v>
      </c>
      <c r="BK113" s="176">
        <v>0</v>
      </c>
      <c r="BL113" s="176">
        <v>0</v>
      </c>
      <c r="BM113" s="176">
        <v>0</v>
      </c>
      <c r="BN113" s="176">
        <v>0</v>
      </c>
      <c r="BO113" s="176">
        <v>0</v>
      </c>
      <c r="BP113" s="176">
        <v>0</v>
      </c>
      <c r="BQ113" s="176">
        <v>0</v>
      </c>
      <c r="BR113" s="176">
        <v>0</v>
      </c>
      <c r="BS113" s="176">
        <v>0</v>
      </c>
      <c r="BT113" s="176">
        <v>0</v>
      </c>
      <c r="BU113" s="176">
        <v>0</v>
      </c>
      <c r="BV113" s="176">
        <v>0</v>
      </c>
      <c r="BW113" s="176">
        <v>0</v>
      </c>
      <c r="BX113" s="176">
        <v>0</v>
      </c>
      <c r="BY113" s="176">
        <v>0</v>
      </c>
      <c r="BZ113" s="176">
        <v>0</v>
      </c>
      <c r="CA113" s="176">
        <v>0</v>
      </c>
      <c r="CB113" s="176">
        <v>0</v>
      </c>
      <c r="CC113" s="176">
        <v>0</v>
      </c>
      <c r="CD113" s="176">
        <v>0</v>
      </c>
      <c r="CE113" s="176">
        <v>0</v>
      </c>
      <c r="CF113" s="176">
        <v>0</v>
      </c>
      <c r="CG113" s="176">
        <v>0</v>
      </c>
      <c r="CH113" s="176">
        <v>0</v>
      </c>
      <c r="CI113" s="176">
        <v>0</v>
      </c>
      <c r="CJ113" s="176">
        <v>0</v>
      </c>
      <c r="CK113" s="176">
        <v>0</v>
      </c>
    </row>
    <row r="114" spans="2:89" ht="15.75" thickBot="1">
      <c r="B114" s="86" t="str">
        <v>Пусто</v>
      </c>
      <c r="C114" s="46"/>
      <c r="D114" s="47">
        <f t="shared" si="84"/>
        <v>0</v>
      </c>
      <c r="E114" s="48"/>
      <c r="F114" s="176">
        <v>0</v>
      </c>
      <c r="G114" s="176">
        <v>0</v>
      </c>
      <c r="H114" s="176">
        <v>0</v>
      </c>
      <c r="I114" s="176">
        <v>0</v>
      </c>
      <c r="J114" s="176">
        <v>0</v>
      </c>
      <c r="K114" s="176">
        <v>0</v>
      </c>
      <c r="L114" s="176">
        <v>0</v>
      </c>
      <c r="M114" s="176">
        <v>0</v>
      </c>
      <c r="N114" s="176">
        <v>0</v>
      </c>
      <c r="O114" s="176">
        <v>0</v>
      </c>
      <c r="P114" s="176">
        <v>0</v>
      </c>
      <c r="Q114" s="176">
        <v>0</v>
      </c>
      <c r="R114" s="176">
        <v>0</v>
      </c>
      <c r="S114" s="176">
        <v>0</v>
      </c>
      <c r="T114" s="176">
        <v>0</v>
      </c>
      <c r="U114" s="176">
        <v>0</v>
      </c>
      <c r="V114" s="176">
        <v>0</v>
      </c>
      <c r="W114" s="176">
        <v>0</v>
      </c>
      <c r="X114" s="176">
        <v>0</v>
      </c>
      <c r="Y114" s="176">
        <v>0</v>
      </c>
      <c r="Z114" s="176">
        <v>0</v>
      </c>
      <c r="AA114" s="176">
        <v>0</v>
      </c>
      <c r="AB114" s="176">
        <v>0</v>
      </c>
      <c r="AC114" s="176">
        <v>0</v>
      </c>
      <c r="AD114" s="176">
        <v>0</v>
      </c>
      <c r="AE114" s="176">
        <v>0</v>
      </c>
      <c r="AF114" s="176">
        <v>0</v>
      </c>
      <c r="AG114" s="176">
        <v>0</v>
      </c>
      <c r="AH114" s="176">
        <v>0</v>
      </c>
      <c r="AI114" s="176">
        <v>0</v>
      </c>
      <c r="AJ114" s="176">
        <v>0</v>
      </c>
      <c r="AK114" s="176">
        <v>0</v>
      </c>
      <c r="AL114" s="176">
        <v>0</v>
      </c>
      <c r="AM114" s="176">
        <v>0</v>
      </c>
      <c r="AN114" s="176">
        <v>0</v>
      </c>
      <c r="AO114" s="176">
        <v>0</v>
      </c>
      <c r="AP114" s="176">
        <v>0</v>
      </c>
      <c r="AQ114" s="176">
        <v>0</v>
      </c>
      <c r="AR114" s="176">
        <v>0</v>
      </c>
      <c r="AS114" s="176">
        <v>0</v>
      </c>
      <c r="AT114" s="176">
        <v>0</v>
      </c>
      <c r="AU114" s="176">
        <v>0</v>
      </c>
      <c r="AV114" s="176">
        <v>0</v>
      </c>
      <c r="AW114" s="176">
        <v>0</v>
      </c>
      <c r="AX114" s="176">
        <v>0</v>
      </c>
      <c r="AY114" s="176">
        <v>0</v>
      </c>
      <c r="AZ114" s="176">
        <v>0</v>
      </c>
      <c r="BA114" s="176">
        <v>0</v>
      </c>
      <c r="BB114" s="176">
        <v>0</v>
      </c>
      <c r="BC114" s="176">
        <v>0</v>
      </c>
      <c r="BD114" s="176">
        <v>0</v>
      </c>
      <c r="BE114" s="176">
        <v>0</v>
      </c>
      <c r="BF114" s="176">
        <v>0</v>
      </c>
      <c r="BG114" s="176">
        <v>0</v>
      </c>
      <c r="BH114" s="176">
        <v>0</v>
      </c>
      <c r="BI114" s="176">
        <v>0</v>
      </c>
      <c r="BJ114" s="176">
        <v>0</v>
      </c>
      <c r="BK114" s="176">
        <v>0</v>
      </c>
      <c r="BL114" s="176">
        <v>0</v>
      </c>
      <c r="BM114" s="176">
        <v>0</v>
      </c>
      <c r="BN114" s="176">
        <v>0</v>
      </c>
      <c r="BO114" s="176">
        <v>0</v>
      </c>
      <c r="BP114" s="176">
        <v>0</v>
      </c>
      <c r="BQ114" s="176">
        <v>0</v>
      </c>
      <c r="BR114" s="176">
        <v>0</v>
      </c>
      <c r="BS114" s="176">
        <v>0</v>
      </c>
      <c r="BT114" s="176">
        <v>0</v>
      </c>
      <c r="BU114" s="176">
        <v>0</v>
      </c>
      <c r="BV114" s="176">
        <v>0</v>
      </c>
      <c r="BW114" s="176">
        <v>0</v>
      </c>
      <c r="BX114" s="176">
        <v>0</v>
      </c>
      <c r="BY114" s="176">
        <v>0</v>
      </c>
      <c r="BZ114" s="176">
        <v>0</v>
      </c>
      <c r="CA114" s="176">
        <v>0</v>
      </c>
      <c r="CB114" s="176">
        <v>0</v>
      </c>
      <c r="CC114" s="176">
        <v>0</v>
      </c>
      <c r="CD114" s="176">
        <v>0</v>
      </c>
      <c r="CE114" s="176">
        <v>0</v>
      </c>
      <c r="CF114" s="176">
        <v>0</v>
      </c>
      <c r="CG114" s="176">
        <v>0</v>
      </c>
      <c r="CH114" s="176">
        <v>0</v>
      </c>
      <c r="CI114" s="176">
        <v>0</v>
      </c>
      <c r="CJ114" s="176">
        <v>0</v>
      </c>
      <c r="CK114" s="176">
        <v>0</v>
      </c>
    </row>
    <row r="115" spans="2:89" ht="15.75" thickTop="1">
      <c r="B115" s="50" t="s">
        <v>50</v>
      </c>
      <c r="C115" s="51"/>
      <c r="D115" s="52">
        <f>SUM(D109:D114)</f>
        <v>1000000</v>
      </c>
      <c r="E115" s="53"/>
      <c r="F115" s="54">
        <f>SUM(F109:F114)</f>
        <v>0</v>
      </c>
      <c r="G115" s="54">
        <f t="shared" ref="G115:BM115" si="85">SUM(G109:G114)</f>
        <v>0</v>
      </c>
      <c r="H115" s="54">
        <f t="shared" si="85"/>
        <v>0</v>
      </c>
      <c r="I115" s="54">
        <f t="shared" si="85"/>
        <v>0</v>
      </c>
      <c r="J115" s="54">
        <f t="shared" si="85"/>
        <v>0</v>
      </c>
      <c r="K115" s="54">
        <f t="shared" si="85"/>
        <v>0</v>
      </c>
      <c r="L115" s="54">
        <f t="shared" si="85"/>
        <v>0</v>
      </c>
      <c r="M115" s="54">
        <f t="shared" si="85"/>
        <v>0</v>
      </c>
      <c r="N115" s="54">
        <f t="shared" si="85"/>
        <v>0</v>
      </c>
      <c r="O115" s="54">
        <f t="shared" si="85"/>
        <v>0</v>
      </c>
      <c r="P115" s="54">
        <f t="shared" si="85"/>
        <v>0</v>
      </c>
      <c r="Q115" s="54">
        <f t="shared" si="85"/>
        <v>1000000</v>
      </c>
      <c r="R115" s="54">
        <f t="shared" si="85"/>
        <v>0</v>
      </c>
      <c r="S115" s="54">
        <f t="shared" si="85"/>
        <v>0</v>
      </c>
      <c r="T115" s="54">
        <f t="shared" si="85"/>
        <v>0</v>
      </c>
      <c r="U115" s="54">
        <f t="shared" si="85"/>
        <v>0</v>
      </c>
      <c r="V115" s="54">
        <f t="shared" si="85"/>
        <v>0</v>
      </c>
      <c r="W115" s="54">
        <f t="shared" si="85"/>
        <v>0</v>
      </c>
      <c r="X115" s="54">
        <f t="shared" si="85"/>
        <v>0</v>
      </c>
      <c r="Y115" s="54">
        <f t="shared" si="85"/>
        <v>0</v>
      </c>
      <c r="Z115" s="54">
        <f t="shared" si="85"/>
        <v>0</v>
      </c>
      <c r="AA115" s="54">
        <f t="shared" si="85"/>
        <v>0</v>
      </c>
      <c r="AB115" s="54">
        <f t="shared" si="85"/>
        <v>0</v>
      </c>
      <c r="AC115" s="54">
        <f t="shared" si="85"/>
        <v>0</v>
      </c>
      <c r="AD115" s="54">
        <f t="shared" si="85"/>
        <v>0</v>
      </c>
      <c r="AE115" s="54">
        <f t="shared" si="85"/>
        <v>0</v>
      </c>
      <c r="AF115" s="54">
        <f t="shared" si="85"/>
        <v>0</v>
      </c>
      <c r="AG115" s="54">
        <f t="shared" si="85"/>
        <v>0</v>
      </c>
      <c r="AH115" s="54">
        <f t="shared" si="85"/>
        <v>0</v>
      </c>
      <c r="AI115" s="54">
        <f t="shared" si="85"/>
        <v>0</v>
      </c>
      <c r="AJ115" s="54">
        <f t="shared" si="85"/>
        <v>0</v>
      </c>
      <c r="AK115" s="54">
        <f t="shared" si="85"/>
        <v>0</v>
      </c>
      <c r="AL115" s="54">
        <f t="shared" si="85"/>
        <v>0</v>
      </c>
      <c r="AM115" s="54">
        <f t="shared" si="85"/>
        <v>0</v>
      </c>
      <c r="AN115" s="54">
        <f t="shared" si="85"/>
        <v>0</v>
      </c>
      <c r="AO115" s="54">
        <f t="shared" si="85"/>
        <v>0</v>
      </c>
      <c r="AP115" s="54">
        <f t="shared" si="85"/>
        <v>0</v>
      </c>
      <c r="AQ115" s="54">
        <f t="shared" si="85"/>
        <v>0</v>
      </c>
      <c r="AR115" s="54">
        <f t="shared" si="85"/>
        <v>0</v>
      </c>
      <c r="AS115" s="54">
        <f t="shared" si="85"/>
        <v>0</v>
      </c>
      <c r="AT115" s="54">
        <f t="shared" si="85"/>
        <v>0</v>
      </c>
      <c r="AU115" s="54">
        <f t="shared" si="85"/>
        <v>0</v>
      </c>
      <c r="AV115" s="54">
        <f t="shared" si="85"/>
        <v>0</v>
      </c>
      <c r="AW115" s="54">
        <f t="shared" si="85"/>
        <v>0</v>
      </c>
      <c r="AX115" s="54">
        <f t="shared" si="85"/>
        <v>0</v>
      </c>
      <c r="AY115" s="54">
        <f t="shared" si="85"/>
        <v>0</v>
      </c>
      <c r="AZ115" s="54">
        <f t="shared" si="85"/>
        <v>0</v>
      </c>
      <c r="BA115" s="54">
        <f t="shared" si="85"/>
        <v>0</v>
      </c>
      <c r="BB115" s="54">
        <f t="shared" si="85"/>
        <v>0</v>
      </c>
      <c r="BC115" s="54">
        <f t="shared" si="85"/>
        <v>0</v>
      </c>
      <c r="BD115" s="54">
        <f t="shared" si="85"/>
        <v>0</v>
      </c>
      <c r="BE115" s="54">
        <f t="shared" si="85"/>
        <v>0</v>
      </c>
      <c r="BF115" s="54">
        <f t="shared" si="85"/>
        <v>0</v>
      </c>
      <c r="BG115" s="54">
        <f t="shared" si="85"/>
        <v>0</v>
      </c>
      <c r="BH115" s="54">
        <f t="shared" si="85"/>
        <v>0</v>
      </c>
      <c r="BI115" s="54">
        <f t="shared" si="85"/>
        <v>0</v>
      </c>
      <c r="BJ115" s="54">
        <f t="shared" si="85"/>
        <v>0</v>
      </c>
      <c r="BK115" s="54">
        <f t="shared" si="85"/>
        <v>0</v>
      </c>
      <c r="BL115" s="54">
        <f t="shared" si="85"/>
        <v>0</v>
      </c>
      <c r="BM115" s="54">
        <f t="shared" si="85"/>
        <v>0</v>
      </c>
      <c r="BN115" s="54">
        <f t="shared" ref="BN115:CK115" si="86">SUM(BN109:BN114)</f>
        <v>0</v>
      </c>
      <c r="BO115" s="54">
        <f t="shared" si="86"/>
        <v>0</v>
      </c>
      <c r="BP115" s="54">
        <f t="shared" si="86"/>
        <v>0</v>
      </c>
      <c r="BQ115" s="54">
        <f t="shared" si="86"/>
        <v>0</v>
      </c>
      <c r="BR115" s="54">
        <f t="shared" si="86"/>
        <v>0</v>
      </c>
      <c r="BS115" s="54">
        <f t="shared" si="86"/>
        <v>0</v>
      </c>
      <c r="BT115" s="54">
        <f t="shared" si="86"/>
        <v>0</v>
      </c>
      <c r="BU115" s="54">
        <f t="shared" si="86"/>
        <v>0</v>
      </c>
      <c r="BV115" s="54">
        <f t="shared" si="86"/>
        <v>0</v>
      </c>
      <c r="BW115" s="54">
        <f t="shared" si="86"/>
        <v>0</v>
      </c>
      <c r="BX115" s="54">
        <f t="shared" si="86"/>
        <v>0</v>
      </c>
      <c r="BY115" s="54">
        <f t="shared" si="86"/>
        <v>0</v>
      </c>
      <c r="BZ115" s="54">
        <f t="shared" si="86"/>
        <v>0</v>
      </c>
      <c r="CA115" s="54">
        <f t="shared" si="86"/>
        <v>0</v>
      </c>
      <c r="CB115" s="54">
        <f t="shared" si="86"/>
        <v>0</v>
      </c>
      <c r="CC115" s="54">
        <f t="shared" si="86"/>
        <v>0</v>
      </c>
      <c r="CD115" s="54">
        <f t="shared" si="86"/>
        <v>0</v>
      </c>
      <c r="CE115" s="54">
        <f t="shared" si="86"/>
        <v>0</v>
      </c>
      <c r="CF115" s="54">
        <f t="shared" si="86"/>
        <v>0</v>
      </c>
      <c r="CG115" s="54">
        <f t="shared" si="86"/>
        <v>0</v>
      </c>
      <c r="CH115" s="54">
        <f t="shared" si="86"/>
        <v>0</v>
      </c>
      <c r="CI115" s="54">
        <f t="shared" si="86"/>
        <v>0</v>
      </c>
      <c r="CJ115" s="54">
        <f t="shared" si="86"/>
        <v>0</v>
      </c>
      <c r="CK115" s="54">
        <f t="shared" si="86"/>
        <v>0</v>
      </c>
    </row>
    <row r="116" spans="2:89"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</row>
    <row r="117" spans="2:89">
      <c r="B117" s="77" t="s">
        <v>521</v>
      </c>
      <c r="C117" s="124"/>
      <c r="D117" s="28"/>
      <c r="E117" s="152">
        <f>IF(Предпосылки!F96=Инвестиции!D115,1,0)</f>
        <v>1</v>
      </c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</row>
    <row r="118" spans="2:89"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</row>
    <row r="119" spans="2:89" ht="15.75" thickBot="1">
      <c r="B119" s="96" t="s">
        <v>292</v>
      </c>
      <c r="C119" s="96"/>
      <c r="D119" s="127"/>
      <c r="E119" s="96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</row>
    <row r="120" spans="2:89">
      <c r="B120" s="14"/>
      <c r="C120" s="14"/>
      <c r="D120" s="14"/>
      <c r="E120" s="1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</row>
    <row r="121" spans="2:89">
      <c r="B121" s="155" t="s">
        <v>39</v>
      </c>
      <c r="C121" s="156"/>
      <c r="D121" s="160"/>
      <c r="E121" s="158"/>
      <c r="F121" s="159">
        <f t="shared" ref="F121:AK121" si="87">IFERROR(LOOKUP(F$19,Инвестиции_в_склад_год_инфляции,Инвестиции_в_склад_уровень_инфляции),0)</f>
        <v>0.03</v>
      </c>
      <c r="G121" s="159">
        <f t="shared" si="87"/>
        <v>0.03</v>
      </c>
      <c r="H121" s="159">
        <f t="shared" si="87"/>
        <v>0.03</v>
      </c>
      <c r="I121" s="159">
        <f t="shared" si="87"/>
        <v>0.03</v>
      </c>
      <c r="J121" s="159">
        <f t="shared" si="87"/>
        <v>0.03</v>
      </c>
      <c r="K121" s="159">
        <f t="shared" si="87"/>
        <v>0.03</v>
      </c>
      <c r="L121" s="159">
        <f t="shared" si="87"/>
        <v>0.03</v>
      </c>
      <c r="M121" s="159">
        <f t="shared" si="87"/>
        <v>0.03</v>
      </c>
      <c r="N121" s="159">
        <f t="shared" si="87"/>
        <v>0.03</v>
      </c>
      <c r="O121" s="159">
        <f t="shared" si="87"/>
        <v>0.03</v>
      </c>
      <c r="P121" s="159">
        <f t="shared" si="87"/>
        <v>0.03</v>
      </c>
      <c r="Q121" s="159">
        <f t="shared" si="87"/>
        <v>0.03</v>
      </c>
      <c r="R121" s="159">
        <f t="shared" si="87"/>
        <v>0.03</v>
      </c>
      <c r="S121" s="159">
        <f t="shared" si="87"/>
        <v>0.03</v>
      </c>
      <c r="T121" s="159">
        <f t="shared" si="87"/>
        <v>0.03</v>
      </c>
      <c r="U121" s="159">
        <f t="shared" si="87"/>
        <v>0.03</v>
      </c>
      <c r="V121" s="159">
        <f t="shared" si="87"/>
        <v>0.03</v>
      </c>
      <c r="W121" s="159">
        <f t="shared" si="87"/>
        <v>0.03</v>
      </c>
      <c r="X121" s="159">
        <f t="shared" si="87"/>
        <v>0.03</v>
      </c>
      <c r="Y121" s="159">
        <f t="shared" si="87"/>
        <v>0.03</v>
      </c>
      <c r="Z121" s="159">
        <f t="shared" si="87"/>
        <v>0.03</v>
      </c>
      <c r="AA121" s="159">
        <f t="shared" si="87"/>
        <v>0.03</v>
      </c>
      <c r="AB121" s="159">
        <f t="shared" si="87"/>
        <v>0.03</v>
      </c>
      <c r="AC121" s="159">
        <f t="shared" si="87"/>
        <v>0.03</v>
      </c>
      <c r="AD121" s="159">
        <f t="shared" si="87"/>
        <v>0.03</v>
      </c>
      <c r="AE121" s="159">
        <f t="shared" si="87"/>
        <v>0.03</v>
      </c>
      <c r="AF121" s="159">
        <f t="shared" si="87"/>
        <v>0.03</v>
      </c>
      <c r="AG121" s="159">
        <f t="shared" si="87"/>
        <v>0.03</v>
      </c>
      <c r="AH121" s="159">
        <f t="shared" si="87"/>
        <v>0.03</v>
      </c>
      <c r="AI121" s="159">
        <f t="shared" si="87"/>
        <v>0.03</v>
      </c>
      <c r="AJ121" s="159">
        <f t="shared" si="87"/>
        <v>0.03</v>
      </c>
      <c r="AK121" s="159">
        <f t="shared" si="87"/>
        <v>0.03</v>
      </c>
      <c r="AL121" s="159">
        <f t="shared" ref="AL121:CK121" si="88">IFERROR(LOOKUP(AL$19,Инвестиции_в_склад_год_инфляции,Инвестиции_в_склад_уровень_инфляции),0)</f>
        <v>0.03</v>
      </c>
      <c r="AM121" s="159">
        <f t="shared" si="88"/>
        <v>0.03</v>
      </c>
      <c r="AN121" s="159">
        <f t="shared" si="88"/>
        <v>0.03</v>
      </c>
      <c r="AO121" s="159">
        <f t="shared" si="88"/>
        <v>0.03</v>
      </c>
      <c r="AP121" s="159">
        <f t="shared" si="88"/>
        <v>0.03</v>
      </c>
      <c r="AQ121" s="159">
        <f t="shared" si="88"/>
        <v>0.03</v>
      </c>
      <c r="AR121" s="159">
        <f t="shared" si="88"/>
        <v>0.03</v>
      </c>
      <c r="AS121" s="159">
        <f t="shared" si="88"/>
        <v>0.03</v>
      </c>
      <c r="AT121" s="159">
        <f t="shared" si="88"/>
        <v>0.03</v>
      </c>
      <c r="AU121" s="159">
        <f t="shared" si="88"/>
        <v>0.03</v>
      </c>
      <c r="AV121" s="159">
        <f t="shared" si="88"/>
        <v>0.03</v>
      </c>
      <c r="AW121" s="159">
        <f t="shared" si="88"/>
        <v>0.03</v>
      </c>
      <c r="AX121" s="159">
        <f t="shared" si="88"/>
        <v>0.03</v>
      </c>
      <c r="AY121" s="159">
        <f t="shared" si="88"/>
        <v>0.03</v>
      </c>
      <c r="AZ121" s="159">
        <f t="shared" si="88"/>
        <v>0.03</v>
      </c>
      <c r="BA121" s="159">
        <f t="shared" si="88"/>
        <v>0.03</v>
      </c>
      <c r="BB121" s="159">
        <f t="shared" si="88"/>
        <v>0.03</v>
      </c>
      <c r="BC121" s="159">
        <f t="shared" si="88"/>
        <v>0.03</v>
      </c>
      <c r="BD121" s="159">
        <f t="shared" si="88"/>
        <v>0.03</v>
      </c>
      <c r="BE121" s="159">
        <f t="shared" si="88"/>
        <v>0.03</v>
      </c>
      <c r="BF121" s="159">
        <f t="shared" si="88"/>
        <v>0.03</v>
      </c>
      <c r="BG121" s="159">
        <f t="shared" si="88"/>
        <v>0.03</v>
      </c>
      <c r="BH121" s="159">
        <f t="shared" si="88"/>
        <v>0.03</v>
      </c>
      <c r="BI121" s="159">
        <f t="shared" si="88"/>
        <v>0.03</v>
      </c>
      <c r="BJ121" s="159">
        <f t="shared" si="88"/>
        <v>0.03</v>
      </c>
      <c r="BK121" s="159">
        <f t="shared" si="88"/>
        <v>0.03</v>
      </c>
      <c r="BL121" s="159">
        <f t="shared" si="88"/>
        <v>0.03</v>
      </c>
      <c r="BM121" s="159">
        <f t="shared" si="88"/>
        <v>0.03</v>
      </c>
      <c r="BN121" s="159">
        <f t="shared" si="88"/>
        <v>0.03</v>
      </c>
      <c r="BO121" s="159">
        <f t="shared" si="88"/>
        <v>0.03</v>
      </c>
      <c r="BP121" s="159">
        <f t="shared" si="88"/>
        <v>0.03</v>
      </c>
      <c r="BQ121" s="159">
        <f t="shared" si="88"/>
        <v>0.03</v>
      </c>
      <c r="BR121" s="159">
        <f t="shared" si="88"/>
        <v>0.03</v>
      </c>
      <c r="BS121" s="159">
        <f t="shared" si="88"/>
        <v>0.03</v>
      </c>
      <c r="BT121" s="159">
        <f t="shared" si="88"/>
        <v>0.03</v>
      </c>
      <c r="BU121" s="159">
        <f t="shared" si="88"/>
        <v>0.03</v>
      </c>
      <c r="BV121" s="159">
        <f t="shared" si="88"/>
        <v>0.03</v>
      </c>
      <c r="BW121" s="159">
        <f t="shared" si="88"/>
        <v>0.03</v>
      </c>
      <c r="BX121" s="159">
        <f t="shared" si="88"/>
        <v>0.03</v>
      </c>
      <c r="BY121" s="159">
        <f t="shared" si="88"/>
        <v>0.03</v>
      </c>
      <c r="BZ121" s="159">
        <f t="shared" si="88"/>
        <v>0.03</v>
      </c>
      <c r="CA121" s="159">
        <f t="shared" si="88"/>
        <v>0.03</v>
      </c>
      <c r="CB121" s="159">
        <f t="shared" si="88"/>
        <v>0.03</v>
      </c>
      <c r="CC121" s="159">
        <f t="shared" si="88"/>
        <v>0.03</v>
      </c>
      <c r="CD121" s="159">
        <f t="shared" si="88"/>
        <v>0.03</v>
      </c>
      <c r="CE121" s="159">
        <f t="shared" si="88"/>
        <v>0.03</v>
      </c>
      <c r="CF121" s="159">
        <f t="shared" si="88"/>
        <v>0.03</v>
      </c>
      <c r="CG121" s="159">
        <f t="shared" si="88"/>
        <v>0.03</v>
      </c>
      <c r="CH121" s="159">
        <f t="shared" si="88"/>
        <v>0.03</v>
      </c>
      <c r="CI121" s="159">
        <f t="shared" si="88"/>
        <v>0.03</v>
      </c>
      <c r="CJ121" s="159">
        <f t="shared" si="88"/>
        <v>0.03</v>
      </c>
      <c r="CK121" s="159">
        <f t="shared" si="88"/>
        <v>0.03</v>
      </c>
    </row>
    <row r="122" spans="2:89" ht="15.75" thickBot="1">
      <c r="B122" s="155" t="s">
        <v>40</v>
      </c>
      <c r="C122" s="156"/>
      <c r="D122" s="160"/>
      <c r="E122" s="158"/>
      <c r="F122" s="159">
        <f>(1+F121)^(F$26/F$20)-1</f>
        <v>2.4324441989045376E-3</v>
      </c>
      <c r="G122" s="159">
        <f t="shared" ref="G122:BR122" si="89">(1+G121)^(G$26/G$20)-1</f>
        <v>2.5136274926111923E-3</v>
      </c>
      <c r="H122" s="159">
        <f t="shared" si="89"/>
        <v>2.4324441989045376E-3</v>
      </c>
      <c r="I122" s="159">
        <f t="shared" si="89"/>
        <v>2.5136274926111923E-3</v>
      </c>
      <c r="J122" s="159">
        <f t="shared" si="89"/>
        <v>2.5136274926111923E-3</v>
      </c>
      <c r="K122" s="159">
        <f t="shared" si="89"/>
        <v>2.4324441989045376E-3</v>
      </c>
      <c r="L122" s="159">
        <f t="shared" si="89"/>
        <v>2.5136274926111923E-3</v>
      </c>
      <c r="M122" s="159">
        <f t="shared" si="89"/>
        <v>2.4324441989045376E-3</v>
      </c>
      <c r="N122" s="159">
        <f t="shared" si="89"/>
        <v>2.5136274926111923E-3</v>
      </c>
      <c r="O122" s="159">
        <f t="shared" si="89"/>
        <v>2.5067510571494811E-3</v>
      </c>
      <c r="P122" s="159">
        <f t="shared" si="89"/>
        <v>2.3448357253228469E-3</v>
      </c>
      <c r="Q122" s="159">
        <f t="shared" si="89"/>
        <v>2.5067510571494811E-3</v>
      </c>
      <c r="R122" s="159">
        <f t="shared" si="89"/>
        <v>2.4257901220945399E-3</v>
      </c>
      <c r="S122" s="159">
        <f t="shared" si="89"/>
        <v>2.5067510571494811E-3</v>
      </c>
      <c r="T122" s="159">
        <f t="shared" si="89"/>
        <v>2.4257901220945399E-3</v>
      </c>
      <c r="U122" s="159">
        <f t="shared" si="89"/>
        <v>2.5067510571494811E-3</v>
      </c>
      <c r="V122" s="159">
        <f t="shared" si="89"/>
        <v>2.5067510571494811E-3</v>
      </c>
      <c r="W122" s="159">
        <f t="shared" si="89"/>
        <v>2.4257901220945399E-3</v>
      </c>
      <c r="X122" s="159">
        <f t="shared" si="89"/>
        <v>2.5067510571494811E-3</v>
      </c>
      <c r="Y122" s="159">
        <f t="shared" si="89"/>
        <v>2.4257901220945399E-3</v>
      </c>
      <c r="Z122" s="159">
        <f t="shared" si="89"/>
        <v>2.5067510571494811E-3</v>
      </c>
      <c r="AA122" s="159">
        <f t="shared" si="89"/>
        <v>2.5136274926111923E-3</v>
      </c>
      <c r="AB122" s="159">
        <f t="shared" si="89"/>
        <v>2.270097333565646E-3</v>
      </c>
      <c r="AC122" s="159">
        <f t="shared" si="89"/>
        <v>2.5136274926111923E-3</v>
      </c>
      <c r="AD122" s="159">
        <f t="shared" si="89"/>
        <v>2.4324441989045376E-3</v>
      </c>
      <c r="AE122" s="159">
        <f t="shared" si="89"/>
        <v>2.5136274926111923E-3</v>
      </c>
      <c r="AF122" s="159">
        <f t="shared" si="89"/>
        <v>2.4324441989045376E-3</v>
      </c>
      <c r="AG122" s="159">
        <f t="shared" si="89"/>
        <v>2.5136274926111923E-3</v>
      </c>
      <c r="AH122" s="159">
        <f t="shared" si="89"/>
        <v>2.5136274926111923E-3</v>
      </c>
      <c r="AI122" s="159">
        <f t="shared" si="89"/>
        <v>2.4324441989045376E-3</v>
      </c>
      <c r="AJ122" s="159">
        <f t="shared" si="89"/>
        <v>2.5136274926111923E-3</v>
      </c>
      <c r="AK122" s="159">
        <f t="shared" si="89"/>
        <v>2.4324441989045376E-3</v>
      </c>
      <c r="AL122" s="159">
        <f t="shared" si="89"/>
        <v>2.5136274926111923E-3</v>
      </c>
      <c r="AM122" s="159">
        <f t="shared" si="89"/>
        <v>2.5136274926111923E-3</v>
      </c>
      <c r="AN122" s="159">
        <f t="shared" si="89"/>
        <v>2.270097333565646E-3</v>
      </c>
      <c r="AO122" s="159">
        <f t="shared" si="89"/>
        <v>2.5136274926111923E-3</v>
      </c>
      <c r="AP122" s="159">
        <f t="shared" si="89"/>
        <v>2.4324441989045376E-3</v>
      </c>
      <c r="AQ122" s="159">
        <f t="shared" si="89"/>
        <v>2.5136274926111923E-3</v>
      </c>
      <c r="AR122" s="159">
        <f t="shared" si="89"/>
        <v>2.4324441989045376E-3</v>
      </c>
      <c r="AS122" s="159">
        <f t="shared" si="89"/>
        <v>2.5136274926111923E-3</v>
      </c>
      <c r="AT122" s="159">
        <f t="shared" si="89"/>
        <v>2.5136274926111923E-3</v>
      </c>
      <c r="AU122" s="159">
        <f t="shared" si="89"/>
        <v>2.4324441989045376E-3</v>
      </c>
      <c r="AV122" s="159">
        <f t="shared" si="89"/>
        <v>2.5136274926111923E-3</v>
      </c>
      <c r="AW122" s="159">
        <f t="shared" si="89"/>
        <v>2.4324441989045376E-3</v>
      </c>
      <c r="AX122" s="159">
        <f t="shared" si="89"/>
        <v>2.5136274926111923E-3</v>
      </c>
      <c r="AY122" s="159">
        <f t="shared" si="89"/>
        <v>2.5136274926111923E-3</v>
      </c>
      <c r="AZ122" s="159">
        <f t="shared" si="89"/>
        <v>2.270097333565646E-3</v>
      </c>
      <c r="BA122" s="159">
        <f t="shared" si="89"/>
        <v>2.5136274926111923E-3</v>
      </c>
      <c r="BB122" s="159">
        <f t="shared" si="89"/>
        <v>2.4324441989045376E-3</v>
      </c>
      <c r="BC122" s="159">
        <f t="shared" si="89"/>
        <v>2.5136274926111923E-3</v>
      </c>
      <c r="BD122" s="159">
        <f t="shared" si="89"/>
        <v>2.4324441989045376E-3</v>
      </c>
      <c r="BE122" s="159">
        <f t="shared" si="89"/>
        <v>2.5136274926111923E-3</v>
      </c>
      <c r="BF122" s="159">
        <f t="shared" si="89"/>
        <v>2.5136274926111923E-3</v>
      </c>
      <c r="BG122" s="159">
        <f t="shared" si="89"/>
        <v>2.4324441989045376E-3</v>
      </c>
      <c r="BH122" s="159">
        <f t="shared" si="89"/>
        <v>2.5136274926111923E-3</v>
      </c>
      <c r="BI122" s="159">
        <f t="shared" si="89"/>
        <v>2.4324441989045376E-3</v>
      </c>
      <c r="BJ122" s="159">
        <f t="shared" si="89"/>
        <v>2.5136274926111923E-3</v>
      </c>
      <c r="BK122" s="159">
        <f t="shared" si="89"/>
        <v>2.5067510571494811E-3</v>
      </c>
      <c r="BL122" s="159">
        <f t="shared" si="89"/>
        <v>2.3448357253228469E-3</v>
      </c>
      <c r="BM122" s="159">
        <f t="shared" si="89"/>
        <v>2.5067510571494811E-3</v>
      </c>
      <c r="BN122" s="159">
        <f t="shared" si="89"/>
        <v>2.4257901220945399E-3</v>
      </c>
      <c r="BO122" s="159">
        <f t="shared" si="89"/>
        <v>2.5067510571494811E-3</v>
      </c>
      <c r="BP122" s="159">
        <f t="shared" si="89"/>
        <v>2.4257901220945399E-3</v>
      </c>
      <c r="BQ122" s="159">
        <f t="shared" si="89"/>
        <v>2.5067510571494811E-3</v>
      </c>
      <c r="BR122" s="159">
        <f t="shared" si="89"/>
        <v>2.5067510571494811E-3</v>
      </c>
      <c r="BS122" s="159">
        <f t="shared" ref="BS122:CK122" si="90">(1+BS121)^(BS$26/BS$20)-1</f>
        <v>2.4257901220945399E-3</v>
      </c>
      <c r="BT122" s="159">
        <f t="shared" si="90"/>
        <v>2.5067510571494811E-3</v>
      </c>
      <c r="BU122" s="159">
        <f t="shared" si="90"/>
        <v>2.4257901220945399E-3</v>
      </c>
      <c r="BV122" s="159">
        <f t="shared" si="90"/>
        <v>2.5067510571494811E-3</v>
      </c>
      <c r="BW122" s="159">
        <f t="shared" si="90"/>
        <v>2.5136274926111923E-3</v>
      </c>
      <c r="BX122" s="159">
        <f t="shared" si="90"/>
        <v>2.270097333565646E-3</v>
      </c>
      <c r="BY122" s="159">
        <f t="shared" si="90"/>
        <v>2.5136274926111923E-3</v>
      </c>
      <c r="BZ122" s="159">
        <f t="shared" si="90"/>
        <v>2.4324441989045376E-3</v>
      </c>
      <c r="CA122" s="159">
        <f t="shared" si="90"/>
        <v>2.5136274926111923E-3</v>
      </c>
      <c r="CB122" s="159">
        <f t="shared" si="90"/>
        <v>2.4324441989045376E-3</v>
      </c>
      <c r="CC122" s="159">
        <f t="shared" si="90"/>
        <v>2.5136274926111923E-3</v>
      </c>
      <c r="CD122" s="159">
        <f t="shared" si="90"/>
        <v>2.5136274926111923E-3</v>
      </c>
      <c r="CE122" s="159">
        <f t="shared" si="90"/>
        <v>2.4324441989045376E-3</v>
      </c>
      <c r="CF122" s="159">
        <f t="shared" si="90"/>
        <v>2.5136274926111923E-3</v>
      </c>
      <c r="CG122" s="159">
        <f t="shared" si="90"/>
        <v>2.4324441989045376E-3</v>
      </c>
      <c r="CH122" s="159">
        <f t="shared" si="90"/>
        <v>2.5136274926111923E-3</v>
      </c>
      <c r="CI122" s="159">
        <f t="shared" si="90"/>
        <v>2.5136274926111923E-3</v>
      </c>
      <c r="CJ122" s="159">
        <f t="shared" si="90"/>
        <v>2.270097333565646E-3</v>
      </c>
      <c r="CK122" s="159">
        <f t="shared" si="90"/>
        <v>2.5136274926111923E-3</v>
      </c>
    </row>
    <row r="123" spans="2:89" ht="15.75" thickTop="1">
      <c r="B123" s="161" t="s">
        <v>41</v>
      </c>
      <c r="C123" s="162"/>
      <c r="D123" s="163"/>
      <c r="E123" s="164">
        <v>1</v>
      </c>
      <c r="F123" s="165">
        <f t="shared" ref="F123:AK123" si="91">E123*(1+F122)</f>
        <v>1.0024324441989045</v>
      </c>
      <c r="G123" s="165">
        <f t="shared" si="91"/>
        <v>1.0049521859501283</v>
      </c>
      <c r="H123" s="165">
        <f t="shared" si="91"/>
        <v>1.007396676065019</v>
      </c>
      <c r="I123" s="165">
        <f t="shared" si="91"/>
        <v>1.0099288960459412</v>
      </c>
      <c r="J123" s="165">
        <f t="shared" si="91"/>
        <v>1.0124674810846248</v>
      </c>
      <c r="K123" s="165">
        <f t="shared" si="91"/>
        <v>1.0149302517355685</v>
      </c>
      <c r="L123" s="165">
        <f t="shared" si="91"/>
        <v>1.0174814083194139</v>
      </c>
      <c r="M123" s="165">
        <f t="shared" si="91"/>
        <v>1.0199563750685736</v>
      </c>
      <c r="N123" s="165">
        <f t="shared" si="91"/>
        <v>1.02252016545421</v>
      </c>
      <c r="O123" s="165">
        <f t="shared" si="91"/>
        <v>1.025083368959919</v>
      </c>
      <c r="P123" s="165">
        <f t="shared" si="91"/>
        <v>1.0274870210648905</v>
      </c>
      <c r="Q123" s="165">
        <f t="shared" si="91"/>
        <v>1.0300626752411524</v>
      </c>
      <c r="R123" s="165">
        <f t="shared" si="91"/>
        <v>1.0325613911038907</v>
      </c>
      <c r="S123" s="165">
        <f t="shared" si="91"/>
        <v>1.0351497654626121</v>
      </c>
      <c r="T123" s="165">
        <f t="shared" si="91"/>
        <v>1.0376608215385597</v>
      </c>
      <c r="U123" s="165">
        <f t="shared" si="91"/>
        <v>1.0402619788999141</v>
      </c>
      <c r="V123" s="165">
        <f t="shared" si="91"/>
        <v>1.0428696567152338</v>
      </c>
      <c r="W123" s="165">
        <f t="shared" si="91"/>
        <v>1.0453994396271258</v>
      </c>
      <c r="X123" s="165">
        <f t="shared" si="91"/>
        <v>1.0480199957775544</v>
      </c>
      <c r="Y123" s="165">
        <f t="shared" si="91"/>
        <v>1.0505622723310692</v>
      </c>
      <c r="Z123" s="165">
        <f t="shared" si="91"/>
        <v>1.0531957704178365</v>
      </c>
      <c r="AA123" s="165">
        <f t="shared" si="91"/>
        <v>1.0558431122614607</v>
      </c>
      <c r="AB123" s="165">
        <f t="shared" si="91"/>
        <v>1.058239978895269</v>
      </c>
      <c r="AC123" s="165">
        <f t="shared" si="91"/>
        <v>1.0609000000000004</v>
      </c>
      <c r="AD123" s="165">
        <f t="shared" si="91"/>
        <v>1.0634805800506182</v>
      </c>
      <c r="AE123" s="165">
        <f t="shared" si="91"/>
        <v>1.0661537740744915</v>
      </c>
      <c r="AF123" s="165">
        <f t="shared" si="91"/>
        <v>1.0687471336373793</v>
      </c>
      <c r="AG123" s="165">
        <f t="shared" si="91"/>
        <v>1.0714335658151397</v>
      </c>
      <c r="AH123" s="165">
        <f t="shared" si="91"/>
        <v>1.074126750682679</v>
      </c>
      <c r="AI123" s="165">
        <f t="shared" si="91"/>
        <v>1.0767395040662653</v>
      </c>
      <c r="AJ123" s="165">
        <f t="shared" si="91"/>
        <v>1.0794460260860668</v>
      </c>
      <c r="AK123" s="165">
        <f t="shared" si="91"/>
        <v>1.0820717183102504</v>
      </c>
      <c r="AL123" s="165">
        <f t="shared" ref="AL123:BM123" si="92">AK123*(1+AL122)</f>
        <v>1.0847916435303722</v>
      </c>
      <c r="AM123" s="165">
        <f t="shared" si="92"/>
        <v>1.087518405629305</v>
      </c>
      <c r="AN123" s="165">
        <f t="shared" si="92"/>
        <v>1.0899871782621278</v>
      </c>
      <c r="AO123" s="165">
        <f t="shared" si="92"/>
        <v>1.0927270000000011</v>
      </c>
      <c r="AP123" s="165">
        <f t="shared" si="92"/>
        <v>1.0953849974521375</v>
      </c>
      <c r="AQ123" s="165">
        <f t="shared" si="92"/>
        <v>1.098138387296727</v>
      </c>
      <c r="AR123" s="165">
        <f t="shared" si="92"/>
        <v>1.1008095476465012</v>
      </c>
      <c r="AS123" s="165">
        <f t="shared" si="92"/>
        <v>1.1035765727895943</v>
      </c>
      <c r="AT123" s="165">
        <f t="shared" si="92"/>
        <v>1.1063505532031599</v>
      </c>
      <c r="AU123" s="165">
        <f t="shared" si="92"/>
        <v>1.1090416891882537</v>
      </c>
      <c r="AV123" s="165">
        <f t="shared" si="92"/>
        <v>1.1118294068686494</v>
      </c>
      <c r="AW123" s="165">
        <f t="shared" si="92"/>
        <v>1.1145338698595586</v>
      </c>
      <c r="AX123" s="165">
        <f t="shared" si="92"/>
        <v>1.1173353928362839</v>
      </c>
      <c r="AY123" s="165">
        <f t="shared" si="92"/>
        <v>1.1201439577981847</v>
      </c>
      <c r="AZ123" s="165">
        <f t="shared" si="92"/>
        <v>1.122686793609992</v>
      </c>
      <c r="BA123" s="165">
        <f t="shared" si="92"/>
        <v>1.1255088100000017</v>
      </c>
      <c r="BB123" s="165">
        <f t="shared" si="92"/>
        <v>1.1282465473757022</v>
      </c>
      <c r="BC123" s="165">
        <f t="shared" si="92"/>
        <v>1.1310825389156294</v>
      </c>
      <c r="BD123" s="165">
        <f t="shared" si="92"/>
        <v>1.1338338340758969</v>
      </c>
      <c r="BE123" s="165">
        <f t="shared" si="92"/>
        <v>1.1366838699732829</v>
      </c>
      <c r="BF123" s="165">
        <f t="shared" si="92"/>
        <v>1.1395410697992554</v>
      </c>
      <c r="BG123" s="165">
        <f t="shared" si="92"/>
        <v>1.142312939863902</v>
      </c>
      <c r="BH123" s="165">
        <f t="shared" si="92"/>
        <v>1.1451842890747095</v>
      </c>
      <c r="BI123" s="165">
        <f t="shared" si="92"/>
        <v>1.1479698859553458</v>
      </c>
      <c r="BJ123" s="165">
        <f t="shared" si="92"/>
        <v>1.150855454621373</v>
      </c>
      <c r="BK123" s="165">
        <f t="shared" si="92"/>
        <v>1.1537403627488714</v>
      </c>
      <c r="BL123" s="165">
        <f t="shared" si="92"/>
        <v>1.1564456943691919</v>
      </c>
      <c r="BM123" s="165">
        <f t="shared" si="92"/>
        <v>1.1593446158360878</v>
      </c>
      <c r="BN123" s="165">
        <f t="shared" ref="BN123" si="93">BM123*(1+BN122)</f>
        <v>1.1621569425532865</v>
      </c>
      <c r="BO123" s="165">
        <f t="shared" ref="BO123" si="94">BN123*(1+BO122)</f>
        <v>1.1650701806976056</v>
      </c>
      <c r="BP123" s="165">
        <f t="shared" ref="BP123" si="95">BO123*(1+BP122)</f>
        <v>1.1678963964334887</v>
      </c>
      <c r="BQ123" s="165">
        <f t="shared" ref="BQ123" si="96">BP123*(1+BQ122)</f>
        <v>1.1708240219598895</v>
      </c>
      <c r="BR123" s="165">
        <f t="shared" ref="BR123" si="97">BQ123*(1+BR122)</f>
        <v>1.1737589863146736</v>
      </c>
      <c r="BS123" s="165">
        <f t="shared" ref="BS123" si="98">BR123*(1+BS122)</f>
        <v>1.1766062792693954</v>
      </c>
      <c r="BT123" s="165">
        <f t="shared" ref="BT123" si="99">BS123*(1+BT122)</f>
        <v>1.1795557383038027</v>
      </c>
      <c r="BU123" s="165">
        <f t="shared" ref="BU123" si="100">BT123*(1+BU122)</f>
        <v>1.18241709296224</v>
      </c>
      <c r="BV123" s="165">
        <f t="shared" ref="BV123" si="101">BU123*(1+BV122)</f>
        <v>1.1853811182600147</v>
      </c>
      <c r="BW123" s="165">
        <f t="shared" ref="BW123" si="102">BV123*(1+BW122)</f>
        <v>1.1883607248280952</v>
      </c>
      <c r="BX123" s="165">
        <f t="shared" ref="BX123" si="103">BW123*(1+BX122)</f>
        <v>1.1910584193408416</v>
      </c>
      <c r="BY123" s="165">
        <f t="shared" ref="BY123" si="104">BX123*(1+BY122)</f>
        <v>1.1940522965290028</v>
      </c>
      <c r="BZ123" s="165">
        <f t="shared" ref="BZ123" si="105">BY123*(1+BZ122)</f>
        <v>1.1969567621108834</v>
      </c>
      <c r="CA123" s="165">
        <f t="shared" ref="CA123" si="106">BZ123*(1+CA122)</f>
        <v>1.1999654655355922</v>
      </c>
      <c r="CB123" s="165">
        <f t="shared" ref="CB123" si="107">CA123*(1+CB122)</f>
        <v>1.2028843145711201</v>
      </c>
      <c r="CC123" s="165">
        <f t="shared" ref="CC123" si="108">CB123*(1+CC122)</f>
        <v>1.2059079176546568</v>
      </c>
      <c r="CD123" s="165">
        <f t="shared" ref="CD123" si="109">CC123*(1+CD122)</f>
        <v>1.2089391209500311</v>
      </c>
      <c r="CE123" s="165">
        <f t="shared" ref="CE123" si="110">CD123*(1+CE122)</f>
        <v>1.2118797979016147</v>
      </c>
      <c r="CF123" s="165">
        <f t="shared" ref="CF123" si="111">CE123*(1+CF122)</f>
        <v>1.2149260122793604</v>
      </c>
      <c r="CG123" s="165">
        <f t="shared" ref="CG123" si="112">CF123*(1+CG122)</f>
        <v>1.2178812520100275</v>
      </c>
      <c r="CH123" s="165">
        <f t="shared" ref="CH123" si="113">CG123*(1+CH122)</f>
        <v>1.2209425518078156</v>
      </c>
      <c r="CI123" s="165">
        <f t="shared" ref="CI123" si="114">CH123*(1+CI122)</f>
        <v>1.2240115465729386</v>
      </c>
      <c r="CJ123" s="165">
        <f t="shared" ref="CJ123" si="115">CI123*(1+CJ122)</f>
        <v>1.2267901719210674</v>
      </c>
      <c r="CK123" s="165">
        <f t="shared" ref="CK123" si="116">CJ123*(1+CK122)</f>
        <v>1.2298738654248735</v>
      </c>
    </row>
    <row r="124" spans="2:89"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</row>
    <row r="125" spans="2:89" ht="15.75" thickBot="1">
      <c r="B125" s="96" t="str">
        <f>"Платежи с учетом инфляции, в "&amp;Ед_измерения_денег&amp;" в т.ч. НДС"</f>
        <v>Платежи с учетом инфляции, в  руб. в т.ч. НДС</v>
      </c>
      <c r="C125" s="96"/>
      <c r="D125" s="127"/>
      <c r="E125" s="96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</row>
    <row r="126" spans="2:89"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</row>
    <row r="127" spans="2:89">
      <c r="B127" s="45" t="str">
        <f t="array" ref="B127:B132">Инвестиции_в_склад_наименования</f>
        <v>Сырье и материалы 1 месяца</v>
      </c>
      <c r="C127" s="46"/>
      <c r="D127" s="47">
        <f>SUM(F127:CK127)</f>
        <v>1030062.6752411524</v>
      </c>
      <c r="E127" s="48"/>
      <c r="F127" s="49">
        <f t="array" ref="F127:CK132">F109:CK114*F123:CK123</f>
        <v>0</v>
      </c>
      <c r="G127" s="176">
        <v>0</v>
      </c>
      <c r="H127" s="176">
        <v>0</v>
      </c>
      <c r="I127" s="176">
        <v>0</v>
      </c>
      <c r="J127" s="176">
        <v>0</v>
      </c>
      <c r="K127" s="176">
        <v>0</v>
      </c>
      <c r="L127" s="176">
        <v>0</v>
      </c>
      <c r="M127" s="176">
        <v>0</v>
      </c>
      <c r="N127" s="176">
        <v>0</v>
      </c>
      <c r="O127" s="176">
        <v>0</v>
      </c>
      <c r="P127" s="176">
        <v>0</v>
      </c>
      <c r="Q127" s="176">
        <v>1030062.6752411524</v>
      </c>
      <c r="R127" s="176">
        <v>0</v>
      </c>
      <c r="S127" s="176">
        <v>0</v>
      </c>
      <c r="T127" s="176">
        <v>0</v>
      </c>
      <c r="U127" s="176">
        <v>0</v>
      </c>
      <c r="V127" s="176">
        <v>0</v>
      </c>
      <c r="W127" s="176">
        <v>0</v>
      </c>
      <c r="X127" s="176">
        <v>0</v>
      </c>
      <c r="Y127" s="176">
        <v>0</v>
      </c>
      <c r="Z127" s="176">
        <v>0</v>
      </c>
      <c r="AA127" s="176">
        <v>0</v>
      </c>
      <c r="AB127" s="176">
        <v>0</v>
      </c>
      <c r="AC127" s="176">
        <v>0</v>
      </c>
      <c r="AD127" s="176">
        <v>0</v>
      </c>
      <c r="AE127" s="176">
        <v>0</v>
      </c>
      <c r="AF127" s="176">
        <v>0</v>
      </c>
      <c r="AG127" s="176">
        <v>0</v>
      </c>
      <c r="AH127" s="176">
        <v>0</v>
      </c>
      <c r="AI127" s="176">
        <v>0</v>
      </c>
      <c r="AJ127" s="176">
        <v>0</v>
      </c>
      <c r="AK127" s="176">
        <v>0</v>
      </c>
      <c r="AL127" s="176">
        <v>0</v>
      </c>
      <c r="AM127" s="176">
        <v>0</v>
      </c>
      <c r="AN127" s="176">
        <v>0</v>
      </c>
      <c r="AO127" s="176">
        <v>0</v>
      </c>
      <c r="AP127" s="176">
        <v>0</v>
      </c>
      <c r="AQ127" s="176">
        <v>0</v>
      </c>
      <c r="AR127" s="176">
        <v>0</v>
      </c>
      <c r="AS127" s="176">
        <v>0</v>
      </c>
      <c r="AT127" s="176">
        <v>0</v>
      </c>
      <c r="AU127" s="176">
        <v>0</v>
      </c>
      <c r="AV127" s="176">
        <v>0</v>
      </c>
      <c r="AW127" s="176">
        <v>0</v>
      </c>
      <c r="AX127" s="176">
        <v>0</v>
      </c>
      <c r="AY127" s="176">
        <v>0</v>
      </c>
      <c r="AZ127" s="176">
        <v>0</v>
      </c>
      <c r="BA127" s="176">
        <v>0</v>
      </c>
      <c r="BB127" s="176">
        <v>0</v>
      </c>
      <c r="BC127" s="176">
        <v>0</v>
      </c>
      <c r="BD127" s="176">
        <v>0</v>
      </c>
      <c r="BE127" s="176">
        <v>0</v>
      </c>
      <c r="BF127" s="176">
        <v>0</v>
      </c>
      <c r="BG127" s="176">
        <v>0</v>
      </c>
      <c r="BH127" s="176">
        <v>0</v>
      </c>
      <c r="BI127" s="176">
        <v>0</v>
      </c>
      <c r="BJ127" s="176">
        <v>0</v>
      </c>
      <c r="BK127" s="176">
        <v>0</v>
      </c>
      <c r="BL127" s="176">
        <v>0</v>
      </c>
      <c r="BM127" s="176">
        <v>0</v>
      </c>
      <c r="BN127" s="176">
        <v>0</v>
      </c>
      <c r="BO127" s="176">
        <v>0</v>
      </c>
      <c r="BP127" s="176">
        <v>0</v>
      </c>
      <c r="BQ127" s="176">
        <v>0</v>
      </c>
      <c r="BR127" s="176">
        <v>0</v>
      </c>
      <c r="BS127" s="176">
        <v>0</v>
      </c>
      <c r="BT127" s="176">
        <v>0</v>
      </c>
      <c r="BU127" s="176">
        <v>0</v>
      </c>
      <c r="BV127" s="176">
        <v>0</v>
      </c>
      <c r="BW127" s="176">
        <v>0</v>
      </c>
      <c r="BX127" s="176">
        <v>0</v>
      </c>
      <c r="BY127" s="176">
        <v>0</v>
      </c>
      <c r="BZ127" s="176">
        <v>0</v>
      </c>
      <c r="CA127" s="176">
        <v>0</v>
      </c>
      <c r="CB127" s="176">
        <v>0</v>
      </c>
      <c r="CC127" s="176">
        <v>0</v>
      </c>
      <c r="CD127" s="176">
        <v>0</v>
      </c>
      <c r="CE127" s="176">
        <v>0</v>
      </c>
      <c r="CF127" s="176">
        <v>0</v>
      </c>
      <c r="CG127" s="176">
        <v>0</v>
      </c>
      <c r="CH127" s="176">
        <v>0</v>
      </c>
      <c r="CI127" s="176">
        <v>0</v>
      </c>
      <c r="CJ127" s="176">
        <v>0</v>
      </c>
      <c r="CK127" s="176">
        <v>0</v>
      </c>
    </row>
    <row r="128" spans="2:89">
      <c r="B128" s="86" t="str">
        <v>Пусто</v>
      </c>
      <c r="C128" s="46"/>
      <c r="D128" s="47">
        <f t="shared" ref="D128:D132" si="117">SUM(F128:CK128)</f>
        <v>0</v>
      </c>
      <c r="E128" s="48"/>
      <c r="F128" s="176">
        <v>0</v>
      </c>
      <c r="G128" s="176">
        <v>0</v>
      </c>
      <c r="H128" s="176">
        <v>0</v>
      </c>
      <c r="I128" s="176">
        <v>0</v>
      </c>
      <c r="J128" s="176">
        <v>0</v>
      </c>
      <c r="K128" s="176">
        <v>0</v>
      </c>
      <c r="L128" s="176">
        <v>0</v>
      </c>
      <c r="M128" s="176">
        <v>0</v>
      </c>
      <c r="N128" s="176">
        <v>0</v>
      </c>
      <c r="O128" s="176">
        <v>0</v>
      </c>
      <c r="P128" s="176">
        <v>0</v>
      </c>
      <c r="Q128" s="176">
        <v>0</v>
      </c>
      <c r="R128" s="176">
        <v>0</v>
      </c>
      <c r="S128" s="176">
        <v>0</v>
      </c>
      <c r="T128" s="176">
        <v>0</v>
      </c>
      <c r="U128" s="176">
        <v>0</v>
      </c>
      <c r="V128" s="176">
        <v>0</v>
      </c>
      <c r="W128" s="176">
        <v>0</v>
      </c>
      <c r="X128" s="176">
        <v>0</v>
      </c>
      <c r="Y128" s="176">
        <v>0</v>
      </c>
      <c r="Z128" s="176">
        <v>0</v>
      </c>
      <c r="AA128" s="176">
        <v>0</v>
      </c>
      <c r="AB128" s="176">
        <v>0</v>
      </c>
      <c r="AC128" s="176">
        <v>0</v>
      </c>
      <c r="AD128" s="176">
        <v>0</v>
      </c>
      <c r="AE128" s="176">
        <v>0</v>
      </c>
      <c r="AF128" s="176">
        <v>0</v>
      </c>
      <c r="AG128" s="176">
        <v>0</v>
      </c>
      <c r="AH128" s="176">
        <v>0</v>
      </c>
      <c r="AI128" s="176">
        <v>0</v>
      </c>
      <c r="AJ128" s="176">
        <v>0</v>
      </c>
      <c r="AK128" s="176">
        <v>0</v>
      </c>
      <c r="AL128" s="176">
        <v>0</v>
      </c>
      <c r="AM128" s="176">
        <v>0</v>
      </c>
      <c r="AN128" s="176">
        <v>0</v>
      </c>
      <c r="AO128" s="176">
        <v>0</v>
      </c>
      <c r="AP128" s="176">
        <v>0</v>
      </c>
      <c r="AQ128" s="176">
        <v>0</v>
      </c>
      <c r="AR128" s="176">
        <v>0</v>
      </c>
      <c r="AS128" s="176">
        <v>0</v>
      </c>
      <c r="AT128" s="176">
        <v>0</v>
      </c>
      <c r="AU128" s="176">
        <v>0</v>
      </c>
      <c r="AV128" s="176">
        <v>0</v>
      </c>
      <c r="AW128" s="176">
        <v>0</v>
      </c>
      <c r="AX128" s="176">
        <v>0</v>
      </c>
      <c r="AY128" s="176">
        <v>0</v>
      </c>
      <c r="AZ128" s="176">
        <v>0</v>
      </c>
      <c r="BA128" s="176">
        <v>0</v>
      </c>
      <c r="BB128" s="176">
        <v>0</v>
      </c>
      <c r="BC128" s="176">
        <v>0</v>
      </c>
      <c r="BD128" s="176">
        <v>0</v>
      </c>
      <c r="BE128" s="176">
        <v>0</v>
      </c>
      <c r="BF128" s="176">
        <v>0</v>
      </c>
      <c r="BG128" s="176">
        <v>0</v>
      </c>
      <c r="BH128" s="176">
        <v>0</v>
      </c>
      <c r="BI128" s="176">
        <v>0</v>
      </c>
      <c r="BJ128" s="176">
        <v>0</v>
      </c>
      <c r="BK128" s="176">
        <v>0</v>
      </c>
      <c r="BL128" s="176">
        <v>0</v>
      </c>
      <c r="BM128" s="176">
        <v>0</v>
      </c>
      <c r="BN128" s="176">
        <v>0</v>
      </c>
      <c r="BO128" s="176">
        <v>0</v>
      </c>
      <c r="BP128" s="176">
        <v>0</v>
      </c>
      <c r="BQ128" s="176">
        <v>0</v>
      </c>
      <c r="BR128" s="176">
        <v>0</v>
      </c>
      <c r="BS128" s="176">
        <v>0</v>
      </c>
      <c r="BT128" s="176">
        <v>0</v>
      </c>
      <c r="BU128" s="176">
        <v>0</v>
      </c>
      <c r="BV128" s="176">
        <v>0</v>
      </c>
      <c r="BW128" s="176">
        <v>0</v>
      </c>
      <c r="BX128" s="176">
        <v>0</v>
      </c>
      <c r="BY128" s="176">
        <v>0</v>
      </c>
      <c r="BZ128" s="176">
        <v>0</v>
      </c>
      <c r="CA128" s="176">
        <v>0</v>
      </c>
      <c r="CB128" s="176">
        <v>0</v>
      </c>
      <c r="CC128" s="176">
        <v>0</v>
      </c>
      <c r="CD128" s="176">
        <v>0</v>
      </c>
      <c r="CE128" s="176">
        <v>0</v>
      </c>
      <c r="CF128" s="176">
        <v>0</v>
      </c>
      <c r="CG128" s="176">
        <v>0</v>
      </c>
      <c r="CH128" s="176">
        <v>0</v>
      </c>
      <c r="CI128" s="176">
        <v>0</v>
      </c>
      <c r="CJ128" s="176">
        <v>0</v>
      </c>
      <c r="CK128" s="176">
        <v>0</v>
      </c>
    </row>
    <row r="129" spans="2:89">
      <c r="B129" s="86" t="str">
        <v>Пусто</v>
      </c>
      <c r="C129" s="46"/>
      <c r="D129" s="47">
        <f t="shared" si="117"/>
        <v>0</v>
      </c>
      <c r="E129" s="48"/>
      <c r="F129" s="176">
        <v>0</v>
      </c>
      <c r="G129" s="176">
        <v>0</v>
      </c>
      <c r="H129" s="176">
        <v>0</v>
      </c>
      <c r="I129" s="176">
        <v>0</v>
      </c>
      <c r="J129" s="176">
        <v>0</v>
      </c>
      <c r="K129" s="176">
        <v>0</v>
      </c>
      <c r="L129" s="176">
        <v>0</v>
      </c>
      <c r="M129" s="176">
        <v>0</v>
      </c>
      <c r="N129" s="176">
        <v>0</v>
      </c>
      <c r="O129" s="176">
        <v>0</v>
      </c>
      <c r="P129" s="176">
        <v>0</v>
      </c>
      <c r="Q129" s="176">
        <v>0</v>
      </c>
      <c r="R129" s="176">
        <v>0</v>
      </c>
      <c r="S129" s="176">
        <v>0</v>
      </c>
      <c r="T129" s="176">
        <v>0</v>
      </c>
      <c r="U129" s="176">
        <v>0</v>
      </c>
      <c r="V129" s="176">
        <v>0</v>
      </c>
      <c r="W129" s="176">
        <v>0</v>
      </c>
      <c r="X129" s="176">
        <v>0</v>
      </c>
      <c r="Y129" s="176">
        <v>0</v>
      </c>
      <c r="Z129" s="176">
        <v>0</v>
      </c>
      <c r="AA129" s="176">
        <v>0</v>
      </c>
      <c r="AB129" s="176">
        <v>0</v>
      </c>
      <c r="AC129" s="176">
        <v>0</v>
      </c>
      <c r="AD129" s="176">
        <v>0</v>
      </c>
      <c r="AE129" s="176">
        <v>0</v>
      </c>
      <c r="AF129" s="176">
        <v>0</v>
      </c>
      <c r="AG129" s="176">
        <v>0</v>
      </c>
      <c r="AH129" s="176">
        <v>0</v>
      </c>
      <c r="AI129" s="176">
        <v>0</v>
      </c>
      <c r="AJ129" s="176">
        <v>0</v>
      </c>
      <c r="AK129" s="176">
        <v>0</v>
      </c>
      <c r="AL129" s="176">
        <v>0</v>
      </c>
      <c r="AM129" s="176">
        <v>0</v>
      </c>
      <c r="AN129" s="176">
        <v>0</v>
      </c>
      <c r="AO129" s="176">
        <v>0</v>
      </c>
      <c r="AP129" s="176">
        <v>0</v>
      </c>
      <c r="AQ129" s="176">
        <v>0</v>
      </c>
      <c r="AR129" s="176">
        <v>0</v>
      </c>
      <c r="AS129" s="176">
        <v>0</v>
      </c>
      <c r="AT129" s="176">
        <v>0</v>
      </c>
      <c r="AU129" s="176">
        <v>0</v>
      </c>
      <c r="AV129" s="176">
        <v>0</v>
      </c>
      <c r="AW129" s="176">
        <v>0</v>
      </c>
      <c r="AX129" s="176">
        <v>0</v>
      </c>
      <c r="AY129" s="176">
        <v>0</v>
      </c>
      <c r="AZ129" s="176">
        <v>0</v>
      </c>
      <c r="BA129" s="176">
        <v>0</v>
      </c>
      <c r="BB129" s="176">
        <v>0</v>
      </c>
      <c r="BC129" s="176">
        <v>0</v>
      </c>
      <c r="BD129" s="176">
        <v>0</v>
      </c>
      <c r="BE129" s="176">
        <v>0</v>
      </c>
      <c r="BF129" s="176">
        <v>0</v>
      </c>
      <c r="BG129" s="176">
        <v>0</v>
      </c>
      <c r="BH129" s="176">
        <v>0</v>
      </c>
      <c r="BI129" s="176">
        <v>0</v>
      </c>
      <c r="BJ129" s="176">
        <v>0</v>
      </c>
      <c r="BK129" s="176">
        <v>0</v>
      </c>
      <c r="BL129" s="176">
        <v>0</v>
      </c>
      <c r="BM129" s="176">
        <v>0</v>
      </c>
      <c r="BN129" s="176">
        <v>0</v>
      </c>
      <c r="BO129" s="176">
        <v>0</v>
      </c>
      <c r="BP129" s="176">
        <v>0</v>
      </c>
      <c r="BQ129" s="176">
        <v>0</v>
      </c>
      <c r="BR129" s="176">
        <v>0</v>
      </c>
      <c r="BS129" s="176">
        <v>0</v>
      </c>
      <c r="BT129" s="176">
        <v>0</v>
      </c>
      <c r="BU129" s="176">
        <v>0</v>
      </c>
      <c r="BV129" s="176">
        <v>0</v>
      </c>
      <c r="BW129" s="176">
        <v>0</v>
      </c>
      <c r="BX129" s="176">
        <v>0</v>
      </c>
      <c r="BY129" s="176">
        <v>0</v>
      </c>
      <c r="BZ129" s="176">
        <v>0</v>
      </c>
      <c r="CA129" s="176">
        <v>0</v>
      </c>
      <c r="CB129" s="176">
        <v>0</v>
      </c>
      <c r="CC129" s="176">
        <v>0</v>
      </c>
      <c r="CD129" s="176">
        <v>0</v>
      </c>
      <c r="CE129" s="176">
        <v>0</v>
      </c>
      <c r="CF129" s="176">
        <v>0</v>
      </c>
      <c r="CG129" s="176">
        <v>0</v>
      </c>
      <c r="CH129" s="176">
        <v>0</v>
      </c>
      <c r="CI129" s="176">
        <v>0</v>
      </c>
      <c r="CJ129" s="176">
        <v>0</v>
      </c>
      <c r="CK129" s="176">
        <v>0</v>
      </c>
    </row>
    <row r="130" spans="2:89">
      <c r="B130" s="86" t="str">
        <v>Пусто</v>
      </c>
      <c r="C130" s="46"/>
      <c r="D130" s="47">
        <f t="shared" si="117"/>
        <v>0</v>
      </c>
      <c r="E130" s="48"/>
      <c r="F130" s="176">
        <v>0</v>
      </c>
      <c r="G130" s="176">
        <v>0</v>
      </c>
      <c r="H130" s="176">
        <v>0</v>
      </c>
      <c r="I130" s="176">
        <v>0</v>
      </c>
      <c r="J130" s="176">
        <v>0</v>
      </c>
      <c r="K130" s="176">
        <v>0</v>
      </c>
      <c r="L130" s="176">
        <v>0</v>
      </c>
      <c r="M130" s="176">
        <v>0</v>
      </c>
      <c r="N130" s="176">
        <v>0</v>
      </c>
      <c r="O130" s="176">
        <v>0</v>
      </c>
      <c r="P130" s="176">
        <v>0</v>
      </c>
      <c r="Q130" s="176">
        <v>0</v>
      </c>
      <c r="R130" s="176">
        <v>0</v>
      </c>
      <c r="S130" s="176">
        <v>0</v>
      </c>
      <c r="T130" s="176">
        <v>0</v>
      </c>
      <c r="U130" s="176">
        <v>0</v>
      </c>
      <c r="V130" s="176">
        <v>0</v>
      </c>
      <c r="W130" s="176">
        <v>0</v>
      </c>
      <c r="X130" s="176">
        <v>0</v>
      </c>
      <c r="Y130" s="176">
        <v>0</v>
      </c>
      <c r="Z130" s="176">
        <v>0</v>
      </c>
      <c r="AA130" s="176">
        <v>0</v>
      </c>
      <c r="AB130" s="176">
        <v>0</v>
      </c>
      <c r="AC130" s="176">
        <v>0</v>
      </c>
      <c r="AD130" s="176">
        <v>0</v>
      </c>
      <c r="AE130" s="176">
        <v>0</v>
      </c>
      <c r="AF130" s="176">
        <v>0</v>
      </c>
      <c r="AG130" s="176">
        <v>0</v>
      </c>
      <c r="AH130" s="176">
        <v>0</v>
      </c>
      <c r="AI130" s="176">
        <v>0</v>
      </c>
      <c r="AJ130" s="176">
        <v>0</v>
      </c>
      <c r="AK130" s="176">
        <v>0</v>
      </c>
      <c r="AL130" s="176">
        <v>0</v>
      </c>
      <c r="AM130" s="176">
        <v>0</v>
      </c>
      <c r="AN130" s="176">
        <v>0</v>
      </c>
      <c r="AO130" s="176">
        <v>0</v>
      </c>
      <c r="AP130" s="176">
        <v>0</v>
      </c>
      <c r="AQ130" s="176">
        <v>0</v>
      </c>
      <c r="AR130" s="176">
        <v>0</v>
      </c>
      <c r="AS130" s="176">
        <v>0</v>
      </c>
      <c r="AT130" s="176">
        <v>0</v>
      </c>
      <c r="AU130" s="176">
        <v>0</v>
      </c>
      <c r="AV130" s="176">
        <v>0</v>
      </c>
      <c r="AW130" s="176">
        <v>0</v>
      </c>
      <c r="AX130" s="176">
        <v>0</v>
      </c>
      <c r="AY130" s="176">
        <v>0</v>
      </c>
      <c r="AZ130" s="176">
        <v>0</v>
      </c>
      <c r="BA130" s="176">
        <v>0</v>
      </c>
      <c r="BB130" s="176">
        <v>0</v>
      </c>
      <c r="BC130" s="176">
        <v>0</v>
      </c>
      <c r="BD130" s="176">
        <v>0</v>
      </c>
      <c r="BE130" s="176">
        <v>0</v>
      </c>
      <c r="BF130" s="176">
        <v>0</v>
      </c>
      <c r="BG130" s="176">
        <v>0</v>
      </c>
      <c r="BH130" s="176">
        <v>0</v>
      </c>
      <c r="BI130" s="176">
        <v>0</v>
      </c>
      <c r="BJ130" s="176">
        <v>0</v>
      </c>
      <c r="BK130" s="176">
        <v>0</v>
      </c>
      <c r="BL130" s="176">
        <v>0</v>
      </c>
      <c r="BM130" s="176">
        <v>0</v>
      </c>
      <c r="BN130" s="176">
        <v>0</v>
      </c>
      <c r="BO130" s="176">
        <v>0</v>
      </c>
      <c r="BP130" s="176">
        <v>0</v>
      </c>
      <c r="BQ130" s="176">
        <v>0</v>
      </c>
      <c r="BR130" s="176">
        <v>0</v>
      </c>
      <c r="BS130" s="176">
        <v>0</v>
      </c>
      <c r="BT130" s="176">
        <v>0</v>
      </c>
      <c r="BU130" s="176">
        <v>0</v>
      </c>
      <c r="BV130" s="176">
        <v>0</v>
      </c>
      <c r="BW130" s="176">
        <v>0</v>
      </c>
      <c r="BX130" s="176">
        <v>0</v>
      </c>
      <c r="BY130" s="176">
        <v>0</v>
      </c>
      <c r="BZ130" s="176">
        <v>0</v>
      </c>
      <c r="CA130" s="176">
        <v>0</v>
      </c>
      <c r="CB130" s="176">
        <v>0</v>
      </c>
      <c r="CC130" s="176">
        <v>0</v>
      </c>
      <c r="CD130" s="176">
        <v>0</v>
      </c>
      <c r="CE130" s="176">
        <v>0</v>
      </c>
      <c r="CF130" s="176">
        <v>0</v>
      </c>
      <c r="CG130" s="176">
        <v>0</v>
      </c>
      <c r="CH130" s="176">
        <v>0</v>
      </c>
      <c r="CI130" s="176">
        <v>0</v>
      </c>
      <c r="CJ130" s="176">
        <v>0</v>
      </c>
      <c r="CK130" s="176">
        <v>0</v>
      </c>
    </row>
    <row r="131" spans="2:89">
      <c r="B131" s="86" t="str">
        <v>Пусто</v>
      </c>
      <c r="C131" s="46"/>
      <c r="D131" s="47">
        <f t="shared" si="117"/>
        <v>0</v>
      </c>
      <c r="E131" s="48"/>
      <c r="F131" s="176">
        <v>0</v>
      </c>
      <c r="G131" s="176">
        <v>0</v>
      </c>
      <c r="H131" s="176">
        <v>0</v>
      </c>
      <c r="I131" s="176">
        <v>0</v>
      </c>
      <c r="J131" s="176">
        <v>0</v>
      </c>
      <c r="K131" s="176">
        <v>0</v>
      </c>
      <c r="L131" s="176">
        <v>0</v>
      </c>
      <c r="M131" s="176">
        <v>0</v>
      </c>
      <c r="N131" s="176">
        <v>0</v>
      </c>
      <c r="O131" s="176">
        <v>0</v>
      </c>
      <c r="P131" s="176">
        <v>0</v>
      </c>
      <c r="Q131" s="176">
        <v>0</v>
      </c>
      <c r="R131" s="176">
        <v>0</v>
      </c>
      <c r="S131" s="176">
        <v>0</v>
      </c>
      <c r="T131" s="176">
        <v>0</v>
      </c>
      <c r="U131" s="176">
        <v>0</v>
      </c>
      <c r="V131" s="176">
        <v>0</v>
      </c>
      <c r="W131" s="176">
        <v>0</v>
      </c>
      <c r="X131" s="176">
        <v>0</v>
      </c>
      <c r="Y131" s="176">
        <v>0</v>
      </c>
      <c r="Z131" s="176">
        <v>0</v>
      </c>
      <c r="AA131" s="176">
        <v>0</v>
      </c>
      <c r="AB131" s="176">
        <v>0</v>
      </c>
      <c r="AC131" s="176">
        <v>0</v>
      </c>
      <c r="AD131" s="176">
        <v>0</v>
      </c>
      <c r="AE131" s="176">
        <v>0</v>
      </c>
      <c r="AF131" s="176">
        <v>0</v>
      </c>
      <c r="AG131" s="176">
        <v>0</v>
      </c>
      <c r="AH131" s="176">
        <v>0</v>
      </c>
      <c r="AI131" s="176">
        <v>0</v>
      </c>
      <c r="AJ131" s="176">
        <v>0</v>
      </c>
      <c r="AK131" s="176">
        <v>0</v>
      </c>
      <c r="AL131" s="176">
        <v>0</v>
      </c>
      <c r="AM131" s="176">
        <v>0</v>
      </c>
      <c r="AN131" s="176">
        <v>0</v>
      </c>
      <c r="AO131" s="176">
        <v>0</v>
      </c>
      <c r="AP131" s="176">
        <v>0</v>
      </c>
      <c r="AQ131" s="176">
        <v>0</v>
      </c>
      <c r="AR131" s="176">
        <v>0</v>
      </c>
      <c r="AS131" s="176">
        <v>0</v>
      </c>
      <c r="AT131" s="176">
        <v>0</v>
      </c>
      <c r="AU131" s="176">
        <v>0</v>
      </c>
      <c r="AV131" s="176">
        <v>0</v>
      </c>
      <c r="AW131" s="176">
        <v>0</v>
      </c>
      <c r="AX131" s="176">
        <v>0</v>
      </c>
      <c r="AY131" s="176">
        <v>0</v>
      </c>
      <c r="AZ131" s="176">
        <v>0</v>
      </c>
      <c r="BA131" s="176">
        <v>0</v>
      </c>
      <c r="BB131" s="176">
        <v>0</v>
      </c>
      <c r="BC131" s="176">
        <v>0</v>
      </c>
      <c r="BD131" s="176">
        <v>0</v>
      </c>
      <c r="BE131" s="176">
        <v>0</v>
      </c>
      <c r="BF131" s="176">
        <v>0</v>
      </c>
      <c r="BG131" s="176">
        <v>0</v>
      </c>
      <c r="BH131" s="176">
        <v>0</v>
      </c>
      <c r="BI131" s="176">
        <v>0</v>
      </c>
      <c r="BJ131" s="176">
        <v>0</v>
      </c>
      <c r="BK131" s="176">
        <v>0</v>
      </c>
      <c r="BL131" s="176">
        <v>0</v>
      </c>
      <c r="BM131" s="176">
        <v>0</v>
      </c>
      <c r="BN131" s="176">
        <v>0</v>
      </c>
      <c r="BO131" s="176">
        <v>0</v>
      </c>
      <c r="BP131" s="176">
        <v>0</v>
      </c>
      <c r="BQ131" s="176">
        <v>0</v>
      </c>
      <c r="BR131" s="176">
        <v>0</v>
      </c>
      <c r="BS131" s="176">
        <v>0</v>
      </c>
      <c r="BT131" s="176">
        <v>0</v>
      </c>
      <c r="BU131" s="176">
        <v>0</v>
      </c>
      <c r="BV131" s="176">
        <v>0</v>
      </c>
      <c r="BW131" s="176">
        <v>0</v>
      </c>
      <c r="BX131" s="176">
        <v>0</v>
      </c>
      <c r="BY131" s="176">
        <v>0</v>
      </c>
      <c r="BZ131" s="176">
        <v>0</v>
      </c>
      <c r="CA131" s="176">
        <v>0</v>
      </c>
      <c r="CB131" s="176">
        <v>0</v>
      </c>
      <c r="CC131" s="176">
        <v>0</v>
      </c>
      <c r="CD131" s="176">
        <v>0</v>
      </c>
      <c r="CE131" s="176">
        <v>0</v>
      </c>
      <c r="CF131" s="176">
        <v>0</v>
      </c>
      <c r="CG131" s="176">
        <v>0</v>
      </c>
      <c r="CH131" s="176">
        <v>0</v>
      </c>
      <c r="CI131" s="176">
        <v>0</v>
      </c>
      <c r="CJ131" s="176">
        <v>0</v>
      </c>
      <c r="CK131" s="176">
        <v>0</v>
      </c>
    </row>
    <row r="132" spans="2:89" ht="15.75" thickBot="1">
      <c r="B132" s="86" t="str">
        <v>Пусто</v>
      </c>
      <c r="C132" s="46"/>
      <c r="D132" s="47">
        <f t="shared" si="117"/>
        <v>0</v>
      </c>
      <c r="E132" s="48"/>
      <c r="F132" s="176">
        <v>0</v>
      </c>
      <c r="G132" s="176">
        <v>0</v>
      </c>
      <c r="H132" s="176">
        <v>0</v>
      </c>
      <c r="I132" s="176">
        <v>0</v>
      </c>
      <c r="J132" s="176">
        <v>0</v>
      </c>
      <c r="K132" s="176">
        <v>0</v>
      </c>
      <c r="L132" s="176">
        <v>0</v>
      </c>
      <c r="M132" s="176">
        <v>0</v>
      </c>
      <c r="N132" s="176">
        <v>0</v>
      </c>
      <c r="O132" s="176">
        <v>0</v>
      </c>
      <c r="P132" s="176">
        <v>0</v>
      </c>
      <c r="Q132" s="176">
        <v>0</v>
      </c>
      <c r="R132" s="176">
        <v>0</v>
      </c>
      <c r="S132" s="176">
        <v>0</v>
      </c>
      <c r="T132" s="176">
        <v>0</v>
      </c>
      <c r="U132" s="176">
        <v>0</v>
      </c>
      <c r="V132" s="176">
        <v>0</v>
      </c>
      <c r="W132" s="176">
        <v>0</v>
      </c>
      <c r="X132" s="176">
        <v>0</v>
      </c>
      <c r="Y132" s="176">
        <v>0</v>
      </c>
      <c r="Z132" s="176">
        <v>0</v>
      </c>
      <c r="AA132" s="176">
        <v>0</v>
      </c>
      <c r="AB132" s="176">
        <v>0</v>
      </c>
      <c r="AC132" s="176">
        <v>0</v>
      </c>
      <c r="AD132" s="176">
        <v>0</v>
      </c>
      <c r="AE132" s="176">
        <v>0</v>
      </c>
      <c r="AF132" s="176">
        <v>0</v>
      </c>
      <c r="AG132" s="176">
        <v>0</v>
      </c>
      <c r="AH132" s="176">
        <v>0</v>
      </c>
      <c r="AI132" s="176">
        <v>0</v>
      </c>
      <c r="AJ132" s="176">
        <v>0</v>
      </c>
      <c r="AK132" s="176">
        <v>0</v>
      </c>
      <c r="AL132" s="176">
        <v>0</v>
      </c>
      <c r="AM132" s="176">
        <v>0</v>
      </c>
      <c r="AN132" s="176">
        <v>0</v>
      </c>
      <c r="AO132" s="176">
        <v>0</v>
      </c>
      <c r="AP132" s="176">
        <v>0</v>
      </c>
      <c r="AQ132" s="176">
        <v>0</v>
      </c>
      <c r="AR132" s="176">
        <v>0</v>
      </c>
      <c r="AS132" s="176">
        <v>0</v>
      </c>
      <c r="AT132" s="176">
        <v>0</v>
      </c>
      <c r="AU132" s="176">
        <v>0</v>
      </c>
      <c r="AV132" s="176">
        <v>0</v>
      </c>
      <c r="AW132" s="176">
        <v>0</v>
      </c>
      <c r="AX132" s="176">
        <v>0</v>
      </c>
      <c r="AY132" s="176">
        <v>0</v>
      </c>
      <c r="AZ132" s="176">
        <v>0</v>
      </c>
      <c r="BA132" s="176">
        <v>0</v>
      </c>
      <c r="BB132" s="176">
        <v>0</v>
      </c>
      <c r="BC132" s="176">
        <v>0</v>
      </c>
      <c r="BD132" s="176">
        <v>0</v>
      </c>
      <c r="BE132" s="176">
        <v>0</v>
      </c>
      <c r="BF132" s="176">
        <v>0</v>
      </c>
      <c r="BG132" s="176">
        <v>0</v>
      </c>
      <c r="BH132" s="176">
        <v>0</v>
      </c>
      <c r="BI132" s="176">
        <v>0</v>
      </c>
      <c r="BJ132" s="176">
        <v>0</v>
      </c>
      <c r="BK132" s="176">
        <v>0</v>
      </c>
      <c r="BL132" s="176">
        <v>0</v>
      </c>
      <c r="BM132" s="176">
        <v>0</v>
      </c>
      <c r="BN132" s="176">
        <v>0</v>
      </c>
      <c r="BO132" s="176">
        <v>0</v>
      </c>
      <c r="BP132" s="176">
        <v>0</v>
      </c>
      <c r="BQ132" s="176">
        <v>0</v>
      </c>
      <c r="BR132" s="176">
        <v>0</v>
      </c>
      <c r="BS132" s="176">
        <v>0</v>
      </c>
      <c r="BT132" s="176">
        <v>0</v>
      </c>
      <c r="BU132" s="176">
        <v>0</v>
      </c>
      <c r="BV132" s="176">
        <v>0</v>
      </c>
      <c r="BW132" s="176">
        <v>0</v>
      </c>
      <c r="BX132" s="176">
        <v>0</v>
      </c>
      <c r="BY132" s="176">
        <v>0</v>
      </c>
      <c r="BZ132" s="176">
        <v>0</v>
      </c>
      <c r="CA132" s="176">
        <v>0</v>
      </c>
      <c r="CB132" s="176">
        <v>0</v>
      </c>
      <c r="CC132" s="176">
        <v>0</v>
      </c>
      <c r="CD132" s="176">
        <v>0</v>
      </c>
      <c r="CE132" s="176">
        <v>0</v>
      </c>
      <c r="CF132" s="176">
        <v>0</v>
      </c>
      <c r="CG132" s="176">
        <v>0</v>
      </c>
      <c r="CH132" s="176">
        <v>0</v>
      </c>
      <c r="CI132" s="176">
        <v>0</v>
      </c>
      <c r="CJ132" s="176">
        <v>0</v>
      </c>
      <c r="CK132" s="176">
        <v>0</v>
      </c>
    </row>
    <row r="133" spans="2:89" ht="16.5" thickTop="1" thickBot="1">
      <c r="B133" s="50" t="s">
        <v>50</v>
      </c>
      <c r="C133" s="51"/>
      <c r="D133" s="52">
        <f>SUM(D127:D132)</f>
        <v>1030062.6752411524</v>
      </c>
      <c r="E133" s="53"/>
      <c r="F133" s="54">
        <f t="shared" ref="F133:BM133" si="118">SUM(F127:F132)</f>
        <v>0</v>
      </c>
      <c r="G133" s="54">
        <f t="shared" si="118"/>
        <v>0</v>
      </c>
      <c r="H133" s="54">
        <f t="shared" si="118"/>
        <v>0</v>
      </c>
      <c r="I133" s="54">
        <f t="shared" si="118"/>
        <v>0</v>
      </c>
      <c r="J133" s="54">
        <f t="shared" si="118"/>
        <v>0</v>
      </c>
      <c r="K133" s="54">
        <f t="shared" si="118"/>
        <v>0</v>
      </c>
      <c r="L133" s="54">
        <f t="shared" si="118"/>
        <v>0</v>
      </c>
      <c r="M133" s="54">
        <f t="shared" si="118"/>
        <v>0</v>
      </c>
      <c r="N133" s="54">
        <f t="shared" si="118"/>
        <v>0</v>
      </c>
      <c r="O133" s="54">
        <f t="shared" si="118"/>
        <v>0</v>
      </c>
      <c r="P133" s="54">
        <f t="shared" si="118"/>
        <v>0</v>
      </c>
      <c r="Q133" s="54">
        <f t="shared" si="118"/>
        <v>1030062.6752411524</v>
      </c>
      <c r="R133" s="54">
        <f t="shared" si="118"/>
        <v>0</v>
      </c>
      <c r="S133" s="54">
        <f t="shared" si="118"/>
        <v>0</v>
      </c>
      <c r="T133" s="54">
        <f t="shared" si="118"/>
        <v>0</v>
      </c>
      <c r="U133" s="54">
        <f t="shared" si="118"/>
        <v>0</v>
      </c>
      <c r="V133" s="54">
        <f t="shared" si="118"/>
        <v>0</v>
      </c>
      <c r="W133" s="54">
        <f t="shared" si="118"/>
        <v>0</v>
      </c>
      <c r="X133" s="54">
        <f t="shared" si="118"/>
        <v>0</v>
      </c>
      <c r="Y133" s="54">
        <f t="shared" si="118"/>
        <v>0</v>
      </c>
      <c r="Z133" s="54">
        <f t="shared" si="118"/>
        <v>0</v>
      </c>
      <c r="AA133" s="54">
        <f t="shared" si="118"/>
        <v>0</v>
      </c>
      <c r="AB133" s="54">
        <f t="shared" si="118"/>
        <v>0</v>
      </c>
      <c r="AC133" s="54">
        <f t="shared" si="118"/>
        <v>0</v>
      </c>
      <c r="AD133" s="54">
        <f t="shared" si="118"/>
        <v>0</v>
      </c>
      <c r="AE133" s="54">
        <f t="shared" si="118"/>
        <v>0</v>
      </c>
      <c r="AF133" s="54">
        <f t="shared" si="118"/>
        <v>0</v>
      </c>
      <c r="AG133" s="54">
        <f t="shared" si="118"/>
        <v>0</v>
      </c>
      <c r="AH133" s="54">
        <f t="shared" si="118"/>
        <v>0</v>
      </c>
      <c r="AI133" s="54">
        <f t="shared" si="118"/>
        <v>0</v>
      </c>
      <c r="AJ133" s="54">
        <f t="shared" si="118"/>
        <v>0</v>
      </c>
      <c r="AK133" s="54">
        <f t="shared" si="118"/>
        <v>0</v>
      </c>
      <c r="AL133" s="54">
        <f t="shared" si="118"/>
        <v>0</v>
      </c>
      <c r="AM133" s="54">
        <f t="shared" si="118"/>
        <v>0</v>
      </c>
      <c r="AN133" s="54">
        <f t="shared" si="118"/>
        <v>0</v>
      </c>
      <c r="AO133" s="54">
        <f t="shared" si="118"/>
        <v>0</v>
      </c>
      <c r="AP133" s="54">
        <f t="shared" si="118"/>
        <v>0</v>
      </c>
      <c r="AQ133" s="54">
        <f t="shared" si="118"/>
        <v>0</v>
      </c>
      <c r="AR133" s="54">
        <f t="shared" si="118"/>
        <v>0</v>
      </c>
      <c r="AS133" s="54">
        <f t="shared" si="118"/>
        <v>0</v>
      </c>
      <c r="AT133" s="54">
        <f t="shared" si="118"/>
        <v>0</v>
      </c>
      <c r="AU133" s="54">
        <f t="shared" si="118"/>
        <v>0</v>
      </c>
      <c r="AV133" s="54">
        <f t="shared" si="118"/>
        <v>0</v>
      </c>
      <c r="AW133" s="54">
        <f t="shared" si="118"/>
        <v>0</v>
      </c>
      <c r="AX133" s="54">
        <f t="shared" si="118"/>
        <v>0</v>
      </c>
      <c r="AY133" s="54">
        <f t="shared" si="118"/>
        <v>0</v>
      </c>
      <c r="AZ133" s="54">
        <f t="shared" si="118"/>
        <v>0</v>
      </c>
      <c r="BA133" s="54">
        <f t="shared" si="118"/>
        <v>0</v>
      </c>
      <c r="BB133" s="54">
        <f t="shared" si="118"/>
        <v>0</v>
      </c>
      <c r="BC133" s="54">
        <f t="shared" si="118"/>
        <v>0</v>
      </c>
      <c r="BD133" s="54">
        <f t="shared" si="118"/>
        <v>0</v>
      </c>
      <c r="BE133" s="54">
        <f t="shared" si="118"/>
        <v>0</v>
      </c>
      <c r="BF133" s="54">
        <f t="shared" si="118"/>
        <v>0</v>
      </c>
      <c r="BG133" s="54">
        <f t="shared" si="118"/>
        <v>0</v>
      </c>
      <c r="BH133" s="54">
        <f t="shared" si="118"/>
        <v>0</v>
      </c>
      <c r="BI133" s="54">
        <f t="shared" si="118"/>
        <v>0</v>
      </c>
      <c r="BJ133" s="54">
        <f t="shared" si="118"/>
        <v>0</v>
      </c>
      <c r="BK133" s="54">
        <f t="shared" si="118"/>
        <v>0</v>
      </c>
      <c r="BL133" s="54">
        <f t="shared" si="118"/>
        <v>0</v>
      </c>
      <c r="BM133" s="54">
        <f t="shared" si="118"/>
        <v>0</v>
      </c>
      <c r="BN133" s="54">
        <f t="shared" ref="BN133:CK133" si="119">SUM(BN127:BN132)</f>
        <v>0</v>
      </c>
      <c r="BO133" s="54">
        <f t="shared" si="119"/>
        <v>0</v>
      </c>
      <c r="BP133" s="54">
        <f t="shared" si="119"/>
        <v>0</v>
      </c>
      <c r="BQ133" s="54">
        <f t="shared" si="119"/>
        <v>0</v>
      </c>
      <c r="BR133" s="54">
        <f t="shared" si="119"/>
        <v>0</v>
      </c>
      <c r="BS133" s="54">
        <f t="shared" si="119"/>
        <v>0</v>
      </c>
      <c r="BT133" s="54">
        <f t="shared" si="119"/>
        <v>0</v>
      </c>
      <c r="BU133" s="54">
        <f t="shared" si="119"/>
        <v>0</v>
      </c>
      <c r="BV133" s="54">
        <f t="shared" si="119"/>
        <v>0</v>
      </c>
      <c r="BW133" s="54">
        <f t="shared" si="119"/>
        <v>0</v>
      </c>
      <c r="BX133" s="54">
        <f t="shared" si="119"/>
        <v>0</v>
      </c>
      <c r="BY133" s="54">
        <f t="shared" si="119"/>
        <v>0</v>
      </c>
      <c r="BZ133" s="54">
        <f t="shared" si="119"/>
        <v>0</v>
      </c>
      <c r="CA133" s="54">
        <f t="shared" si="119"/>
        <v>0</v>
      </c>
      <c r="CB133" s="54">
        <f t="shared" si="119"/>
        <v>0</v>
      </c>
      <c r="CC133" s="54">
        <f t="shared" si="119"/>
        <v>0</v>
      </c>
      <c r="CD133" s="54">
        <f t="shared" si="119"/>
        <v>0</v>
      </c>
      <c r="CE133" s="54">
        <f t="shared" si="119"/>
        <v>0</v>
      </c>
      <c r="CF133" s="54">
        <f t="shared" si="119"/>
        <v>0</v>
      </c>
      <c r="CG133" s="54">
        <f t="shared" si="119"/>
        <v>0</v>
      </c>
      <c r="CH133" s="54">
        <f t="shared" si="119"/>
        <v>0</v>
      </c>
      <c r="CI133" s="54">
        <f t="shared" si="119"/>
        <v>0</v>
      </c>
      <c r="CJ133" s="54">
        <f t="shared" si="119"/>
        <v>0</v>
      </c>
      <c r="CK133" s="54">
        <f t="shared" si="119"/>
        <v>0</v>
      </c>
    </row>
    <row r="134" spans="2:89" ht="15.75" thickTop="1">
      <c r="B134" s="50" t="s">
        <v>522</v>
      </c>
      <c r="C134" s="51"/>
      <c r="D134" s="52">
        <f>SUM(D133)</f>
        <v>1030062.6752411524</v>
      </c>
      <c r="E134" s="53"/>
      <c r="F134" s="54">
        <f ca="1">F133/(1+Налоги!F$37)</f>
        <v>0</v>
      </c>
      <c r="G134" s="54">
        <f ca="1">G133/(1+Налоги!G$37)</f>
        <v>0</v>
      </c>
      <c r="H134" s="54">
        <f ca="1">H133/(1+Налоги!H$37)</f>
        <v>0</v>
      </c>
      <c r="I134" s="54">
        <f ca="1">I133/(1+Налоги!I$37)</f>
        <v>0</v>
      </c>
      <c r="J134" s="54">
        <f ca="1">J133/(1+Налоги!J$37)</f>
        <v>0</v>
      </c>
      <c r="K134" s="54">
        <f ca="1">K133/(1+Налоги!K$37)</f>
        <v>0</v>
      </c>
      <c r="L134" s="54">
        <f ca="1">L133/(1+Налоги!L$37)</f>
        <v>0</v>
      </c>
      <c r="M134" s="54">
        <f ca="1">M133/(1+Налоги!M$37)</f>
        <v>0</v>
      </c>
      <c r="N134" s="54">
        <f ca="1">N133/(1+Налоги!N$37)</f>
        <v>0</v>
      </c>
      <c r="O134" s="54">
        <f ca="1">O133/(1+Налоги!O$37)</f>
        <v>0</v>
      </c>
      <c r="P134" s="54">
        <f ca="1">P133/(1+Налоги!P$37)</f>
        <v>0</v>
      </c>
      <c r="Q134" s="54">
        <f ca="1">Q133/(1+Налоги!Q$37)</f>
        <v>936420.61385559302</v>
      </c>
      <c r="R134" s="54">
        <f ca="1">R133/(1+Налоги!R$37)</f>
        <v>0</v>
      </c>
      <c r="S134" s="54">
        <f ca="1">S133/(1+Налоги!S$37)</f>
        <v>0</v>
      </c>
      <c r="T134" s="54">
        <f ca="1">T133/(1+Налоги!T$37)</f>
        <v>0</v>
      </c>
      <c r="U134" s="54">
        <f ca="1">U133/(1+Налоги!U$37)</f>
        <v>0</v>
      </c>
      <c r="V134" s="54">
        <f ca="1">V133/(1+Налоги!V$37)</f>
        <v>0</v>
      </c>
      <c r="W134" s="54">
        <f ca="1">W133/(1+Налоги!W$37)</f>
        <v>0</v>
      </c>
      <c r="X134" s="54">
        <f ca="1">X133/(1+Налоги!X$37)</f>
        <v>0</v>
      </c>
      <c r="Y134" s="54">
        <f ca="1">Y133/(1+Налоги!Y$37)</f>
        <v>0</v>
      </c>
      <c r="Z134" s="54">
        <f ca="1">Z133/(1+Налоги!Z$37)</f>
        <v>0</v>
      </c>
      <c r="AA134" s="54">
        <f ca="1">AA133/(1+Налоги!AA$37)</f>
        <v>0</v>
      </c>
      <c r="AB134" s="54">
        <f ca="1">AB133/(1+Налоги!AB$37)</f>
        <v>0</v>
      </c>
      <c r="AC134" s="54">
        <f ca="1">AC133/(1+Налоги!AC$37)</f>
        <v>0</v>
      </c>
      <c r="AD134" s="54">
        <f ca="1">AD133/(1+Налоги!AD$37)</f>
        <v>0</v>
      </c>
      <c r="AE134" s="54">
        <f ca="1">AE133/(1+Налоги!AE$37)</f>
        <v>0</v>
      </c>
      <c r="AF134" s="54">
        <f ca="1">AF133/(1+Налоги!AF$37)</f>
        <v>0</v>
      </c>
      <c r="AG134" s="54">
        <f ca="1">AG133/(1+Налоги!AG$37)</f>
        <v>0</v>
      </c>
      <c r="AH134" s="54">
        <f ca="1">AH133/(1+Налоги!AH$37)</f>
        <v>0</v>
      </c>
      <c r="AI134" s="54">
        <f ca="1">AI133/(1+Налоги!AI$37)</f>
        <v>0</v>
      </c>
      <c r="AJ134" s="54">
        <f ca="1">AJ133/(1+Налоги!AJ$37)</f>
        <v>0</v>
      </c>
      <c r="AK134" s="54">
        <f ca="1">AK133/(1+Налоги!AK$37)</f>
        <v>0</v>
      </c>
      <c r="AL134" s="54">
        <f ca="1">AL133/(1+Налоги!AL$37)</f>
        <v>0</v>
      </c>
      <c r="AM134" s="54">
        <f ca="1">AM133/(1+Налоги!AM$37)</f>
        <v>0</v>
      </c>
      <c r="AN134" s="54">
        <f ca="1">AN133/(1+Налоги!AN$37)</f>
        <v>0</v>
      </c>
      <c r="AO134" s="54">
        <f ca="1">AO133/(1+Налоги!AO$37)</f>
        <v>0</v>
      </c>
      <c r="AP134" s="54">
        <f ca="1">AP133/(1+Налоги!AP$37)</f>
        <v>0</v>
      </c>
      <c r="AQ134" s="54">
        <f ca="1">AQ133/(1+Налоги!AQ$37)</f>
        <v>0</v>
      </c>
      <c r="AR134" s="54">
        <f ca="1">AR133/(1+Налоги!AR$37)</f>
        <v>0</v>
      </c>
      <c r="AS134" s="54">
        <f ca="1">AS133/(1+Налоги!AS$37)</f>
        <v>0</v>
      </c>
      <c r="AT134" s="54">
        <f ca="1">AT133/(1+Налоги!AT$37)</f>
        <v>0</v>
      </c>
      <c r="AU134" s="54">
        <f ca="1">AU133/(1+Налоги!AU$37)</f>
        <v>0</v>
      </c>
      <c r="AV134" s="54">
        <f ca="1">AV133/(1+Налоги!AV$37)</f>
        <v>0</v>
      </c>
      <c r="AW134" s="54">
        <f ca="1">AW133/(1+Налоги!AW$37)</f>
        <v>0</v>
      </c>
      <c r="AX134" s="54">
        <f ca="1">AX133/(1+Налоги!AX$37)</f>
        <v>0</v>
      </c>
      <c r="AY134" s="54">
        <f ca="1">AY133/(1+Налоги!AY$37)</f>
        <v>0</v>
      </c>
      <c r="AZ134" s="54">
        <f ca="1">AZ133/(1+Налоги!AZ$37)</f>
        <v>0</v>
      </c>
      <c r="BA134" s="54">
        <f ca="1">BA133/(1+Налоги!BA$37)</f>
        <v>0</v>
      </c>
      <c r="BB134" s="54">
        <f ca="1">BB133/(1+Налоги!BB$37)</f>
        <v>0</v>
      </c>
      <c r="BC134" s="54">
        <f ca="1">BC133/(1+Налоги!BC$37)</f>
        <v>0</v>
      </c>
      <c r="BD134" s="54">
        <f ca="1">BD133/(1+Налоги!BD$37)</f>
        <v>0</v>
      </c>
      <c r="BE134" s="54">
        <f ca="1">BE133/(1+Налоги!BE$37)</f>
        <v>0</v>
      </c>
      <c r="BF134" s="54">
        <f ca="1">BF133/(1+Налоги!BF$37)</f>
        <v>0</v>
      </c>
      <c r="BG134" s="54">
        <f ca="1">BG133/(1+Налоги!BG$37)</f>
        <v>0</v>
      </c>
      <c r="BH134" s="54">
        <f ca="1">BH133/(1+Налоги!BH$37)</f>
        <v>0</v>
      </c>
      <c r="BI134" s="54">
        <f ca="1">BI133/(1+Налоги!BI$37)</f>
        <v>0</v>
      </c>
      <c r="BJ134" s="54">
        <f ca="1">BJ133/(1+Налоги!BJ$37)</f>
        <v>0</v>
      </c>
      <c r="BK134" s="54">
        <f ca="1">BK133/(1+Налоги!BK$37)</f>
        <v>0</v>
      </c>
      <c r="BL134" s="54">
        <f ca="1">BL133/(1+Налоги!BL$37)</f>
        <v>0</v>
      </c>
      <c r="BM134" s="54">
        <f ca="1">BM133/(1+Налоги!BM$37)</f>
        <v>0</v>
      </c>
      <c r="BN134" s="54">
        <f ca="1">BN133/(1+Налоги!BN$37)</f>
        <v>0</v>
      </c>
      <c r="BO134" s="54">
        <f ca="1">BO133/(1+Налоги!BO$37)</f>
        <v>0</v>
      </c>
      <c r="BP134" s="54">
        <f ca="1">BP133/(1+Налоги!BP$37)</f>
        <v>0</v>
      </c>
      <c r="BQ134" s="54">
        <f ca="1">BQ133/(1+Налоги!BQ$37)</f>
        <v>0</v>
      </c>
      <c r="BR134" s="54">
        <f ca="1">BR133/(1+Налоги!BR$37)</f>
        <v>0</v>
      </c>
      <c r="BS134" s="54">
        <f ca="1">BS133/(1+Налоги!BS$37)</f>
        <v>0</v>
      </c>
      <c r="BT134" s="54">
        <f ca="1">BT133/(1+Налоги!BT$37)</f>
        <v>0</v>
      </c>
      <c r="BU134" s="54">
        <f ca="1">BU133/(1+Налоги!BU$37)</f>
        <v>0</v>
      </c>
      <c r="BV134" s="54">
        <f ca="1">BV133/(1+Налоги!BV$37)</f>
        <v>0</v>
      </c>
      <c r="BW134" s="54">
        <f ca="1">BW133/(1+Налоги!BW$37)</f>
        <v>0</v>
      </c>
      <c r="BX134" s="54">
        <f ca="1">BX133/(1+Налоги!BX$37)</f>
        <v>0</v>
      </c>
      <c r="BY134" s="54">
        <f ca="1">BY133/(1+Налоги!BY$37)</f>
        <v>0</v>
      </c>
      <c r="BZ134" s="54">
        <f ca="1">BZ133/(1+Налоги!BZ$37)</f>
        <v>0</v>
      </c>
      <c r="CA134" s="54">
        <f ca="1">CA133/(1+Налоги!CA$37)</f>
        <v>0</v>
      </c>
      <c r="CB134" s="54">
        <f ca="1">CB133/(1+Налоги!CB$37)</f>
        <v>0</v>
      </c>
      <c r="CC134" s="54">
        <f ca="1">CC133/(1+Налоги!CC$37)</f>
        <v>0</v>
      </c>
      <c r="CD134" s="54">
        <f ca="1">CD133/(1+Налоги!CD$37)</f>
        <v>0</v>
      </c>
      <c r="CE134" s="54">
        <f ca="1">CE133/(1+Налоги!CE$37)</f>
        <v>0</v>
      </c>
      <c r="CF134" s="54">
        <f ca="1">CF133/(1+Налоги!CF$37)</f>
        <v>0</v>
      </c>
      <c r="CG134" s="54">
        <f ca="1">CG133/(1+Налоги!CG$37)</f>
        <v>0</v>
      </c>
      <c r="CH134" s="54">
        <f ca="1">CH133/(1+Налоги!CH$37)</f>
        <v>0</v>
      </c>
      <c r="CI134" s="54">
        <f ca="1">CI133/(1+Налоги!CI$37)</f>
        <v>0</v>
      </c>
      <c r="CJ134" s="54">
        <f ca="1">CJ133/(1+Налоги!CJ$37)</f>
        <v>0</v>
      </c>
      <c r="CK134" s="54">
        <f ca="1">CK133/(1+Налоги!CK$37)</f>
        <v>0</v>
      </c>
    </row>
    <row r="135" spans="2:89">
      <c r="B135" s="14"/>
      <c r="C135" s="14"/>
      <c r="D135" s="14"/>
      <c r="E135" s="14"/>
      <c r="F135" s="192"/>
      <c r="G135" s="192"/>
      <c r="H135" s="192"/>
      <c r="I135" s="192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</row>
    <row r="136" spans="2:89" ht="18" thickBot="1">
      <c r="B136" s="100" t="str">
        <f>"Поставка материалов, в "&amp;Ед_измерения_денег&amp;" без НДС"</f>
        <v>Поставка материалов, в  руб. без НДС</v>
      </c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</row>
    <row r="137" spans="2:89" ht="15.75" thickTop="1">
      <c r="B137" s="14"/>
      <c r="C137" s="14"/>
      <c r="D137" s="186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</row>
    <row r="138" spans="2:89">
      <c r="B138" s="77" t="s">
        <v>33</v>
      </c>
      <c r="C138" s="78"/>
      <c r="D138" s="98">
        <f ca="1">SUM(F138:CK138)</f>
        <v>936420.61385559302</v>
      </c>
      <c r="E138" s="79"/>
      <c r="F138" s="80">
        <f ca="1">$D$133*(F$13-G$13)/(1+Налоги!F$37)</f>
        <v>0</v>
      </c>
      <c r="G138" s="80">
        <f ca="1">$D$133*(G$13-H$13)/(1+Налоги!G$37)</f>
        <v>0</v>
      </c>
      <c r="H138" s="80">
        <f ca="1">$D$133*(H$13-I$13)/(1+Налоги!H$37)</f>
        <v>0</v>
      </c>
      <c r="I138" s="80">
        <f ca="1">$D$133*(I$13-J$13)/(1+Налоги!I$37)</f>
        <v>0</v>
      </c>
      <c r="J138" s="80">
        <f ca="1">$D$133*(J$13-K$13)/(1+Налоги!J$37)</f>
        <v>0</v>
      </c>
      <c r="K138" s="80">
        <f ca="1">$D$133*(K$13-L$13)/(1+Налоги!K$37)</f>
        <v>0</v>
      </c>
      <c r="L138" s="80">
        <f ca="1">$D$133*(L$13-M$13)/(1+Налоги!L$37)</f>
        <v>0</v>
      </c>
      <c r="M138" s="80">
        <f ca="1">$D$133*(M$13-N$13)/(1+Налоги!M$37)</f>
        <v>0</v>
      </c>
      <c r="N138" s="80">
        <f ca="1">$D$133*(N$13-O$13)/(1+Налоги!N$37)</f>
        <v>0</v>
      </c>
      <c r="O138" s="80">
        <f ca="1">$D$133*(O$13-P$13)/(1+Налоги!O$37)</f>
        <v>0</v>
      </c>
      <c r="P138" s="80">
        <f ca="1">$D$133*(P$13-Q$13)/(1+Налоги!P$37)</f>
        <v>0</v>
      </c>
      <c r="Q138" s="80">
        <f ca="1">$D$133*(Q$13-R$13)/(1+Налоги!Q$37)</f>
        <v>936420.61385559302</v>
      </c>
      <c r="R138" s="80">
        <f ca="1">$D$133*(R$13-S$13)/(1+Налоги!R$37)</f>
        <v>0</v>
      </c>
      <c r="S138" s="80">
        <f ca="1">$D$133*(S$13-T$13)/(1+Налоги!S$37)</f>
        <v>0</v>
      </c>
      <c r="T138" s="80">
        <f ca="1">$D$133*(T$13-U$13)/(1+Налоги!T$37)</f>
        <v>0</v>
      </c>
      <c r="U138" s="80">
        <f ca="1">$D$133*(U$13-V$13)/(1+Налоги!U$37)</f>
        <v>0</v>
      </c>
      <c r="V138" s="80">
        <f ca="1">$D$133*(V$13-W$13)/(1+Налоги!V$37)</f>
        <v>0</v>
      </c>
      <c r="W138" s="80">
        <f ca="1">$D$133*(W$13-X$13)/(1+Налоги!W$37)</f>
        <v>0</v>
      </c>
      <c r="X138" s="80">
        <f ca="1">$D$133*(X$13-Y$13)/(1+Налоги!X$37)</f>
        <v>0</v>
      </c>
      <c r="Y138" s="80">
        <f ca="1">$D$133*(Y$13-Z$13)/(1+Налоги!Y$37)</f>
        <v>0</v>
      </c>
      <c r="Z138" s="80">
        <f ca="1">$D$133*(Z$13-AA$13)/(1+Налоги!Z$37)</f>
        <v>0</v>
      </c>
      <c r="AA138" s="80">
        <f ca="1">$D$133*(AA$13-AB$13)/(1+Налоги!AA$37)</f>
        <v>0</v>
      </c>
      <c r="AB138" s="80">
        <f ca="1">$D$133*(AB$13-AC$13)/(1+Налоги!AB$37)</f>
        <v>0</v>
      </c>
      <c r="AC138" s="80">
        <f ca="1">$D$133*(AC$13-AD$13)/(1+Налоги!AC$37)</f>
        <v>0</v>
      </c>
      <c r="AD138" s="80">
        <f ca="1">$D$133*(AD$13-AE$13)/(1+Налоги!AD$37)</f>
        <v>0</v>
      </c>
      <c r="AE138" s="80">
        <f ca="1">$D$133*(AE$13-AF$13)/(1+Налоги!AE$37)</f>
        <v>0</v>
      </c>
      <c r="AF138" s="80">
        <f ca="1">$D$133*(AF$13-AG$13)/(1+Налоги!AF$37)</f>
        <v>0</v>
      </c>
      <c r="AG138" s="80">
        <f ca="1">$D$133*(AG$13-AH$13)/(1+Налоги!AG$37)</f>
        <v>0</v>
      </c>
      <c r="AH138" s="80">
        <f ca="1">$D$133*(AH$13-AI$13)/(1+Налоги!AH$37)</f>
        <v>0</v>
      </c>
      <c r="AI138" s="80">
        <f ca="1">$D$133*(AI$13-AJ$13)/(1+Налоги!AI$37)</f>
        <v>0</v>
      </c>
      <c r="AJ138" s="80">
        <f ca="1">$D$133*(AJ$13-AK$13)/(1+Налоги!AJ$37)</f>
        <v>0</v>
      </c>
      <c r="AK138" s="80">
        <f ca="1">$D$133*(AK$13-AL$13)/(1+Налоги!AK$37)</f>
        <v>0</v>
      </c>
      <c r="AL138" s="80">
        <f ca="1">$D$133*(AL$13-AM$13)/(1+Налоги!AL$37)</f>
        <v>0</v>
      </c>
      <c r="AM138" s="80">
        <f ca="1">$D$133*(AM$13-AN$13)/(1+Налоги!AM$37)</f>
        <v>0</v>
      </c>
      <c r="AN138" s="80">
        <f ca="1">$D$133*(AN$13-AO$13)/(1+Налоги!AN$37)</f>
        <v>0</v>
      </c>
      <c r="AO138" s="80">
        <f ca="1">$D$133*(AO$13-AP$13)/(1+Налоги!AO$37)</f>
        <v>0</v>
      </c>
      <c r="AP138" s="80">
        <f ca="1">$D$133*(AP$13-AQ$13)/(1+Налоги!AP$37)</f>
        <v>0</v>
      </c>
      <c r="AQ138" s="80">
        <f ca="1">$D$133*(AQ$13-AR$13)/(1+Налоги!AQ$37)</f>
        <v>0</v>
      </c>
      <c r="AR138" s="80">
        <f ca="1">$D$133*(AR$13-AS$13)/(1+Налоги!AR$37)</f>
        <v>0</v>
      </c>
      <c r="AS138" s="80">
        <f ca="1">$D$133*(AS$13-AT$13)/(1+Налоги!AS$37)</f>
        <v>0</v>
      </c>
      <c r="AT138" s="80">
        <f ca="1">$D$133*(AT$13-AU$13)/(1+Налоги!AT$37)</f>
        <v>0</v>
      </c>
      <c r="AU138" s="80">
        <f ca="1">$D$133*(AU$13-AV$13)/(1+Налоги!AU$37)</f>
        <v>0</v>
      </c>
      <c r="AV138" s="80">
        <f ca="1">$D$133*(AV$13-AW$13)/(1+Налоги!AV$37)</f>
        <v>0</v>
      </c>
      <c r="AW138" s="80">
        <f ca="1">$D$133*(AW$13-AX$13)/(1+Налоги!AW$37)</f>
        <v>0</v>
      </c>
      <c r="AX138" s="80">
        <f ca="1">$D$133*(AX$13-AY$13)/(1+Налоги!AX$37)</f>
        <v>0</v>
      </c>
      <c r="AY138" s="80">
        <f ca="1">$D$133*(AY$13-AZ$13)/(1+Налоги!AY$37)</f>
        <v>0</v>
      </c>
      <c r="AZ138" s="80">
        <f ca="1">$D$133*(AZ$13-BA$13)/(1+Налоги!AZ$37)</f>
        <v>0</v>
      </c>
      <c r="BA138" s="80">
        <f ca="1">$D$133*(BA$13-BB$13)/(1+Налоги!BA$37)</f>
        <v>0</v>
      </c>
      <c r="BB138" s="80">
        <f ca="1">$D$133*(BB$13-BC$13)/(1+Налоги!BB$37)</f>
        <v>0</v>
      </c>
      <c r="BC138" s="80">
        <f ca="1">$D$133*(BC$13-BD$13)/(1+Налоги!BC$37)</f>
        <v>0</v>
      </c>
      <c r="BD138" s="80">
        <f ca="1">$D$133*(BD$13-BE$13)/(1+Налоги!BD$37)</f>
        <v>0</v>
      </c>
      <c r="BE138" s="80">
        <f ca="1">$D$133*(BE$13-BF$13)/(1+Налоги!BE$37)</f>
        <v>0</v>
      </c>
      <c r="BF138" s="80">
        <f ca="1">$D$133*(BF$13-BG$13)/(1+Налоги!BF$37)</f>
        <v>0</v>
      </c>
      <c r="BG138" s="80">
        <f ca="1">$D$133*(BG$13-BH$13)/(1+Налоги!BG$37)</f>
        <v>0</v>
      </c>
      <c r="BH138" s="80">
        <f ca="1">$D$133*(BH$13-BI$13)/(1+Налоги!BH$37)</f>
        <v>0</v>
      </c>
      <c r="BI138" s="80">
        <f ca="1">$D$133*(BI$13-BJ$13)/(1+Налоги!BI$37)</f>
        <v>0</v>
      </c>
      <c r="BJ138" s="80">
        <f ca="1">$D$133*(BJ$13-BK$13)/(1+Налоги!BJ$37)</f>
        <v>0</v>
      </c>
      <c r="BK138" s="80">
        <f ca="1">$D$133*(BK$13-BL$13)/(1+Налоги!BK$37)</f>
        <v>0</v>
      </c>
      <c r="BL138" s="80">
        <f ca="1">$D$133*(BL$13-BM$13)/(1+Налоги!BL$37)</f>
        <v>0</v>
      </c>
      <c r="BM138" s="80">
        <f ca="1">$D$133*(BM$13-BN$13)/(1+Налоги!BM$37)</f>
        <v>0</v>
      </c>
      <c r="BN138" s="80">
        <f ca="1">$D$133*(BN$13-BO$13)/(1+Налоги!BN$37)</f>
        <v>0</v>
      </c>
      <c r="BO138" s="80">
        <f ca="1">$D$133*(BO$13-BP$13)/(1+Налоги!BO$37)</f>
        <v>0</v>
      </c>
      <c r="BP138" s="80">
        <f ca="1">$D$133*(BP$13-BQ$13)/(1+Налоги!BP$37)</f>
        <v>0</v>
      </c>
      <c r="BQ138" s="80">
        <f ca="1">$D$133*(BQ$13-BR$13)/(1+Налоги!BQ$37)</f>
        <v>0</v>
      </c>
      <c r="BR138" s="80">
        <f ca="1">$D$133*(BR$13-BS$13)/(1+Налоги!BR$37)</f>
        <v>0</v>
      </c>
      <c r="BS138" s="80">
        <f ca="1">$D$133*(BS$13-BT$13)/(1+Налоги!BS$37)</f>
        <v>0</v>
      </c>
      <c r="BT138" s="80">
        <f ca="1">$D$133*(BT$13-BU$13)/(1+Налоги!BT$37)</f>
        <v>0</v>
      </c>
      <c r="BU138" s="80">
        <f ca="1">$D$133*(BU$13-BV$13)/(1+Налоги!BU$37)</f>
        <v>0</v>
      </c>
      <c r="BV138" s="80">
        <f ca="1">$D$133*(BV$13-BW$13)/(1+Налоги!BV$37)</f>
        <v>0</v>
      </c>
      <c r="BW138" s="80">
        <f ca="1">$D$133*(BW$13-BX$13)/(1+Налоги!BW$37)</f>
        <v>0</v>
      </c>
      <c r="BX138" s="80">
        <f ca="1">$D$133*(BX$13-BY$13)/(1+Налоги!BX$37)</f>
        <v>0</v>
      </c>
      <c r="BY138" s="80">
        <f ca="1">$D$133*(BY$13-BZ$13)/(1+Налоги!BY$37)</f>
        <v>0</v>
      </c>
      <c r="BZ138" s="80">
        <f ca="1">$D$133*(BZ$13-CA$13)/(1+Налоги!BZ$37)</f>
        <v>0</v>
      </c>
      <c r="CA138" s="80">
        <f ca="1">$D$133*(CA$13-CB$13)/(1+Налоги!CA$37)</f>
        <v>0</v>
      </c>
      <c r="CB138" s="80">
        <f ca="1">$D$133*(CB$13-CC$13)/(1+Налоги!CB$37)</f>
        <v>0</v>
      </c>
      <c r="CC138" s="80">
        <f ca="1">$D$133*(CC$13-CD$13)/(1+Налоги!CC$37)</f>
        <v>0</v>
      </c>
      <c r="CD138" s="80">
        <f ca="1">$D$133*(CD$13-CE$13)/(1+Налоги!CD$37)</f>
        <v>0</v>
      </c>
      <c r="CE138" s="80">
        <f ca="1">$D$133*(CE$13-CF$13)/(1+Налоги!CE$37)</f>
        <v>0</v>
      </c>
      <c r="CF138" s="80">
        <f ca="1">$D$133*(CF$13-CG$13)/(1+Налоги!CF$37)</f>
        <v>0</v>
      </c>
      <c r="CG138" s="80">
        <f ca="1">$D$133*(CG$13-CH$13)/(1+Налоги!CG$37)</f>
        <v>0</v>
      </c>
      <c r="CH138" s="80">
        <f ca="1">$D$133*(CH$13-CI$13)/(1+Налоги!CH$37)</f>
        <v>0</v>
      </c>
      <c r="CI138" s="80">
        <f ca="1">$D$133*(CI$13-CJ$13)/(1+Налоги!CI$37)</f>
        <v>0</v>
      </c>
      <c r="CJ138" s="80">
        <f ca="1">$D$133*(CJ$13-CK$13)/(1+Налоги!CJ$37)</f>
        <v>0</v>
      </c>
      <c r="CK138" s="80">
        <f ca="1">$D$133*(CK$13-CL$13)/(1+Налоги!CK$37)</f>
        <v>0</v>
      </c>
    </row>
    <row r="139" spans="2:89"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</row>
    <row r="140" spans="2:89" ht="18" thickBot="1">
      <c r="B140" s="100" t="str">
        <f>"Задолженность по материалам, в "&amp;Ед_измерения_денег&amp;" в т.ч. НДС"</f>
        <v>Задолженность по материалам, в  руб. в т.ч. НДС</v>
      </c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</row>
    <row r="141" spans="2:89" ht="15.75" thickTop="1">
      <c r="B141" s="14"/>
      <c r="C141" s="14"/>
      <c r="D141" s="186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</row>
    <row r="142" spans="2:89">
      <c r="B142" s="77" t="s">
        <v>57</v>
      </c>
      <c r="C142" s="78"/>
      <c r="D142" s="98">
        <v>0</v>
      </c>
      <c r="E142" s="79"/>
      <c r="F142" s="80">
        <f t="shared" ref="F142:AK142" si="120">E145</f>
        <v>0</v>
      </c>
      <c r="G142" s="80">
        <f t="shared" ca="1" si="120"/>
        <v>0</v>
      </c>
      <c r="H142" s="80">
        <f t="shared" ca="1" si="120"/>
        <v>0</v>
      </c>
      <c r="I142" s="80">
        <f t="shared" ca="1" si="120"/>
        <v>0</v>
      </c>
      <c r="J142" s="80">
        <f t="shared" ca="1" si="120"/>
        <v>0</v>
      </c>
      <c r="K142" s="80">
        <f t="shared" ca="1" si="120"/>
        <v>0</v>
      </c>
      <c r="L142" s="80">
        <f t="shared" ca="1" si="120"/>
        <v>0</v>
      </c>
      <c r="M142" s="80">
        <f t="shared" ca="1" si="120"/>
        <v>0</v>
      </c>
      <c r="N142" s="80">
        <f t="shared" ca="1" si="120"/>
        <v>0</v>
      </c>
      <c r="O142" s="80">
        <f t="shared" ca="1" si="120"/>
        <v>0</v>
      </c>
      <c r="P142" s="80">
        <f t="shared" ca="1" si="120"/>
        <v>0</v>
      </c>
      <c r="Q142" s="80">
        <f t="shared" ca="1" si="120"/>
        <v>0</v>
      </c>
      <c r="R142" s="80">
        <f t="shared" ca="1" si="120"/>
        <v>0</v>
      </c>
      <c r="S142" s="80">
        <f t="shared" ca="1" si="120"/>
        <v>0</v>
      </c>
      <c r="T142" s="80">
        <f t="shared" ca="1" si="120"/>
        <v>0</v>
      </c>
      <c r="U142" s="80">
        <f t="shared" ca="1" si="120"/>
        <v>0</v>
      </c>
      <c r="V142" s="80">
        <f t="shared" ca="1" si="120"/>
        <v>0</v>
      </c>
      <c r="W142" s="80">
        <f t="shared" ca="1" si="120"/>
        <v>0</v>
      </c>
      <c r="X142" s="80">
        <f t="shared" ca="1" si="120"/>
        <v>0</v>
      </c>
      <c r="Y142" s="80">
        <f t="shared" ca="1" si="120"/>
        <v>0</v>
      </c>
      <c r="Z142" s="80">
        <f t="shared" ca="1" si="120"/>
        <v>0</v>
      </c>
      <c r="AA142" s="80">
        <f t="shared" ca="1" si="120"/>
        <v>0</v>
      </c>
      <c r="AB142" s="80">
        <f t="shared" ca="1" si="120"/>
        <v>0</v>
      </c>
      <c r="AC142" s="80">
        <f t="shared" ca="1" si="120"/>
        <v>0</v>
      </c>
      <c r="AD142" s="80">
        <f t="shared" ca="1" si="120"/>
        <v>0</v>
      </c>
      <c r="AE142" s="80">
        <f t="shared" ca="1" si="120"/>
        <v>0</v>
      </c>
      <c r="AF142" s="80">
        <f t="shared" ca="1" si="120"/>
        <v>0</v>
      </c>
      <c r="AG142" s="80">
        <f t="shared" ca="1" si="120"/>
        <v>0</v>
      </c>
      <c r="AH142" s="80">
        <f t="shared" ca="1" si="120"/>
        <v>0</v>
      </c>
      <c r="AI142" s="80">
        <f t="shared" ca="1" si="120"/>
        <v>0</v>
      </c>
      <c r="AJ142" s="80">
        <f t="shared" ca="1" si="120"/>
        <v>0</v>
      </c>
      <c r="AK142" s="80">
        <f t="shared" ca="1" si="120"/>
        <v>0</v>
      </c>
      <c r="AL142" s="80">
        <f t="shared" ref="AL142:BM142" ca="1" si="121">AK145</f>
        <v>0</v>
      </c>
      <c r="AM142" s="80">
        <f t="shared" ca="1" si="121"/>
        <v>0</v>
      </c>
      <c r="AN142" s="80">
        <f t="shared" ca="1" si="121"/>
        <v>0</v>
      </c>
      <c r="AO142" s="80">
        <f t="shared" ca="1" si="121"/>
        <v>0</v>
      </c>
      <c r="AP142" s="80">
        <f t="shared" ca="1" si="121"/>
        <v>0</v>
      </c>
      <c r="AQ142" s="80">
        <f t="shared" ca="1" si="121"/>
        <v>0</v>
      </c>
      <c r="AR142" s="80">
        <f t="shared" ca="1" si="121"/>
        <v>0</v>
      </c>
      <c r="AS142" s="80">
        <f t="shared" ca="1" si="121"/>
        <v>0</v>
      </c>
      <c r="AT142" s="80">
        <f t="shared" ca="1" si="121"/>
        <v>0</v>
      </c>
      <c r="AU142" s="80">
        <f t="shared" ca="1" si="121"/>
        <v>0</v>
      </c>
      <c r="AV142" s="80">
        <f t="shared" ca="1" si="121"/>
        <v>0</v>
      </c>
      <c r="AW142" s="80">
        <f t="shared" ca="1" si="121"/>
        <v>0</v>
      </c>
      <c r="AX142" s="80">
        <f t="shared" ca="1" si="121"/>
        <v>0</v>
      </c>
      <c r="AY142" s="80">
        <f t="shared" ca="1" si="121"/>
        <v>0</v>
      </c>
      <c r="AZ142" s="80">
        <f t="shared" ca="1" si="121"/>
        <v>0</v>
      </c>
      <c r="BA142" s="80">
        <f t="shared" ca="1" si="121"/>
        <v>0</v>
      </c>
      <c r="BB142" s="80">
        <f t="shared" ca="1" si="121"/>
        <v>0</v>
      </c>
      <c r="BC142" s="80">
        <f t="shared" ca="1" si="121"/>
        <v>0</v>
      </c>
      <c r="BD142" s="80">
        <f t="shared" ca="1" si="121"/>
        <v>0</v>
      </c>
      <c r="BE142" s="80">
        <f t="shared" ca="1" si="121"/>
        <v>0</v>
      </c>
      <c r="BF142" s="80">
        <f t="shared" ca="1" si="121"/>
        <v>0</v>
      </c>
      <c r="BG142" s="80">
        <f t="shared" ca="1" si="121"/>
        <v>0</v>
      </c>
      <c r="BH142" s="80">
        <f t="shared" ca="1" si="121"/>
        <v>0</v>
      </c>
      <c r="BI142" s="80">
        <f t="shared" ca="1" si="121"/>
        <v>0</v>
      </c>
      <c r="BJ142" s="80">
        <f t="shared" ca="1" si="121"/>
        <v>0</v>
      </c>
      <c r="BK142" s="80">
        <f t="shared" ca="1" si="121"/>
        <v>0</v>
      </c>
      <c r="BL142" s="80">
        <f t="shared" ca="1" si="121"/>
        <v>0</v>
      </c>
      <c r="BM142" s="80">
        <f t="shared" ca="1" si="121"/>
        <v>0</v>
      </c>
      <c r="BN142" s="80">
        <f t="shared" ref="BN142" ca="1" si="122">BM145</f>
        <v>0</v>
      </c>
      <c r="BO142" s="80">
        <f t="shared" ref="BO142" ca="1" si="123">BN145</f>
        <v>0</v>
      </c>
      <c r="BP142" s="80">
        <f t="shared" ref="BP142" ca="1" si="124">BO145</f>
        <v>0</v>
      </c>
      <c r="BQ142" s="80">
        <f t="shared" ref="BQ142" ca="1" si="125">BP145</f>
        <v>0</v>
      </c>
      <c r="BR142" s="80">
        <f t="shared" ref="BR142" ca="1" si="126">BQ145</f>
        <v>0</v>
      </c>
      <c r="BS142" s="80">
        <f t="shared" ref="BS142" ca="1" si="127">BR145</f>
        <v>0</v>
      </c>
      <c r="BT142" s="80">
        <f t="shared" ref="BT142" ca="1" si="128">BS145</f>
        <v>0</v>
      </c>
      <c r="BU142" s="80">
        <f t="shared" ref="BU142" ca="1" si="129">BT145</f>
        <v>0</v>
      </c>
      <c r="BV142" s="80">
        <f t="shared" ref="BV142" ca="1" si="130">BU145</f>
        <v>0</v>
      </c>
      <c r="BW142" s="80">
        <f t="shared" ref="BW142" ca="1" si="131">BV145</f>
        <v>0</v>
      </c>
      <c r="BX142" s="80">
        <f t="shared" ref="BX142" ca="1" si="132">BW145</f>
        <v>0</v>
      </c>
      <c r="BY142" s="80">
        <f t="shared" ref="BY142" ca="1" si="133">BX145</f>
        <v>0</v>
      </c>
      <c r="BZ142" s="80">
        <f t="shared" ref="BZ142" ca="1" si="134">BY145</f>
        <v>0</v>
      </c>
      <c r="CA142" s="80">
        <f t="shared" ref="CA142" ca="1" si="135">BZ145</f>
        <v>0</v>
      </c>
      <c r="CB142" s="80">
        <f t="shared" ref="CB142" ca="1" si="136">CA145</f>
        <v>0</v>
      </c>
      <c r="CC142" s="80">
        <f t="shared" ref="CC142" ca="1" si="137">CB145</f>
        <v>0</v>
      </c>
      <c r="CD142" s="80">
        <f t="shared" ref="CD142" ca="1" si="138">CC145</f>
        <v>0</v>
      </c>
      <c r="CE142" s="80">
        <f t="shared" ref="CE142" ca="1" si="139">CD145</f>
        <v>0</v>
      </c>
      <c r="CF142" s="80">
        <f t="shared" ref="CF142" ca="1" si="140">CE145</f>
        <v>0</v>
      </c>
      <c r="CG142" s="80">
        <f t="shared" ref="CG142" ca="1" si="141">CF145</f>
        <v>0</v>
      </c>
      <c r="CH142" s="80">
        <f t="shared" ref="CH142" ca="1" si="142">CG145</f>
        <v>0</v>
      </c>
      <c r="CI142" s="80">
        <f t="shared" ref="CI142" ca="1" si="143">CH145</f>
        <v>0</v>
      </c>
      <c r="CJ142" s="80">
        <f t="shared" ref="CJ142" ca="1" si="144">CI145</f>
        <v>0</v>
      </c>
      <c r="CK142" s="80">
        <f t="shared" ref="CK142" ca="1" si="145">CJ145</f>
        <v>0</v>
      </c>
    </row>
    <row r="143" spans="2:89">
      <c r="B143" s="77" t="s">
        <v>294</v>
      </c>
      <c r="C143" s="78"/>
      <c r="D143" s="98">
        <f>SUM(F143:CK143)</f>
        <v>1030062.6752411524</v>
      </c>
      <c r="E143" s="79"/>
      <c r="F143" s="80">
        <f>F133</f>
        <v>0</v>
      </c>
      <c r="G143" s="80">
        <f t="shared" ref="G143:BM143" si="146">G133</f>
        <v>0</v>
      </c>
      <c r="H143" s="80">
        <f t="shared" si="146"/>
        <v>0</v>
      </c>
      <c r="I143" s="80">
        <f t="shared" si="146"/>
        <v>0</v>
      </c>
      <c r="J143" s="80">
        <f t="shared" si="146"/>
        <v>0</v>
      </c>
      <c r="K143" s="80">
        <f t="shared" si="146"/>
        <v>0</v>
      </c>
      <c r="L143" s="80">
        <f t="shared" si="146"/>
        <v>0</v>
      </c>
      <c r="M143" s="80">
        <f t="shared" si="146"/>
        <v>0</v>
      </c>
      <c r="N143" s="80">
        <f t="shared" si="146"/>
        <v>0</v>
      </c>
      <c r="O143" s="80">
        <f t="shared" si="146"/>
        <v>0</v>
      </c>
      <c r="P143" s="80">
        <f t="shared" si="146"/>
        <v>0</v>
      </c>
      <c r="Q143" s="80">
        <f t="shared" si="146"/>
        <v>1030062.6752411524</v>
      </c>
      <c r="R143" s="80">
        <f t="shared" si="146"/>
        <v>0</v>
      </c>
      <c r="S143" s="80">
        <f t="shared" si="146"/>
        <v>0</v>
      </c>
      <c r="T143" s="80">
        <f t="shared" si="146"/>
        <v>0</v>
      </c>
      <c r="U143" s="80">
        <f t="shared" si="146"/>
        <v>0</v>
      </c>
      <c r="V143" s="80">
        <f t="shared" si="146"/>
        <v>0</v>
      </c>
      <c r="W143" s="80">
        <f t="shared" si="146"/>
        <v>0</v>
      </c>
      <c r="X143" s="80">
        <f t="shared" si="146"/>
        <v>0</v>
      </c>
      <c r="Y143" s="80">
        <f t="shared" si="146"/>
        <v>0</v>
      </c>
      <c r="Z143" s="80">
        <f t="shared" si="146"/>
        <v>0</v>
      </c>
      <c r="AA143" s="80">
        <f t="shared" si="146"/>
        <v>0</v>
      </c>
      <c r="AB143" s="80">
        <f t="shared" si="146"/>
        <v>0</v>
      </c>
      <c r="AC143" s="80">
        <f t="shared" si="146"/>
        <v>0</v>
      </c>
      <c r="AD143" s="80">
        <f t="shared" si="146"/>
        <v>0</v>
      </c>
      <c r="AE143" s="80">
        <f t="shared" si="146"/>
        <v>0</v>
      </c>
      <c r="AF143" s="80">
        <f t="shared" si="146"/>
        <v>0</v>
      </c>
      <c r="AG143" s="80">
        <f t="shared" si="146"/>
        <v>0</v>
      </c>
      <c r="AH143" s="80">
        <f t="shared" si="146"/>
        <v>0</v>
      </c>
      <c r="AI143" s="80">
        <f t="shared" si="146"/>
        <v>0</v>
      </c>
      <c r="AJ143" s="80">
        <f t="shared" si="146"/>
        <v>0</v>
      </c>
      <c r="AK143" s="80">
        <f t="shared" si="146"/>
        <v>0</v>
      </c>
      <c r="AL143" s="80">
        <f t="shared" si="146"/>
        <v>0</v>
      </c>
      <c r="AM143" s="80">
        <f t="shared" si="146"/>
        <v>0</v>
      </c>
      <c r="AN143" s="80">
        <f t="shared" si="146"/>
        <v>0</v>
      </c>
      <c r="AO143" s="80">
        <f t="shared" si="146"/>
        <v>0</v>
      </c>
      <c r="AP143" s="80">
        <f t="shared" si="146"/>
        <v>0</v>
      </c>
      <c r="AQ143" s="80">
        <f t="shared" si="146"/>
        <v>0</v>
      </c>
      <c r="AR143" s="80">
        <f t="shared" si="146"/>
        <v>0</v>
      </c>
      <c r="AS143" s="80">
        <f t="shared" si="146"/>
        <v>0</v>
      </c>
      <c r="AT143" s="80">
        <f t="shared" si="146"/>
        <v>0</v>
      </c>
      <c r="AU143" s="80">
        <f t="shared" si="146"/>
        <v>0</v>
      </c>
      <c r="AV143" s="80">
        <f t="shared" si="146"/>
        <v>0</v>
      </c>
      <c r="AW143" s="80">
        <f t="shared" si="146"/>
        <v>0</v>
      </c>
      <c r="AX143" s="80">
        <f t="shared" si="146"/>
        <v>0</v>
      </c>
      <c r="AY143" s="80">
        <f t="shared" si="146"/>
        <v>0</v>
      </c>
      <c r="AZ143" s="80">
        <f t="shared" si="146"/>
        <v>0</v>
      </c>
      <c r="BA143" s="80">
        <f t="shared" si="146"/>
        <v>0</v>
      </c>
      <c r="BB143" s="80">
        <f t="shared" si="146"/>
        <v>0</v>
      </c>
      <c r="BC143" s="80">
        <f t="shared" si="146"/>
        <v>0</v>
      </c>
      <c r="BD143" s="80">
        <f t="shared" si="146"/>
        <v>0</v>
      </c>
      <c r="BE143" s="80">
        <f t="shared" si="146"/>
        <v>0</v>
      </c>
      <c r="BF143" s="80">
        <f t="shared" si="146"/>
        <v>0</v>
      </c>
      <c r="BG143" s="80">
        <f t="shared" si="146"/>
        <v>0</v>
      </c>
      <c r="BH143" s="80">
        <f t="shared" si="146"/>
        <v>0</v>
      </c>
      <c r="BI143" s="80">
        <f t="shared" si="146"/>
        <v>0</v>
      </c>
      <c r="BJ143" s="80">
        <f t="shared" si="146"/>
        <v>0</v>
      </c>
      <c r="BK143" s="80">
        <f t="shared" si="146"/>
        <v>0</v>
      </c>
      <c r="BL143" s="80">
        <f t="shared" si="146"/>
        <v>0</v>
      </c>
      <c r="BM143" s="80">
        <f t="shared" si="146"/>
        <v>0</v>
      </c>
      <c r="BN143" s="80">
        <f t="shared" ref="BN143:CK143" si="147">BN133</f>
        <v>0</v>
      </c>
      <c r="BO143" s="80">
        <f t="shared" si="147"/>
        <v>0</v>
      </c>
      <c r="BP143" s="80">
        <f t="shared" si="147"/>
        <v>0</v>
      </c>
      <c r="BQ143" s="80">
        <f t="shared" si="147"/>
        <v>0</v>
      </c>
      <c r="BR143" s="80">
        <f t="shared" si="147"/>
        <v>0</v>
      </c>
      <c r="BS143" s="80">
        <f t="shared" si="147"/>
        <v>0</v>
      </c>
      <c r="BT143" s="80">
        <f t="shared" si="147"/>
        <v>0</v>
      </c>
      <c r="BU143" s="80">
        <f t="shared" si="147"/>
        <v>0</v>
      </c>
      <c r="BV143" s="80">
        <f t="shared" si="147"/>
        <v>0</v>
      </c>
      <c r="BW143" s="80">
        <f t="shared" si="147"/>
        <v>0</v>
      </c>
      <c r="BX143" s="80">
        <f t="shared" si="147"/>
        <v>0</v>
      </c>
      <c r="BY143" s="80">
        <f t="shared" si="147"/>
        <v>0</v>
      </c>
      <c r="BZ143" s="80">
        <f t="shared" si="147"/>
        <v>0</v>
      </c>
      <c r="CA143" s="80">
        <f t="shared" si="147"/>
        <v>0</v>
      </c>
      <c r="CB143" s="80">
        <f t="shared" si="147"/>
        <v>0</v>
      </c>
      <c r="CC143" s="80">
        <f t="shared" si="147"/>
        <v>0</v>
      </c>
      <c r="CD143" s="80">
        <f t="shared" si="147"/>
        <v>0</v>
      </c>
      <c r="CE143" s="80">
        <f t="shared" si="147"/>
        <v>0</v>
      </c>
      <c r="CF143" s="80">
        <f t="shared" si="147"/>
        <v>0</v>
      </c>
      <c r="CG143" s="80">
        <f t="shared" si="147"/>
        <v>0</v>
      </c>
      <c r="CH143" s="80">
        <f t="shared" si="147"/>
        <v>0</v>
      </c>
      <c r="CI143" s="80">
        <f t="shared" si="147"/>
        <v>0</v>
      </c>
      <c r="CJ143" s="80">
        <f t="shared" si="147"/>
        <v>0</v>
      </c>
      <c r="CK143" s="80">
        <f t="shared" si="147"/>
        <v>0</v>
      </c>
    </row>
    <row r="144" spans="2:89" ht="15.75" thickBot="1">
      <c r="B144" s="45" t="s">
        <v>295</v>
      </c>
      <c r="C144" s="46"/>
      <c r="D144" s="47">
        <f ca="1">SUM(F144:CK144)</f>
        <v>-1030062.6752411524</v>
      </c>
      <c r="E144" s="48"/>
      <c r="F144" s="49">
        <f ca="1">-F138*(1+Налоги!F$37)</f>
        <v>0</v>
      </c>
      <c r="G144" s="49">
        <f ca="1">-G138*(1+Налоги!G$37)</f>
        <v>0</v>
      </c>
      <c r="H144" s="49">
        <f ca="1">-H138*(1+Налоги!H$37)</f>
        <v>0</v>
      </c>
      <c r="I144" s="49">
        <f ca="1">-I138*(1+Налоги!I$37)</f>
        <v>0</v>
      </c>
      <c r="J144" s="49">
        <f ca="1">-J138*(1+Налоги!J$37)</f>
        <v>0</v>
      </c>
      <c r="K144" s="49">
        <f ca="1">-K138*(1+Налоги!K$37)</f>
        <v>0</v>
      </c>
      <c r="L144" s="49">
        <f ca="1">-L138*(1+Налоги!L$37)</f>
        <v>0</v>
      </c>
      <c r="M144" s="49">
        <f ca="1">-M138*(1+Налоги!M$37)</f>
        <v>0</v>
      </c>
      <c r="N144" s="49">
        <f ca="1">-N138*(1+Налоги!N$37)</f>
        <v>0</v>
      </c>
      <c r="O144" s="49">
        <f ca="1">-O138*(1+Налоги!O$37)</f>
        <v>0</v>
      </c>
      <c r="P144" s="49">
        <f ca="1">-P138*(1+Налоги!P$37)</f>
        <v>0</v>
      </c>
      <c r="Q144" s="49">
        <f ca="1">-Q138*(1+Налоги!Q$37)</f>
        <v>-1030062.6752411524</v>
      </c>
      <c r="R144" s="49">
        <f ca="1">-R138*(1+Налоги!R$37)</f>
        <v>0</v>
      </c>
      <c r="S144" s="49">
        <f ca="1">-S138*(1+Налоги!S$37)</f>
        <v>0</v>
      </c>
      <c r="T144" s="49">
        <f ca="1">-T138*(1+Налоги!T$37)</f>
        <v>0</v>
      </c>
      <c r="U144" s="49">
        <f ca="1">-U138*(1+Налоги!U$37)</f>
        <v>0</v>
      </c>
      <c r="V144" s="49">
        <f ca="1">-V138*(1+Налоги!V$37)</f>
        <v>0</v>
      </c>
      <c r="W144" s="49">
        <f ca="1">-W138*(1+Налоги!W$37)</f>
        <v>0</v>
      </c>
      <c r="X144" s="49">
        <f ca="1">-X138*(1+Налоги!X$37)</f>
        <v>0</v>
      </c>
      <c r="Y144" s="49">
        <f ca="1">-Y138*(1+Налоги!Y$37)</f>
        <v>0</v>
      </c>
      <c r="Z144" s="49">
        <f ca="1">-Z138*(1+Налоги!Z$37)</f>
        <v>0</v>
      </c>
      <c r="AA144" s="49">
        <f ca="1">-AA138*(1+Налоги!AA$37)</f>
        <v>0</v>
      </c>
      <c r="AB144" s="49">
        <f ca="1">-AB138*(1+Налоги!AB$37)</f>
        <v>0</v>
      </c>
      <c r="AC144" s="49">
        <f ca="1">-AC138*(1+Налоги!AC$37)</f>
        <v>0</v>
      </c>
      <c r="AD144" s="49">
        <f ca="1">-AD138*(1+Налоги!AD$37)</f>
        <v>0</v>
      </c>
      <c r="AE144" s="49">
        <f ca="1">-AE138*(1+Налоги!AE$37)</f>
        <v>0</v>
      </c>
      <c r="AF144" s="49">
        <f ca="1">-AF138*(1+Налоги!AF$37)</f>
        <v>0</v>
      </c>
      <c r="AG144" s="49">
        <f ca="1">-AG138*(1+Налоги!AG$37)</f>
        <v>0</v>
      </c>
      <c r="AH144" s="49">
        <f ca="1">-AH138*(1+Налоги!AH$37)</f>
        <v>0</v>
      </c>
      <c r="AI144" s="49">
        <f ca="1">-AI138*(1+Налоги!AI$37)</f>
        <v>0</v>
      </c>
      <c r="AJ144" s="49">
        <f ca="1">-AJ138*(1+Налоги!AJ$37)</f>
        <v>0</v>
      </c>
      <c r="AK144" s="49">
        <f ca="1">-AK138*(1+Налоги!AK$37)</f>
        <v>0</v>
      </c>
      <c r="AL144" s="49">
        <f ca="1">-AL138*(1+Налоги!AL$37)</f>
        <v>0</v>
      </c>
      <c r="AM144" s="49">
        <f ca="1">-AM138*(1+Налоги!AM$37)</f>
        <v>0</v>
      </c>
      <c r="AN144" s="49">
        <f ca="1">-AN138*(1+Налоги!AN$37)</f>
        <v>0</v>
      </c>
      <c r="AO144" s="49">
        <f ca="1">-AO138*(1+Налоги!AO$37)</f>
        <v>0</v>
      </c>
      <c r="AP144" s="49">
        <f ca="1">-AP138*(1+Налоги!AP$37)</f>
        <v>0</v>
      </c>
      <c r="AQ144" s="49">
        <f ca="1">-AQ138*(1+Налоги!AQ$37)</f>
        <v>0</v>
      </c>
      <c r="AR144" s="49">
        <f ca="1">-AR138*(1+Налоги!AR$37)</f>
        <v>0</v>
      </c>
      <c r="AS144" s="49">
        <f ca="1">-AS138*(1+Налоги!AS$37)</f>
        <v>0</v>
      </c>
      <c r="AT144" s="49">
        <f ca="1">-AT138*(1+Налоги!AT$37)</f>
        <v>0</v>
      </c>
      <c r="AU144" s="49">
        <f ca="1">-AU138*(1+Налоги!AU$37)</f>
        <v>0</v>
      </c>
      <c r="AV144" s="49">
        <f ca="1">-AV138*(1+Налоги!AV$37)</f>
        <v>0</v>
      </c>
      <c r="AW144" s="49">
        <f ca="1">-AW138*(1+Налоги!AW$37)</f>
        <v>0</v>
      </c>
      <c r="AX144" s="49">
        <f ca="1">-AX138*(1+Налоги!AX$37)</f>
        <v>0</v>
      </c>
      <c r="AY144" s="49">
        <f ca="1">-AY138*(1+Налоги!AY$37)</f>
        <v>0</v>
      </c>
      <c r="AZ144" s="49">
        <f ca="1">-AZ138*(1+Налоги!AZ$37)</f>
        <v>0</v>
      </c>
      <c r="BA144" s="49">
        <f ca="1">-BA138*(1+Налоги!BA$37)</f>
        <v>0</v>
      </c>
      <c r="BB144" s="49">
        <f ca="1">-BB138*(1+Налоги!BB$37)</f>
        <v>0</v>
      </c>
      <c r="BC144" s="49">
        <f ca="1">-BC138*(1+Налоги!BC$37)</f>
        <v>0</v>
      </c>
      <c r="BD144" s="49">
        <f ca="1">-BD138*(1+Налоги!BD$37)</f>
        <v>0</v>
      </c>
      <c r="BE144" s="49">
        <f ca="1">-BE138*(1+Налоги!BE$37)</f>
        <v>0</v>
      </c>
      <c r="BF144" s="49">
        <f ca="1">-BF138*(1+Налоги!BF$37)</f>
        <v>0</v>
      </c>
      <c r="BG144" s="49">
        <f ca="1">-BG138*(1+Налоги!BG$37)</f>
        <v>0</v>
      </c>
      <c r="BH144" s="49">
        <f ca="1">-BH138*(1+Налоги!BH$37)</f>
        <v>0</v>
      </c>
      <c r="BI144" s="49">
        <f ca="1">-BI138*(1+Налоги!BI$37)</f>
        <v>0</v>
      </c>
      <c r="BJ144" s="49">
        <f ca="1">-BJ138*(1+Налоги!BJ$37)</f>
        <v>0</v>
      </c>
      <c r="BK144" s="49">
        <f ca="1">-BK138*(1+Налоги!BK$37)</f>
        <v>0</v>
      </c>
      <c r="BL144" s="49">
        <f ca="1">-BL138*(1+Налоги!BL$37)</f>
        <v>0</v>
      </c>
      <c r="BM144" s="49">
        <f ca="1">-BM138*(1+Налоги!BM$37)</f>
        <v>0</v>
      </c>
      <c r="BN144" s="49">
        <f ca="1">-BN138*(1+Налоги!BN$37)</f>
        <v>0</v>
      </c>
      <c r="BO144" s="49">
        <f ca="1">-BO138*(1+Налоги!BO$37)</f>
        <v>0</v>
      </c>
      <c r="BP144" s="49">
        <f ca="1">-BP138*(1+Налоги!BP$37)</f>
        <v>0</v>
      </c>
      <c r="BQ144" s="49">
        <f ca="1">-BQ138*(1+Налоги!BQ$37)</f>
        <v>0</v>
      </c>
      <c r="BR144" s="49">
        <f ca="1">-BR138*(1+Налоги!BR$37)</f>
        <v>0</v>
      </c>
      <c r="BS144" s="49">
        <f ca="1">-BS138*(1+Налоги!BS$37)</f>
        <v>0</v>
      </c>
      <c r="BT144" s="49">
        <f ca="1">-BT138*(1+Налоги!BT$37)</f>
        <v>0</v>
      </c>
      <c r="BU144" s="49">
        <f ca="1">-BU138*(1+Налоги!BU$37)</f>
        <v>0</v>
      </c>
      <c r="BV144" s="49">
        <f ca="1">-BV138*(1+Налоги!BV$37)</f>
        <v>0</v>
      </c>
      <c r="BW144" s="49">
        <f ca="1">-BW138*(1+Налоги!BW$37)</f>
        <v>0</v>
      </c>
      <c r="BX144" s="49">
        <f ca="1">-BX138*(1+Налоги!BX$37)</f>
        <v>0</v>
      </c>
      <c r="BY144" s="49">
        <f ca="1">-BY138*(1+Налоги!BY$37)</f>
        <v>0</v>
      </c>
      <c r="BZ144" s="49">
        <f ca="1">-BZ138*(1+Налоги!BZ$37)</f>
        <v>0</v>
      </c>
      <c r="CA144" s="49">
        <f ca="1">-CA138*(1+Налоги!CA$37)</f>
        <v>0</v>
      </c>
      <c r="CB144" s="49">
        <f ca="1">-CB138*(1+Налоги!CB$37)</f>
        <v>0</v>
      </c>
      <c r="CC144" s="49">
        <f ca="1">-CC138*(1+Налоги!CC$37)</f>
        <v>0</v>
      </c>
      <c r="CD144" s="49">
        <f ca="1">-CD138*(1+Налоги!CD$37)</f>
        <v>0</v>
      </c>
      <c r="CE144" s="49">
        <f ca="1">-CE138*(1+Налоги!CE$37)</f>
        <v>0</v>
      </c>
      <c r="CF144" s="49">
        <f ca="1">-CF138*(1+Налоги!CF$37)</f>
        <v>0</v>
      </c>
      <c r="CG144" s="49">
        <f ca="1">-CG138*(1+Налоги!CG$37)</f>
        <v>0</v>
      </c>
      <c r="CH144" s="49">
        <f ca="1">-CH138*(1+Налоги!CH$37)</f>
        <v>0</v>
      </c>
      <c r="CI144" s="49">
        <f ca="1">-CI138*(1+Налоги!CI$37)</f>
        <v>0</v>
      </c>
      <c r="CJ144" s="49">
        <f ca="1">-CJ138*(1+Налоги!CJ$37)</f>
        <v>0</v>
      </c>
      <c r="CK144" s="49">
        <f ca="1">-CK138*(1+Налоги!CK$37)</f>
        <v>0</v>
      </c>
    </row>
    <row r="145" spans="2:89" ht="15.75" thickTop="1">
      <c r="B145" s="50" t="s">
        <v>58</v>
      </c>
      <c r="C145" s="51"/>
      <c r="D145" s="52">
        <f ca="1">SUM(D142:D144)</f>
        <v>0</v>
      </c>
      <c r="E145" s="53"/>
      <c r="F145" s="54">
        <f ca="1">SUM(F142:F144)</f>
        <v>0</v>
      </c>
      <c r="G145" s="54">
        <f t="shared" ref="G145:BM145" ca="1" si="148">SUM(G142:G144)</f>
        <v>0</v>
      </c>
      <c r="H145" s="54">
        <f t="shared" ca="1" si="148"/>
        <v>0</v>
      </c>
      <c r="I145" s="54">
        <f t="shared" ca="1" si="148"/>
        <v>0</v>
      </c>
      <c r="J145" s="54">
        <f t="shared" ca="1" si="148"/>
        <v>0</v>
      </c>
      <c r="K145" s="54">
        <f t="shared" ca="1" si="148"/>
        <v>0</v>
      </c>
      <c r="L145" s="54">
        <f t="shared" ca="1" si="148"/>
        <v>0</v>
      </c>
      <c r="M145" s="54">
        <f t="shared" ca="1" si="148"/>
        <v>0</v>
      </c>
      <c r="N145" s="54">
        <f t="shared" ca="1" si="148"/>
        <v>0</v>
      </c>
      <c r="O145" s="54">
        <f t="shared" ca="1" si="148"/>
        <v>0</v>
      </c>
      <c r="P145" s="54">
        <f t="shared" ca="1" si="148"/>
        <v>0</v>
      </c>
      <c r="Q145" s="54">
        <f t="shared" ca="1" si="148"/>
        <v>0</v>
      </c>
      <c r="R145" s="54">
        <f t="shared" ca="1" si="148"/>
        <v>0</v>
      </c>
      <c r="S145" s="54">
        <f t="shared" ca="1" si="148"/>
        <v>0</v>
      </c>
      <c r="T145" s="54">
        <f t="shared" ca="1" si="148"/>
        <v>0</v>
      </c>
      <c r="U145" s="54">
        <f t="shared" ca="1" si="148"/>
        <v>0</v>
      </c>
      <c r="V145" s="54">
        <f t="shared" ca="1" si="148"/>
        <v>0</v>
      </c>
      <c r="W145" s="54">
        <f t="shared" ca="1" si="148"/>
        <v>0</v>
      </c>
      <c r="X145" s="54">
        <f t="shared" ca="1" si="148"/>
        <v>0</v>
      </c>
      <c r="Y145" s="54">
        <f t="shared" ca="1" si="148"/>
        <v>0</v>
      </c>
      <c r="Z145" s="54">
        <f t="shared" ca="1" si="148"/>
        <v>0</v>
      </c>
      <c r="AA145" s="54">
        <f t="shared" ca="1" si="148"/>
        <v>0</v>
      </c>
      <c r="AB145" s="54">
        <f t="shared" ca="1" si="148"/>
        <v>0</v>
      </c>
      <c r="AC145" s="54">
        <f t="shared" ca="1" si="148"/>
        <v>0</v>
      </c>
      <c r="AD145" s="54">
        <f t="shared" ca="1" si="148"/>
        <v>0</v>
      </c>
      <c r="AE145" s="54">
        <f t="shared" ca="1" si="148"/>
        <v>0</v>
      </c>
      <c r="AF145" s="54">
        <f t="shared" ca="1" si="148"/>
        <v>0</v>
      </c>
      <c r="AG145" s="54">
        <f t="shared" ca="1" si="148"/>
        <v>0</v>
      </c>
      <c r="AH145" s="54">
        <f t="shared" ca="1" si="148"/>
        <v>0</v>
      </c>
      <c r="AI145" s="54">
        <f t="shared" ca="1" si="148"/>
        <v>0</v>
      </c>
      <c r="AJ145" s="54">
        <f t="shared" ca="1" si="148"/>
        <v>0</v>
      </c>
      <c r="AK145" s="54">
        <f t="shared" ca="1" si="148"/>
        <v>0</v>
      </c>
      <c r="AL145" s="54">
        <f t="shared" ca="1" si="148"/>
        <v>0</v>
      </c>
      <c r="AM145" s="54">
        <f t="shared" ca="1" si="148"/>
        <v>0</v>
      </c>
      <c r="AN145" s="54">
        <f t="shared" ca="1" si="148"/>
        <v>0</v>
      </c>
      <c r="AO145" s="54">
        <f t="shared" ca="1" si="148"/>
        <v>0</v>
      </c>
      <c r="AP145" s="54">
        <f t="shared" ca="1" si="148"/>
        <v>0</v>
      </c>
      <c r="AQ145" s="54">
        <f t="shared" ca="1" si="148"/>
        <v>0</v>
      </c>
      <c r="AR145" s="54">
        <f t="shared" ca="1" si="148"/>
        <v>0</v>
      </c>
      <c r="AS145" s="54">
        <f t="shared" ca="1" si="148"/>
        <v>0</v>
      </c>
      <c r="AT145" s="54">
        <f t="shared" ca="1" si="148"/>
        <v>0</v>
      </c>
      <c r="AU145" s="54">
        <f t="shared" ca="1" si="148"/>
        <v>0</v>
      </c>
      <c r="AV145" s="54">
        <f t="shared" ca="1" si="148"/>
        <v>0</v>
      </c>
      <c r="AW145" s="54">
        <f t="shared" ca="1" si="148"/>
        <v>0</v>
      </c>
      <c r="AX145" s="54">
        <f t="shared" ca="1" si="148"/>
        <v>0</v>
      </c>
      <c r="AY145" s="54">
        <f t="shared" ca="1" si="148"/>
        <v>0</v>
      </c>
      <c r="AZ145" s="54">
        <f t="shared" ca="1" si="148"/>
        <v>0</v>
      </c>
      <c r="BA145" s="54">
        <f t="shared" ca="1" si="148"/>
        <v>0</v>
      </c>
      <c r="BB145" s="54">
        <f t="shared" ca="1" si="148"/>
        <v>0</v>
      </c>
      <c r="BC145" s="54">
        <f t="shared" ca="1" si="148"/>
        <v>0</v>
      </c>
      <c r="BD145" s="54">
        <f t="shared" ca="1" si="148"/>
        <v>0</v>
      </c>
      <c r="BE145" s="54">
        <f t="shared" ca="1" si="148"/>
        <v>0</v>
      </c>
      <c r="BF145" s="54">
        <f t="shared" ca="1" si="148"/>
        <v>0</v>
      </c>
      <c r="BG145" s="54">
        <f t="shared" ca="1" si="148"/>
        <v>0</v>
      </c>
      <c r="BH145" s="54">
        <f t="shared" ca="1" si="148"/>
        <v>0</v>
      </c>
      <c r="BI145" s="54">
        <f t="shared" ca="1" si="148"/>
        <v>0</v>
      </c>
      <c r="BJ145" s="54">
        <f t="shared" ca="1" si="148"/>
        <v>0</v>
      </c>
      <c r="BK145" s="54">
        <f t="shared" ca="1" si="148"/>
        <v>0</v>
      </c>
      <c r="BL145" s="54">
        <f t="shared" ca="1" si="148"/>
        <v>0</v>
      </c>
      <c r="BM145" s="54">
        <f t="shared" ca="1" si="148"/>
        <v>0</v>
      </c>
      <c r="BN145" s="54">
        <f t="shared" ref="BN145:CK145" ca="1" si="149">SUM(BN142:BN144)</f>
        <v>0</v>
      </c>
      <c r="BO145" s="54">
        <f t="shared" ca="1" si="149"/>
        <v>0</v>
      </c>
      <c r="BP145" s="54">
        <f t="shared" ca="1" si="149"/>
        <v>0</v>
      </c>
      <c r="BQ145" s="54">
        <f t="shared" ca="1" si="149"/>
        <v>0</v>
      </c>
      <c r="BR145" s="54">
        <f t="shared" ca="1" si="149"/>
        <v>0</v>
      </c>
      <c r="BS145" s="54">
        <f t="shared" ca="1" si="149"/>
        <v>0</v>
      </c>
      <c r="BT145" s="54">
        <f t="shared" ca="1" si="149"/>
        <v>0</v>
      </c>
      <c r="BU145" s="54">
        <f t="shared" ca="1" si="149"/>
        <v>0</v>
      </c>
      <c r="BV145" s="54">
        <f t="shared" ca="1" si="149"/>
        <v>0</v>
      </c>
      <c r="BW145" s="54">
        <f t="shared" ca="1" si="149"/>
        <v>0</v>
      </c>
      <c r="BX145" s="54">
        <f t="shared" ca="1" si="149"/>
        <v>0</v>
      </c>
      <c r="BY145" s="54">
        <f t="shared" ca="1" si="149"/>
        <v>0</v>
      </c>
      <c r="BZ145" s="54">
        <f t="shared" ca="1" si="149"/>
        <v>0</v>
      </c>
      <c r="CA145" s="54">
        <f t="shared" ca="1" si="149"/>
        <v>0</v>
      </c>
      <c r="CB145" s="54">
        <f t="shared" ca="1" si="149"/>
        <v>0</v>
      </c>
      <c r="CC145" s="54">
        <f t="shared" ca="1" si="149"/>
        <v>0</v>
      </c>
      <c r="CD145" s="54">
        <f t="shared" ca="1" si="149"/>
        <v>0</v>
      </c>
      <c r="CE145" s="54">
        <f t="shared" ca="1" si="149"/>
        <v>0</v>
      </c>
      <c r="CF145" s="54">
        <f t="shared" ca="1" si="149"/>
        <v>0</v>
      </c>
      <c r="CG145" s="54">
        <f t="shared" ca="1" si="149"/>
        <v>0</v>
      </c>
      <c r="CH145" s="54">
        <f t="shared" ca="1" si="149"/>
        <v>0</v>
      </c>
      <c r="CI145" s="54">
        <f t="shared" ca="1" si="149"/>
        <v>0</v>
      </c>
      <c r="CJ145" s="54">
        <f t="shared" ca="1" si="149"/>
        <v>0</v>
      </c>
      <c r="CK145" s="54">
        <f t="shared" ca="1" si="149"/>
        <v>0</v>
      </c>
    </row>
    <row r="146" spans="2:89"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</row>
    <row r="147" spans="2:89">
      <c r="B147" s="77" t="s">
        <v>296</v>
      </c>
      <c r="C147" s="124"/>
      <c r="D147" s="124"/>
      <c r="E147" s="153"/>
      <c r="F147" s="80">
        <f t="shared" ref="F147:AK147" ca="1" si="150">MAX(F145,0)</f>
        <v>0</v>
      </c>
      <c r="G147" s="80">
        <f t="shared" ca="1" si="150"/>
        <v>0</v>
      </c>
      <c r="H147" s="80">
        <f t="shared" ca="1" si="150"/>
        <v>0</v>
      </c>
      <c r="I147" s="80">
        <f t="shared" ca="1" si="150"/>
        <v>0</v>
      </c>
      <c r="J147" s="80">
        <f t="shared" ca="1" si="150"/>
        <v>0</v>
      </c>
      <c r="K147" s="80">
        <f t="shared" ca="1" si="150"/>
        <v>0</v>
      </c>
      <c r="L147" s="80">
        <f t="shared" ca="1" si="150"/>
        <v>0</v>
      </c>
      <c r="M147" s="80">
        <f t="shared" ca="1" si="150"/>
        <v>0</v>
      </c>
      <c r="N147" s="80">
        <f t="shared" ca="1" si="150"/>
        <v>0</v>
      </c>
      <c r="O147" s="80">
        <f t="shared" ca="1" si="150"/>
        <v>0</v>
      </c>
      <c r="P147" s="80">
        <f t="shared" ca="1" si="150"/>
        <v>0</v>
      </c>
      <c r="Q147" s="80">
        <f t="shared" ca="1" si="150"/>
        <v>0</v>
      </c>
      <c r="R147" s="80">
        <f t="shared" ca="1" si="150"/>
        <v>0</v>
      </c>
      <c r="S147" s="80">
        <f t="shared" ca="1" si="150"/>
        <v>0</v>
      </c>
      <c r="T147" s="80">
        <f t="shared" ca="1" si="150"/>
        <v>0</v>
      </c>
      <c r="U147" s="80">
        <f t="shared" ca="1" si="150"/>
        <v>0</v>
      </c>
      <c r="V147" s="80">
        <f t="shared" ca="1" si="150"/>
        <v>0</v>
      </c>
      <c r="W147" s="80">
        <f t="shared" ca="1" si="150"/>
        <v>0</v>
      </c>
      <c r="X147" s="80">
        <f t="shared" ca="1" si="150"/>
        <v>0</v>
      </c>
      <c r="Y147" s="80">
        <f t="shared" ca="1" si="150"/>
        <v>0</v>
      </c>
      <c r="Z147" s="80">
        <f t="shared" ca="1" si="150"/>
        <v>0</v>
      </c>
      <c r="AA147" s="80">
        <f t="shared" ca="1" si="150"/>
        <v>0</v>
      </c>
      <c r="AB147" s="80">
        <f t="shared" ca="1" si="150"/>
        <v>0</v>
      </c>
      <c r="AC147" s="80">
        <f t="shared" ca="1" si="150"/>
        <v>0</v>
      </c>
      <c r="AD147" s="80">
        <f t="shared" ca="1" si="150"/>
        <v>0</v>
      </c>
      <c r="AE147" s="80">
        <f t="shared" ca="1" si="150"/>
        <v>0</v>
      </c>
      <c r="AF147" s="80">
        <f t="shared" ca="1" si="150"/>
        <v>0</v>
      </c>
      <c r="AG147" s="80">
        <f t="shared" ca="1" si="150"/>
        <v>0</v>
      </c>
      <c r="AH147" s="80">
        <f t="shared" ca="1" si="150"/>
        <v>0</v>
      </c>
      <c r="AI147" s="80">
        <f t="shared" ca="1" si="150"/>
        <v>0</v>
      </c>
      <c r="AJ147" s="80">
        <f t="shared" ca="1" si="150"/>
        <v>0</v>
      </c>
      <c r="AK147" s="80">
        <f t="shared" ca="1" si="150"/>
        <v>0</v>
      </c>
      <c r="AL147" s="80">
        <f t="shared" ref="AL147:BM147" ca="1" si="151">MAX(AL145,0)</f>
        <v>0</v>
      </c>
      <c r="AM147" s="80">
        <f t="shared" ca="1" si="151"/>
        <v>0</v>
      </c>
      <c r="AN147" s="80">
        <f t="shared" ca="1" si="151"/>
        <v>0</v>
      </c>
      <c r="AO147" s="80">
        <f t="shared" ca="1" si="151"/>
        <v>0</v>
      </c>
      <c r="AP147" s="80">
        <f t="shared" ca="1" si="151"/>
        <v>0</v>
      </c>
      <c r="AQ147" s="80">
        <f t="shared" ca="1" si="151"/>
        <v>0</v>
      </c>
      <c r="AR147" s="80">
        <f t="shared" ca="1" si="151"/>
        <v>0</v>
      </c>
      <c r="AS147" s="80">
        <f t="shared" ca="1" si="151"/>
        <v>0</v>
      </c>
      <c r="AT147" s="80">
        <f t="shared" ca="1" si="151"/>
        <v>0</v>
      </c>
      <c r="AU147" s="80">
        <f t="shared" ca="1" si="151"/>
        <v>0</v>
      </c>
      <c r="AV147" s="80">
        <f t="shared" ca="1" si="151"/>
        <v>0</v>
      </c>
      <c r="AW147" s="80">
        <f t="shared" ca="1" si="151"/>
        <v>0</v>
      </c>
      <c r="AX147" s="80">
        <f t="shared" ca="1" si="151"/>
        <v>0</v>
      </c>
      <c r="AY147" s="80">
        <f t="shared" ca="1" si="151"/>
        <v>0</v>
      </c>
      <c r="AZ147" s="80">
        <f t="shared" ca="1" si="151"/>
        <v>0</v>
      </c>
      <c r="BA147" s="80">
        <f t="shared" ca="1" si="151"/>
        <v>0</v>
      </c>
      <c r="BB147" s="80">
        <f t="shared" ca="1" si="151"/>
        <v>0</v>
      </c>
      <c r="BC147" s="80">
        <f t="shared" ca="1" si="151"/>
        <v>0</v>
      </c>
      <c r="BD147" s="80">
        <f t="shared" ca="1" si="151"/>
        <v>0</v>
      </c>
      <c r="BE147" s="80">
        <f t="shared" ca="1" si="151"/>
        <v>0</v>
      </c>
      <c r="BF147" s="80">
        <f t="shared" ca="1" si="151"/>
        <v>0</v>
      </c>
      <c r="BG147" s="80">
        <f t="shared" ca="1" si="151"/>
        <v>0</v>
      </c>
      <c r="BH147" s="80">
        <f t="shared" ca="1" si="151"/>
        <v>0</v>
      </c>
      <c r="BI147" s="80">
        <f t="shared" ca="1" si="151"/>
        <v>0</v>
      </c>
      <c r="BJ147" s="80">
        <f t="shared" ca="1" si="151"/>
        <v>0</v>
      </c>
      <c r="BK147" s="80">
        <f t="shared" ca="1" si="151"/>
        <v>0</v>
      </c>
      <c r="BL147" s="80">
        <f t="shared" ca="1" si="151"/>
        <v>0</v>
      </c>
      <c r="BM147" s="80">
        <f t="shared" ca="1" si="151"/>
        <v>0</v>
      </c>
      <c r="BN147" s="80">
        <f t="shared" ref="BN147:CK147" ca="1" si="152">MAX(BN145,0)</f>
        <v>0</v>
      </c>
      <c r="BO147" s="80">
        <f t="shared" ca="1" si="152"/>
        <v>0</v>
      </c>
      <c r="BP147" s="80">
        <f t="shared" ca="1" si="152"/>
        <v>0</v>
      </c>
      <c r="BQ147" s="80">
        <f t="shared" ca="1" si="152"/>
        <v>0</v>
      </c>
      <c r="BR147" s="80">
        <f t="shared" ca="1" si="152"/>
        <v>0</v>
      </c>
      <c r="BS147" s="80">
        <f t="shared" ca="1" si="152"/>
        <v>0</v>
      </c>
      <c r="BT147" s="80">
        <f t="shared" ca="1" si="152"/>
        <v>0</v>
      </c>
      <c r="BU147" s="80">
        <f t="shared" ca="1" si="152"/>
        <v>0</v>
      </c>
      <c r="BV147" s="80">
        <f t="shared" ca="1" si="152"/>
        <v>0</v>
      </c>
      <c r="BW147" s="80">
        <f t="shared" ca="1" si="152"/>
        <v>0</v>
      </c>
      <c r="BX147" s="80">
        <f t="shared" ca="1" si="152"/>
        <v>0</v>
      </c>
      <c r="BY147" s="80">
        <f t="shared" ca="1" si="152"/>
        <v>0</v>
      </c>
      <c r="BZ147" s="80">
        <f t="shared" ca="1" si="152"/>
        <v>0</v>
      </c>
      <c r="CA147" s="80">
        <f t="shared" ca="1" si="152"/>
        <v>0</v>
      </c>
      <c r="CB147" s="80">
        <f t="shared" ca="1" si="152"/>
        <v>0</v>
      </c>
      <c r="CC147" s="80">
        <f t="shared" ca="1" si="152"/>
        <v>0</v>
      </c>
      <c r="CD147" s="80">
        <f t="shared" ca="1" si="152"/>
        <v>0</v>
      </c>
      <c r="CE147" s="80">
        <f t="shared" ca="1" si="152"/>
        <v>0</v>
      </c>
      <c r="CF147" s="80">
        <f t="shared" ca="1" si="152"/>
        <v>0</v>
      </c>
      <c r="CG147" s="80">
        <f t="shared" ca="1" si="152"/>
        <v>0</v>
      </c>
      <c r="CH147" s="80">
        <f t="shared" ca="1" si="152"/>
        <v>0</v>
      </c>
      <c r="CI147" s="80">
        <f t="shared" ca="1" si="152"/>
        <v>0</v>
      </c>
      <c r="CJ147" s="80">
        <f t="shared" ca="1" si="152"/>
        <v>0</v>
      </c>
      <c r="CK147" s="80">
        <f t="shared" ca="1" si="152"/>
        <v>0</v>
      </c>
    </row>
    <row r="148" spans="2:89">
      <c r="B148" s="77" t="s">
        <v>293</v>
      </c>
      <c r="C148" s="124"/>
      <c r="D148" s="124"/>
      <c r="E148" s="153"/>
      <c r="F148" s="80">
        <f t="shared" ref="F148:AK148" ca="1" si="153">F147-F145</f>
        <v>0</v>
      </c>
      <c r="G148" s="80">
        <f t="shared" ca="1" si="153"/>
        <v>0</v>
      </c>
      <c r="H148" s="80">
        <f t="shared" ca="1" si="153"/>
        <v>0</v>
      </c>
      <c r="I148" s="80">
        <f t="shared" ca="1" si="153"/>
        <v>0</v>
      </c>
      <c r="J148" s="80">
        <f t="shared" ca="1" si="153"/>
        <v>0</v>
      </c>
      <c r="K148" s="80">
        <f t="shared" ca="1" si="153"/>
        <v>0</v>
      </c>
      <c r="L148" s="80">
        <f t="shared" ca="1" si="153"/>
        <v>0</v>
      </c>
      <c r="M148" s="80">
        <f t="shared" ca="1" si="153"/>
        <v>0</v>
      </c>
      <c r="N148" s="80">
        <f t="shared" ca="1" si="153"/>
        <v>0</v>
      </c>
      <c r="O148" s="80">
        <f t="shared" ca="1" si="153"/>
        <v>0</v>
      </c>
      <c r="P148" s="80">
        <f t="shared" ca="1" si="153"/>
        <v>0</v>
      </c>
      <c r="Q148" s="80">
        <f t="shared" ca="1" si="153"/>
        <v>0</v>
      </c>
      <c r="R148" s="80">
        <f t="shared" ca="1" si="153"/>
        <v>0</v>
      </c>
      <c r="S148" s="80">
        <f t="shared" ca="1" si="153"/>
        <v>0</v>
      </c>
      <c r="T148" s="80">
        <f t="shared" ca="1" si="153"/>
        <v>0</v>
      </c>
      <c r="U148" s="80">
        <f t="shared" ca="1" si="153"/>
        <v>0</v>
      </c>
      <c r="V148" s="80">
        <f t="shared" ca="1" si="153"/>
        <v>0</v>
      </c>
      <c r="W148" s="80">
        <f t="shared" ca="1" si="153"/>
        <v>0</v>
      </c>
      <c r="X148" s="80">
        <f t="shared" ca="1" si="153"/>
        <v>0</v>
      </c>
      <c r="Y148" s="80">
        <f t="shared" ca="1" si="153"/>
        <v>0</v>
      </c>
      <c r="Z148" s="80">
        <f t="shared" ca="1" si="153"/>
        <v>0</v>
      </c>
      <c r="AA148" s="80">
        <f t="shared" ca="1" si="153"/>
        <v>0</v>
      </c>
      <c r="AB148" s="80">
        <f t="shared" ca="1" si="153"/>
        <v>0</v>
      </c>
      <c r="AC148" s="80">
        <f t="shared" ca="1" si="153"/>
        <v>0</v>
      </c>
      <c r="AD148" s="80">
        <f t="shared" ca="1" si="153"/>
        <v>0</v>
      </c>
      <c r="AE148" s="80">
        <f t="shared" ca="1" si="153"/>
        <v>0</v>
      </c>
      <c r="AF148" s="80">
        <f t="shared" ca="1" si="153"/>
        <v>0</v>
      </c>
      <c r="AG148" s="80">
        <f t="shared" ca="1" si="153"/>
        <v>0</v>
      </c>
      <c r="AH148" s="80">
        <f t="shared" ca="1" si="153"/>
        <v>0</v>
      </c>
      <c r="AI148" s="80">
        <f t="shared" ca="1" si="153"/>
        <v>0</v>
      </c>
      <c r="AJ148" s="80">
        <f t="shared" ca="1" si="153"/>
        <v>0</v>
      </c>
      <c r="AK148" s="80">
        <f t="shared" ca="1" si="153"/>
        <v>0</v>
      </c>
      <c r="AL148" s="80">
        <f t="shared" ref="AL148:BM148" ca="1" si="154">AL147-AL145</f>
        <v>0</v>
      </c>
      <c r="AM148" s="80">
        <f t="shared" ca="1" si="154"/>
        <v>0</v>
      </c>
      <c r="AN148" s="80">
        <f t="shared" ca="1" si="154"/>
        <v>0</v>
      </c>
      <c r="AO148" s="80">
        <f t="shared" ca="1" si="154"/>
        <v>0</v>
      </c>
      <c r="AP148" s="80">
        <f t="shared" ca="1" si="154"/>
        <v>0</v>
      </c>
      <c r="AQ148" s="80">
        <f t="shared" ca="1" si="154"/>
        <v>0</v>
      </c>
      <c r="AR148" s="80">
        <f t="shared" ca="1" si="154"/>
        <v>0</v>
      </c>
      <c r="AS148" s="80">
        <f t="shared" ca="1" si="154"/>
        <v>0</v>
      </c>
      <c r="AT148" s="80">
        <f t="shared" ca="1" si="154"/>
        <v>0</v>
      </c>
      <c r="AU148" s="80">
        <f t="shared" ca="1" si="154"/>
        <v>0</v>
      </c>
      <c r="AV148" s="80">
        <f t="shared" ca="1" si="154"/>
        <v>0</v>
      </c>
      <c r="AW148" s="80">
        <f t="shared" ca="1" si="154"/>
        <v>0</v>
      </c>
      <c r="AX148" s="80">
        <f t="shared" ca="1" si="154"/>
        <v>0</v>
      </c>
      <c r="AY148" s="80">
        <f t="shared" ca="1" si="154"/>
        <v>0</v>
      </c>
      <c r="AZ148" s="80">
        <f t="shared" ca="1" si="154"/>
        <v>0</v>
      </c>
      <c r="BA148" s="80">
        <f t="shared" ca="1" si="154"/>
        <v>0</v>
      </c>
      <c r="BB148" s="80">
        <f t="shared" ca="1" si="154"/>
        <v>0</v>
      </c>
      <c r="BC148" s="80">
        <f t="shared" ca="1" si="154"/>
        <v>0</v>
      </c>
      <c r="BD148" s="80">
        <f t="shared" ca="1" si="154"/>
        <v>0</v>
      </c>
      <c r="BE148" s="80">
        <f t="shared" ca="1" si="154"/>
        <v>0</v>
      </c>
      <c r="BF148" s="80">
        <f t="shared" ca="1" si="154"/>
        <v>0</v>
      </c>
      <c r="BG148" s="80">
        <f t="shared" ca="1" si="154"/>
        <v>0</v>
      </c>
      <c r="BH148" s="80">
        <f t="shared" ca="1" si="154"/>
        <v>0</v>
      </c>
      <c r="BI148" s="80">
        <f t="shared" ca="1" si="154"/>
        <v>0</v>
      </c>
      <c r="BJ148" s="80">
        <f t="shared" ca="1" si="154"/>
        <v>0</v>
      </c>
      <c r="BK148" s="80">
        <f t="shared" ca="1" si="154"/>
        <v>0</v>
      </c>
      <c r="BL148" s="80">
        <f t="shared" ca="1" si="154"/>
        <v>0</v>
      </c>
      <c r="BM148" s="80">
        <f t="shared" ca="1" si="154"/>
        <v>0</v>
      </c>
      <c r="BN148" s="80">
        <f t="shared" ref="BN148:CK148" ca="1" si="155">BN147-BN145</f>
        <v>0</v>
      </c>
      <c r="BO148" s="80">
        <f t="shared" ca="1" si="155"/>
        <v>0</v>
      </c>
      <c r="BP148" s="80">
        <f t="shared" ca="1" si="155"/>
        <v>0</v>
      </c>
      <c r="BQ148" s="80">
        <f t="shared" ca="1" si="155"/>
        <v>0</v>
      </c>
      <c r="BR148" s="80">
        <f t="shared" ca="1" si="155"/>
        <v>0</v>
      </c>
      <c r="BS148" s="80">
        <f t="shared" ca="1" si="155"/>
        <v>0</v>
      </c>
      <c r="BT148" s="80">
        <f t="shared" ca="1" si="155"/>
        <v>0</v>
      </c>
      <c r="BU148" s="80">
        <f t="shared" ca="1" si="155"/>
        <v>0</v>
      </c>
      <c r="BV148" s="80">
        <f t="shared" ca="1" si="155"/>
        <v>0</v>
      </c>
      <c r="BW148" s="80">
        <f t="shared" ca="1" si="155"/>
        <v>0</v>
      </c>
      <c r="BX148" s="80">
        <f t="shared" ca="1" si="155"/>
        <v>0</v>
      </c>
      <c r="BY148" s="80">
        <f t="shared" ca="1" si="155"/>
        <v>0</v>
      </c>
      <c r="BZ148" s="80">
        <f t="shared" ca="1" si="155"/>
        <v>0</v>
      </c>
      <c r="CA148" s="80">
        <f t="shared" ca="1" si="155"/>
        <v>0</v>
      </c>
      <c r="CB148" s="80">
        <f t="shared" ca="1" si="155"/>
        <v>0</v>
      </c>
      <c r="CC148" s="80">
        <f t="shared" ca="1" si="155"/>
        <v>0</v>
      </c>
      <c r="CD148" s="80">
        <f t="shared" ca="1" si="155"/>
        <v>0</v>
      </c>
      <c r="CE148" s="80">
        <f t="shared" ca="1" si="155"/>
        <v>0</v>
      </c>
      <c r="CF148" s="80">
        <f t="shared" ca="1" si="155"/>
        <v>0</v>
      </c>
      <c r="CG148" s="80">
        <f t="shared" ca="1" si="155"/>
        <v>0</v>
      </c>
      <c r="CH148" s="80">
        <f t="shared" ca="1" si="155"/>
        <v>0</v>
      </c>
      <c r="CI148" s="80">
        <f t="shared" ca="1" si="155"/>
        <v>0</v>
      </c>
      <c r="CJ148" s="80">
        <f t="shared" ca="1" si="155"/>
        <v>0</v>
      </c>
      <c r="CK148" s="80">
        <f t="shared" ca="1" si="155"/>
        <v>0</v>
      </c>
    </row>
    <row r="149" spans="2:89">
      <c r="B149" s="77" t="s">
        <v>301</v>
      </c>
      <c r="C149" s="124"/>
      <c r="D149" s="124"/>
      <c r="E149" s="153"/>
      <c r="F149" s="80">
        <f ca="1">-(F148-F147)/(1+Налоги!F$37)*Налоги!F$37</f>
        <v>0</v>
      </c>
      <c r="G149" s="80">
        <f ca="1">-(G148-G147)/(1+Налоги!G$37)*Налоги!G$37</f>
        <v>0</v>
      </c>
      <c r="H149" s="80">
        <f ca="1">-(H148-H147)/(1+Налоги!H$37)*Налоги!H$37</f>
        <v>0</v>
      </c>
      <c r="I149" s="80">
        <f ca="1">-(I148-I147)/(1+Налоги!I$37)*Налоги!I$37</f>
        <v>0</v>
      </c>
      <c r="J149" s="80">
        <f ca="1">-(J148-J147)/(1+Налоги!J$37)*Налоги!J$37</f>
        <v>0</v>
      </c>
      <c r="K149" s="80">
        <f ca="1">-(K148-K147)/(1+Налоги!K$37)*Налоги!K$37</f>
        <v>0</v>
      </c>
      <c r="L149" s="80">
        <f ca="1">-(L148-L147)/(1+Налоги!L$37)*Налоги!L$37</f>
        <v>0</v>
      </c>
      <c r="M149" s="80">
        <f ca="1">-(M148-M147)/(1+Налоги!M$37)*Налоги!M$37</f>
        <v>0</v>
      </c>
      <c r="N149" s="80">
        <f ca="1">-(N148-N147)/(1+Налоги!N$37)*Налоги!N$37</f>
        <v>0</v>
      </c>
      <c r="O149" s="80">
        <f ca="1">-(O148-O147)/(1+Налоги!O$37)*Налоги!O$37</f>
        <v>0</v>
      </c>
      <c r="P149" s="80">
        <f ca="1">-(P148-P147)/(1+Налоги!P$37)*Налоги!P$37</f>
        <v>0</v>
      </c>
      <c r="Q149" s="80">
        <f ca="1">-(Q148-Q147)/(1+Налоги!Q$37)*Налоги!Q$37</f>
        <v>0</v>
      </c>
      <c r="R149" s="80">
        <f ca="1">-(R148-R147)/(1+Налоги!R$37)*Налоги!R$37</f>
        <v>0</v>
      </c>
      <c r="S149" s="80">
        <f ca="1">-(S148-S147)/(1+Налоги!S$37)*Налоги!S$37</f>
        <v>0</v>
      </c>
      <c r="T149" s="80">
        <f ca="1">-(T148-T147)/(1+Налоги!T$37)*Налоги!T$37</f>
        <v>0</v>
      </c>
      <c r="U149" s="80">
        <f ca="1">-(U148-U147)/(1+Налоги!U$37)*Налоги!U$37</f>
        <v>0</v>
      </c>
      <c r="V149" s="80">
        <f ca="1">-(V148-V147)/(1+Налоги!V$37)*Налоги!V$37</f>
        <v>0</v>
      </c>
      <c r="W149" s="80">
        <f ca="1">-(W148-W147)/(1+Налоги!W$37)*Налоги!W$37</f>
        <v>0</v>
      </c>
      <c r="X149" s="80">
        <f ca="1">-(X148-X147)/(1+Налоги!X$37)*Налоги!X$37</f>
        <v>0</v>
      </c>
      <c r="Y149" s="80">
        <f ca="1">-(Y148-Y147)/(1+Налоги!Y$37)*Налоги!Y$37</f>
        <v>0</v>
      </c>
      <c r="Z149" s="80">
        <f ca="1">-(Z148-Z147)/(1+Налоги!Z$37)*Налоги!Z$37</f>
        <v>0</v>
      </c>
      <c r="AA149" s="80">
        <f ca="1">-(AA148-AA147)/(1+Налоги!AA$37)*Налоги!AA$37</f>
        <v>0</v>
      </c>
      <c r="AB149" s="80">
        <f ca="1">-(AB148-AB147)/(1+Налоги!AB$37)*Налоги!AB$37</f>
        <v>0</v>
      </c>
      <c r="AC149" s="80">
        <f ca="1">-(AC148-AC147)/(1+Налоги!AC$37)*Налоги!AC$37</f>
        <v>0</v>
      </c>
      <c r="AD149" s="80">
        <f ca="1">-(AD148-AD147)/(1+Налоги!AD$37)*Налоги!AD$37</f>
        <v>0</v>
      </c>
      <c r="AE149" s="80">
        <f ca="1">-(AE148-AE147)/(1+Налоги!AE$37)*Налоги!AE$37</f>
        <v>0</v>
      </c>
      <c r="AF149" s="80">
        <f ca="1">-(AF148-AF147)/(1+Налоги!AF$37)*Налоги!AF$37</f>
        <v>0</v>
      </c>
      <c r="AG149" s="80">
        <f ca="1">-(AG148-AG147)/(1+Налоги!AG$37)*Налоги!AG$37</f>
        <v>0</v>
      </c>
      <c r="AH149" s="80">
        <f ca="1">-(AH148-AH147)/(1+Налоги!AH$37)*Налоги!AH$37</f>
        <v>0</v>
      </c>
      <c r="AI149" s="80">
        <f ca="1">-(AI148-AI147)/(1+Налоги!AI$37)*Налоги!AI$37</f>
        <v>0</v>
      </c>
      <c r="AJ149" s="80">
        <f ca="1">-(AJ148-AJ147)/(1+Налоги!AJ$37)*Налоги!AJ$37</f>
        <v>0</v>
      </c>
      <c r="AK149" s="80">
        <f ca="1">-(AK148-AK147)/(1+Налоги!AK$37)*Налоги!AK$37</f>
        <v>0</v>
      </c>
      <c r="AL149" s="80">
        <f ca="1">-(AL148-AL147)/(1+Налоги!AL$37)*Налоги!AL$37</f>
        <v>0</v>
      </c>
      <c r="AM149" s="80">
        <f ca="1">-(AM148-AM147)/(1+Налоги!AM$37)*Налоги!AM$37</f>
        <v>0</v>
      </c>
      <c r="AN149" s="80">
        <f ca="1">-(AN148-AN147)/(1+Налоги!AN$37)*Налоги!AN$37</f>
        <v>0</v>
      </c>
      <c r="AO149" s="80">
        <f ca="1">-(AO148-AO147)/(1+Налоги!AO$37)*Налоги!AO$37</f>
        <v>0</v>
      </c>
      <c r="AP149" s="80">
        <f ca="1">-(AP148-AP147)/(1+Налоги!AP$37)*Налоги!AP$37</f>
        <v>0</v>
      </c>
      <c r="AQ149" s="80">
        <f ca="1">-(AQ148-AQ147)/(1+Налоги!AQ$37)*Налоги!AQ$37</f>
        <v>0</v>
      </c>
      <c r="AR149" s="80">
        <f ca="1">-(AR148-AR147)/(1+Налоги!AR$37)*Налоги!AR$37</f>
        <v>0</v>
      </c>
      <c r="AS149" s="80">
        <f ca="1">-(AS148-AS147)/(1+Налоги!AS$37)*Налоги!AS$37</f>
        <v>0</v>
      </c>
      <c r="AT149" s="80">
        <f ca="1">-(AT148-AT147)/(1+Налоги!AT$37)*Налоги!AT$37</f>
        <v>0</v>
      </c>
      <c r="AU149" s="80">
        <f ca="1">-(AU148-AU147)/(1+Налоги!AU$37)*Налоги!AU$37</f>
        <v>0</v>
      </c>
      <c r="AV149" s="80">
        <f ca="1">-(AV148-AV147)/(1+Налоги!AV$37)*Налоги!AV$37</f>
        <v>0</v>
      </c>
      <c r="AW149" s="80">
        <f ca="1">-(AW148-AW147)/(1+Налоги!AW$37)*Налоги!AW$37</f>
        <v>0</v>
      </c>
      <c r="AX149" s="80">
        <f ca="1">-(AX148-AX147)/(1+Налоги!AX$37)*Налоги!AX$37</f>
        <v>0</v>
      </c>
      <c r="AY149" s="80">
        <f ca="1">-(AY148-AY147)/(1+Налоги!AY$37)*Налоги!AY$37</f>
        <v>0</v>
      </c>
      <c r="AZ149" s="80">
        <f ca="1">-(AZ148-AZ147)/(1+Налоги!AZ$37)*Налоги!AZ$37</f>
        <v>0</v>
      </c>
      <c r="BA149" s="80">
        <f ca="1">-(BA148-BA147)/(1+Налоги!BA$37)*Налоги!BA$37</f>
        <v>0</v>
      </c>
      <c r="BB149" s="80">
        <f ca="1">-(BB148-BB147)/(1+Налоги!BB$37)*Налоги!BB$37</f>
        <v>0</v>
      </c>
      <c r="BC149" s="80">
        <f ca="1">-(BC148-BC147)/(1+Налоги!BC$37)*Налоги!BC$37</f>
        <v>0</v>
      </c>
      <c r="BD149" s="80">
        <f ca="1">-(BD148-BD147)/(1+Налоги!BD$37)*Налоги!BD$37</f>
        <v>0</v>
      </c>
      <c r="BE149" s="80">
        <f ca="1">-(BE148-BE147)/(1+Налоги!BE$37)*Налоги!BE$37</f>
        <v>0</v>
      </c>
      <c r="BF149" s="80">
        <f ca="1">-(BF148-BF147)/(1+Налоги!BF$37)*Налоги!BF$37</f>
        <v>0</v>
      </c>
      <c r="BG149" s="80">
        <f ca="1">-(BG148-BG147)/(1+Налоги!BG$37)*Налоги!BG$37</f>
        <v>0</v>
      </c>
      <c r="BH149" s="80">
        <f ca="1">-(BH148-BH147)/(1+Налоги!BH$37)*Налоги!BH$37</f>
        <v>0</v>
      </c>
      <c r="BI149" s="80">
        <f ca="1">-(BI148-BI147)/(1+Налоги!BI$37)*Налоги!BI$37</f>
        <v>0</v>
      </c>
      <c r="BJ149" s="80">
        <f ca="1">-(BJ148-BJ147)/(1+Налоги!BJ$37)*Налоги!BJ$37</f>
        <v>0</v>
      </c>
      <c r="BK149" s="80">
        <f ca="1">-(BK148-BK147)/(1+Налоги!BK$37)*Налоги!BK$37</f>
        <v>0</v>
      </c>
      <c r="BL149" s="80">
        <f ca="1">-(BL148-BL147)/(1+Налоги!BL$37)*Налоги!BL$37</f>
        <v>0</v>
      </c>
      <c r="BM149" s="80">
        <f ca="1">-(BM148-BM147)/(1+Налоги!BM$37)*Налоги!BM$37</f>
        <v>0</v>
      </c>
      <c r="BN149" s="80">
        <f ca="1">-(BN148-BN147)/(1+Налоги!BN$37)*Налоги!BN$37</f>
        <v>0</v>
      </c>
      <c r="BO149" s="80">
        <f ca="1">-(BO148-BO147)/(1+Налоги!BO$37)*Налоги!BO$37</f>
        <v>0</v>
      </c>
      <c r="BP149" s="80">
        <f ca="1">-(BP148-BP147)/(1+Налоги!BP$37)*Налоги!BP$37</f>
        <v>0</v>
      </c>
      <c r="BQ149" s="80">
        <f ca="1">-(BQ148-BQ147)/(1+Налоги!BQ$37)*Налоги!BQ$37</f>
        <v>0</v>
      </c>
      <c r="BR149" s="80">
        <f ca="1">-(BR148-BR147)/(1+Налоги!BR$37)*Налоги!BR$37</f>
        <v>0</v>
      </c>
      <c r="BS149" s="80">
        <f ca="1">-(BS148-BS147)/(1+Налоги!BS$37)*Налоги!BS$37</f>
        <v>0</v>
      </c>
      <c r="BT149" s="80">
        <f ca="1">-(BT148-BT147)/(1+Налоги!BT$37)*Налоги!BT$37</f>
        <v>0</v>
      </c>
      <c r="BU149" s="80">
        <f ca="1">-(BU148-BU147)/(1+Налоги!BU$37)*Налоги!BU$37</f>
        <v>0</v>
      </c>
      <c r="BV149" s="80">
        <f ca="1">-(BV148-BV147)/(1+Налоги!BV$37)*Налоги!BV$37</f>
        <v>0</v>
      </c>
      <c r="BW149" s="80">
        <f ca="1">-(BW148-BW147)/(1+Налоги!BW$37)*Налоги!BW$37</f>
        <v>0</v>
      </c>
      <c r="BX149" s="80">
        <f ca="1">-(BX148-BX147)/(1+Налоги!BX$37)*Налоги!BX$37</f>
        <v>0</v>
      </c>
      <c r="BY149" s="80">
        <f ca="1">-(BY148-BY147)/(1+Налоги!BY$37)*Налоги!BY$37</f>
        <v>0</v>
      </c>
      <c r="BZ149" s="80">
        <f ca="1">-(BZ148-BZ147)/(1+Налоги!BZ$37)*Налоги!BZ$37</f>
        <v>0</v>
      </c>
      <c r="CA149" s="80">
        <f ca="1">-(CA148-CA147)/(1+Налоги!CA$37)*Налоги!CA$37</f>
        <v>0</v>
      </c>
      <c r="CB149" s="80">
        <f ca="1">-(CB148-CB147)/(1+Налоги!CB$37)*Налоги!CB$37</f>
        <v>0</v>
      </c>
      <c r="CC149" s="80">
        <f ca="1">-(CC148-CC147)/(1+Налоги!CC$37)*Налоги!CC$37</f>
        <v>0</v>
      </c>
      <c r="CD149" s="80">
        <f ca="1">-(CD148-CD147)/(1+Налоги!CD$37)*Налоги!CD$37</f>
        <v>0</v>
      </c>
      <c r="CE149" s="80">
        <f ca="1">-(CE148-CE147)/(1+Налоги!CE$37)*Налоги!CE$37</f>
        <v>0</v>
      </c>
      <c r="CF149" s="80">
        <f ca="1">-(CF148-CF147)/(1+Налоги!CF$37)*Налоги!CF$37</f>
        <v>0</v>
      </c>
      <c r="CG149" s="80">
        <f ca="1">-(CG148-CG147)/(1+Налоги!CG$37)*Налоги!CG$37</f>
        <v>0</v>
      </c>
      <c r="CH149" s="80">
        <f ca="1">-(CH148-CH147)/(1+Налоги!CH$37)*Налоги!CH$37</f>
        <v>0</v>
      </c>
      <c r="CI149" s="80">
        <f ca="1">-(CI148-CI147)/(1+Налоги!CI$37)*Налоги!CI$37</f>
        <v>0</v>
      </c>
      <c r="CJ149" s="80">
        <f ca="1">-(CJ148-CJ147)/(1+Налоги!CJ$37)*Налоги!CJ$37</f>
        <v>0</v>
      </c>
      <c r="CK149" s="80">
        <f ca="1">-(CK148-CK147)/(1+Налоги!CK$37)*Налоги!CK$37</f>
        <v>0</v>
      </c>
    </row>
    <row r="150" spans="2:89"/>
    <row r="151" spans="2:89"/>
    <row r="152" spans="2:89"/>
    <row r="153" spans="2:89"/>
  </sheetData>
  <sheetProtection algorithmName="SHA-512" hashValue="jq5S9SYyb9ej12a7TxVE7EeCHPQJbY0+vkQTsZRMsf1xB9XOmYefKYBY7TaPdTQP0KOW7pX9WqkYg08KVBRvbA==" saltValue="xeA9FS9ZOrMreD4kw3Mdvg==" spinCount="100000" sheet="1" objects="1" scenarios="1"/>
  <mergeCells count="1">
    <mergeCell ref="E1:G2"/>
  </mergeCells>
  <conditionalFormatting sqref="F13:CK14">
    <cfRule type="cellIs" dxfId="28" priority="2" operator="equal">
      <formula>1</formula>
    </cfRule>
  </conditionalFormatting>
  <conditionalFormatting sqref="K1:K2">
    <cfRule type="expression" dxfId="27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7" tint="0.39997558519241921"/>
  </sheetPr>
  <dimension ref="A1:CL412"/>
  <sheetViews>
    <sheetView showGridLines="0" zoomScaleNormal="100" workbookViewId="0">
      <pane xSplit="5" ySplit="10" topLeftCell="F11" activePane="bottomRight" state="frozen"/>
      <selection activeCell="D18" sqref="D18"/>
      <selection pane="topRight" activeCell="D18" sqref="D18"/>
      <selection pane="bottomLeft" activeCell="D18" sqref="D18"/>
      <selection pane="bottomRight" activeCell="B3" sqref="B3"/>
    </sheetView>
  </sheetViews>
  <sheetFormatPr defaultColWidth="0" defaultRowHeight="15" zeroHeight="1"/>
  <cols>
    <col min="1" max="1" width="2.5703125" customWidth="1"/>
    <col min="2" max="2" width="38.7109375" customWidth="1"/>
    <col min="3" max="3" width="7.140625" customWidth="1"/>
    <col min="4" max="4" width="15.7109375" customWidth="1"/>
    <col min="5" max="5" width="12.85546875" customWidth="1"/>
    <col min="6" max="6" width="11.42578125" bestFit="1" customWidth="1"/>
    <col min="7" max="7" width="12.5703125" bestFit="1" customWidth="1"/>
    <col min="8" max="8" width="10" bestFit="1" customWidth="1"/>
    <col min="9" max="9" width="11.5703125" bestFit="1" customWidth="1"/>
    <col min="10" max="10" width="10.7109375" bestFit="1" customWidth="1"/>
    <col min="11" max="11" width="13" bestFit="1" customWidth="1"/>
    <col min="12" max="12" width="12.28515625" bestFit="1" customWidth="1"/>
    <col min="13" max="13" width="11.5703125" bestFit="1" customWidth="1"/>
    <col min="14" max="14" width="12.85546875" customWidth="1"/>
    <col min="15" max="15" width="12.42578125" bestFit="1" customWidth="1"/>
    <col min="16" max="17" width="12.5703125" bestFit="1" customWidth="1"/>
    <col min="18" max="65" width="13.85546875" bestFit="1" customWidth="1"/>
    <col min="66" max="89" width="13.5703125" bestFit="1" customWidth="1"/>
    <col min="90" max="90" width="4" customWidth="1"/>
    <col min="91" max="16384" width="4" hidden="1"/>
  </cols>
  <sheetData>
    <row r="1" spans="2:89" ht="12" customHeight="1">
      <c r="E1" s="419" t="s">
        <v>183</v>
      </c>
      <c r="F1" s="419"/>
      <c r="G1" s="419"/>
      <c r="H1" s="72"/>
      <c r="I1" s="12" t="s">
        <v>264</v>
      </c>
      <c r="J1" s="73"/>
      <c r="K1" s="12" t="s">
        <v>515</v>
      </c>
    </row>
    <row r="2" spans="2:89" ht="12.75" customHeight="1">
      <c r="E2" s="419"/>
      <c r="F2" s="419"/>
      <c r="G2" s="419"/>
      <c r="H2" s="72"/>
      <c r="I2" s="12" t="str">
        <f>Сценарий_название</f>
        <v>Базовый</v>
      </c>
      <c r="J2" s="73"/>
      <c r="K2" s="12" t="str">
        <f ca="1">IF(Сигналы!$E$20=1,"пройдена","ошибка!")</f>
        <v>пройдена</v>
      </c>
    </row>
    <row r="3" spans="2:89" ht="12.75" customHeight="1"/>
    <row r="4" spans="2:89" ht="12.75" customHeight="1"/>
    <row r="5" spans="2:89" ht="12.75" customHeight="1"/>
    <row r="6" spans="2:89" ht="23.25">
      <c r="B6" s="10" t="s">
        <v>79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2:89" ht="2.25" customHeight="1">
      <c r="B7" s="14"/>
      <c r="C7" s="14"/>
      <c r="D7" s="14"/>
      <c r="E7" s="14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</row>
    <row r="8" spans="2:89">
      <c r="B8" s="16" t="str">
        <f t="array" ref="B8:B9">Время!B8:B9</f>
        <v>Начало периода</v>
      </c>
      <c r="C8" s="17"/>
      <c r="D8" s="18"/>
      <c r="E8" s="19"/>
      <c r="F8" s="20">
        <f t="array" ref="F8:CK9">Время!F8:CK9</f>
        <v>45017</v>
      </c>
      <c r="G8" s="20">
        <v>45047</v>
      </c>
      <c r="H8" s="20">
        <v>45078</v>
      </c>
      <c r="I8" s="20">
        <v>45108</v>
      </c>
      <c r="J8" s="20">
        <v>45139</v>
      </c>
      <c r="K8" s="20">
        <v>45170</v>
      </c>
      <c r="L8" s="20">
        <v>45200</v>
      </c>
      <c r="M8" s="20">
        <v>45231</v>
      </c>
      <c r="N8" s="20">
        <v>45261</v>
      </c>
      <c r="O8" s="20">
        <v>45292</v>
      </c>
      <c r="P8" s="20">
        <v>45323</v>
      </c>
      <c r="Q8" s="20">
        <v>45352</v>
      </c>
      <c r="R8" s="20">
        <v>45383</v>
      </c>
      <c r="S8" s="20">
        <v>45413</v>
      </c>
      <c r="T8" s="20">
        <v>45444</v>
      </c>
      <c r="U8" s="20">
        <v>45474</v>
      </c>
      <c r="V8" s="20">
        <v>45505</v>
      </c>
      <c r="W8" s="20">
        <v>45536</v>
      </c>
      <c r="X8" s="20">
        <v>45566</v>
      </c>
      <c r="Y8" s="20">
        <v>45597</v>
      </c>
      <c r="Z8" s="20">
        <v>45627</v>
      </c>
      <c r="AA8" s="20">
        <v>45658</v>
      </c>
      <c r="AB8" s="20">
        <v>45689</v>
      </c>
      <c r="AC8" s="20">
        <v>45717</v>
      </c>
      <c r="AD8" s="20">
        <v>45748</v>
      </c>
      <c r="AE8" s="20">
        <v>45778</v>
      </c>
      <c r="AF8" s="20">
        <v>45809</v>
      </c>
      <c r="AG8" s="20">
        <v>45839</v>
      </c>
      <c r="AH8" s="20">
        <v>45870</v>
      </c>
      <c r="AI8" s="20">
        <v>45901</v>
      </c>
      <c r="AJ8" s="20">
        <v>45931</v>
      </c>
      <c r="AK8" s="20">
        <v>45962</v>
      </c>
      <c r="AL8" s="20">
        <v>45992</v>
      </c>
      <c r="AM8" s="20">
        <v>46023</v>
      </c>
      <c r="AN8" s="20">
        <v>46054</v>
      </c>
      <c r="AO8" s="20">
        <v>46082</v>
      </c>
      <c r="AP8" s="20">
        <v>46113</v>
      </c>
      <c r="AQ8" s="20">
        <v>46143</v>
      </c>
      <c r="AR8" s="20">
        <v>46174</v>
      </c>
      <c r="AS8" s="20">
        <v>46204</v>
      </c>
      <c r="AT8" s="20">
        <v>46235</v>
      </c>
      <c r="AU8" s="20">
        <v>46266</v>
      </c>
      <c r="AV8" s="20">
        <v>46296</v>
      </c>
      <c r="AW8" s="20">
        <v>46327</v>
      </c>
      <c r="AX8" s="20">
        <v>46357</v>
      </c>
      <c r="AY8" s="20">
        <v>46388</v>
      </c>
      <c r="AZ8" s="20">
        <v>46419</v>
      </c>
      <c r="BA8" s="20">
        <v>46447</v>
      </c>
      <c r="BB8" s="20">
        <v>46478</v>
      </c>
      <c r="BC8" s="20">
        <v>46508</v>
      </c>
      <c r="BD8" s="20">
        <v>46539</v>
      </c>
      <c r="BE8" s="20">
        <v>46569</v>
      </c>
      <c r="BF8" s="20">
        <v>46600</v>
      </c>
      <c r="BG8" s="20">
        <v>46631</v>
      </c>
      <c r="BH8" s="20">
        <v>46661</v>
      </c>
      <c r="BI8" s="20">
        <v>46692</v>
      </c>
      <c r="BJ8" s="20">
        <v>46722</v>
      </c>
      <c r="BK8" s="20">
        <v>46753</v>
      </c>
      <c r="BL8" s="20">
        <v>46784</v>
      </c>
      <c r="BM8" s="20">
        <v>46813</v>
      </c>
      <c r="BN8" s="20">
        <v>46844</v>
      </c>
      <c r="BO8" s="20">
        <v>46874</v>
      </c>
      <c r="BP8" s="20">
        <v>46905</v>
      </c>
      <c r="BQ8" s="20">
        <v>46935</v>
      </c>
      <c r="BR8" s="20">
        <v>46966</v>
      </c>
      <c r="BS8" s="20">
        <v>46997</v>
      </c>
      <c r="BT8" s="20">
        <v>47027</v>
      </c>
      <c r="BU8" s="20">
        <v>47058</v>
      </c>
      <c r="BV8" s="20">
        <v>47088</v>
      </c>
      <c r="BW8" s="20">
        <v>47119</v>
      </c>
      <c r="BX8" s="20">
        <v>47150</v>
      </c>
      <c r="BY8" s="20">
        <v>47178</v>
      </c>
      <c r="BZ8" s="20">
        <v>47209</v>
      </c>
      <c r="CA8" s="20">
        <v>47239</v>
      </c>
      <c r="CB8" s="20">
        <v>47270</v>
      </c>
      <c r="CC8" s="20">
        <v>47300</v>
      </c>
      <c r="CD8" s="20">
        <v>47331</v>
      </c>
      <c r="CE8" s="20">
        <v>47362</v>
      </c>
      <c r="CF8" s="20">
        <v>47392</v>
      </c>
      <c r="CG8" s="20">
        <v>47423</v>
      </c>
      <c r="CH8" s="20">
        <v>47453</v>
      </c>
      <c r="CI8" s="20">
        <v>47484</v>
      </c>
      <c r="CJ8" s="20">
        <v>47515</v>
      </c>
      <c r="CK8" s="20">
        <v>47543</v>
      </c>
    </row>
    <row r="9" spans="2:89">
      <c r="B9" s="21" t="str">
        <v>Конец периода</v>
      </c>
      <c r="C9" s="22"/>
      <c r="D9" s="23"/>
      <c r="E9" s="24">
        <f>Время!E9</f>
        <v>45016</v>
      </c>
      <c r="F9" s="25">
        <v>45046</v>
      </c>
      <c r="G9" s="25">
        <v>45077</v>
      </c>
      <c r="H9" s="25">
        <v>45107</v>
      </c>
      <c r="I9" s="25">
        <v>45138</v>
      </c>
      <c r="J9" s="25">
        <v>45169</v>
      </c>
      <c r="K9" s="25">
        <v>45199</v>
      </c>
      <c r="L9" s="25">
        <v>45230</v>
      </c>
      <c r="M9" s="25">
        <v>45260</v>
      </c>
      <c r="N9" s="25">
        <v>45291</v>
      </c>
      <c r="O9" s="25">
        <v>45322</v>
      </c>
      <c r="P9" s="25">
        <v>45351</v>
      </c>
      <c r="Q9" s="25">
        <v>45382</v>
      </c>
      <c r="R9" s="25">
        <v>45412</v>
      </c>
      <c r="S9" s="25">
        <v>45443</v>
      </c>
      <c r="T9" s="25">
        <v>45473</v>
      </c>
      <c r="U9" s="25">
        <v>45504</v>
      </c>
      <c r="V9" s="25">
        <v>45535</v>
      </c>
      <c r="W9" s="25">
        <v>45565</v>
      </c>
      <c r="X9" s="25">
        <v>45596</v>
      </c>
      <c r="Y9" s="25">
        <v>45626</v>
      </c>
      <c r="Z9" s="25">
        <v>45657</v>
      </c>
      <c r="AA9" s="25">
        <v>45688</v>
      </c>
      <c r="AB9" s="25">
        <v>45716</v>
      </c>
      <c r="AC9" s="25">
        <v>45747</v>
      </c>
      <c r="AD9" s="25">
        <v>45777</v>
      </c>
      <c r="AE9" s="25">
        <v>45808</v>
      </c>
      <c r="AF9" s="25">
        <v>45838</v>
      </c>
      <c r="AG9" s="25">
        <v>45869</v>
      </c>
      <c r="AH9" s="25">
        <v>45900</v>
      </c>
      <c r="AI9" s="25">
        <v>45930</v>
      </c>
      <c r="AJ9" s="25">
        <v>45961</v>
      </c>
      <c r="AK9" s="25">
        <v>45991</v>
      </c>
      <c r="AL9" s="25">
        <v>46022</v>
      </c>
      <c r="AM9" s="25">
        <v>46053</v>
      </c>
      <c r="AN9" s="25">
        <v>46081</v>
      </c>
      <c r="AO9" s="25">
        <v>46112</v>
      </c>
      <c r="AP9" s="25">
        <v>46142</v>
      </c>
      <c r="AQ9" s="25">
        <v>46173</v>
      </c>
      <c r="AR9" s="25">
        <v>46203</v>
      </c>
      <c r="AS9" s="25">
        <v>46234</v>
      </c>
      <c r="AT9" s="25">
        <v>46265</v>
      </c>
      <c r="AU9" s="25">
        <v>46295</v>
      </c>
      <c r="AV9" s="25">
        <v>46326</v>
      </c>
      <c r="AW9" s="25">
        <v>46356</v>
      </c>
      <c r="AX9" s="25">
        <v>46387</v>
      </c>
      <c r="AY9" s="25">
        <v>46418</v>
      </c>
      <c r="AZ9" s="25">
        <v>46446</v>
      </c>
      <c r="BA9" s="25">
        <v>46477</v>
      </c>
      <c r="BB9" s="25">
        <v>46507</v>
      </c>
      <c r="BC9" s="25">
        <v>46538</v>
      </c>
      <c r="BD9" s="25">
        <v>46568</v>
      </c>
      <c r="BE9" s="25">
        <v>46599</v>
      </c>
      <c r="BF9" s="25">
        <v>46630</v>
      </c>
      <c r="BG9" s="25">
        <v>46660</v>
      </c>
      <c r="BH9" s="25">
        <v>46691</v>
      </c>
      <c r="BI9" s="25">
        <v>46721</v>
      </c>
      <c r="BJ9" s="25">
        <v>46752</v>
      </c>
      <c r="BK9" s="25">
        <v>46783</v>
      </c>
      <c r="BL9" s="25">
        <v>46812</v>
      </c>
      <c r="BM9" s="25">
        <v>46843</v>
      </c>
      <c r="BN9" s="25">
        <v>46873</v>
      </c>
      <c r="BO9" s="25">
        <v>46904</v>
      </c>
      <c r="BP9" s="25">
        <v>46934</v>
      </c>
      <c r="BQ9" s="25">
        <v>46965</v>
      </c>
      <c r="BR9" s="25">
        <v>46996</v>
      </c>
      <c r="BS9" s="25">
        <v>47026</v>
      </c>
      <c r="BT9" s="25">
        <v>47057</v>
      </c>
      <c r="BU9" s="25">
        <v>47087</v>
      </c>
      <c r="BV9" s="25">
        <v>47118</v>
      </c>
      <c r="BW9" s="25">
        <v>47149</v>
      </c>
      <c r="BX9" s="25">
        <v>47177</v>
      </c>
      <c r="BY9" s="25">
        <v>47208</v>
      </c>
      <c r="BZ9" s="25">
        <v>47238</v>
      </c>
      <c r="CA9" s="25">
        <v>47269</v>
      </c>
      <c r="CB9" s="25">
        <v>47299</v>
      </c>
      <c r="CC9" s="25">
        <v>47330</v>
      </c>
      <c r="CD9" s="25">
        <v>47361</v>
      </c>
      <c r="CE9" s="25">
        <v>47391</v>
      </c>
      <c r="CF9" s="25">
        <v>47422</v>
      </c>
      <c r="CG9" s="25">
        <v>47452</v>
      </c>
      <c r="CH9" s="25">
        <v>47483</v>
      </c>
      <c r="CI9" s="25">
        <v>47514</v>
      </c>
      <c r="CJ9" s="25">
        <v>47542</v>
      </c>
      <c r="CK9" s="25">
        <v>47573</v>
      </c>
    </row>
    <row r="10" spans="2:89" ht="3" customHeight="1">
      <c r="B10" s="14"/>
      <c r="C10" s="14"/>
      <c r="D10" s="14"/>
      <c r="E10" s="14"/>
      <c r="F10" s="15"/>
      <c r="G10" s="15"/>
      <c r="H10" s="15"/>
      <c r="I10" s="15"/>
      <c r="J10" s="15"/>
      <c r="K10" s="15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2:89" ht="20.25" thickBot="1">
      <c r="B11" s="26" t="s">
        <v>516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</row>
    <row r="12" spans="2:89" ht="3" customHeight="1" thickTop="1">
      <c r="B12" s="14"/>
      <c r="C12" s="14"/>
      <c r="D12" s="14"/>
      <c r="E12" s="14"/>
      <c r="F12" s="15"/>
      <c r="G12" s="15"/>
      <c r="H12" s="15"/>
      <c r="I12" s="15"/>
      <c r="J12" s="15"/>
      <c r="K12" s="15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2:89">
      <c r="B13" s="145" t="str">
        <f t="array" ref="B13:B14">Время!B13:B14</f>
        <v>Инвестиции</v>
      </c>
      <c r="C13" s="146"/>
      <c r="D13" s="146"/>
      <c r="E13" s="146"/>
      <c r="F13" s="29">
        <f t="array" ref="F13:CK14">Время!F13:CK14</f>
        <v>1</v>
      </c>
      <c r="G13" s="30">
        <v>1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0">
        <v>0</v>
      </c>
      <c r="CH13" s="30">
        <v>0</v>
      </c>
      <c r="CI13" s="30">
        <v>0</v>
      </c>
      <c r="CJ13" s="30">
        <v>0</v>
      </c>
      <c r="CK13" s="31">
        <v>0</v>
      </c>
    </row>
    <row r="14" spans="2:89">
      <c r="B14" s="145" t="str">
        <v>Операции</v>
      </c>
      <c r="C14" s="146"/>
      <c r="D14" s="146"/>
      <c r="E14" s="146"/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>
        <v>1</v>
      </c>
      <c r="AU14" s="30">
        <v>1</v>
      </c>
      <c r="AV14" s="30">
        <v>1</v>
      </c>
      <c r="AW14" s="30">
        <v>1</v>
      </c>
      <c r="AX14" s="30">
        <v>1</v>
      </c>
      <c r="AY14" s="30">
        <v>1</v>
      </c>
      <c r="AZ14" s="30">
        <v>1</v>
      </c>
      <c r="BA14" s="30">
        <v>1</v>
      </c>
      <c r="BB14" s="30">
        <v>1</v>
      </c>
      <c r="BC14" s="30">
        <v>1</v>
      </c>
      <c r="BD14" s="30">
        <v>1</v>
      </c>
      <c r="BE14" s="30">
        <v>1</v>
      </c>
      <c r="BF14" s="30">
        <v>1</v>
      </c>
      <c r="BG14" s="30">
        <v>1</v>
      </c>
      <c r="BH14" s="30">
        <v>1</v>
      </c>
      <c r="BI14" s="30">
        <v>1</v>
      </c>
      <c r="BJ14" s="30">
        <v>1</v>
      </c>
      <c r="BK14" s="30">
        <v>1</v>
      </c>
      <c r="BL14" s="30">
        <v>1</v>
      </c>
      <c r="BM14" s="30">
        <v>1</v>
      </c>
      <c r="BN14" s="30">
        <v>1</v>
      </c>
      <c r="BO14" s="30">
        <v>1</v>
      </c>
      <c r="BP14" s="30">
        <v>1</v>
      </c>
      <c r="BQ14" s="30">
        <v>1</v>
      </c>
      <c r="BR14" s="30">
        <v>1</v>
      </c>
      <c r="BS14" s="30">
        <v>1</v>
      </c>
      <c r="BT14" s="30">
        <v>1</v>
      </c>
      <c r="BU14" s="30">
        <v>1</v>
      </c>
      <c r="BV14" s="30">
        <v>1</v>
      </c>
      <c r="BW14" s="30">
        <v>1</v>
      </c>
      <c r="BX14" s="30">
        <v>1</v>
      </c>
      <c r="BY14" s="30">
        <v>1</v>
      </c>
      <c r="BZ14" s="30">
        <v>1</v>
      </c>
      <c r="CA14" s="30">
        <v>1</v>
      </c>
      <c r="CB14" s="30">
        <v>1</v>
      </c>
      <c r="CC14" s="30">
        <v>1</v>
      </c>
      <c r="CD14" s="30">
        <v>1</v>
      </c>
      <c r="CE14" s="30">
        <v>1</v>
      </c>
      <c r="CF14" s="30">
        <v>1</v>
      </c>
      <c r="CG14" s="30">
        <v>1</v>
      </c>
      <c r="CH14" s="30">
        <v>1</v>
      </c>
      <c r="CI14" s="30">
        <v>1</v>
      </c>
      <c r="CJ14" s="30">
        <v>1</v>
      </c>
      <c r="CK14" s="31">
        <v>1</v>
      </c>
    </row>
    <row r="15" spans="2:89" ht="3" customHeight="1">
      <c r="B15" s="14"/>
      <c r="C15" s="14"/>
      <c r="D15" s="14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2:89" ht="20.25" thickBot="1">
      <c r="B16" s="26" t="s">
        <v>141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</row>
    <row r="17" spans="2:89" ht="3" customHeight="1" thickTop="1">
      <c r="B17" s="14"/>
      <c r="C17" s="14"/>
      <c r="D17" s="14"/>
      <c r="E17" s="14"/>
      <c r="F17" s="15"/>
      <c r="G17" s="15"/>
      <c r="H17" s="15"/>
      <c r="I17" s="15"/>
      <c r="J17" s="15"/>
      <c r="K17" s="15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2:89">
      <c r="B18" s="32" t="str">
        <f t="array" ref="B18:B29">Время!B18:B29</f>
        <v>Название периода</v>
      </c>
      <c r="C18" s="33"/>
      <c r="D18" s="33"/>
      <c r="E18" s="34"/>
      <c r="F18" s="35">
        <f t="array" ref="F18:CK29">Время!F18:CK29</f>
        <v>45046</v>
      </c>
      <c r="G18" s="36">
        <v>45077</v>
      </c>
      <c r="H18" s="36">
        <v>45107</v>
      </c>
      <c r="I18" s="36">
        <v>45138</v>
      </c>
      <c r="J18" s="36">
        <v>45169</v>
      </c>
      <c r="K18" s="36">
        <v>45199</v>
      </c>
      <c r="L18" s="36">
        <v>45230</v>
      </c>
      <c r="M18" s="36">
        <v>45260</v>
      </c>
      <c r="N18" s="36">
        <v>45291</v>
      </c>
      <c r="O18" s="36">
        <v>45322</v>
      </c>
      <c r="P18" s="36">
        <v>45351</v>
      </c>
      <c r="Q18" s="36">
        <v>45382</v>
      </c>
      <c r="R18" s="36">
        <v>45412</v>
      </c>
      <c r="S18" s="36">
        <v>45443</v>
      </c>
      <c r="T18" s="36">
        <v>45473</v>
      </c>
      <c r="U18" s="36">
        <v>45504</v>
      </c>
      <c r="V18" s="36">
        <v>45535</v>
      </c>
      <c r="W18" s="36">
        <v>45565</v>
      </c>
      <c r="X18" s="36">
        <v>45596</v>
      </c>
      <c r="Y18" s="36">
        <v>45626</v>
      </c>
      <c r="Z18" s="36">
        <v>45657</v>
      </c>
      <c r="AA18" s="36">
        <v>45688</v>
      </c>
      <c r="AB18" s="36">
        <v>45716</v>
      </c>
      <c r="AC18" s="36">
        <v>45747</v>
      </c>
      <c r="AD18" s="36">
        <v>45777</v>
      </c>
      <c r="AE18" s="36">
        <v>45808</v>
      </c>
      <c r="AF18" s="36">
        <v>45838</v>
      </c>
      <c r="AG18" s="36">
        <v>45869</v>
      </c>
      <c r="AH18" s="36">
        <v>45900</v>
      </c>
      <c r="AI18" s="36">
        <v>45930</v>
      </c>
      <c r="AJ18" s="36">
        <v>45961</v>
      </c>
      <c r="AK18" s="36">
        <v>45991</v>
      </c>
      <c r="AL18" s="36">
        <v>46022</v>
      </c>
      <c r="AM18" s="36">
        <v>46053</v>
      </c>
      <c r="AN18" s="36">
        <v>46081</v>
      </c>
      <c r="AO18" s="36">
        <v>46112</v>
      </c>
      <c r="AP18" s="36">
        <v>46142</v>
      </c>
      <c r="AQ18" s="36">
        <v>46173</v>
      </c>
      <c r="AR18" s="36">
        <v>46203</v>
      </c>
      <c r="AS18" s="36">
        <v>46234</v>
      </c>
      <c r="AT18" s="36">
        <v>46265</v>
      </c>
      <c r="AU18" s="36">
        <v>46295</v>
      </c>
      <c r="AV18" s="36">
        <v>46326</v>
      </c>
      <c r="AW18" s="36">
        <v>46356</v>
      </c>
      <c r="AX18" s="36">
        <v>46387</v>
      </c>
      <c r="AY18" s="36">
        <v>46418</v>
      </c>
      <c r="AZ18" s="36">
        <v>46446</v>
      </c>
      <c r="BA18" s="36">
        <v>46477</v>
      </c>
      <c r="BB18" s="36">
        <v>46507</v>
      </c>
      <c r="BC18" s="36">
        <v>46538</v>
      </c>
      <c r="BD18" s="36">
        <v>46568</v>
      </c>
      <c r="BE18" s="36">
        <v>46599</v>
      </c>
      <c r="BF18" s="36">
        <v>46630</v>
      </c>
      <c r="BG18" s="36">
        <v>46660</v>
      </c>
      <c r="BH18" s="36">
        <v>46691</v>
      </c>
      <c r="BI18" s="36">
        <v>46721</v>
      </c>
      <c r="BJ18" s="36">
        <v>46752</v>
      </c>
      <c r="BK18" s="36">
        <v>46783</v>
      </c>
      <c r="BL18" s="36">
        <v>46812</v>
      </c>
      <c r="BM18" s="36">
        <v>46843</v>
      </c>
      <c r="BN18" s="36">
        <v>46873</v>
      </c>
      <c r="BO18" s="36">
        <v>46904</v>
      </c>
      <c r="BP18" s="36">
        <v>46934</v>
      </c>
      <c r="BQ18" s="36">
        <v>46965</v>
      </c>
      <c r="BR18" s="36">
        <v>46996</v>
      </c>
      <c r="BS18" s="36">
        <v>47026</v>
      </c>
      <c r="BT18" s="36">
        <v>47057</v>
      </c>
      <c r="BU18" s="36">
        <v>47087</v>
      </c>
      <c r="BV18" s="36">
        <v>47118</v>
      </c>
      <c r="BW18" s="36">
        <v>47149</v>
      </c>
      <c r="BX18" s="36">
        <v>47177</v>
      </c>
      <c r="BY18" s="36">
        <v>47208</v>
      </c>
      <c r="BZ18" s="36">
        <v>47238</v>
      </c>
      <c r="CA18" s="36">
        <v>47269</v>
      </c>
      <c r="CB18" s="36">
        <v>47299</v>
      </c>
      <c r="CC18" s="36">
        <v>47330</v>
      </c>
      <c r="CD18" s="36">
        <v>47361</v>
      </c>
      <c r="CE18" s="36">
        <v>47391</v>
      </c>
      <c r="CF18" s="36">
        <v>47422</v>
      </c>
      <c r="CG18" s="36">
        <v>47452</v>
      </c>
      <c r="CH18" s="36">
        <v>47483</v>
      </c>
      <c r="CI18" s="36">
        <v>47514</v>
      </c>
      <c r="CJ18" s="36">
        <v>47542</v>
      </c>
      <c r="CK18" s="36">
        <v>47573</v>
      </c>
    </row>
    <row r="19" spans="2:89">
      <c r="B19" s="37" t="str">
        <v>Календарный год</v>
      </c>
      <c r="C19" s="33"/>
      <c r="D19" s="33"/>
      <c r="E19" s="34"/>
      <c r="F19" s="38">
        <v>2023</v>
      </c>
      <c r="G19" s="38">
        <v>2023</v>
      </c>
      <c r="H19" s="38">
        <v>2023</v>
      </c>
      <c r="I19" s="38">
        <v>2023</v>
      </c>
      <c r="J19" s="38">
        <v>2023</v>
      </c>
      <c r="K19" s="38">
        <v>2023</v>
      </c>
      <c r="L19" s="38">
        <v>2023</v>
      </c>
      <c r="M19" s="38">
        <v>2023</v>
      </c>
      <c r="N19" s="38">
        <v>2023</v>
      </c>
      <c r="O19" s="38">
        <v>2024</v>
      </c>
      <c r="P19" s="38">
        <v>2024</v>
      </c>
      <c r="Q19" s="38">
        <v>2024</v>
      </c>
      <c r="R19" s="38">
        <v>2024</v>
      </c>
      <c r="S19" s="38">
        <v>2024</v>
      </c>
      <c r="T19" s="38">
        <v>2024</v>
      </c>
      <c r="U19" s="38">
        <v>2024</v>
      </c>
      <c r="V19" s="38">
        <v>2024</v>
      </c>
      <c r="W19" s="38">
        <v>2024</v>
      </c>
      <c r="X19" s="38">
        <v>2024</v>
      </c>
      <c r="Y19" s="38">
        <v>2024</v>
      </c>
      <c r="Z19" s="38">
        <v>2024</v>
      </c>
      <c r="AA19" s="38">
        <v>2025</v>
      </c>
      <c r="AB19" s="38">
        <v>2025</v>
      </c>
      <c r="AC19" s="38">
        <v>2025</v>
      </c>
      <c r="AD19" s="38">
        <v>2025</v>
      </c>
      <c r="AE19" s="38">
        <v>2025</v>
      </c>
      <c r="AF19" s="38">
        <v>2025</v>
      </c>
      <c r="AG19" s="38">
        <v>2025</v>
      </c>
      <c r="AH19" s="38">
        <v>2025</v>
      </c>
      <c r="AI19" s="38">
        <v>2025</v>
      </c>
      <c r="AJ19" s="38">
        <v>2025</v>
      </c>
      <c r="AK19" s="38">
        <v>2025</v>
      </c>
      <c r="AL19" s="38">
        <v>2025</v>
      </c>
      <c r="AM19" s="38">
        <v>2026</v>
      </c>
      <c r="AN19" s="38">
        <v>2026</v>
      </c>
      <c r="AO19" s="38">
        <v>2026</v>
      </c>
      <c r="AP19" s="38">
        <v>2026</v>
      </c>
      <c r="AQ19" s="38">
        <v>2026</v>
      </c>
      <c r="AR19" s="38">
        <v>2026</v>
      </c>
      <c r="AS19" s="38">
        <v>2026</v>
      </c>
      <c r="AT19" s="38">
        <v>2026</v>
      </c>
      <c r="AU19" s="38">
        <v>2026</v>
      </c>
      <c r="AV19" s="38">
        <v>2026</v>
      </c>
      <c r="AW19" s="38">
        <v>2026</v>
      </c>
      <c r="AX19" s="38">
        <v>2026</v>
      </c>
      <c r="AY19" s="38">
        <v>2027</v>
      </c>
      <c r="AZ19" s="38">
        <v>2027</v>
      </c>
      <c r="BA19" s="38">
        <v>2027</v>
      </c>
      <c r="BB19" s="38">
        <v>2027</v>
      </c>
      <c r="BC19" s="38">
        <v>2027</v>
      </c>
      <c r="BD19" s="38">
        <v>2027</v>
      </c>
      <c r="BE19" s="38">
        <v>2027</v>
      </c>
      <c r="BF19" s="38">
        <v>2027</v>
      </c>
      <c r="BG19" s="38">
        <v>2027</v>
      </c>
      <c r="BH19" s="38">
        <v>2027</v>
      </c>
      <c r="BI19" s="38">
        <v>2027</v>
      </c>
      <c r="BJ19" s="38">
        <v>2027</v>
      </c>
      <c r="BK19" s="38">
        <v>2028</v>
      </c>
      <c r="BL19" s="38">
        <v>2028</v>
      </c>
      <c r="BM19" s="38">
        <v>2028</v>
      </c>
      <c r="BN19" s="38">
        <v>2028</v>
      </c>
      <c r="BO19" s="38">
        <v>2028</v>
      </c>
      <c r="BP19" s="38">
        <v>2028</v>
      </c>
      <c r="BQ19" s="38">
        <v>2028</v>
      </c>
      <c r="BR19" s="38">
        <v>2028</v>
      </c>
      <c r="BS19" s="38">
        <v>2028</v>
      </c>
      <c r="BT19" s="38">
        <v>2028</v>
      </c>
      <c r="BU19" s="38">
        <v>2028</v>
      </c>
      <c r="BV19" s="38">
        <v>2028</v>
      </c>
      <c r="BW19" s="38">
        <v>2029</v>
      </c>
      <c r="BX19" s="38">
        <v>2029</v>
      </c>
      <c r="BY19" s="38">
        <v>2029</v>
      </c>
      <c r="BZ19" s="38">
        <v>2029</v>
      </c>
      <c r="CA19" s="38">
        <v>2029</v>
      </c>
      <c r="CB19" s="38">
        <v>2029</v>
      </c>
      <c r="CC19" s="38">
        <v>2029</v>
      </c>
      <c r="CD19" s="38">
        <v>2029</v>
      </c>
      <c r="CE19" s="38">
        <v>2029</v>
      </c>
      <c r="CF19" s="38">
        <v>2029</v>
      </c>
      <c r="CG19" s="38">
        <v>2029</v>
      </c>
      <c r="CH19" s="38">
        <v>2029</v>
      </c>
      <c r="CI19" s="38">
        <v>2030</v>
      </c>
      <c r="CJ19" s="38">
        <v>2030</v>
      </c>
      <c r="CK19" s="38">
        <v>2030</v>
      </c>
    </row>
    <row r="20" spans="2:89">
      <c r="B20" s="37" t="str">
        <v>Дней в году</v>
      </c>
      <c r="C20" s="33"/>
      <c r="D20" s="33"/>
      <c r="E20" s="34"/>
      <c r="F20" s="38">
        <v>365</v>
      </c>
      <c r="G20" s="38">
        <v>365</v>
      </c>
      <c r="H20" s="38">
        <v>365</v>
      </c>
      <c r="I20" s="38">
        <v>365</v>
      </c>
      <c r="J20" s="38">
        <v>365</v>
      </c>
      <c r="K20" s="38">
        <v>365</v>
      </c>
      <c r="L20" s="38">
        <v>365</v>
      </c>
      <c r="M20" s="38">
        <v>365</v>
      </c>
      <c r="N20" s="38">
        <v>365</v>
      </c>
      <c r="O20" s="38">
        <v>366</v>
      </c>
      <c r="P20" s="38">
        <v>366</v>
      </c>
      <c r="Q20" s="38">
        <v>366</v>
      </c>
      <c r="R20" s="38">
        <v>366</v>
      </c>
      <c r="S20" s="38">
        <v>366</v>
      </c>
      <c r="T20" s="38">
        <v>366</v>
      </c>
      <c r="U20" s="38">
        <v>366</v>
      </c>
      <c r="V20" s="38">
        <v>366</v>
      </c>
      <c r="W20" s="38">
        <v>366</v>
      </c>
      <c r="X20" s="38">
        <v>366</v>
      </c>
      <c r="Y20" s="38">
        <v>366</v>
      </c>
      <c r="Z20" s="38">
        <v>366</v>
      </c>
      <c r="AA20" s="38">
        <v>365</v>
      </c>
      <c r="AB20" s="38">
        <v>365</v>
      </c>
      <c r="AC20" s="38">
        <v>365</v>
      </c>
      <c r="AD20" s="38">
        <v>365</v>
      </c>
      <c r="AE20" s="38">
        <v>365</v>
      </c>
      <c r="AF20" s="38">
        <v>365</v>
      </c>
      <c r="AG20" s="38">
        <v>365</v>
      </c>
      <c r="AH20" s="38">
        <v>365</v>
      </c>
      <c r="AI20" s="38">
        <v>365</v>
      </c>
      <c r="AJ20" s="38">
        <v>365</v>
      </c>
      <c r="AK20" s="38">
        <v>365</v>
      </c>
      <c r="AL20" s="38">
        <v>365</v>
      </c>
      <c r="AM20" s="38">
        <v>365</v>
      </c>
      <c r="AN20" s="38">
        <v>365</v>
      </c>
      <c r="AO20" s="38">
        <v>365</v>
      </c>
      <c r="AP20" s="38">
        <v>365</v>
      </c>
      <c r="AQ20" s="38">
        <v>365</v>
      </c>
      <c r="AR20" s="38">
        <v>365</v>
      </c>
      <c r="AS20" s="38">
        <v>365</v>
      </c>
      <c r="AT20" s="38">
        <v>365</v>
      </c>
      <c r="AU20" s="38">
        <v>365</v>
      </c>
      <c r="AV20" s="38">
        <v>365</v>
      </c>
      <c r="AW20" s="38">
        <v>365</v>
      </c>
      <c r="AX20" s="38">
        <v>365</v>
      </c>
      <c r="AY20" s="38">
        <v>365</v>
      </c>
      <c r="AZ20" s="38">
        <v>365</v>
      </c>
      <c r="BA20" s="38">
        <v>365</v>
      </c>
      <c r="BB20" s="38">
        <v>365</v>
      </c>
      <c r="BC20" s="38">
        <v>365</v>
      </c>
      <c r="BD20" s="38">
        <v>365</v>
      </c>
      <c r="BE20" s="38">
        <v>365</v>
      </c>
      <c r="BF20" s="38">
        <v>365</v>
      </c>
      <c r="BG20" s="38">
        <v>365</v>
      </c>
      <c r="BH20" s="38">
        <v>365</v>
      </c>
      <c r="BI20" s="38">
        <v>365</v>
      </c>
      <c r="BJ20" s="38">
        <v>365</v>
      </c>
      <c r="BK20" s="38">
        <v>366</v>
      </c>
      <c r="BL20" s="38">
        <v>366</v>
      </c>
      <c r="BM20" s="38">
        <v>366</v>
      </c>
      <c r="BN20" s="38">
        <v>366</v>
      </c>
      <c r="BO20" s="38">
        <v>366</v>
      </c>
      <c r="BP20" s="38">
        <v>366</v>
      </c>
      <c r="BQ20" s="38">
        <v>366</v>
      </c>
      <c r="BR20" s="38">
        <v>366</v>
      </c>
      <c r="BS20" s="38">
        <v>366</v>
      </c>
      <c r="BT20" s="38">
        <v>366</v>
      </c>
      <c r="BU20" s="38">
        <v>366</v>
      </c>
      <c r="BV20" s="38">
        <v>366</v>
      </c>
      <c r="BW20" s="38">
        <v>365</v>
      </c>
      <c r="BX20" s="38">
        <v>365</v>
      </c>
      <c r="BY20" s="38">
        <v>365</v>
      </c>
      <c r="BZ20" s="38">
        <v>365</v>
      </c>
      <c r="CA20" s="38">
        <v>365</v>
      </c>
      <c r="CB20" s="38">
        <v>365</v>
      </c>
      <c r="CC20" s="38">
        <v>365</v>
      </c>
      <c r="CD20" s="38">
        <v>365</v>
      </c>
      <c r="CE20" s="38">
        <v>365</v>
      </c>
      <c r="CF20" s="38">
        <v>365</v>
      </c>
      <c r="CG20" s="38">
        <v>365</v>
      </c>
      <c r="CH20" s="38">
        <v>365</v>
      </c>
      <c r="CI20" s="38">
        <v>365</v>
      </c>
      <c r="CJ20" s="38">
        <v>365</v>
      </c>
      <c r="CK20" s="38">
        <v>365</v>
      </c>
    </row>
    <row r="21" spans="2:89">
      <c r="B21" s="37" t="str">
        <v>№ месяца</v>
      </c>
      <c r="C21" s="33"/>
      <c r="D21" s="33"/>
      <c r="E21" s="34"/>
      <c r="F21" s="38">
        <v>4</v>
      </c>
      <c r="G21" s="38">
        <v>5</v>
      </c>
      <c r="H21" s="38">
        <v>6</v>
      </c>
      <c r="I21" s="38">
        <v>7</v>
      </c>
      <c r="J21" s="38">
        <v>8</v>
      </c>
      <c r="K21" s="38">
        <v>9</v>
      </c>
      <c r="L21" s="38">
        <v>10</v>
      </c>
      <c r="M21" s="38">
        <v>11</v>
      </c>
      <c r="N21" s="38">
        <v>12</v>
      </c>
      <c r="O21" s="38">
        <v>1</v>
      </c>
      <c r="P21" s="38">
        <v>2</v>
      </c>
      <c r="Q21" s="38">
        <v>3</v>
      </c>
      <c r="R21" s="38">
        <v>4</v>
      </c>
      <c r="S21" s="38">
        <v>5</v>
      </c>
      <c r="T21" s="38">
        <v>6</v>
      </c>
      <c r="U21" s="38">
        <v>7</v>
      </c>
      <c r="V21" s="38">
        <v>8</v>
      </c>
      <c r="W21" s="38">
        <v>9</v>
      </c>
      <c r="X21" s="38">
        <v>10</v>
      </c>
      <c r="Y21" s="38">
        <v>11</v>
      </c>
      <c r="Z21" s="38">
        <v>12</v>
      </c>
      <c r="AA21" s="38">
        <v>1</v>
      </c>
      <c r="AB21" s="38">
        <v>2</v>
      </c>
      <c r="AC21" s="38">
        <v>3</v>
      </c>
      <c r="AD21" s="38">
        <v>4</v>
      </c>
      <c r="AE21" s="38">
        <v>5</v>
      </c>
      <c r="AF21" s="38">
        <v>6</v>
      </c>
      <c r="AG21" s="38">
        <v>7</v>
      </c>
      <c r="AH21" s="38">
        <v>8</v>
      </c>
      <c r="AI21" s="38">
        <v>9</v>
      </c>
      <c r="AJ21" s="38">
        <v>10</v>
      </c>
      <c r="AK21" s="38">
        <v>11</v>
      </c>
      <c r="AL21" s="38">
        <v>12</v>
      </c>
      <c r="AM21" s="38">
        <v>1</v>
      </c>
      <c r="AN21" s="38">
        <v>2</v>
      </c>
      <c r="AO21" s="38">
        <v>3</v>
      </c>
      <c r="AP21" s="38">
        <v>4</v>
      </c>
      <c r="AQ21" s="38">
        <v>5</v>
      </c>
      <c r="AR21" s="38">
        <v>6</v>
      </c>
      <c r="AS21" s="38">
        <v>7</v>
      </c>
      <c r="AT21" s="38">
        <v>8</v>
      </c>
      <c r="AU21" s="38">
        <v>9</v>
      </c>
      <c r="AV21" s="38">
        <v>10</v>
      </c>
      <c r="AW21" s="38">
        <v>11</v>
      </c>
      <c r="AX21" s="38">
        <v>12</v>
      </c>
      <c r="AY21" s="38">
        <v>1</v>
      </c>
      <c r="AZ21" s="38">
        <v>2</v>
      </c>
      <c r="BA21" s="38">
        <v>3</v>
      </c>
      <c r="BB21" s="38">
        <v>4</v>
      </c>
      <c r="BC21" s="38">
        <v>5</v>
      </c>
      <c r="BD21" s="38">
        <v>6</v>
      </c>
      <c r="BE21" s="38">
        <v>7</v>
      </c>
      <c r="BF21" s="38">
        <v>8</v>
      </c>
      <c r="BG21" s="38">
        <v>9</v>
      </c>
      <c r="BH21" s="38">
        <v>10</v>
      </c>
      <c r="BI21" s="38">
        <v>11</v>
      </c>
      <c r="BJ21" s="38">
        <v>12</v>
      </c>
      <c r="BK21" s="38">
        <v>1</v>
      </c>
      <c r="BL21" s="38">
        <v>2</v>
      </c>
      <c r="BM21" s="38">
        <v>3</v>
      </c>
      <c r="BN21" s="38">
        <v>4</v>
      </c>
      <c r="BO21" s="38">
        <v>5</v>
      </c>
      <c r="BP21" s="38">
        <v>6</v>
      </c>
      <c r="BQ21" s="38">
        <v>7</v>
      </c>
      <c r="BR21" s="38">
        <v>8</v>
      </c>
      <c r="BS21" s="38">
        <v>9</v>
      </c>
      <c r="BT21" s="38">
        <v>10</v>
      </c>
      <c r="BU21" s="38">
        <v>11</v>
      </c>
      <c r="BV21" s="38">
        <v>12</v>
      </c>
      <c r="BW21" s="38">
        <v>1</v>
      </c>
      <c r="BX21" s="38">
        <v>2</v>
      </c>
      <c r="BY21" s="38">
        <v>3</v>
      </c>
      <c r="BZ21" s="38">
        <v>4</v>
      </c>
      <c r="CA21" s="38">
        <v>5</v>
      </c>
      <c r="CB21" s="38">
        <v>6</v>
      </c>
      <c r="CC21" s="38">
        <v>7</v>
      </c>
      <c r="CD21" s="38">
        <v>8</v>
      </c>
      <c r="CE21" s="38">
        <v>9</v>
      </c>
      <c r="CF21" s="38">
        <v>10</v>
      </c>
      <c r="CG21" s="38">
        <v>11</v>
      </c>
      <c r="CH21" s="38">
        <v>12</v>
      </c>
      <c r="CI21" s="38">
        <v>1</v>
      </c>
      <c r="CJ21" s="38">
        <v>2</v>
      </c>
      <c r="CK21" s="38">
        <v>3</v>
      </c>
    </row>
    <row r="22" spans="2:89">
      <c r="B22" s="37" t="str">
        <v>Календарное полугодие</v>
      </c>
      <c r="C22" s="33"/>
      <c r="D22" s="33"/>
      <c r="E22" s="34"/>
      <c r="F22" s="38">
        <v>1</v>
      </c>
      <c r="G22" s="38">
        <v>1</v>
      </c>
      <c r="H22" s="38">
        <v>1</v>
      </c>
      <c r="I22" s="38">
        <v>2</v>
      </c>
      <c r="J22" s="38">
        <v>2</v>
      </c>
      <c r="K22" s="38">
        <v>2</v>
      </c>
      <c r="L22" s="38">
        <v>2</v>
      </c>
      <c r="M22" s="38">
        <v>2</v>
      </c>
      <c r="N22" s="38">
        <v>2</v>
      </c>
      <c r="O22" s="38">
        <v>1</v>
      </c>
      <c r="P22" s="38">
        <v>1</v>
      </c>
      <c r="Q22" s="38">
        <v>1</v>
      </c>
      <c r="R22" s="38">
        <v>1</v>
      </c>
      <c r="S22" s="38">
        <v>1</v>
      </c>
      <c r="T22" s="38">
        <v>1</v>
      </c>
      <c r="U22" s="38">
        <v>2</v>
      </c>
      <c r="V22" s="38">
        <v>2</v>
      </c>
      <c r="W22" s="38">
        <v>2</v>
      </c>
      <c r="X22" s="38">
        <v>2</v>
      </c>
      <c r="Y22" s="38">
        <v>2</v>
      </c>
      <c r="Z22" s="38">
        <v>2</v>
      </c>
      <c r="AA22" s="38">
        <v>1</v>
      </c>
      <c r="AB22" s="38">
        <v>1</v>
      </c>
      <c r="AC22" s="38">
        <v>1</v>
      </c>
      <c r="AD22" s="38">
        <v>1</v>
      </c>
      <c r="AE22" s="38">
        <v>1</v>
      </c>
      <c r="AF22" s="38">
        <v>1</v>
      </c>
      <c r="AG22" s="38">
        <v>2</v>
      </c>
      <c r="AH22" s="38">
        <v>2</v>
      </c>
      <c r="AI22" s="38">
        <v>2</v>
      </c>
      <c r="AJ22" s="38">
        <v>2</v>
      </c>
      <c r="AK22" s="38">
        <v>2</v>
      </c>
      <c r="AL22" s="38">
        <v>2</v>
      </c>
      <c r="AM22" s="38">
        <v>1</v>
      </c>
      <c r="AN22" s="38">
        <v>1</v>
      </c>
      <c r="AO22" s="38">
        <v>1</v>
      </c>
      <c r="AP22" s="38">
        <v>1</v>
      </c>
      <c r="AQ22" s="38">
        <v>1</v>
      </c>
      <c r="AR22" s="38">
        <v>1</v>
      </c>
      <c r="AS22" s="38">
        <v>2</v>
      </c>
      <c r="AT22" s="38">
        <v>2</v>
      </c>
      <c r="AU22" s="38">
        <v>2</v>
      </c>
      <c r="AV22" s="38">
        <v>2</v>
      </c>
      <c r="AW22" s="38">
        <v>2</v>
      </c>
      <c r="AX22" s="38">
        <v>2</v>
      </c>
      <c r="AY22" s="38">
        <v>1</v>
      </c>
      <c r="AZ22" s="38">
        <v>1</v>
      </c>
      <c r="BA22" s="38">
        <v>1</v>
      </c>
      <c r="BB22" s="38">
        <v>1</v>
      </c>
      <c r="BC22" s="38">
        <v>1</v>
      </c>
      <c r="BD22" s="38">
        <v>1</v>
      </c>
      <c r="BE22" s="38">
        <v>2</v>
      </c>
      <c r="BF22" s="38">
        <v>2</v>
      </c>
      <c r="BG22" s="38">
        <v>2</v>
      </c>
      <c r="BH22" s="38">
        <v>2</v>
      </c>
      <c r="BI22" s="38">
        <v>2</v>
      </c>
      <c r="BJ22" s="38">
        <v>2</v>
      </c>
      <c r="BK22" s="38">
        <v>1</v>
      </c>
      <c r="BL22" s="38">
        <v>1</v>
      </c>
      <c r="BM22" s="38">
        <v>1</v>
      </c>
      <c r="BN22" s="38">
        <v>1</v>
      </c>
      <c r="BO22" s="38">
        <v>1</v>
      </c>
      <c r="BP22" s="38">
        <v>1</v>
      </c>
      <c r="BQ22" s="38">
        <v>2</v>
      </c>
      <c r="BR22" s="38">
        <v>2</v>
      </c>
      <c r="BS22" s="38">
        <v>2</v>
      </c>
      <c r="BT22" s="38">
        <v>2</v>
      </c>
      <c r="BU22" s="38">
        <v>2</v>
      </c>
      <c r="BV22" s="38">
        <v>2</v>
      </c>
      <c r="BW22" s="38">
        <v>1</v>
      </c>
      <c r="BX22" s="38">
        <v>1</v>
      </c>
      <c r="BY22" s="38">
        <v>1</v>
      </c>
      <c r="BZ22" s="38">
        <v>1</v>
      </c>
      <c r="CA22" s="38">
        <v>1</v>
      </c>
      <c r="CB22" s="38">
        <v>1</v>
      </c>
      <c r="CC22" s="38">
        <v>2</v>
      </c>
      <c r="CD22" s="38">
        <v>2</v>
      </c>
      <c r="CE22" s="38">
        <v>2</v>
      </c>
      <c r="CF22" s="38">
        <v>2</v>
      </c>
      <c r="CG22" s="38">
        <v>2</v>
      </c>
      <c r="CH22" s="38">
        <v>2</v>
      </c>
      <c r="CI22" s="38">
        <v>1</v>
      </c>
      <c r="CJ22" s="38">
        <v>1</v>
      </c>
      <c r="CK22" s="38">
        <v>1</v>
      </c>
    </row>
    <row r="23" spans="2:89">
      <c r="B23" s="37" t="str">
        <v>Месяц с начала полугодия</v>
      </c>
      <c r="C23" s="33"/>
      <c r="D23" s="33"/>
      <c r="E23" s="34"/>
      <c r="F23" s="38">
        <v>4</v>
      </c>
      <c r="G23" s="38">
        <v>5</v>
      </c>
      <c r="H23" s="38">
        <v>6</v>
      </c>
      <c r="I23" s="38">
        <v>1</v>
      </c>
      <c r="J23" s="38">
        <v>2</v>
      </c>
      <c r="K23" s="38">
        <v>3</v>
      </c>
      <c r="L23" s="38">
        <v>4</v>
      </c>
      <c r="M23" s="38">
        <v>5</v>
      </c>
      <c r="N23" s="38">
        <v>6</v>
      </c>
      <c r="O23" s="38">
        <v>1</v>
      </c>
      <c r="P23" s="38">
        <v>2</v>
      </c>
      <c r="Q23" s="38">
        <v>3</v>
      </c>
      <c r="R23" s="38">
        <v>4</v>
      </c>
      <c r="S23" s="38">
        <v>5</v>
      </c>
      <c r="T23" s="38">
        <v>6</v>
      </c>
      <c r="U23" s="38">
        <v>1</v>
      </c>
      <c r="V23" s="38">
        <v>2</v>
      </c>
      <c r="W23" s="38">
        <v>3</v>
      </c>
      <c r="X23" s="38">
        <v>4</v>
      </c>
      <c r="Y23" s="38">
        <v>5</v>
      </c>
      <c r="Z23" s="38">
        <v>6</v>
      </c>
      <c r="AA23" s="38">
        <v>1</v>
      </c>
      <c r="AB23" s="38">
        <v>2</v>
      </c>
      <c r="AC23" s="38">
        <v>3</v>
      </c>
      <c r="AD23" s="38">
        <v>4</v>
      </c>
      <c r="AE23" s="38">
        <v>5</v>
      </c>
      <c r="AF23" s="38">
        <v>6</v>
      </c>
      <c r="AG23" s="38">
        <v>1</v>
      </c>
      <c r="AH23" s="38">
        <v>2</v>
      </c>
      <c r="AI23" s="38">
        <v>3</v>
      </c>
      <c r="AJ23" s="38">
        <v>4</v>
      </c>
      <c r="AK23" s="38">
        <v>5</v>
      </c>
      <c r="AL23" s="38">
        <v>6</v>
      </c>
      <c r="AM23" s="38">
        <v>1</v>
      </c>
      <c r="AN23" s="38">
        <v>2</v>
      </c>
      <c r="AO23" s="38">
        <v>3</v>
      </c>
      <c r="AP23" s="38">
        <v>4</v>
      </c>
      <c r="AQ23" s="38">
        <v>5</v>
      </c>
      <c r="AR23" s="38">
        <v>6</v>
      </c>
      <c r="AS23" s="38">
        <v>1</v>
      </c>
      <c r="AT23" s="38">
        <v>2</v>
      </c>
      <c r="AU23" s="38">
        <v>3</v>
      </c>
      <c r="AV23" s="38">
        <v>4</v>
      </c>
      <c r="AW23" s="38">
        <v>5</v>
      </c>
      <c r="AX23" s="38">
        <v>6</v>
      </c>
      <c r="AY23" s="38">
        <v>1</v>
      </c>
      <c r="AZ23" s="38">
        <v>2</v>
      </c>
      <c r="BA23" s="38">
        <v>3</v>
      </c>
      <c r="BB23" s="38">
        <v>4</v>
      </c>
      <c r="BC23" s="38">
        <v>5</v>
      </c>
      <c r="BD23" s="38">
        <v>6</v>
      </c>
      <c r="BE23" s="38">
        <v>1</v>
      </c>
      <c r="BF23" s="38">
        <v>2</v>
      </c>
      <c r="BG23" s="38">
        <v>3</v>
      </c>
      <c r="BH23" s="38">
        <v>4</v>
      </c>
      <c r="BI23" s="38">
        <v>5</v>
      </c>
      <c r="BJ23" s="38">
        <v>6</v>
      </c>
      <c r="BK23" s="38">
        <v>1</v>
      </c>
      <c r="BL23" s="38">
        <v>2</v>
      </c>
      <c r="BM23" s="38">
        <v>3</v>
      </c>
      <c r="BN23" s="38">
        <v>4</v>
      </c>
      <c r="BO23" s="38">
        <v>5</v>
      </c>
      <c r="BP23" s="38">
        <v>6</v>
      </c>
      <c r="BQ23" s="38">
        <v>1</v>
      </c>
      <c r="BR23" s="38">
        <v>2</v>
      </c>
      <c r="BS23" s="38">
        <v>3</v>
      </c>
      <c r="BT23" s="38">
        <v>4</v>
      </c>
      <c r="BU23" s="38">
        <v>5</v>
      </c>
      <c r="BV23" s="38">
        <v>6</v>
      </c>
      <c r="BW23" s="38">
        <v>1</v>
      </c>
      <c r="BX23" s="38">
        <v>2</v>
      </c>
      <c r="BY23" s="38">
        <v>3</v>
      </c>
      <c r="BZ23" s="38">
        <v>4</v>
      </c>
      <c r="CA23" s="38">
        <v>5</v>
      </c>
      <c r="CB23" s="38">
        <v>6</v>
      </c>
      <c r="CC23" s="38">
        <v>1</v>
      </c>
      <c r="CD23" s="38">
        <v>2</v>
      </c>
      <c r="CE23" s="38">
        <v>3</v>
      </c>
      <c r="CF23" s="38">
        <v>4</v>
      </c>
      <c r="CG23" s="38">
        <v>5</v>
      </c>
      <c r="CH23" s="38">
        <v>6</v>
      </c>
      <c r="CI23" s="38">
        <v>1</v>
      </c>
      <c r="CJ23" s="38">
        <v>2</v>
      </c>
      <c r="CK23" s="38">
        <v>3</v>
      </c>
    </row>
    <row r="24" spans="2:89">
      <c r="B24" s="37" t="str">
        <v>Календарный квартал</v>
      </c>
      <c r="C24" s="33"/>
      <c r="D24" s="33"/>
      <c r="E24" s="34"/>
      <c r="F24" s="38">
        <v>2</v>
      </c>
      <c r="G24" s="38">
        <v>2</v>
      </c>
      <c r="H24" s="38">
        <v>2</v>
      </c>
      <c r="I24" s="38">
        <v>3</v>
      </c>
      <c r="J24" s="38">
        <v>3</v>
      </c>
      <c r="K24" s="38">
        <v>3</v>
      </c>
      <c r="L24" s="38">
        <v>4</v>
      </c>
      <c r="M24" s="38">
        <v>4</v>
      </c>
      <c r="N24" s="38">
        <v>4</v>
      </c>
      <c r="O24" s="38">
        <v>1</v>
      </c>
      <c r="P24" s="38">
        <v>1</v>
      </c>
      <c r="Q24" s="38">
        <v>1</v>
      </c>
      <c r="R24" s="38">
        <v>2</v>
      </c>
      <c r="S24" s="38">
        <v>2</v>
      </c>
      <c r="T24" s="38">
        <v>2</v>
      </c>
      <c r="U24" s="38">
        <v>3</v>
      </c>
      <c r="V24" s="38">
        <v>3</v>
      </c>
      <c r="W24" s="38">
        <v>3</v>
      </c>
      <c r="X24" s="38">
        <v>4</v>
      </c>
      <c r="Y24" s="38">
        <v>4</v>
      </c>
      <c r="Z24" s="38">
        <v>4</v>
      </c>
      <c r="AA24" s="38">
        <v>1</v>
      </c>
      <c r="AB24" s="38">
        <v>1</v>
      </c>
      <c r="AC24" s="38">
        <v>1</v>
      </c>
      <c r="AD24" s="38">
        <v>2</v>
      </c>
      <c r="AE24" s="38">
        <v>2</v>
      </c>
      <c r="AF24" s="38">
        <v>2</v>
      </c>
      <c r="AG24" s="38">
        <v>3</v>
      </c>
      <c r="AH24" s="38">
        <v>3</v>
      </c>
      <c r="AI24" s="38">
        <v>3</v>
      </c>
      <c r="AJ24" s="38">
        <v>4</v>
      </c>
      <c r="AK24" s="38">
        <v>4</v>
      </c>
      <c r="AL24" s="38">
        <v>4</v>
      </c>
      <c r="AM24" s="38">
        <v>1</v>
      </c>
      <c r="AN24" s="38">
        <v>1</v>
      </c>
      <c r="AO24" s="38">
        <v>1</v>
      </c>
      <c r="AP24" s="38">
        <v>2</v>
      </c>
      <c r="AQ24" s="38">
        <v>2</v>
      </c>
      <c r="AR24" s="38">
        <v>2</v>
      </c>
      <c r="AS24" s="38">
        <v>3</v>
      </c>
      <c r="AT24" s="38">
        <v>3</v>
      </c>
      <c r="AU24" s="38">
        <v>3</v>
      </c>
      <c r="AV24" s="38">
        <v>4</v>
      </c>
      <c r="AW24" s="38">
        <v>4</v>
      </c>
      <c r="AX24" s="38">
        <v>4</v>
      </c>
      <c r="AY24" s="38">
        <v>1</v>
      </c>
      <c r="AZ24" s="38">
        <v>1</v>
      </c>
      <c r="BA24" s="38">
        <v>1</v>
      </c>
      <c r="BB24" s="38">
        <v>2</v>
      </c>
      <c r="BC24" s="38">
        <v>2</v>
      </c>
      <c r="BD24" s="38">
        <v>2</v>
      </c>
      <c r="BE24" s="38">
        <v>3</v>
      </c>
      <c r="BF24" s="38">
        <v>3</v>
      </c>
      <c r="BG24" s="38">
        <v>3</v>
      </c>
      <c r="BH24" s="38">
        <v>4</v>
      </c>
      <c r="BI24" s="38">
        <v>4</v>
      </c>
      <c r="BJ24" s="38">
        <v>4</v>
      </c>
      <c r="BK24" s="38">
        <v>1</v>
      </c>
      <c r="BL24" s="38">
        <v>1</v>
      </c>
      <c r="BM24" s="38">
        <v>1</v>
      </c>
      <c r="BN24" s="38">
        <v>2</v>
      </c>
      <c r="BO24" s="38">
        <v>2</v>
      </c>
      <c r="BP24" s="38">
        <v>2</v>
      </c>
      <c r="BQ24" s="38">
        <v>3</v>
      </c>
      <c r="BR24" s="38">
        <v>3</v>
      </c>
      <c r="BS24" s="38">
        <v>3</v>
      </c>
      <c r="BT24" s="38">
        <v>4</v>
      </c>
      <c r="BU24" s="38">
        <v>4</v>
      </c>
      <c r="BV24" s="38">
        <v>4</v>
      </c>
      <c r="BW24" s="38">
        <v>1</v>
      </c>
      <c r="BX24" s="38">
        <v>1</v>
      </c>
      <c r="BY24" s="38">
        <v>1</v>
      </c>
      <c r="BZ24" s="38">
        <v>2</v>
      </c>
      <c r="CA24" s="38">
        <v>2</v>
      </c>
      <c r="CB24" s="38">
        <v>2</v>
      </c>
      <c r="CC24" s="38">
        <v>3</v>
      </c>
      <c r="CD24" s="38">
        <v>3</v>
      </c>
      <c r="CE24" s="38">
        <v>3</v>
      </c>
      <c r="CF24" s="38">
        <v>4</v>
      </c>
      <c r="CG24" s="38">
        <v>4</v>
      </c>
      <c r="CH24" s="38">
        <v>4</v>
      </c>
      <c r="CI24" s="38">
        <v>1</v>
      </c>
      <c r="CJ24" s="38">
        <v>1</v>
      </c>
      <c r="CK24" s="38">
        <v>1</v>
      </c>
    </row>
    <row r="25" spans="2:89">
      <c r="B25" s="37" t="str">
        <v>Месяц с начала квартала</v>
      </c>
      <c r="C25" s="33"/>
      <c r="D25" s="33"/>
      <c r="E25" s="34"/>
      <c r="F25" s="38">
        <v>1</v>
      </c>
      <c r="G25" s="38">
        <v>2</v>
      </c>
      <c r="H25" s="38">
        <v>3</v>
      </c>
      <c r="I25" s="38">
        <v>1</v>
      </c>
      <c r="J25" s="38">
        <v>2</v>
      </c>
      <c r="K25" s="38">
        <v>3</v>
      </c>
      <c r="L25" s="38">
        <v>1</v>
      </c>
      <c r="M25" s="38">
        <v>2</v>
      </c>
      <c r="N25" s="38">
        <v>3</v>
      </c>
      <c r="O25" s="38">
        <v>1</v>
      </c>
      <c r="P25" s="38">
        <v>2</v>
      </c>
      <c r="Q25" s="38">
        <v>3</v>
      </c>
      <c r="R25" s="38">
        <v>1</v>
      </c>
      <c r="S25" s="38">
        <v>2</v>
      </c>
      <c r="T25" s="38">
        <v>3</v>
      </c>
      <c r="U25" s="38">
        <v>1</v>
      </c>
      <c r="V25" s="38">
        <v>2</v>
      </c>
      <c r="W25" s="38">
        <v>3</v>
      </c>
      <c r="X25" s="38">
        <v>1</v>
      </c>
      <c r="Y25" s="38">
        <v>2</v>
      </c>
      <c r="Z25" s="38">
        <v>3</v>
      </c>
      <c r="AA25" s="38">
        <v>1</v>
      </c>
      <c r="AB25" s="38">
        <v>2</v>
      </c>
      <c r="AC25" s="38">
        <v>3</v>
      </c>
      <c r="AD25" s="38">
        <v>1</v>
      </c>
      <c r="AE25" s="38">
        <v>2</v>
      </c>
      <c r="AF25" s="38">
        <v>3</v>
      </c>
      <c r="AG25" s="38">
        <v>1</v>
      </c>
      <c r="AH25" s="38">
        <v>2</v>
      </c>
      <c r="AI25" s="38">
        <v>3</v>
      </c>
      <c r="AJ25" s="38">
        <v>1</v>
      </c>
      <c r="AK25" s="38">
        <v>2</v>
      </c>
      <c r="AL25" s="38">
        <v>3</v>
      </c>
      <c r="AM25" s="38">
        <v>1</v>
      </c>
      <c r="AN25" s="38">
        <v>2</v>
      </c>
      <c r="AO25" s="38">
        <v>3</v>
      </c>
      <c r="AP25" s="38">
        <v>1</v>
      </c>
      <c r="AQ25" s="38">
        <v>2</v>
      </c>
      <c r="AR25" s="38">
        <v>3</v>
      </c>
      <c r="AS25" s="38">
        <v>1</v>
      </c>
      <c r="AT25" s="38">
        <v>2</v>
      </c>
      <c r="AU25" s="38">
        <v>3</v>
      </c>
      <c r="AV25" s="38">
        <v>1</v>
      </c>
      <c r="AW25" s="38">
        <v>2</v>
      </c>
      <c r="AX25" s="38">
        <v>3</v>
      </c>
      <c r="AY25" s="38">
        <v>1</v>
      </c>
      <c r="AZ25" s="38">
        <v>2</v>
      </c>
      <c r="BA25" s="38">
        <v>3</v>
      </c>
      <c r="BB25" s="38">
        <v>1</v>
      </c>
      <c r="BC25" s="38">
        <v>2</v>
      </c>
      <c r="BD25" s="38">
        <v>3</v>
      </c>
      <c r="BE25" s="38">
        <v>1</v>
      </c>
      <c r="BF25" s="38">
        <v>2</v>
      </c>
      <c r="BG25" s="38">
        <v>3</v>
      </c>
      <c r="BH25" s="38">
        <v>1</v>
      </c>
      <c r="BI25" s="38">
        <v>2</v>
      </c>
      <c r="BJ25" s="38">
        <v>3</v>
      </c>
      <c r="BK25" s="38">
        <v>1</v>
      </c>
      <c r="BL25" s="38">
        <v>2</v>
      </c>
      <c r="BM25" s="38">
        <v>3</v>
      </c>
      <c r="BN25" s="38">
        <v>1</v>
      </c>
      <c r="BO25" s="38">
        <v>2</v>
      </c>
      <c r="BP25" s="38">
        <v>3</v>
      </c>
      <c r="BQ25" s="38">
        <v>1</v>
      </c>
      <c r="BR25" s="38">
        <v>2</v>
      </c>
      <c r="BS25" s="38">
        <v>3</v>
      </c>
      <c r="BT25" s="38">
        <v>1</v>
      </c>
      <c r="BU25" s="38">
        <v>2</v>
      </c>
      <c r="BV25" s="38">
        <v>3</v>
      </c>
      <c r="BW25" s="38">
        <v>1</v>
      </c>
      <c r="BX25" s="38">
        <v>2</v>
      </c>
      <c r="BY25" s="38">
        <v>3</v>
      </c>
      <c r="BZ25" s="38">
        <v>1</v>
      </c>
      <c r="CA25" s="38">
        <v>2</v>
      </c>
      <c r="CB25" s="38">
        <v>3</v>
      </c>
      <c r="CC25" s="38">
        <v>1</v>
      </c>
      <c r="CD25" s="38">
        <v>2</v>
      </c>
      <c r="CE25" s="38">
        <v>3</v>
      </c>
      <c r="CF25" s="38">
        <v>1</v>
      </c>
      <c r="CG25" s="38">
        <v>2</v>
      </c>
      <c r="CH25" s="38">
        <v>3</v>
      </c>
      <c r="CI25" s="38">
        <v>1</v>
      </c>
      <c r="CJ25" s="38">
        <v>2</v>
      </c>
      <c r="CK25" s="38">
        <v>3</v>
      </c>
    </row>
    <row r="26" spans="2:89">
      <c r="B26" s="37" t="str">
        <v>Дней в периоде</v>
      </c>
      <c r="C26" s="33"/>
      <c r="D26" s="33"/>
      <c r="E26" s="34"/>
      <c r="F26" s="38">
        <v>30</v>
      </c>
      <c r="G26" s="38">
        <v>31</v>
      </c>
      <c r="H26" s="38">
        <v>30</v>
      </c>
      <c r="I26" s="38">
        <v>31</v>
      </c>
      <c r="J26" s="38">
        <v>31</v>
      </c>
      <c r="K26" s="38">
        <v>30</v>
      </c>
      <c r="L26" s="38">
        <v>31</v>
      </c>
      <c r="M26" s="38">
        <v>30</v>
      </c>
      <c r="N26" s="38">
        <v>31</v>
      </c>
      <c r="O26" s="38">
        <v>31</v>
      </c>
      <c r="P26" s="38">
        <v>29</v>
      </c>
      <c r="Q26" s="38">
        <v>31</v>
      </c>
      <c r="R26" s="38">
        <v>30</v>
      </c>
      <c r="S26" s="38">
        <v>31</v>
      </c>
      <c r="T26" s="38">
        <v>30</v>
      </c>
      <c r="U26" s="38">
        <v>31</v>
      </c>
      <c r="V26" s="38">
        <v>31</v>
      </c>
      <c r="W26" s="38">
        <v>30</v>
      </c>
      <c r="X26" s="38">
        <v>31</v>
      </c>
      <c r="Y26" s="38">
        <v>30</v>
      </c>
      <c r="Z26" s="38">
        <v>31</v>
      </c>
      <c r="AA26" s="38">
        <v>31</v>
      </c>
      <c r="AB26" s="38">
        <v>28</v>
      </c>
      <c r="AC26" s="38">
        <v>31</v>
      </c>
      <c r="AD26" s="38">
        <v>30</v>
      </c>
      <c r="AE26" s="38">
        <v>31</v>
      </c>
      <c r="AF26" s="38">
        <v>30</v>
      </c>
      <c r="AG26" s="38">
        <v>31</v>
      </c>
      <c r="AH26" s="38">
        <v>31</v>
      </c>
      <c r="AI26" s="38">
        <v>30</v>
      </c>
      <c r="AJ26" s="38">
        <v>31</v>
      </c>
      <c r="AK26" s="38">
        <v>30</v>
      </c>
      <c r="AL26" s="38">
        <v>31</v>
      </c>
      <c r="AM26" s="38">
        <v>31</v>
      </c>
      <c r="AN26" s="38">
        <v>28</v>
      </c>
      <c r="AO26" s="38">
        <v>31</v>
      </c>
      <c r="AP26" s="38">
        <v>30</v>
      </c>
      <c r="AQ26" s="38">
        <v>31</v>
      </c>
      <c r="AR26" s="38">
        <v>30</v>
      </c>
      <c r="AS26" s="38">
        <v>31</v>
      </c>
      <c r="AT26" s="38">
        <v>31</v>
      </c>
      <c r="AU26" s="38">
        <v>30</v>
      </c>
      <c r="AV26" s="38">
        <v>31</v>
      </c>
      <c r="AW26" s="38">
        <v>30</v>
      </c>
      <c r="AX26" s="38">
        <v>31</v>
      </c>
      <c r="AY26" s="38">
        <v>31</v>
      </c>
      <c r="AZ26" s="38">
        <v>28</v>
      </c>
      <c r="BA26" s="38">
        <v>31</v>
      </c>
      <c r="BB26" s="38">
        <v>30</v>
      </c>
      <c r="BC26" s="38">
        <v>31</v>
      </c>
      <c r="BD26" s="38">
        <v>30</v>
      </c>
      <c r="BE26" s="38">
        <v>31</v>
      </c>
      <c r="BF26" s="38">
        <v>31</v>
      </c>
      <c r="BG26" s="38">
        <v>30</v>
      </c>
      <c r="BH26" s="38">
        <v>31</v>
      </c>
      <c r="BI26" s="38">
        <v>30</v>
      </c>
      <c r="BJ26" s="38">
        <v>31</v>
      </c>
      <c r="BK26" s="38">
        <v>31</v>
      </c>
      <c r="BL26" s="38">
        <v>29</v>
      </c>
      <c r="BM26" s="38">
        <v>31</v>
      </c>
      <c r="BN26" s="38">
        <v>30</v>
      </c>
      <c r="BO26" s="38">
        <v>31</v>
      </c>
      <c r="BP26" s="38">
        <v>30</v>
      </c>
      <c r="BQ26" s="38">
        <v>31</v>
      </c>
      <c r="BR26" s="38">
        <v>31</v>
      </c>
      <c r="BS26" s="38">
        <v>30</v>
      </c>
      <c r="BT26" s="38">
        <v>31</v>
      </c>
      <c r="BU26" s="38">
        <v>30</v>
      </c>
      <c r="BV26" s="38">
        <v>31</v>
      </c>
      <c r="BW26" s="38">
        <v>31</v>
      </c>
      <c r="BX26" s="38">
        <v>28</v>
      </c>
      <c r="BY26" s="38">
        <v>31</v>
      </c>
      <c r="BZ26" s="38">
        <v>30</v>
      </c>
      <c r="CA26" s="38">
        <v>31</v>
      </c>
      <c r="CB26" s="38">
        <v>30</v>
      </c>
      <c r="CC26" s="38">
        <v>31</v>
      </c>
      <c r="CD26" s="38">
        <v>31</v>
      </c>
      <c r="CE26" s="38">
        <v>30</v>
      </c>
      <c r="CF26" s="38">
        <v>31</v>
      </c>
      <c r="CG26" s="38">
        <v>30</v>
      </c>
      <c r="CH26" s="38">
        <v>31</v>
      </c>
      <c r="CI26" s="38">
        <v>31</v>
      </c>
      <c r="CJ26" s="38">
        <v>28</v>
      </c>
      <c r="CK26" s="38">
        <v>31</v>
      </c>
    </row>
    <row r="27" spans="2:89">
      <c r="B27" s="37" t="str">
        <v>№ периода</v>
      </c>
      <c r="C27" s="33"/>
      <c r="D27" s="33"/>
      <c r="E27" s="34"/>
      <c r="F27" s="38">
        <v>1</v>
      </c>
      <c r="G27" s="38">
        <v>2</v>
      </c>
      <c r="H27" s="38">
        <v>3</v>
      </c>
      <c r="I27" s="38">
        <v>4</v>
      </c>
      <c r="J27" s="38">
        <v>5</v>
      </c>
      <c r="K27" s="38">
        <v>6</v>
      </c>
      <c r="L27" s="38">
        <v>7</v>
      </c>
      <c r="M27" s="38">
        <v>8</v>
      </c>
      <c r="N27" s="38">
        <v>9</v>
      </c>
      <c r="O27" s="38">
        <v>10</v>
      </c>
      <c r="P27" s="38">
        <v>11</v>
      </c>
      <c r="Q27" s="38">
        <v>12</v>
      </c>
      <c r="R27" s="38">
        <v>13</v>
      </c>
      <c r="S27" s="38">
        <v>14</v>
      </c>
      <c r="T27" s="38">
        <v>15</v>
      </c>
      <c r="U27" s="38">
        <v>16</v>
      </c>
      <c r="V27" s="38">
        <v>17</v>
      </c>
      <c r="W27" s="38">
        <v>18</v>
      </c>
      <c r="X27" s="38">
        <v>19</v>
      </c>
      <c r="Y27" s="38">
        <v>20</v>
      </c>
      <c r="Z27" s="38">
        <v>21</v>
      </c>
      <c r="AA27" s="38">
        <v>22</v>
      </c>
      <c r="AB27" s="38">
        <v>23</v>
      </c>
      <c r="AC27" s="38">
        <v>24</v>
      </c>
      <c r="AD27" s="38">
        <v>25</v>
      </c>
      <c r="AE27" s="38">
        <v>26</v>
      </c>
      <c r="AF27" s="38">
        <v>27</v>
      </c>
      <c r="AG27" s="38">
        <v>28</v>
      </c>
      <c r="AH27" s="38">
        <v>29</v>
      </c>
      <c r="AI27" s="38">
        <v>30</v>
      </c>
      <c r="AJ27" s="38">
        <v>31</v>
      </c>
      <c r="AK27" s="38">
        <v>32</v>
      </c>
      <c r="AL27" s="38">
        <v>33</v>
      </c>
      <c r="AM27" s="38">
        <v>34</v>
      </c>
      <c r="AN27" s="38">
        <v>35</v>
      </c>
      <c r="AO27" s="38">
        <v>36</v>
      </c>
      <c r="AP27" s="38">
        <v>37</v>
      </c>
      <c r="AQ27" s="38">
        <v>38</v>
      </c>
      <c r="AR27" s="38">
        <v>39</v>
      </c>
      <c r="AS27" s="38">
        <v>40</v>
      </c>
      <c r="AT27" s="38">
        <v>41</v>
      </c>
      <c r="AU27" s="38">
        <v>42</v>
      </c>
      <c r="AV27" s="38">
        <v>43</v>
      </c>
      <c r="AW27" s="38">
        <v>44</v>
      </c>
      <c r="AX27" s="38">
        <v>45</v>
      </c>
      <c r="AY27" s="38">
        <v>46</v>
      </c>
      <c r="AZ27" s="38">
        <v>47</v>
      </c>
      <c r="BA27" s="38">
        <v>48</v>
      </c>
      <c r="BB27" s="38">
        <v>49</v>
      </c>
      <c r="BC27" s="38">
        <v>50</v>
      </c>
      <c r="BD27" s="38">
        <v>51</v>
      </c>
      <c r="BE27" s="38">
        <v>52</v>
      </c>
      <c r="BF27" s="38">
        <v>53</v>
      </c>
      <c r="BG27" s="38">
        <v>54</v>
      </c>
      <c r="BH27" s="38">
        <v>55</v>
      </c>
      <c r="BI27" s="38">
        <v>56</v>
      </c>
      <c r="BJ27" s="38">
        <v>57</v>
      </c>
      <c r="BK27" s="38">
        <v>58</v>
      </c>
      <c r="BL27" s="38">
        <v>59</v>
      </c>
      <c r="BM27" s="38">
        <v>60</v>
      </c>
      <c r="BN27" s="38">
        <v>61</v>
      </c>
      <c r="BO27" s="38">
        <v>62</v>
      </c>
      <c r="BP27" s="38">
        <v>63</v>
      </c>
      <c r="BQ27" s="38">
        <v>64</v>
      </c>
      <c r="BR27" s="38">
        <v>65</v>
      </c>
      <c r="BS27" s="38">
        <v>66</v>
      </c>
      <c r="BT27" s="38">
        <v>67</v>
      </c>
      <c r="BU27" s="38">
        <v>68</v>
      </c>
      <c r="BV27" s="38">
        <v>69</v>
      </c>
      <c r="BW27" s="38">
        <v>70</v>
      </c>
      <c r="BX27" s="38">
        <v>71</v>
      </c>
      <c r="BY27" s="38">
        <v>72</v>
      </c>
      <c r="BZ27" s="38">
        <v>73</v>
      </c>
      <c r="CA27" s="38">
        <v>74</v>
      </c>
      <c r="CB27" s="38">
        <v>75</v>
      </c>
      <c r="CC27" s="38">
        <v>76</v>
      </c>
      <c r="CD27" s="38">
        <v>77</v>
      </c>
      <c r="CE27" s="38">
        <v>78</v>
      </c>
      <c r="CF27" s="38">
        <v>79</v>
      </c>
      <c r="CG27" s="38">
        <v>80</v>
      </c>
      <c r="CH27" s="38">
        <v>81</v>
      </c>
      <c r="CI27" s="38">
        <v>82</v>
      </c>
      <c r="CJ27" s="38">
        <v>83</v>
      </c>
      <c r="CK27" s="38">
        <v>84</v>
      </c>
    </row>
    <row r="28" spans="2:89">
      <c r="B28" s="37" t="str">
        <v>№ операционного периода</v>
      </c>
      <c r="C28" s="33"/>
      <c r="D28" s="39"/>
      <c r="E28" s="34"/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1</v>
      </c>
      <c r="S28" s="38">
        <v>2</v>
      </c>
      <c r="T28" s="38">
        <v>3</v>
      </c>
      <c r="U28" s="38">
        <v>4</v>
      </c>
      <c r="V28" s="38">
        <v>5</v>
      </c>
      <c r="W28" s="38">
        <v>6</v>
      </c>
      <c r="X28" s="38">
        <v>7</v>
      </c>
      <c r="Y28" s="38">
        <v>8</v>
      </c>
      <c r="Z28" s="38">
        <v>9</v>
      </c>
      <c r="AA28" s="38">
        <v>10</v>
      </c>
      <c r="AB28" s="38">
        <v>11</v>
      </c>
      <c r="AC28" s="38">
        <v>12</v>
      </c>
      <c r="AD28" s="38">
        <v>13</v>
      </c>
      <c r="AE28" s="38">
        <v>14</v>
      </c>
      <c r="AF28" s="38">
        <v>15</v>
      </c>
      <c r="AG28" s="38">
        <v>16</v>
      </c>
      <c r="AH28" s="38">
        <v>17</v>
      </c>
      <c r="AI28" s="38">
        <v>18</v>
      </c>
      <c r="AJ28" s="38">
        <v>19</v>
      </c>
      <c r="AK28" s="38">
        <v>20</v>
      </c>
      <c r="AL28" s="38">
        <v>21</v>
      </c>
      <c r="AM28" s="38">
        <v>22</v>
      </c>
      <c r="AN28" s="38">
        <v>23</v>
      </c>
      <c r="AO28" s="38">
        <v>24</v>
      </c>
      <c r="AP28" s="38">
        <v>25</v>
      </c>
      <c r="AQ28" s="38">
        <v>26</v>
      </c>
      <c r="AR28" s="38">
        <v>27</v>
      </c>
      <c r="AS28" s="38">
        <v>28</v>
      </c>
      <c r="AT28" s="38">
        <v>29</v>
      </c>
      <c r="AU28" s="38">
        <v>30</v>
      </c>
      <c r="AV28" s="38">
        <v>31</v>
      </c>
      <c r="AW28" s="38">
        <v>32</v>
      </c>
      <c r="AX28" s="38">
        <v>33</v>
      </c>
      <c r="AY28" s="38">
        <v>34</v>
      </c>
      <c r="AZ28" s="38">
        <v>35</v>
      </c>
      <c r="BA28" s="38">
        <v>36</v>
      </c>
      <c r="BB28" s="38">
        <v>37</v>
      </c>
      <c r="BC28" s="38">
        <v>38</v>
      </c>
      <c r="BD28" s="38">
        <v>39</v>
      </c>
      <c r="BE28" s="38">
        <v>40</v>
      </c>
      <c r="BF28" s="38">
        <v>41</v>
      </c>
      <c r="BG28" s="38">
        <v>42</v>
      </c>
      <c r="BH28" s="38">
        <v>43</v>
      </c>
      <c r="BI28" s="38">
        <v>44</v>
      </c>
      <c r="BJ28" s="38">
        <v>45</v>
      </c>
      <c r="BK28" s="38">
        <v>46</v>
      </c>
      <c r="BL28" s="38">
        <v>47</v>
      </c>
      <c r="BM28" s="38">
        <v>48</v>
      </c>
      <c r="BN28" s="38">
        <v>49</v>
      </c>
      <c r="BO28" s="38">
        <v>50</v>
      </c>
      <c r="BP28" s="38">
        <v>51</v>
      </c>
      <c r="BQ28" s="38">
        <v>52</v>
      </c>
      <c r="BR28" s="38">
        <v>53</v>
      </c>
      <c r="BS28" s="38">
        <v>54</v>
      </c>
      <c r="BT28" s="38">
        <v>55</v>
      </c>
      <c r="BU28" s="38">
        <v>56</v>
      </c>
      <c r="BV28" s="38">
        <v>57</v>
      </c>
      <c r="BW28" s="38">
        <v>58</v>
      </c>
      <c r="BX28" s="38">
        <v>59</v>
      </c>
      <c r="BY28" s="38">
        <v>60</v>
      </c>
      <c r="BZ28" s="38">
        <v>61</v>
      </c>
      <c r="CA28" s="38">
        <v>62</v>
      </c>
      <c r="CB28" s="38">
        <v>63</v>
      </c>
      <c r="CC28" s="38">
        <v>64</v>
      </c>
      <c r="CD28" s="38">
        <v>65</v>
      </c>
      <c r="CE28" s="38">
        <v>66</v>
      </c>
      <c r="CF28" s="38">
        <v>67</v>
      </c>
      <c r="CG28" s="38">
        <v>68</v>
      </c>
      <c r="CH28" s="38">
        <v>69</v>
      </c>
      <c r="CI28" s="38">
        <v>70</v>
      </c>
      <c r="CJ28" s="38">
        <v>71</v>
      </c>
      <c r="CK28" s="38">
        <v>72</v>
      </c>
    </row>
    <row r="29" spans="2:89">
      <c r="B29" s="37" t="str">
        <v>№ операционного года</v>
      </c>
      <c r="C29" s="33"/>
      <c r="D29" s="39"/>
      <c r="E29" s="34"/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1</v>
      </c>
      <c r="S29" s="38">
        <v>1</v>
      </c>
      <c r="T29" s="38">
        <v>1</v>
      </c>
      <c r="U29" s="38">
        <v>1</v>
      </c>
      <c r="V29" s="38">
        <v>1</v>
      </c>
      <c r="W29" s="38">
        <v>1</v>
      </c>
      <c r="X29" s="38">
        <v>1</v>
      </c>
      <c r="Y29" s="38">
        <v>1</v>
      </c>
      <c r="Z29" s="38">
        <v>1</v>
      </c>
      <c r="AA29" s="38">
        <v>1</v>
      </c>
      <c r="AB29" s="38">
        <v>1</v>
      </c>
      <c r="AC29" s="38">
        <v>1</v>
      </c>
      <c r="AD29" s="38">
        <v>2</v>
      </c>
      <c r="AE29" s="38">
        <v>2</v>
      </c>
      <c r="AF29" s="38">
        <v>2</v>
      </c>
      <c r="AG29" s="38">
        <v>2</v>
      </c>
      <c r="AH29" s="38">
        <v>2</v>
      </c>
      <c r="AI29" s="38">
        <v>2</v>
      </c>
      <c r="AJ29" s="38">
        <v>2</v>
      </c>
      <c r="AK29" s="38">
        <v>2</v>
      </c>
      <c r="AL29" s="38">
        <v>2</v>
      </c>
      <c r="AM29" s="38">
        <v>2</v>
      </c>
      <c r="AN29" s="38">
        <v>2</v>
      </c>
      <c r="AO29" s="38">
        <v>2</v>
      </c>
      <c r="AP29" s="38">
        <v>3</v>
      </c>
      <c r="AQ29" s="38">
        <v>3</v>
      </c>
      <c r="AR29" s="38">
        <v>3</v>
      </c>
      <c r="AS29" s="38">
        <v>3</v>
      </c>
      <c r="AT29" s="38">
        <v>3</v>
      </c>
      <c r="AU29" s="38">
        <v>3</v>
      </c>
      <c r="AV29" s="38">
        <v>3</v>
      </c>
      <c r="AW29" s="38">
        <v>3</v>
      </c>
      <c r="AX29" s="38">
        <v>3</v>
      </c>
      <c r="AY29" s="38">
        <v>3</v>
      </c>
      <c r="AZ29" s="38">
        <v>3</v>
      </c>
      <c r="BA29" s="38">
        <v>3</v>
      </c>
      <c r="BB29" s="38">
        <v>4</v>
      </c>
      <c r="BC29" s="38">
        <v>4</v>
      </c>
      <c r="BD29" s="38">
        <v>4</v>
      </c>
      <c r="BE29" s="38">
        <v>4</v>
      </c>
      <c r="BF29" s="38">
        <v>4</v>
      </c>
      <c r="BG29" s="38">
        <v>4</v>
      </c>
      <c r="BH29" s="38">
        <v>4</v>
      </c>
      <c r="BI29" s="38">
        <v>4</v>
      </c>
      <c r="BJ29" s="38">
        <v>4</v>
      </c>
      <c r="BK29" s="38">
        <v>4</v>
      </c>
      <c r="BL29" s="38">
        <v>4</v>
      </c>
      <c r="BM29" s="38">
        <v>4</v>
      </c>
      <c r="BN29" s="38">
        <v>5</v>
      </c>
      <c r="BO29" s="38">
        <v>5</v>
      </c>
      <c r="BP29" s="38">
        <v>5</v>
      </c>
      <c r="BQ29" s="38">
        <v>5</v>
      </c>
      <c r="BR29" s="38">
        <v>5</v>
      </c>
      <c r="BS29" s="38">
        <v>5</v>
      </c>
      <c r="BT29" s="38">
        <v>5</v>
      </c>
      <c r="BU29" s="38">
        <v>5</v>
      </c>
      <c r="BV29" s="38">
        <v>5</v>
      </c>
      <c r="BW29" s="38">
        <v>5</v>
      </c>
      <c r="BX29" s="38">
        <v>5</v>
      </c>
      <c r="BY29" s="38">
        <v>5</v>
      </c>
      <c r="BZ29" s="38">
        <v>6</v>
      </c>
      <c r="CA29" s="38">
        <v>6</v>
      </c>
      <c r="CB29" s="38">
        <v>6</v>
      </c>
      <c r="CC29" s="38">
        <v>6</v>
      </c>
      <c r="CD29" s="38">
        <v>6</v>
      </c>
      <c r="CE29" s="38">
        <v>6</v>
      </c>
      <c r="CF29" s="38">
        <v>6</v>
      </c>
      <c r="CG29" s="38">
        <v>6</v>
      </c>
      <c r="CH29" s="38">
        <v>6</v>
      </c>
      <c r="CI29" s="38">
        <v>6</v>
      </c>
      <c r="CJ29" s="38">
        <v>6</v>
      </c>
      <c r="CK29" s="38">
        <v>6</v>
      </c>
    </row>
    <row r="30" spans="2:89" ht="3" customHeight="1">
      <c r="B30" s="14"/>
      <c r="C30" s="14"/>
      <c r="D30" s="14"/>
      <c r="E30" s="1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2:89">
      <c r="B31" s="40" t="s">
        <v>214</v>
      </c>
      <c r="C31" s="41"/>
      <c r="D31" s="41"/>
      <c r="E31" s="42">
        <f>COUNT(9:9)-1</f>
        <v>84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</row>
    <row r="32" spans="2:89">
      <c r="B32" s="14"/>
      <c r="C32" s="14"/>
      <c r="D32" s="67"/>
      <c r="E32" s="67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2:89" ht="20.25" thickBot="1">
      <c r="B33" s="26" t="s">
        <v>523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</row>
    <row r="34" spans="2:89" ht="15.75" thickTop="1">
      <c r="B34" s="14"/>
      <c r="C34" s="14"/>
      <c r="D34" s="67"/>
      <c r="E34" s="67"/>
      <c r="F34" s="184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</row>
    <row r="35" spans="2:89" ht="18" thickBot="1">
      <c r="B35" s="100" t="s">
        <v>524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4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</row>
    <row r="36" spans="2:89" ht="15.75" thickTop="1">
      <c r="B36" s="14"/>
      <c r="C36" s="14"/>
      <c r="D36" s="67"/>
      <c r="E36" s="67"/>
      <c r="F36" s="184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</row>
    <row r="37" spans="2:89" ht="15.75" thickBot="1">
      <c r="B37" s="96" t="str">
        <f>"Текущая цена продукции, в "&amp;Ед_измерения_денег&amp;" в т.ч. НДС"</f>
        <v>Текущая цена продукции, в  руб. в т.ч. НДС</v>
      </c>
      <c r="C37" s="97"/>
      <c r="D37" s="97"/>
      <c r="E37" s="97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</row>
    <row r="38" spans="2:89">
      <c r="B38" s="99"/>
      <c r="C38" s="99"/>
      <c r="D38" s="14"/>
      <c r="E38" s="1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</row>
    <row r="39" spans="2:89">
      <c r="B39" s="45" t="str">
        <f t="array" ref="B39:B49">Продажи_наименования</f>
        <v>БЛК</v>
      </c>
      <c r="C39" s="118"/>
      <c r="D39" s="118"/>
      <c r="E39" s="46"/>
      <c r="F39" s="49">
        <f t="array" ref="F39:CK49">Продажи_цены*F14:CK14</f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225000</v>
      </c>
      <c r="S39" s="49">
        <v>225000</v>
      </c>
      <c r="T39" s="49">
        <v>225000</v>
      </c>
      <c r="U39" s="49">
        <v>225000</v>
      </c>
      <c r="V39" s="49">
        <v>225000</v>
      </c>
      <c r="W39" s="49">
        <v>225000</v>
      </c>
      <c r="X39" s="49">
        <v>225000</v>
      </c>
      <c r="Y39" s="49">
        <v>225000</v>
      </c>
      <c r="Z39" s="49">
        <v>225000</v>
      </c>
      <c r="AA39" s="49">
        <v>225000</v>
      </c>
      <c r="AB39" s="49">
        <v>225000</v>
      </c>
      <c r="AC39" s="49">
        <v>225000</v>
      </c>
      <c r="AD39" s="49">
        <v>225000</v>
      </c>
      <c r="AE39" s="49">
        <v>225000</v>
      </c>
      <c r="AF39" s="49">
        <v>225000</v>
      </c>
      <c r="AG39" s="49">
        <v>225000</v>
      </c>
      <c r="AH39" s="49">
        <v>225000</v>
      </c>
      <c r="AI39" s="49">
        <v>225000</v>
      </c>
      <c r="AJ39" s="49">
        <v>225000</v>
      </c>
      <c r="AK39" s="49">
        <v>225000</v>
      </c>
      <c r="AL39" s="49">
        <v>225000</v>
      </c>
      <c r="AM39" s="49">
        <v>225000</v>
      </c>
      <c r="AN39" s="49">
        <v>225000</v>
      </c>
      <c r="AO39" s="49">
        <v>225000</v>
      </c>
      <c r="AP39" s="49">
        <v>225000</v>
      </c>
      <c r="AQ39" s="49">
        <v>225000</v>
      </c>
      <c r="AR39" s="49">
        <v>225000</v>
      </c>
      <c r="AS39" s="49">
        <v>225000</v>
      </c>
      <c r="AT39" s="49">
        <v>225000</v>
      </c>
      <c r="AU39" s="49">
        <v>225000</v>
      </c>
      <c r="AV39" s="49">
        <v>225000</v>
      </c>
      <c r="AW39" s="49">
        <v>225000</v>
      </c>
      <c r="AX39" s="49">
        <v>225000</v>
      </c>
      <c r="AY39" s="49">
        <v>225000</v>
      </c>
      <c r="AZ39" s="49">
        <v>225000</v>
      </c>
      <c r="BA39" s="49">
        <v>225000</v>
      </c>
      <c r="BB39" s="49">
        <v>225000</v>
      </c>
      <c r="BC39" s="49">
        <v>225000</v>
      </c>
      <c r="BD39" s="49">
        <v>225000</v>
      </c>
      <c r="BE39" s="49">
        <v>225000</v>
      </c>
      <c r="BF39" s="49">
        <v>225000</v>
      </c>
      <c r="BG39" s="49">
        <v>225000</v>
      </c>
      <c r="BH39" s="49">
        <v>225000</v>
      </c>
      <c r="BI39" s="49">
        <v>225000</v>
      </c>
      <c r="BJ39" s="49">
        <v>225000</v>
      </c>
      <c r="BK39" s="49">
        <v>225000</v>
      </c>
      <c r="BL39" s="49">
        <v>225000</v>
      </c>
      <c r="BM39" s="49">
        <v>225000</v>
      </c>
      <c r="BN39" s="49">
        <v>225000</v>
      </c>
      <c r="BO39" s="49">
        <v>225000</v>
      </c>
      <c r="BP39" s="49">
        <v>225000</v>
      </c>
      <c r="BQ39" s="49">
        <v>225000</v>
      </c>
      <c r="BR39" s="49">
        <v>225000</v>
      </c>
      <c r="BS39" s="49">
        <v>225000</v>
      </c>
      <c r="BT39" s="49">
        <v>225000</v>
      </c>
      <c r="BU39" s="49">
        <v>225000</v>
      </c>
      <c r="BV39" s="49">
        <v>225000</v>
      </c>
      <c r="BW39" s="49">
        <v>225000</v>
      </c>
      <c r="BX39" s="49">
        <v>225000</v>
      </c>
      <c r="BY39" s="49">
        <v>225000</v>
      </c>
      <c r="BZ39" s="49">
        <v>225000</v>
      </c>
      <c r="CA39" s="49">
        <v>225000</v>
      </c>
      <c r="CB39" s="49">
        <v>225000</v>
      </c>
      <c r="CC39" s="49">
        <v>225000</v>
      </c>
      <c r="CD39" s="49">
        <v>225000</v>
      </c>
      <c r="CE39" s="49">
        <v>225000</v>
      </c>
      <c r="CF39" s="49">
        <v>225000</v>
      </c>
      <c r="CG39" s="49">
        <v>225000</v>
      </c>
      <c r="CH39" s="49">
        <v>225000</v>
      </c>
      <c r="CI39" s="49">
        <v>225000</v>
      </c>
      <c r="CJ39" s="49">
        <v>225000</v>
      </c>
      <c r="CK39" s="49">
        <v>225000</v>
      </c>
    </row>
    <row r="40" spans="2:89">
      <c r="B40" s="86" t="str">
        <v>Зоогумус</v>
      </c>
      <c r="C40" s="118"/>
      <c r="D40" s="118"/>
      <c r="E40" s="46"/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23250</v>
      </c>
      <c r="S40" s="176">
        <v>23250</v>
      </c>
      <c r="T40" s="176">
        <v>23250</v>
      </c>
      <c r="U40" s="176">
        <v>23250</v>
      </c>
      <c r="V40" s="176">
        <v>23250</v>
      </c>
      <c r="W40" s="176">
        <v>23250</v>
      </c>
      <c r="X40" s="176">
        <v>23250</v>
      </c>
      <c r="Y40" s="176">
        <v>23250</v>
      </c>
      <c r="Z40" s="176">
        <v>23250</v>
      </c>
      <c r="AA40" s="176">
        <v>23250</v>
      </c>
      <c r="AB40" s="176">
        <v>23250</v>
      </c>
      <c r="AC40" s="176">
        <v>23250</v>
      </c>
      <c r="AD40" s="176">
        <v>23250</v>
      </c>
      <c r="AE40" s="176">
        <v>23250</v>
      </c>
      <c r="AF40" s="176">
        <v>23250</v>
      </c>
      <c r="AG40" s="176">
        <v>23250</v>
      </c>
      <c r="AH40" s="176">
        <v>23250</v>
      </c>
      <c r="AI40" s="176">
        <v>23250</v>
      </c>
      <c r="AJ40" s="176">
        <v>23250</v>
      </c>
      <c r="AK40" s="176">
        <v>23250</v>
      </c>
      <c r="AL40" s="176">
        <v>23250</v>
      </c>
      <c r="AM40" s="176">
        <v>23250</v>
      </c>
      <c r="AN40" s="176">
        <v>23250</v>
      </c>
      <c r="AO40" s="176">
        <v>23250</v>
      </c>
      <c r="AP40" s="176">
        <v>23250</v>
      </c>
      <c r="AQ40" s="176">
        <v>23250</v>
      </c>
      <c r="AR40" s="176">
        <v>23250</v>
      </c>
      <c r="AS40" s="176">
        <v>23250</v>
      </c>
      <c r="AT40" s="176">
        <v>23250</v>
      </c>
      <c r="AU40" s="176">
        <v>23250</v>
      </c>
      <c r="AV40" s="176">
        <v>23250</v>
      </c>
      <c r="AW40" s="176">
        <v>23250</v>
      </c>
      <c r="AX40" s="176">
        <v>23250</v>
      </c>
      <c r="AY40" s="176">
        <v>23250</v>
      </c>
      <c r="AZ40" s="176">
        <v>23250</v>
      </c>
      <c r="BA40" s="176">
        <v>23250</v>
      </c>
      <c r="BB40" s="176">
        <v>23250</v>
      </c>
      <c r="BC40" s="176">
        <v>23250</v>
      </c>
      <c r="BD40" s="176">
        <v>23250</v>
      </c>
      <c r="BE40" s="176">
        <v>23250</v>
      </c>
      <c r="BF40" s="176">
        <v>23250</v>
      </c>
      <c r="BG40" s="176">
        <v>23250</v>
      </c>
      <c r="BH40" s="176">
        <v>23250</v>
      </c>
      <c r="BI40" s="176">
        <v>23250</v>
      </c>
      <c r="BJ40" s="176">
        <v>23250</v>
      </c>
      <c r="BK40" s="176">
        <v>23250</v>
      </c>
      <c r="BL40" s="176">
        <v>23250</v>
      </c>
      <c r="BM40" s="176">
        <v>23250</v>
      </c>
      <c r="BN40" s="176">
        <v>23250</v>
      </c>
      <c r="BO40" s="176">
        <v>23250</v>
      </c>
      <c r="BP40" s="176">
        <v>23250</v>
      </c>
      <c r="BQ40" s="176">
        <v>23250</v>
      </c>
      <c r="BR40" s="176">
        <v>23250</v>
      </c>
      <c r="BS40" s="176">
        <v>23250</v>
      </c>
      <c r="BT40" s="176">
        <v>23250</v>
      </c>
      <c r="BU40" s="176">
        <v>23250</v>
      </c>
      <c r="BV40" s="176">
        <v>23250</v>
      </c>
      <c r="BW40" s="176">
        <v>23250</v>
      </c>
      <c r="BX40" s="176">
        <v>23250</v>
      </c>
      <c r="BY40" s="176">
        <v>23250</v>
      </c>
      <c r="BZ40" s="176">
        <v>23250</v>
      </c>
      <c r="CA40" s="176">
        <v>23250</v>
      </c>
      <c r="CB40" s="176">
        <v>23250</v>
      </c>
      <c r="CC40" s="176">
        <v>23250</v>
      </c>
      <c r="CD40" s="176">
        <v>23250</v>
      </c>
      <c r="CE40" s="176">
        <v>23250</v>
      </c>
      <c r="CF40" s="176">
        <v>23250</v>
      </c>
      <c r="CG40" s="176">
        <v>23250</v>
      </c>
      <c r="CH40" s="176">
        <v>23250</v>
      </c>
      <c r="CI40" s="176">
        <v>23250</v>
      </c>
      <c r="CJ40" s="176">
        <v>23250</v>
      </c>
      <c r="CK40" s="176">
        <v>23250</v>
      </c>
    </row>
    <row r="41" spans="2:89">
      <c r="B41" s="86" t="str">
        <v>Протеиновая мука</v>
      </c>
      <c r="C41" s="118"/>
      <c r="D41" s="118"/>
      <c r="E41" s="46"/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1275000</v>
      </c>
      <c r="S41" s="176">
        <v>1275000</v>
      </c>
      <c r="T41" s="176">
        <v>1275000</v>
      </c>
      <c r="U41" s="176">
        <v>1275000</v>
      </c>
      <c r="V41" s="176">
        <v>1275000</v>
      </c>
      <c r="W41" s="176">
        <v>1275000</v>
      </c>
      <c r="X41" s="176">
        <v>1275000</v>
      </c>
      <c r="Y41" s="176">
        <v>1275000</v>
      </c>
      <c r="Z41" s="176">
        <v>1275000</v>
      </c>
      <c r="AA41" s="176">
        <v>1275000</v>
      </c>
      <c r="AB41" s="176">
        <v>1275000</v>
      </c>
      <c r="AC41" s="176">
        <v>1275000</v>
      </c>
      <c r="AD41" s="176">
        <v>1275000</v>
      </c>
      <c r="AE41" s="176">
        <v>1275000</v>
      </c>
      <c r="AF41" s="176">
        <v>1275000</v>
      </c>
      <c r="AG41" s="176">
        <v>1275000</v>
      </c>
      <c r="AH41" s="176">
        <v>1275000</v>
      </c>
      <c r="AI41" s="176">
        <v>1275000</v>
      </c>
      <c r="AJ41" s="176">
        <v>1275000</v>
      </c>
      <c r="AK41" s="176">
        <v>1275000</v>
      </c>
      <c r="AL41" s="176">
        <v>1275000</v>
      </c>
      <c r="AM41" s="176">
        <v>1275000</v>
      </c>
      <c r="AN41" s="176">
        <v>1275000</v>
      </c>
      <c r="AO41" s="176">
        <v>1275000</v>
      </c>
      <c r="AP41" s="176">
        <v>1275000</v>
      </c>
      <c r="AQ41" s="176">
        <v>1275000</v>
      </c>
      <c r="AR41" s="176">
        <v>1275000</v>
      </c>
      <c r="AS41" s="176">
        <v>1275000</v>
      </c>
      <c r="AT41" s="176">
        <v>1275000</v>
      </c>
      <c r="AU41" s="176">
        <v>1275000</v>
      </c>
      <c r="AV41" s="176">
        <v>1275000</v>
      </c>
      <c r="AW41" s="176">
        <v>1275000</v>
      </c>
      <c r="AX41" s="176">
        <v>1275000</v>
      </c>
      <c r="AY41" s="176">
        <v>1275000</v>
      </c>
      <c r="AZ41" s="176">
        <v>1275000</v>
      </c>
      <c r="BA41" s="176">
        <v>1275000</v>
      </c>
      <c r="BB41" s="176">
        <v>1275000</v>
      </c>
      <c r="BC41" s="176">
        <v>1275000</v>
      </c>
      <c r="BD41" s="176">
        <v>1275000</v>
      </c>
      <c r="BE41" s="176">
        <v>1275000</v>
      </c>
      <c r="BF41" s="176">
        <v>1275000</v>
      </c>
      <c r="BG41" s="176">
        <v>1275000</v>
      </c>
      <c r="BH41" s="176">
        <v>1275000</v>
      </c>
      <c r="BI41" s="176">
        <v>1275000</v>
      </c>
      <c r="BJ41" s="176">
        <v>1275000</v>
      </c>
      <c r="BK41" s="176">
        <v>1275000</v>
      </c>
      <c r="BL41" s="176">
        <v>1275000</v>
      </c>
      <c r="BM41" s="176">
        <v>1275000</v>
      </c>
      <c r="BN41" s="176">
        <v>1275000</v>
      </c>
      <c r="BO41" s="176">
        <v>1275000</v>
      </c>
      <c r="BP41" s="176">
        <v>1275000</v>
      </c>
      <c r="BQ41" s="176">
        <v>1275000</v>
      </c>
      <c r="BR41" s="176">
        <v>1275000</v>
      </c>
      <c r="BS41" s="176">
        <v>1275000</v>
      </c>
      <c r="BT41" s="176">
        <v>1275000</v>
      </c>
      <c r="BU41" s="176">
        <v>1275000</v>
      </c>
      <c r="BV41" s="176">
        <v>1275000</v>
      </c>
      <c r="BW41" s="176">
        <v>1275000</v>
      </c>
      <c r="BX41" s="176">
        <v>1275000</v>
      </c>
      <c r="BY41" s="176">
        <v>1275000</v>
      </c>
      <c r="BZ41" s="176">
        <v>1275000</v>
      </c>
      <c r="CA41" s="176">
        <v>1275000</v>
      </c>
      <c r="CB41" s="176">
        <v>1275000</v>
      </c>
      <c r="CC41" s="176">
        <v>1275000</v>
      </c>
      <c r="CD41" s="176">
        <v>1275000</v>
      </c>
      <c r="CE41" s="176">
        <v>1275000</v>
      </c>
      <c r="CF41" s="176">
        <v>1275000</v>
      </c>
      <c r="CG41" s="176">
        <v>1275000</v>
      </c>
      <c r="CH41" s="176">
        <v>1275000</v>
      </c>
      <c r="CI41" s="176">
        <v>1275000</v>
      </c>
      <c r="CJ41" s="176">
        <v>1275000</v>
      </c>
      <c r="CK41" s="176">
        <v>1275000</v>
      </c>
    </row>
    <row r="42" spans="2:89">
      <c r="B42" s="86" t="str">
        <v>Жир светлый из предкуколки ЧЛ</v>
      </c>
      <c r="C42" s="118"/>
      <c r="D42" s="118"/>
      <c r="E42" s="46"/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750000</v>
      </c>
      <c r="S42" s="176">
        <v>750000</v>
      </c>
      <c r="T42" s="176">
        <v>750000</v>
      </c>
      <c r="U42" s="176">
        <v>750000</v>
      </c>
      <c r="V42" s="176">
        <v>750000</v>
      </c>
      <c r="W42" s="176">
        <v>750000</v>
      </c>
      <c r="X42" s="176">
        <v>750000</v>
      </c>
      <c r="Y42" s="176">
        <v>750000</v>
      </c>
      <c r="Z42" s="176">
        <v>750000</v>
      </c>
      <c r="AA42" s="176">
        <v>750000</v>
      </c>
      <c r="AB42" s="176">
        <v>750000</v>
      </c>
      <c r="AC42" s="176">
        <v>750000</v>
      </c>
      <c r="AD42" s="176">
        <v>750000</v>
      </c>
      <c r="AE42" s="176">
        <v>750000</v>
      </c>
      <c r="AF42" s="176">
        <v>750000</v>
      </c>
      <c r="AG42" s="176">
        <v>750000</v>
      </c>
      <c r="AH42" s="176">
        <v>750000</v>
      </c>
      <c r="AI42" s="176">
        <v>750000</v>
      </c>
      <c r="AJ42" s="176">
        <v>750000</v>
      </c>
      <c r="AK42" s="176">
        <v>750000</v>
      </c>
      <c r="AL42" s="176">
        <v>750000</v>
      </c>
      <c r="AM42" s="176">
        <v>750000</v>
      </c>
      <c r="AN42" s="176">
        <v>750000</v>
      </c>
      <c r="AO42" s="176">
        <v>750000</v>
      </c>
      <c r="AP42" s="176">
        <v>750000</v>
      </c>
      <c r="AQ42" s="176">
        <v>750000</v>
      </c>
      <c r="AR42" s="176">
        <v>750000</v>
      </c>
      <c r="AS42" s="176">
        <v>750000</v>
      </c>
      <c r="AT42" s="176">
        <v>750000</v>
      </c>
      <c r="AU42" s="176">
        <v>750000</v>
      </c>
      <c r="AV42" s="176">
        <v>750000</v>
      </c>
      <c r="AW42" s="176">
        <v>750000</v>
      </c>
      <c r="AX42" s="176">
        <v>750000</v>
      </c>
      <c r="AY42" s="176">
        <v>750000</v>
      </c>
      <c r="AZ42" s="176">
        <v>750000</v>
      </c>
      <c r="BA42" s="176">
        <v>750000</v>
      </c>
      <c r="BB42" s="176">
        <v>750000</v>
      </c>
      <c r="BC42" s="176">
        <v>750000</v>
      </c>
      <c r="BD42" s="176">
        <v>750000</v>
      </c>
      <c r="BE42" s="176">
        <v>750000</v>
      </c>
      <c r="BF42" s="176">
        <v>750000</v>
      </c>
      <c r="BG42" s="176">
        <v>750000</v>
      </c>
      <c r="BH42" s="176">
        <v>750000</v>
      </c>
      <c r="BI42" s="176">
        <v>750000</v>
      </c>
      <c r="BJ42" s="176">
        <v>750000</v>
      </c>
      <c r="BK42" s="176">
        <v>750000</v>
      </c>
      <c r="BL42" s="176">
        <v>750000</v>
      </c>
      <c r="BM42" s="176">
        <v>750000</v>
      </c>
      <c r="BN42" s="176">
        <v>750000</v>
      </c>
      <c r="BO42" s="176">
        <v>750000</v>
      </c>
      <c r="BP42" s="176">
        <v>750000</v>
      </c>
      <c r="BQ42" s="176">
        <v>750000</v>
      </c>
      <c r="BR42" s="176">
        <v>750000</v>
      </c>
      <c r="BS42" s="176">
        <v>750000</v>
      </c>
      <c r="BT42" s="176">
        <v>750000</v>
      </c>
      <c r="BU42" s="176">
        <v>750000</v>
      </c>
      <c r="BV42" s="176">
        <v>750000</v>
      </c>
      <c r="BW42" s="176">
        <v>750000</v>
      </c>
      <c r="BX42" s="176">
        <v>750000</v>
      </c>
      <c r="BY42" s="176">
        <v>750000</v>
      </c>
      <c r="BZ42" s="176">
        <v>750000</v>
      </c>
      <c r="CA42" s="176">
        <v>750000</v>
      </c>
      <c r="CB42" s="176">
        <v>750000</v>
      </c>
      <c r="CC42" s="176">
        <v>750000</v>
      </c>
      <c r="CD42" s="176">
        <v>750000</v>
      </c>
      <c r="CE42" s="176">
        <v>750000</v>
      </c>
      <c r="CF42" s="176">
        <v>750000</v>
      </c>
      <c r="CG42" s="176">
        <v>750000</v>
      </c>
      <c r="CH42" s="176">
        <v>750000</v>
      </c>
      <c r="CI42" s="176">
        <v>750000</v>
      </c>
      <c r="CJ42" s="176">
        <v>750000</v>
      </c>
      <c r="CK42" s="176">
        <v>750000</v>
      </c>
    </row>
    <row r="43" spans="2:89">
      <c r="B43" s="86" t="str">
        <v>Крем-мыло из светлого жира предкуколки ЧЛ</v>
      </c>
      <c r="C43" s="118"/>
      <c r="D43" s="118"/>
      <c r="E43" s="46"/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2100000</v>
      </c>
      <c r="S43" s="176">
        <v>2100000</v>
      </c>
      <c r="T43" s="176">
        <v>2100000</v>
      </c>
      <c r="U43" s="176">
        <v>2100000</v>
      </c>
      <c r="V43" s="176">
        <v>2100000</v>
      </c>
      <c r="W43" s="176">
        <v>2100000</v>
      </c>
      <c r="X43" s="176">
        <v>2100000</v>
      </c>
      <c r="Y43" s="176">
        <v>2100000</v>
      </c>
      <c r="Z43" s="176">
        <v>2100000</v>
      </c>
      <c r="AA43" s="176">
        <v>2100000</v>
      </c>
      <c r="AB43" s="176">
        <v>2100000</v>
      </c>
      <c r="AC43" s="176">
        <v>2100000</v>
      </c>
      <c r="AD43" s="176">
        <v>2100000</v>
      </c>
      <c r="AE43" s="176">
        <v>2100000</v>
      </c>
      <c r="AF43" s="176">
        <v>2100000</v>
      </c>
      <c r="AG43" s="176">
        <v>2100000</v>
      </c>
      <c r="AH43" s="176">
        <v>2100000</v>
      </c>
      <c r="AI43" s="176">
        <v>2100000</v>
      </c>
      <c r="AJ43" s="176">
        <v>2100000</v>
      </c>
      <c r="AK43" s="176">
        <v>2100000</v>
      </c>
      <c r="AL43" s="176">
        <v>2100000</v>
      </c>
      <c r="AM43" s="176">
        <v>2100000</v>
      </c>
      <c r="AN43" s="176">
        <v>2100000</v>
      </c>
      <c r="AO43" s="176">
        <v>2100000</v>
      </c>
      <c r="AP43" s="176">
        <v>2100000</v>
      </c>
      <c r="AQ43" s="176">
        <v>2100000</v>
      </c>
      <c r="AR43" s="176">
        <v>2100000</v>
      </c>
      <c r="AS43" s="176">
        <v>2100000</v>
      </c>
      <c r="AT43" s="176">
        <v>2100000</v>
      </c>
      <c r="AU43" s="176">
        <v>2100000</v>
      </c>
      <c r="AV43" s="176">
        <v>2100000</v>
      </c>
      <c r="AW43" s="176">
        <v>2100000</v>
      </c>
      <c r="AX43" s="176">
        <v>2100000</v>
      </c>
      <c r="AY43" s="176">
        <v>2100000</v>
      </c>
      <c r="AZ43" s="176">
        <v>2100000</v>
      </c>
      <c r="BA43" s="176">
        <v>2100000</v>
      </c>
      <c r="BB43" s="176">
        <v>2100000</v>
      </c>
      <c r="BC43" s="176">
        <v>2100000</v>
      </c>
      <c r="BD43" s="176">
        <v>2100000</v>
      </c>
      <c r="BE43" s="176">
        <v>2100000</v>
      </c>
      <c r="BF43" s="176">
        <v>2100000</v>
      </c>
      <c r="BG43" s="176">
        <v>2100000</v>
      </c>
      <c r="BH43" s="176">
        <v>2100000</v>
      </c>
      <c r="BI43" s="176">
        <v>2100000</v>
      </c>
      <c r="BJ43" s="176">
        <v>2100000</v>
      </c>
      <c r="BK43" s="176">
        <v>2100000</v>
      </c>
      <c r="BL43" s="176">
        <v>2100000</v>
      </c>
      <c r="BM43" s="176">
        <v>2100000</v>
      </c>
      <c r="BN43" s="176">
        <v>2100000</v>
      </c>
      <c r="BO43" s="176">
        <v>2100000</v>
      </c>
      <c r="BP43" s="176">
        <v>2100000</v>
      </c>
      <c r="BQ43" s="176">
        <v>2100000</v>
      </c>
      <c r="BR43" s="176">
        <v>2100000</v>
      </c>
      <c r="BS43" s="176">
        <v>2100000</v>
      </c>
      <c r="BT43" s="176">
        <v>2100000</v>
      </c>
      <c r="BU43" s="176">
        <v>2100000</v>
      </c>
      <c r="BV43" s="176">
        <v>2100000</v>
      </c>
      <c r="BW43" s="176">
        <v>2100000</v>
      </c>
      <c r="BX43" s="176">
        <v>2100000</v>
      </c>
      <c r="BY43" s="176">
        <v>2100000</v>
      </c>
      <c r="BZ43" s="176">
        <v>2100000</v>
      </c>
      <c r="CA43" s="176">
        <v>2100000</v>
      </c>
      <c r="CB43" s="176">
        <v>2100000</v>
      </c>
      <c r="CC43" s="176">
        <v>2100000</v>
      </c>
      <c r="CD43" s="176">
        <v>2100000</v>
      </c>
      <c r="CE43" s="176">
        <v>2100000</v>
      </c>
      <c r="CF43" s="176">
        <v>2100000</v>
      </c>
      <c r="CG43" s="176">
        <v>2100000</v>
      </c>
      <c r="CH43" s="176">
        <v>2100000</v>
      </c>
      <c r="CI43" s="176">
        <v>2100000</v>
      </c>
      <c r="CJ43" s="176">
        <v>2100000</v>
      </c>
      <c r="CK43" s="176">
        <v>2100000</v>
      </c>
    </row>
    <row r="44" spans="2:89">
      <c r="B44" s="86" t="str">
        <v>Продукты пчеловодства</v>
      </c>
      <c r="C44" s="118"/>
      <c r="D44" s="118"/>
      <c r="E44" s="46"/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300000</v>
      </c>
      <c r="S44" s="176">
        <v>300000</v>
      </c>
      <c r="T44" s="176">
        <v>300000</v>
      </c>
      <c r="U44" s="176">
        <v>300000</v>
      </c>
      <c r="V44" s="176">
        <v>300000</v>
      </c>
      <c r="W44" s="176">
        <v>300000</v>
      </c>
      <c r="X44" s="176">
        <v>300000</v>
      </c>
      <c r="Y44" s="176">
        <v>300000</v>
      </c>
      <c r="Z44" s="176">
        <v>300000</v>
      </c>
      <c r="AA44" s="176">
        <v>300000</v>
      </c>
      <c r="AB44" s="176">
        <v>300000</v>
      </c>
      <c r="AC44" s="176">
        <v>300000</v>
      </c>
      <c r="AD44" s="176">
        <v>300000</v>
      </c>
      <c r="AE44" s="176">
        <v>300000</v>
      </c>
      <c r="AF44" s="176">
        <v>300000</v>
      </c>
      <c r="AG44" s="176">
        <v>300000</v>
      </c>
      <c r="AH44" s="176">
        <v>300000</v>
      </c>
      <c r="AI44" s="176">
        <v>300000</v>
      </c>
      <c r="AJ44" s="176">
        <v>300000</v>
      </c>
      <c r="AK44" s="176">
        <v>300000</v>
      </c>
      <c r="AL44" s="176">
        <v>300000</v>
      </c>
      <c r="AM44" s="176">
        <v>300000</v>
      </c>
      <c r="AN44" s="176">
        <v>300000</v>
      </c>
      <c r="AO44" s="176">
        <v>300000</v>
      </c>
      <c r="AP44" s="176">
        <v>300000</v>
      </c>
      <c r="AQ44" s="176">
        <v>300000</v>
      </c>
      <c r="AR44" s="176">
        <v>300000</v>
      </c>
      <c r="AS44" s="176">
        <v>300000</v>
      </c>
      <c r="AT44" s="176">
        <v>300000</v>
      </c>
      <c r="AU44" s="176">
        <v>300000</v>
      </c>
      <c r="AV44" s="176">
        <v>300000</v>
      </c>
      <c r="AW44" s="176">
        <v>300000</v>
      </c>
      <c r="AX44" s="176">
        <v>300000</v>
      </c>
      <c r="AY44" s="176">
        <v>300000</v>
      </c>
      <c r="AZ44" s="176">
        <v>300000</v>
      </c>
      <c r="BA44" s="176">
        <v>300000</v>
      </c>
      <c r="BB44" s="176">
        <v>300000</v>
      </c>
      <c r="BC44" s="176">
        <v>300000</v>
      </c>
      <c r="BD44" s="176">
        <v>300000</v>
      </c>
      <c r="BE44" s="176">
        <v>300000</v>
      </c>
      <c r="BF44" s="176">
        <v>300000</v>
      </c>
      <c r="BG44" s="176">
        <v>300000</v>
      </c>
      <c r="BH44" s="176">
        <v>300000</v>
      </c>
      <c r="BI44" s="176">
        <v>300000</v>
      </c>
      <c r="BJ44" s="176">
        <v>300000</v>
      </c>
      <c r="BK44" s="176">
        <v>300000</v>
      </c>
      <c r="BL44" s="176">
        <v>300000</v>
      </c>
      <c r="BM44" s="176">
        <v>300000</v>
      </c>
      <c r="BN44" s="176">
        <v>300000</v>
      </c>
      <c r="BO44" s="176">
        <v>300000</v>
      </c>
      <c r="BP44" s="176">
        <v>300000</v>
      </c>
      <c r="BQ44" s="176">
        <v>300000</v>
      </c>
      <c r="BR44" s="176">
        <v>300000</v>
      </c>
      <c r="BS44" s="176">
        <v>300000</v>
      </c>
      <c r="BT44" s="176">
        <v>300000</v>
      </c>
      <c r="BU44" s="176">
        <v>300000</v>
      </c>
      <c r="BV44" s="176">
        <v>300000</v>
      </c>
      <c r="BW44" s="176">
        <v>300000</v>
      </c>
      <c r="BX44" s="176">
        <v>300000</v>
      </c>
      <c r="BY44" s="176">
        <v>300000</v>
      </c>
      <c r="BZ44" s="176">
        <v>300000</v>
      </c>
      <c r="CA44" s="176">
        <v>300000</v>
      </c>
      <c r="CB44" s="176">
        <v>300000</v>
      </c>
      <c r="CC44" s="176">
        <v>300000</v>
      </c>
      <c r="CD44" s="176">
        <v>300000</v>
      </c>
      <c r="CE44" s="176">
        <v>300000</v>
      </c>
      <c r="CF44" s="176">
        <v>300000</v>
      </c>
      <c r="CG44" s="176">
        <v>300000</v>
      </c>
      <c r="CH44" s="176">
        <v>300000</v>
      </c>
      <c r="CI44" s="176">
        <v>300000</v>
      </c>
      <c r="CJ44" s="176">
        <v>300000</v>
      </c>
      <c r="CK44" s="176">
        <v>300000</v>
      </c>
    </row>
    <row r="45" spans="2:89">
      <c r="B45" s="86" t="str">
        <v>Опылительная деятельность</v>
      </c>
      <c r="C45" s="118"/>
      <c r="D45" s="118"/>
      <c r="E45" s="46"/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345</v>
      </c>
      <c r="S45" s="176">
        <v>345</v>
      </c>
      <c r="T45" s="176">
        <v>345</v>
      </c>
      <c r="U45" s="176">
        <v>345</v>
      </c>
      <c r="V45" s="176">
        <v>345</v>
      </c>
      <c r="W45" s="176">
        <v>345</v>
      </c>
      <c r="X45" s="176">
        <v>345</v>
      </c>
      <c r="Y45" s="176">
        <v>345</v>
      </c>
      <c r="Z45" s="176">
        <v>345</v>
      </c>
      <c r="AA45" s="176">
        <v>345</v>
      </c>
      <c r="AB45" s="176">
        <v>345</v>
      </c>
      <c r="AC45" s="176">
        <v>345</v>
      </c>
      <c r="AD45" s="176">
        <v>345</v>
      </c>
      <c r="AE45" s="176">
        <v>345</v>
      </c>
      <c r="AF45" s="176">
        <v>345</v>
      </c>
      <c r="AG45" s="176">
        <v>345</v>
      </c>
      <c r="AH45" s="176">
        <v>345</v>
      </c>
      <c r="AI45" s="176">
        <v>345</v>
      </c>
      <c r="AJ45" s="176">
        <v>345</v>
      </c>
      <c r="AK45" s="176">
        <v>345</v>
      </c>
      <c r="AL45" s="176">
        <v>345</v>
      </c>
      <c r="AM45" s="176">
        <v>345</v>
      </c>
      <c r="AN45" s="176">
        <v>345</v>
      </c>
      <c r="AO45" s="176">
        <v>345</v>
      </c>
      <c r="AP45" s="176">
        <v>345</v>
      </c>
      <c r="AQ45" s="176">
        <v>345</v>
      </c>
      <c r="AR45" s="176">
        <v>345</v>
      </c>
      <c r="AS45" s="176">
        <v>345</v>
      </c>
      <c r="AT45" s="176">
        <v>345</v>
      </c>
      <c r="AU45" s="176">
        <v>345</v>
      </c>
      <c r="AV45" s="176">
        <v>345</v>
      </c>
      <c r="AW45" s="176">
        <v>345</v>
      </c>
      <c r="AX45" s="176">
        <v>345</v>
      </c>
      <c r="AY45" s="176">
        <v>345</v>
      </c>
      <c r="AZ45" s="176">
        <v>345</v>
      </c>
      <c r="BA45" s="176">
        <v>345</v>
      </c>
      <c r="BB45" s="176">
        <v>345</v>
      </c>
      <c r="BC45" s="176">
        <v>345</v>
      </c>
      <c r="BD45" s="176">
        <v>345</v>
      </c>
      <c r="BE45" s="176">
        <v>345</v>
      </c>
      <c r="BF45" s="176">
        <v>345</v>
      </c>
      <c r="BG45" s="176">
        <v>345</v>
      </c>
      <c r="BH45" s="176">
        <v>345</v>
      </c>
      <c r="BI45" s="176">
        <v>345</v>
      </c>
      <c r="BJ45" s="176">
        <v>345</v>
      </c>
      <c r="BK45" s="176">
        <v>345</v>
      </c>
      <c r="BL45" s="176">
        <v>345</v>
      </c>
      <c r="BM45" s="176">
        <v>345</v>
      </c>
      <c r="BN45" s="176">
        <v>345</v>
      </c>
      <c r="BO45" s="176">
        <v>345</v>
      </c>
      <c r="BP45" s="176">
        <v>345</v>
      </c>
      <c r="BQ45" s="176">
        <v>345</v>
      </c>
      <c r="BR45" s="176">
        <v>345</v>
      </c>
      <c r="BS45" s="176">
        <v>345</v>
      </c>
      <c r="BT45" s="176">
        <v>345</v>
      </c>
      <c r="BU45" s="176">
        <v>345</v>
      </c>
      <c r="BV45" s="176">
        <v>345</v>
      </c>
      <c r="BW45" s="176">
        <v>345</v>
      </c>
      <c r="BX45" s="176">
        <v>345</v>
      </c>
      <c r="BY45" s="176">
        <v>345</v>
      </c>
      <c r="BZ45" s="176">
        <v>345</v>
      </c>
      <c r="CA45" s="176">
        <v>345</v>
      </c>
      <c r="CB45" s="176">
        <v>345</v>
      </c>
      <c r="CC45" s="176">
        <v>345</v>
      </c>
      <c r="CD45" s="176">
        <v>345</v>
      </c>
      <c r="CE45" s="176">
        <v>345</v>
      </c>
      <c r="CF45" s="176">
        <v>345</v>
      </c>
      <c r="CG45" s="176">
        <v>345</v>
      </c>
      <c r="CH45" s="176">
        <v>345</v>
      </c>
      <c r="CI45" s="176">
        <v>345</v>
      </c>
      <c r="CJ45" s="176">
        <v>345</v>
      </c>
      <c r="CK45" s="176">
        <v>345</v>
      </c>
    </row>
    <row r="46" spans="2:89">
      <c r="B46" s="86" t="str">
        <v>Реализация пчелопакетов</v>
      </c>
      <c r="C46" s="118"/>
      <c r="D46" s="118"/>
      <c r="E46" s="46"/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3000</v>
      </c>
      <c r="S46" s="176">
        <v>3000</v>
      </c>
      <c r="T46" s="176">
        <v>3000</v>
      </c>
      <c r="U46" s="176">
        <v>3000</v>
      </c>
      <c r="V46" s="176">
        <v>3000</v>
      </c>
      <c r="W46" s="176">
        <v>3000</v>
      </c>
      <c r="X46" s="176">
        <v>3000</v>
      </c>
      <c r="Y46" s="176">
        <v>3000</v>
      </c>
      <c r="Z46" s="176">
        <v>3000</v>
      </c>
      <c r="AA46" s="176">
        <v>3000</v>
      </c>
      <c r="AB46" s="176">
        <v>3000</v>
      </c>
      <c r="AC46" s="176">
        <v>3000</v>
      </c>
      <c r="AD46" s="176">
        <v>3000</v>
      </c>
      <c r="AE46" s="176">
        <v>3000</v>
      </c>
      <c r="AF46" s="176">
        <v>3000</v>
      </c>
      <c r="AG46" s="176">
        <v>3000</v>
      </c>
      <c r="AH46" s="176">
        <v>3000</v>
      </c>
      <c r="AI46" s="176">
        <v>3000</v>
      </c>
      <c r="AJ46" s="176">
        <v>3000</v>
      </c>
      <c r="AK46" s="176">
        <v>3000</v>
      </c>
      <c r="AL46" s="176">
        <v>3000</v>
      </c>
      <c r="AM46" s="176">
        <v>3000</v>
      </c>
      <c r="AN46" s="176">
        <v>3000</v>
      </c>
      <c r="AO46" s="176">
        <v>3000</v>
      </c>
      <c r="AP46" s="176">
        <v>3000</v>
      </c>
      <c r="AQ46" s="176">
        <v>3000</v>
      </c>
      <c r="AR46" s="176">
        <v>3000</v>
      </c>
      <c r="AS46" s="176">
        <v>3000</v>
      </c>
      <c r="AT46" s="176">
        <v>3000</v>
      </c>
      <c r="AU46" s="176">
        <v>3000</v>
      </c>
      <c r="AV46" s="176">
        <v>3000</v>
      </c>
      <c r="AW46" s="176">
        <v>3000</v>
      </c>
      <c r="AX46" s="176">
        <v>3000</v>
      </c>
      <c r="AY46" s="176">
        <v>3000</v>
      </c>
      <c r="AZ46" s="176">
        <v>3000</v>
      </c>
      <c r="BA46" s="176">
        <v>3000</v>
      </c>
      <c r="BB46" s="176">
        <v>3000</v>
      </c>
      <c r="BC46" s="176">
        <v>3000</v>
      </c>
      <c r="BD46" s="176">
        <v>3000</v>
      </c>
      <c r="BE46" s="176">
        <v>3000</v>
      </c>
      <c r="BF46" s="176">
        <v>3000</v>
      </c>
      <c r="BG46" s="176">
        <v>3000</v>
      </c>
      <c r="BH46" s="176">
        <v>3000</v>
      </c>
      <c r="BI46" s="176">
        <v>3000</v>
      </c>
      <c r="BJ46" s="176">
        <v>3000</v>
      </c>
      <c r="BK46" s="176">
        <v>3000</v>
      </c>
      <c r="BL46" s="176">
        <v>3000</v>
      </c>
      <c r="BM46" s="176">
        <v>3000</v>
      </c>
      <c r="BN46" s="176">
        <v>3000</v>
      </c>
      <c r="BO46" s="176">
        <v>3000</v>
      </c>
      <c r="BP46" s="176">
        <v>3000</v>
      </c>
      <c r="BQ46" s="176">
        <v>3000</v>
      </c>
      <c r="BR46" s="176">
        <v>3000</v>
      </c>
      <c r="BS46" s="176">
        <v>3000</v>
      </c>
      <c r="BT46" s="176">
        <v>3000</v>
      </c>
      <c r="BU46" s="176">
        <v>3000</v>
      </c>
      <c r="BV46" s="176">
        <v>3000</v>
      </c>
      <c r="BW46" s="176">
        <v>3000</v>
      </c>
      <c r="BX46" s="176">
        <v>3000</v>
      </c>
      <c r="BY46" s="176">
        <v>3000</v>
      </c>
      <c r="BZ46" s="176">
        <v>3000</v>
      </c>
      <c r="CA46" s="176">
        <v>3000</v>
      </c>
      <c r="CB46" s="176">
        <v>3000</v>
      </c>
      <c r="CC46" s="176">
        <v>3000</v>
      </c>
      <c r="CD46" s="176">
        <v>3000</v>
      </c>
      <c r="CE46" s="176">
        <v>3000</v>
      </c>
      <c r="CF46" s="176">
        <v>3000</v>
      </c>
      <c r="CG46" s="176">
        <v>3000</v>
      </c>
      <c r="CH46" s="176">
        <v>3000</v>
      </c>
      <c r="CI46" s="176">
        <v>3000</v>
      </c>
      <c r="CJ46" s="176">
        <v>3000</v>
      </c>
      <c r="CK46" s="176">
        <v>3000</v>
      </c>
    </row>
    <row r="47" spans="2:89">
      <c r="B47" s="86" t="str">
        <v>Реализация пчеломаток</v>
      </c>
      <c r="C47" s="118"/>
      <c r="D47" s="118"/>
      <c r="E47" s="46"/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750</v>
      </c>
      <c r="S47" s="176">
        <v>750</v>
      </c>
      <c r="T47" s="176">
        <v>750</v>
      </c>
      <c r="U47" s="176">
        <v>750</v>
      </c>
      <c r="V47" s="176">
        <v>750</v>
      </c>
      <c r="W47" s="176">
        <v>750</v>
      </c>
      <c r="X47" s="176">
        <v>750</v>
      </c>
      <c r="Y47" s="176">
        <v>750</v>
      </c>
      <c r="Z47" s="176">
        <v>750</v>
      </c>
      <c r="AA47" s="176">
        <v>750</v>
      </c>
      <c r="AB47" s="176">
        <v>750</v>
      </c>
      <c r="AC47" s="176">
        <v>750</v>
      </c>
      <c r="AD47" s="176">
        <v>750</v>
      </c>
      <c r="AE47" s="176">
        <v>750</v>
      </c>
      <c r="AF47" s="176">
        <v>750</v>
      </c>
      <c r="AG47" s="176">
        <v>750</v>
      </c>
      <c r="AH47" s="176">
        <v>750</v>
      </c>
      <c r="AI47" s="176">
        <v>750</v>
      </c>
      <c r="AJ47" s="176">
        <v>750</v>
      </c>
      <c r="AK47" s="176">
        <v>750</v>
      </c>
      <c r="AL47" s="176">
        <v>750</v>
      </c>
      <c r="AM47" s="176">
        <v>750</v>
      </c>
      <c r="AN47" s="176">
        <v>750</v>
      </c>
      <c r="AO47" s="176">
        <v>750</v>
      </c>
      <c r="AP47" s="176">
        <v>750</v>
      </c>
      <c r="AQ47" s="176">
        <v>750</v>
      </c>
      <c r="AR47" s="176">
        <v>750</v>
      </c>
      <c r="AS47" s="176">
        <v>750</v>
      </c>
      <c r="AT47" s="176">
        <v>750</v>
      </c>
      <c r="AU47" s="176">
        <v>750</v>
      </c>
      <c r="AV47" s="176">
        <v>750</v>
      </c>
      <c r="AW47" s="176">
        <v>750</v>
      </c>
      <c r="AX47" s="176">
        <v>750</v>
      </c>
      <c r="AY47" s="176">
        <v>750</v>
      </c>
      <c r="AZ47" s="176">
        <v>750</v>
      </c>
      <c r="BA47" s="176">
        <v>750</v>
      </c>
      <c r="BB47" s="176">
        <v>750</v>
      </c>
      <c r="BC47" s="176">
        <v>750</v>
      </c>
      <c r="BD47" s="176">
        <v>750</v>
      </c>
      <c r="BE47" s="176">
        <v>750</v>
      </c>
      <c r="BF47" s="176">
        <v>750</v>
      </c>
      <c r="BG47" s="176">
        <v>750</v>
      </c>
      <c r="BH47" s="176">
        <v>750</v>
      </c>
      <c r="BI47" s="176">
        <v>750</v>
      </c>
      <c r="BJ47" s="176">
        <v>750</v>
      </c>
      <c r="BK47" s="176">
        <v>750</v>
      </c>
      <c r="BL47" s="176">
        <v>750</v>
      </c>
      <c r="BM47" s="176">
        <v>750</v>
      </c>
      <c r="BN47" s="176">
        <v>750</v>
      </c>
      <c r="BO47" s="176">
        <v>750</v>
      </c>
      <c r="BP47" s="176">
        <v>750</v>
      </c>
      <c r="BQ47" s="176">
        <v>750</v>
      </c>
      <c r="BR47" s="176">
        <v>750</v>
      </c>
      <c r="BS47" s="176">
        <v>750</v>
      </c>
      <c r="BT47" s="176">
        <v>750</v>
      </c>
      <c r="BU47" s="176">
        <v>750</v>
      </c>
      <c r="BV47" s="176">
        <v>750</v>
      </c>
      <c r="BW47" s="176">
        <v>750</v>
      </c>
      <c r="BX47" s="176">
        <v>750</v>
      </c>
      <c r="BY47" s="176">
        <v>750</v>
      </c>
      <c r="BZ47" s="176">
        <v>750</v>
      </c>
      <c r="CA47" s="176">
        <v>750</v>
      </c>
      <c r="CB47" s="176">
        <v>750</v>
      </c>
      <c r="CC47" s="176">
        <v>750</v>
      </c>
      <c r="CD47" s="176">
        <v>750</v>
      </c>
      <c r="CE47" s="176">
        <v>750</v>
      </c>
      <c r="CF47" s="176">
        <v>750</v>
      </c>
      <c r="CG47" s="176">
        <v>750</v>
      </c>
      <c r="CH47" s="176">
        <v>750</v>
      </c>
      <c r="CI47" s="176">
        <v>750</v>
      </c>
      <c r="CJ47" s="176">
        <v>750</v>
      </c>
      <c r="CK47" s="176">
        <v>750</v>
      </c>
    </row>
    <row r="48" spans="2:89">
      <c r="B48" s="86" t="str">
        <v>Реализация с/х продукции</v>
      </c>
      <c r="C48" s="118"/>
      <c r="D48" s="118"/>
      <c r="E48" s="46"/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17250</v>
      </c>
      <c r="S48" s="176">
        <v>17250</v>
      </c>
      <c r="T48" s="176">
        <v>17250</v>
      </c>
      <c r="U48" s="176">
        <v>17250</v>
      </c>
      <c r="V48" s="176">
        <v>17250</v>
      </c>
      <c r="W48" s="176">
        <v>17250</v>
      </c>
      <c r="X48" s="176">
        <v>17250</v>
      </c>
      <c r="Y48" s="176">
        <v>17250</v>
      </c>
      <c r="Z48" s="176">
        <v>17250</v>
      </c>
      <c r="AA48" s="176">
        <v>17250</v>
      </c>
      <c r="AB48" s="176">
        <v>17250</v>
      </c>
      <c r="AC48" s="176">
        <v>17250</v>
      </c>
      <c r="AD48" s="176">
        <v>17250</v>
      </c>
      <c r="AE48" s="176">
        <v>17250</v>
      </c>
      <c r="AF48" s="176">
        <v>17250</v>
      </c>
      <c r="AG48" s="176">
        <v>17250</v>
      </c>
      <c r="AH48" s="176">
        <v>17250</v>
      </c>
      <c r="AI48" s="176">
        <v>17250</v>
      </c>
      <c r="AJ48" s="176">
        <v>17250</v>
      </c>
      <c r="AK48" s="176">
        <v>17250</v>
      </c>
      <c r="AL48" s="176">
        <v>17250</v>
      </c>
      <c r="AM48" s="176">
        <v>17250</v>
      </c>
      <c r="AN48" s="176">
        <v>17250</v>
      </c>
      <c r="AO48" s="176">
        <v>17250</v>
      </c>
      <c r="AP48" s="176">
        <v>17250</v>
      </c>
      <c r="AQ48" s="176">
        <v>17250</v>
      </c>
      <c r="AR48" s="176">
        <v>17250</v>
      </c>
      <c r="AS48" s="176">
        <v>17250</v>
      </c>
      <c r="AT48" s="176">
        <v>17250</v>
      </c>
      <c r="AU48" s="176">
        <v>17250</v>
      </c>
      <c r="AV48" s="176">
        <v>17250</v>
      </c>
      <c r="AW48" s="176">
        <v>17250</v>
      </c>
      <c r="AX48" s="176">
        <v>17250</v>
      </c>
      <c r="AY48" s="176">
        <v>17250</v>
      </c>
      <c r="AZ48" s="176">
        <v>17250</v>
      </c>
      <c r="BA48" s="176">
        <v>17250</v>
      </c>
      <c r="BB48" s="176">
        <v>17250</v>
      </c>
      <c r="BC48" s="176">
        <v>17250</v>
      </c>
      <c r="BD48" s="176">
        <v>17250</v>
      </c>
      <c r="BE48" s="176">
        <v>17250</v>
      </c>
      <c r="BF48" s="176">
        <v>17250</v>
      </c>
      <c r="BG48" s="176">
        <v>17250</v>
      </c>
      <c r="BH48" s="176">
        <v>17250</v>
      </c>
      <c r="BI48" s="176">
        <v>17250</v>
      </c>
      <c r="BJ48" s="176">
        <v>17250</v>
      </c>
      <c r="BK48" s="176">
        <v>17250</v>
      </c>
      <c r="BL48" s="176">
        <v>17250</v>
      </c>
      <c r="BM48" s="176">
        <v>17250</v>
      </c>
      <c r="BN48" s="176">
        <v>17250</v>
      </c>
      <c r="BO48" s="176">
        <v>17250</v>
      </c>
      <c r="BP48" s="176">
        <v>17250</v>
      </c>
      <c r="BQ48" s="176">
        <v>17250</v>
      </c>
      <c r="BR48" s="176">
        <v>17250</v>
      </c>
      <c r="BS48" s="176">
        <v>17250</v>
      </c>
      <c r="BT48" s="176">
        <v>17250</v>
      </c>
      <c r="BU48" s="176">
        <v>17250</v>
      </c>
      <c r="BV48" s="176">
        <v>17250</v>
      </c>
      <c r="BW48" s="176">
        <v>17250</v>
      </c>
      <c r="BX48" s="176">
        <v>17250</v>
      </c>
      <c r="BY48" s="176">
        <v>17250</v>
      </c>
      <c r="BZ48" s="176">
        <v>17250</v>
      </c>
      <c r="CA48" s="176">
        <v>17250</v>
      </c>
      <c r="CB48" s="176">
        <v>17250</v>
      </c>
      <c r="CC48" s="176">
        <v>17250</v>
      </c>
      <c r="CD48" s="176">
        <v>17250</v>
      </c>
      <c r="CE48" s="176">
        <v>17250</v>
      </c>
      <c r="CF48" s="176">
        <v>17250</v>
      </c>
      <c r="CG48" s="176">
        <v>17250</v>
      </c>
      <c r="CH48" s="176">
        <v>17250</v>
      </c>
      <c r="CI48" s="176">
        <v>17250</v>
      </c>
      <c r="CJ48" s="176">
        <v>17250</v>
      </c>
      <c r="CK48" s="176">
        <v>17250</v>
      </c>
    </row>
    <row r="49" spans="2:89">
      <c r="B49" s="128" t="str">
        <v>Форель</v>
      </c>
      <c r="C49" s="124"/>
      <c r="D49" s="124"/>
      <c r="E49" s="78"/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85">
        <v>0</v>
      </c>
      <c r="L49" s="185">
        <v>0</v>
      </c>
      <c r="M49" s="185">
        <v>0</v>
      </c>
      <c r="N49" s="185">
        <v>0</v>
      </c>
      <c r="O49" s="185">
        <v>0</v>
      </c>
      <c r="P49" s="185">
        <v>0</v>
      </c>
      <c r="Q49" s="185">
        <v>0</v>
      </c>
      <c r="R49" s="185">
        <v>807750</v>
      </c>
      <c r="S49" s="185">
        <v>807750</v>
      </c>
      <c r="T49" s="185">
        <v>807750</v>
      </c>
      <c r="U49" s="185">
        <v>807750</v>
      </c>
      <c r="V49" s="185">
        <v>807750</v>
      </c>
      <c r="W49" s="185">
        <v>807750</v>
      </c>
      <c r="X49" s="185">
        <v>807750</v>
      </c>
      <c r="Y49" s="185">
        <v>807750</v>
      </c>
      <c r="Z49" s="185">
        <v>807750</v>
      </c>
      <c r="AA49" s="185">
        <v>807750</v>
      </c>
      <c r="AB49" s="185">
        <v>807750</v>
      </c>
      <c r="AC49" s="185">
        <v>807750</v>
      </c>
      <c r="AD49" s="185">
        <v>807750</v>
      </c>
      <c r="AE49" s="185">
        <v>807750</v>
      </c>
      <c r="AF49" s="185">
        <v>807750</v>
      </c>
      <c r="AG49" s="185">
        <v>807750</v>
      </c>
      <c r="AH49" s="185">
        <v>807750</v>
      </c>
      <c r="AI49" s="185">
        <v>807750</v>
      </c>
      <c r="AJ49" s="185">
        <v>807750</v>
      </c>
      <c r="AK49" s="185">
        <v>807750</v>
      </c>
      <c r="AL49" s="185">
        <v>807750</v>
      </c>
      <c r="AM49" s="185">
        <v>807750</v>
      </c>
      <c r="AN49" s="185">
        <v>807750</v>
      </c>
      <c r="AO49" s="185">
        <v>807750</v>
      </c>
      <c r="AP49" s="185">
        <v>807750</v>
      </c>
      <c r="AQ49" s="185">
        <v>807750</v>
      </c>
      <c r="AR49" s="185">
        <v>807750</v>
      </c>
      <c r="AS49" s="185">
        <v>807750</v>
      </c>
      <c r="AT49" s="185">
        <v>807750</v>
      </c>
      <c r="AU49" s="185">
        <v>807750</v>
      </c>
      <c r="AV49" s="185">
        <v>807750</v>
      </c>
      <c r="AW49" s="185">
        <v>807750</v>
      </c>
      <c r="AX49" s="185">
        <v>807750</v>
      </c>
      <c r="AY49" s="185">
        <v>807750</v>
      </c>
      <c r="AZ49" s="185">
        <v>807750</v>
      </c>
      <c r="BA49" s="185">
        <v>807750</v>
      </c>
      <c r="BB49" s="185">
        <v>807750</v>
      </c>
      <c r="BC49" s="185">
        <v>807750</v>
      </c>
      <c r="BD49" s="185">
        <v>807750</v>
      </c>
      <c r="BE49" s="185">
        <v>807750</v>
      </c>
      <c r="BF49" s="185">
        <v>807750</v>
      </c>
      <c r="BG49" s="185">
        <v>807750</v>
      </c>
      <c r="BH49" s="185">
        <v>807750</v>
      </c>
      <c r="BI49" s="185">
        <v>807750</v>
      </c>
      <c r="BJ49" s="185">
        <v>807750</v>
      </c>
      <c r="BK49" s="185">
        <v>807750</v>
      </c>
      <c r="BL49" s="185">
        <v>807750</v>
      </c>
      <c r="BM49" s="185">
        <v>807750</v>
      </c>
      <c r="BN49" s="185">
        <v>807750</v>
      </c>
      <c r="BO49" s="185">
        <v>807750</v>
      </c>
      <c r="BP49" s="185">
        <v>807750</v>
      </c>
      <c r="BQ49" s="185">
        <v>807750</v>
      </c>
      <c r="BR49" s="185">
        <v>807750</v>
      </c>
      <c r="BS49" s="185">
        <v>807750</v>
      </c>
      <c r="BT49" s="185">
        <v>807750</v>
      </c>
      <c r="BU49" s="185">
        <v>807750</v>
      </c>
      <c r="BV49" s="185">
        <v>807750</v>
      </c>
      <c r="BW49" s="185">
        <v>807750</v>
      </c>
      <c r="BX49" s="185">
        <v>807750</v>
      </c>
      <c r="BY49" s="185">
        <v>807750</v>
      </c>
      <c r="BZ49" s="185">
        <v>807750</v>
      </c>
      <c r="CA49" s="185">
        <v>807750</v>
      </c>
      <c r="CB49" s="185">
        <v>807750</v>
      </c>
      <c r="CC49" s="185">
        <v>807750</v>
      </c>
      <c r="CD49" s="185">
        <v>807750</v>
      </c>
      <c r="CE49" s="185">
        <v>807750</v>
      </c>
      <c r="CF49" s="185">
        <v>807750</v>
      </c>
      <c r="CG49" s="185">
        <v>807750</v>
      </c>
      <c r="CH49" s="185">
        <v>807750</v>
      </c>
      <c r="CI49" s="185">
        <v>807750</v>
      </c>
      <c r="CJ49" s="185">
        <v>807750</v>
      </c>
      <c r="CK49" s="185">
        <v>807750</v>
      </c>
    </row>
    <row r="50" spans="2:89">
      <c r="B50" s="14"/>
      <c r="C50" s="186"/>
      <c r="D50" s="14"/>
      <c r="E50" s="14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</row>
    <row r="51" spans="2:89" ht="15.75" thickBot="1">
      <c r="B51" s="96" t="s">
        <v>525</v>
      </c>
      <c r="C51" s="97"/>
      <c r="D51" s="97"/>
      <c r="E51" s="97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</row>
    <row r="52" spans="2:89">
      <c r="B52" s="14"/>
      <c r="C52" s="14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</row>
    <row r="53" spans="2:89">
      <c r="B53" s="155" t="s">
        <v>39</v>
      </c>
      <c r="C53" s="156"/>
      <c r="D53" s="160"/>
      <c r="E53" s="158"/>
      <c r="F53" s="159">
        <f t="shared" ref="F53:AK53" si="0">IFERROR(LOOKUP(F$19,Продажи_год_инфляции,Продажи_уровень_инфляции),0)</f>
        <v>0.05</v>
      </c>
      <c r="G53" s="159">
        <f t="shared" si="0"/>
        <v>0.05</v>
      </c>
      <c r="H53" s="159">
        <f t="shared" si="0"/>
        <v>0.05</v>
      </c>
      <c r="I53" s="159">
        <f t="shared" si="0"/>
        <v>0.05</v>
      </c>
      <c r="J53" s="159">
        <f t="shared" si="0"/>
        <v>0.05</v>
      </c>
      <c r="K53" s="159">
        <f t="shared" si="0"/>
        <v>0.05</v>
      </c>
      <c r="L53" s="159">
        <f t="shared" si="0"/>
        <v>0.05</v>
      </c>
      <c r="M53" s="159">
        <f t="shared" si="0"/>
        <v>0.05</v>
      </c>
      <c r="N53" s="159">
        <f t="shared" si="0"/>
        <v>0.05</v>
      </c>
      <c r="O53" s="159">
        <f t="shared" si="0"/>
        <v>0.05</v>
      </c>
      <c r="P53" s="159">
        <f t="shared" si="0"/>
        <v>0.05</v>
      </c>
      <c r="Q53" s="159">
        <f t="shared" si="0"/>
        <v>0.05</v>
      </c>
      <c r="R53" s="159">
        <f t="shared" si="0"/>
        <v>0.05</v>
      </c>
      <c r="S53" s="159">
        <f t="shared" si="0"/>
        <v>0.05</v>
      </c>
      <c r="T53" s="159">
        <f t="shared" si="0"/>
        <v>0.05</v>
      </c>
      <c r="U53" s="159">
        <f t="shared" si="0"/>
        <v>0.05</v>
      </c>
      <c r="V53" s="159">
        <f t="shared" si="0"/>
        <v>0.05</v>
      </c>
      <c r="W53" s="159">
        <f t="shared" si="0"/>
        <v>0.05</v>
      </c>
      <c r="X53" s="159">
        <f t="shared" si="0"/>
        <v>0.05</v>
      </c>
      <c r="Y53" s="159">
        <f t="shared" si="0"/>
        <v>0.05</v>
      </c>
      <c r="Z53" s="159">
        <f t="shared" si="0"/>
        <v>0.05</v>
      </c>
      <c r="AA53" s="159">
        <f t="shared" si="0"/>
        <v>0.05</v>
      </c>
      <c r="AB53" s="159">
        <f t="shared" si="0"/>
        <v>0.05</v>
      </c>
      <c r="AC53" s="159">
        <f t="shared" si="0"/>
        <v>0.05</v>
      </c>
      <c r="AD53" s="159">
        <f t="shared" si="0"/>
        <v>0.05</v>
      </c>
      <c r="AE53" s="159">
        <f t="shared" si="0"/>
        <v>0.05</v>
      </c>
      <c r="AF53" s="159">
        <f t="shared" si="0"/>
        <v>0.05</v>
      </c>
      <c r="AG53" s="159">
        <f t="shared" si="0"/>
        <v>0.05</v>
      </c>
      <c r="AH53" s="159">
        <f t="shared" si="0"/>
        <v>0.05</v>
      </c>
      <c r="AI53" s="159">
        <f t="shared" si="0"/>
        <v>0.05</v>
      </c>
      <c r="AJ53" s="159">
        <f t="shared" si="0"/>
        <v>0.05</v>
      </c>
      <c r="AK53" s="159">
        <f t="shared" si="0"/>
        <v>0.05</v>
      </c>
      <c r="AL53" s="159">
        <f t="shared" ref="AL53:CK53" si="1">IFERROR(LOOKUP(AL$19,Продажи_год_инфляции,Продажи_уровень_инфляции),0)</f>
        <v>0.05</v>
      </c>
      <c r="AM53" s="159">
        <f t="shared" si="1"/>
        <v>0.05</v>
      </c>
      <c r="AN53" s="159">
        <f t="shared" si="1"/>
        <v>0.05</v>
      </c>
      <c r="AO53" s="159">
        <f t="shared" si="1"/>
        <v>0.05</v>
      </c>
      <c r="AP53" s="159">
        <f t="shared" si="1"/>
        <v>0.05</v>
      </c>
      <c r="AQ53" s="159">
        <f t="shared" si="1"/>
        <v>0.05</v>
      </c>
      <c r="AR53" s="159">
        <f t="shared" si="1"/>
        <v>0.05</v>
      </c>
      <c r="AS53" s="159">
        <f t="shared" si="1"/>
        <v>0.05</v>
      </c>
      <c r="AT53" s="159">
        <f t="shared" si="1"/>
        <v>0.05</v>
      </c>
      <c r="AU53" s="159">
        <f t="shared" si="1"/>
        <v>0.05</v>
      </c>
      <c r="AV53" s="159">
        <f t="shared" si="1"/>
        <v>0.05</v>
      </c>
      <c r="AW53" s="159">
        <f t="shared" si="1"/>
        <v>0.05</v>
      </c>
      <c r="AX53" s="159">
        <f t="shared" si="1"/>
        <v>0.05</v>
      </c>
      <c r="AY53" s="159">
        <f t="shared" si="1"/>
        <v>0.05</v>
      </c>
      <c r="AZ53" s="159">
        <f t="shared" si="1"/>
        <v>0.05</v>
      </c>
      <c r="BA53" s="159">
        <f t="shared" si="1"/>
        <v>0.05</v>
      </c>
      <c r="BB53" s="159">
        <f t="shared" si="1"/>
        <v>0.05</v>
      </c>
      <c r="BC53" s="159">
        <f t="shared" si="1"/>
        <v>0.05</v>
      </c>
      <c r="BD53" s="159">
        <f t="shared" si="1"/>
        <v>0.05</v>
      </c>
      <c r="BE53" s="159">
        <f t="shared" si="1"/>
        <v>0.05</v>
      </c>
      <c r="BF53" s="159">
        <f t="shared" si="1"/>
        <v>0.05</v>
      </c>
      <c r="BG53" s="159">
        <f t="shared" si="1"/>
        <v>0.05</v>
      </c>
      <c r="BH53" s="159">
        <f t="shared" si="1"/>
        <v>0.05</v>
      </c>
      <c r="BI53" s="159">
        <f t="shared" si="1"/>
        <v>0.05</v>
      </c>
      <c r="BJ53" s="159">
        <f t="shared" si="1"/>
        <v>0.05</v>
      </c>
      <c r="BK53" s="159">
        <f t="shared" si="1"/>
        <v>0.05</v>
      </c>
      <c r="BL53" s="159">
        <f t="shared" si="1"/>
        <v>0.05</v>
      </c>
      <c r="BM53" s="159">
        <f t="shared" si="1"/>
        <v>0.05</v>
      </c>
      <c r="BN53" s="159">
        <f t="shared" si="1"/>
        <v>0.05</v>
      </c>
      <c r="BO53" s="159">
        <f t="shared" si="1"/>
        <v>0.05</v>
      </c>
      <c r="BP53" s="159">
        <f t="shared" si="1"/>
        <v>0.05</v>
      </c>
      <c r="BQ53" s="159">
        <f t="shared" si="1"/>
        <v>0.05</v>
      </c>
      <c r="BR53" s="159">
        <f t="shared" si="1"/>
        <v>0.05</v>
      </c>
      <c r="BS53" s="159">
        <f t="shared" si="1"/>
        <v>0.05</v>
      </c>
      <c r="BT53" s="159">
        <f t="shared" si="1"/>
        <v>0.05</v>
      </c>
      <c r="BU53" s="159">
        <f t="shared" si="1"/>
        <v>0.05</v>
      </c>
      <c r="BV53" s="159">
        <f t="shared" si="1"/>
        <v>0.05</v>
      </c>
      <c r="BW53" s="159">
        <f t="shared" si="1"/>
        <v>0.05</v>
      </c>
      <c r="BX53" s="159">
        <f t="shared" si="1"/>
        <v>0.05</v>
      </c>
      <c r="BY53" s="159">
        <f t="shared" si="1"/>
        <v>0.05</v>
      </c>
      <c r="BZ53" s="159">
        <f t="shared" si="1"/>
        <v>0.05</v>
      </c>
      <c r="CA53" s="159">
        <f t="shared" si="1"/>
        <v>0.05</v>
      </c>
      <c r="CB53" s="159">
        <f t="shared" si="1"/>
        <v>0.05</v>
      </c>
      <c r="CC53" s="159">
        <f t="shared" si="1"/>
        <v>0.05</v>
      </c>
      <c r="CD53" s="159">
        <f t="shared" si="1"/>
        <v>0.05</v>
      </c>
      <c r="CE53" s="159">
        <f t="shared" si="1"/>
        <v>0.05</v>
      </c>
      <c r="CF53" s="159">
        <f t="shared" si="1"/>
        <v>0.05</v>
      </c>
      <c r="CG53" s="159">
        <f t="shared" si="1"/>
        <v>0.05</v>
      </c>
      <c r="CH53" s="159">
        <f t="shared" si="1"/>
        <v>0.05</v>
      </c>
      <c r="CI53" s="159">
        <f t="shared" si="1"/>
        <v>0.05</v>
      </c>
      <c r="CJ53" s="159">
        <f t="shared" si="1"/>
        <v>0.05</v>
      </c>
      <c r="CK53" s="159">
        <f t="shared" si="1"/>
        <v>0.05</v>
      </c>
    </row>
    <row r="54" spans="2:89" ht="15.75" thickBot="1">
      <c r="B54" s="155" t="s">
        <v>40</v>
      </c>
      <c r="C54" s="156"/>
      <c r="D54" s="160"/>
      <c r="E54" s="158"/>
      <c r="F54" s="159">
        <f>(1+F53)^(F$26/F$20)-1</f>
        <v>4.0182018919749929E-3</v>
      </c>
      <c r="G54" s="159">
        <f t="shared" ref="G54:BR54" si="2">(1+G53)^(G$26/G$20)-1</f>
        <v>4.152419664797069E-3</v>
      </c>
      <c r="H54" s="159">
        <f t="shared" si="2"/>
        <v>4.0182018919749929E-3</v>
      </c>
      <c r="I54" s="159">
        <f t="shared" si="2"/>
        <v>4.152419664797069E-3</v>
      </c>
      <c r="J54" s="159">
        <f t="shared" si="2"/>
        <v>4.152419664797069E-3</v>
      </c>
      <c r="K54" s="159">
        <f t="shared" si="2"/>
        <v>4.0182018919749929E-3</v>
      </c>
      <c r="L54" s="159">
        <f t="shared" si="2"/>
        <v>4.152419664797069E-3</v>
      </c>
      <c r="M54" s="159">
        <f t="shared" si="2"/>
        <v>4.0182018919749929E-3</v>
      </c>
      <c r="N54" s="159">
        <f t="shared" si="2"/>
        <v>4.152419664797069E-3</v>
      </c>
      <c r="O54" s="159">
        <f t="shared" si="2"/>
        <v>4.1410507973225208E-3</v>
      </c>
      <c r="P54" s="159">
        <f t="shared" si="2"/>
        <v>3.8733695059540718E-3</v>
      </c>
      <c r="Q54" s="159">
        <f t="shared" si="2"/>
        <v>4.1410507973225208E-3</v>
      </c>
      <c r="R54" s="159">
        <f t="shared" si="2"/>
        <v>4.0072012307270644E-3</v>
      </c>
      <c r="S54" s="159">
        <f t="shared" si="2"/>
        <v>4.1410507973225208E-3</v>
      </c>
      <c r="T54" s="159">
        <f t="shared" si="2"/>
        <v>4.0072012307270644E-3</v>
      </c>
      <c r="U54" s="159">
        <f t="shared" si="2"/>
        <v>4.1410507973225208E-3</v>
      </c>
      <c r="V54" s="159">
        <f t="shared" si="2"/>
        <v>4.1410507973225208E-3</v>
      </c>
      <c r="W54" s="159">
        <f t="shared" si="2"/>
        <v>4.0072012307270644E-3</v>
      </c>
      <c r="X54" s="159">
        <f t="shared" si="2"/>
        <v>4.1410507973225208E-3</v>
      </c>
      <c r="Y54" s="159">
        <f t="shared" si="2"/>
        <v>4.0072012307270644E-3</v>
      </c>
      <c r="Z54" s="159">
        <f t="shared" si="2"/>
        <v>4.1410507973225208E-3</v>
      </c>
      <c r="AA54" s="159">
        <f t="shared" si="2"/>
        <v>4.152419664797069E-3</v>
      </c>
      <c r="AB54" s="159">
        <f t="shared" si="2"/>
        <v>3.7498201636823048E-3</v>
      </c>
      <c r="AC54" s="159">
        <f t="shared" si="2"/>
        <v>4.152419664797069E-3</v>
      </c>
      <c r="AD54" s="159">
        <f t="shared" si="2"/>
        <v>4.0182018919749929E-3</v>
      </c>
      <c r="AE54" s="159">
        <f t="shared" si="2"/>
        <v>4.152419664797069E-3</v>
      </c>
      <c r="AF54" s="159">
        <f t="shared" si="2"/>
        <v>4.0182018919749929E-3</v>
      </c>
      <c r="AG54" s="159">
        <f t="shared" si="2"/>
        <v>4.152419664797069E-3</v>
      </c>
      <c r="AH54" s="159">
        <f t="shared" si="2"/>
        <v>4.152419664797069E-3</v>
      </c>
      <c r="AI54" s="159">
        <f t="shared" si="2"/>
        <v>4.0182018919749929E-3</v>
      </c>
      <c r="AJ54" s="159">
        <f t="shared" si="2"/>
        <v>4.152419664797069E-3</v>
      </c>
      <c r="AK54" s="159">
        <f t="shared" si="2"/>
        <v>4.0182018919749929E-3</v>
      </c>
      <c r="AL54" s="159">
        <f t="shared" si="2"/>
        <v>4.152419664797069E-3</v>
      </c>
      <c r="AM54" s="159">
        <f t="shared" si="2"/>
        <v>4.152419664797069E-3</v>
      </c>
      <c r="AN54" s="159">
        <f t="shared" si="2"/>
        <v>3.7498201636823048E-3</v>
      </c>
      <c r="AO54" s="159">
        <f t="shared" si="2"/>
        <v>4.152419664797069E-3</v>
      </c>
      <c r="AP54" s="159">
        <f t="shared" si="2"/>
        <v>4.0182018919749929E-3</v>
      </c>
      <c r="AQ54" s="159">
        <f t="shared" si="2"/>
        <v>4.152419664797069E-3</v>
      </c>
      <c r="AR54" s="159">
        <f t="shared" si="2"/>
        <v>4.0182018919749929E-3</v>
      </c>
      <c r="AS54" s="159">
        <f t="shared" si="2"/>
        <v>4.152419664797069E-3</v>
      </c>
      <c r="AT54" s="159">
        <f t="shared" si="2"/>
        <v>4.152419664797069E-3</v>
      </c>
      <c r="AU54" s="159">
        <f t="shared" si="2"/>
        <v>4.0182018919749929E-3</v>
      </c>
      <c r="AV54" s="159">
        <f t="shared" si="2"/>
        <v>4.152419664797069E-3</v>
      </c>
      <c r="AW54" s="159">
        <f t="shared" si="2"/>
        <v>4.0182018919749929E-3</v>
      </c>
      <c r="AX54" s="159">
        <f t="shared" si="2"/>
        <v>4.152419664797069E-3</v>
      </c>
      <c r="AY54" s="159">
        <f t="shared" si="2"/>
        <v>4.152419664797069E-3</v>
      </c>
      <c r="AZ54" s="159">
        <f t="shared" si="2"/>
        <v>3.7498201636823048E-3</v>
      </c>
      <c r="BA54" s="159">
        <f t="shared" si="2"/>
        <v>4.152419664797069E-3</v>
      </c>
      <c r="BB54" s="159">
        <f t="shared" si="2"/>
        <v>4.0182018919749929E-3</v>
      </c>
      <c r="BC54" s="159">
        <f t="shared" si="2"/>
        <v>4.152419664797069E-3</v>
      </c>
      <c r="BD54" s="159">
        <f t="shared" si="2"/>
        <v>4.0182018919749929E-3</v>
      </c>
      <c r="BE54" s="159">
        <f t="shared" si="2"/>
        <v>4.152419664797069E-3</v>
      </c>
      <c r="BF54" s="159">
        <f t="shared" si="2"/>
        <v>4.152419664797069E-3</v>
      </c>
      <c r="BG54" s="159">
        <f t="shared" si="2"/>
        <v>4.0182018919749929E-3</v>
      </c>
      <c r="BH54" s="159">
        <f t="shared" si="2"/>
        <v>4.152419664797069E-3</v>
      </c>
      <c r="BI54" s="159">
        <f t="shared" si="2"/>
        <v>4.0182018919749929E-3</v>
      </c>
      <c r="BJ54" s="159">
        <f t="shared" si="2"/>
        <v>4.152419664797069E-3</v>
      </c>
      <c r="BK54" s="159">
        <f t="shared" si="2"/>
        <v>4.1410507973225208E-3</v>
      </c>
      <c r="BL54" s="159">
        <f t="shared" si="2"/>
        <v>3.8733695059540718E-3</v>
      </c>
      <c r="BM54" s="159">
        <f t="shared" si="2"/>
        <v>4.1410507973225208E-3</v>
      </c>
      <c r="BN54" s="159">
        <f t="shared" si="2"/>
        <v>4.0072012307270644E-3</v>
      </c>
      <c r="BO54" s="159">
        <f t="shared" si="2"/>
        <v>4.1410507973225208E-3</v>
      </c>
      <c r="BP54" s="159">
        <f t="shared" si="2"/>
        <v>4.0072012307270644E-3</v>
      </c>
      <c r="BQ54" s="159">
        <f t="shared" si="2"/>
        <v>4.1410507973225208E-3</v>
      </c>
      <c r="BR54" s="159">
        <f t="shared" si="2"/>
        <v>4.1410507973225208E-3</v>
      </c>
      <c r="BS54" s="159">
        <f t="shared" ref="BS54:CK54" si="3">(1+BS53)^(BS$26/BS$20)-1</f>
        <v>4.0072012307270644E-3</v>
      </c>
      <c r="BT54" s="159">
        <f t="shared" si="3"/>
        <v>4.1410507973225208E-3</v>
      </c>
      <c r="BU54" s="159">
        <f t="shared" si="3"/>
        <v>4.0072012307270644E-3</v>
      </c>
      <c r="BV54" s="159">
        <f t="shared" si="3"/>
        <v>4.1410507973225208E-3</v>
      </c>
      <c r="BW54" s="159">
        <f t="shared" si="3"/>
        <v>4.152419664797069E-3</v>
      </c>
      <c r="BX54" s="159">
        <f t="shared" si="3"/>
        <v>3.7498201636823048E-3</v>
      </c>
      <c r="BY54" s="159">
        <f t="shared" si="3"/>
        <v>4.152419664797069E-3</v>
      </c>
      <c r="BZ54" s="159">
        <f t="shared" si="3"/>
        <v>4.0182018919749929E-3</v>
      </c>
      <c r="CA54" s="159">
        <f t="shared" si="3"/>
        <v>4.152419664797069E-3</v>
      </c>
      <c r="CB54" s="159">
        <f t="shared" si="3"/>
        <v>4.0182018919749929E-3</v>
      </c>
      <c r="CC54" s="159">
        <f t="shared" si="3"/>
        <v>4.152419664797069E-3</v>
      </c>
      <c r="CD54" s="159">
        <f t="shared" si="3"/>
        <v>4.152419664797069E-3</v>
      </c>
      <c r="CE54" s="159">
        <f t="shared" si="3"/>
        <v>4.0182018919749929E-3</v>
      </c>
      <c r="CF54" s="159">
        <f t="shared" si="3"/>
        <v>4.152419664797069E-3</v>
      </c>
      <c r="CG54" s="159">
        <f t="shared" si="3"/>
        <v>4.0182018919749929E-3</v>
      </c>
      <c r="CH54" s="159">
        <f t="shared" si="3"/>
        <v>4.152419664797069E-3</v>
      </c>
      <c r="CI54" s="159">
        <f t="shared" si="3"/>
        <v>4.152419664797069E-3</v>
      </c>
      <c r="CJ54" s="159">
        <f t="shared" si="3"/>
        <v>3.7498201636823048E-3</v>
      </c>
      <c r="CK54" s="159">
        <f t="shared" si="3"/>
        <v>4.152419664797069E-3</v>
      </c>
    </row>
    <row r="55" spans="2:89" ht="15.75" thickTop="1">
      <c r="B55" s="161" t="s">
        <v>41</v>
      </c>
      <c r="C55" s="162"/>
      <c r="D55" s="163"/>
      <c r="E55" s="164">
        <v>1</v>
      </c>
      <c r="F55" s="165">
        <f>E55*(1+F54)</f>
        <v>1.004018201891975</v>
      </c>
      <c r="G55" s="165">
        <f t="shared" ref="G55:AG55" si="4">F55*(1+G54)</f>
        <v>1.0081873068173255</v>
      </c>
      <c r="H55" s="165">
        <f t="shared" si="4"/>
        <v>1.0122384069610439</v>
      </c>
      <c r="I55" s="165">
        <f t="shared" si="4"/>
        <v>1.0164416456275718</v>
      </c>
      <c r="J55" s="165">
        <f t="shared" si="4"/>
        <v>1.0206623379049944</v>
      </c>
      <c r="K55" s="165">
        <f t="shared" si="4"/>
        <v>1.0247635652422318</v>
      </c>
      <c r="L55" s="165">
        <f t="shared" si="4"/>
        <v>1.0290188136223111</v>
      </c>
      <c r="M55" s="165">
        <f t="shared" si="4"/>
        <v>1.0331536189660862</v>
      </c>
      <c r="N55" s="165">
        <f t="shared" si="4"/>
        <v>1.0374437063702371</v>
      </c>
      <c r="O55" s="165">
        <f t="shared" si="4"/>
        <v>1.0417398134576787</v>
      </c>
      <c r="P55" s="165">
        <f t="shared" si="4"/>
        <v>1.045774856684264</v>
      </c>
      <c r="Q55" s="165">
        <f t="shared" si="4"/>
        <v>1.0501054634883562</v>
      </c>
      <c r="R55" s="165">
        <f t="shared" si="4"/>
        <v>1.0543134473940399</v>
      </c>
      <c r="S55" s="165">
        <f t="shared" si="4"/>
        <v>1.0586794129359989</v>
      </c>
      <c r="T55" s="165">
        <f t="shared" si="4"/>
        <v>1.0629217543824614</v>
      </c>
      <c r="U55" s="165">
        <f t="shared" si="4"/>
        <v>1.0673233673609384</v>
      </c>
      <c r="V55" s="165">
        <f t="shared" si="4"/>
        <v>1.0717432076423494</v>
      </c>
      <c r="W55" s="165">
        <f t="shared" si="4"/>
        <v>1.0760378983430372</v>
      </c>
      <c r="X55" s="165">
        <f t="shared" si="4"/>
        <v>1.0804938259399199</v>
      </c>
      <c r="Y55" s="165">
        <f t="shared" si="4"/>
        <v>1.0848235821290193</v>
      </c>
      <c r="Z55" s="165">
        <f t="shared" si="4"/>
        <v>1.0893158916887489</v>
      </c>
      <c r="AA55" s="165">
        <f t="shared" si="4"/>
        <v>1.0938391884185732</v>
      </c>
      <c r="AB55" s="165">
        <f t="shared" si="4"/>
        <v>1.097940888663131</v>
      </c>
      <c r="AC55" s="165">
        <f t="shared" si="4"/>
        <v>1.1025000000000005</v>
      </c>
      <c r="AD55" s="165">
        <f t="shared" si="4"/>
        <v>1.1069300675859028</v>
      </c>
      <c r="AE55" s="165">
        <f t="shared" si="4"/>
        <v>1.1115265057661017</v>
      </c>
      <c r="AF55" s="165">
        <f t="shared" si="4"/>
        <v>1.1159928436745514</v>
      </c>
      <c r="AG55" s="165">
        <f t="shared" si="4"/>
        <v>1.1206269143043985</v>
      </c>
      <c r="AH55" s="165">
        <f t="shared" ref="AH55:BM55" si="5">AG55*(1+AH54)</f>
        <v>1.1252802275402569</v>
      </c>
      <c r="AI55" s="165">
        <f t="shared" si="5"/>
        <v>1.1298018306795612</v>
      </c>
      <c r="AJ55" s="165">
        <f t="shared" si="5"/>
        <v>1.1344932420185987</v>
      </c>
      <c r="AK55" s="165">
        <f t="shared" si="5"/>
        <v>1.1390518649101107</v>
      </c>
      <c r="AL55" s="165">
        <f t="shared" si="5"/>
        <v>1.1437816862731871</v>
      </c>
      <c r="AM55" s="165">
        <f t="shared" si="5"/>
        <v>1.1485311478395026</v>
      </c>
      <c r="AN55" s="165">
        <f t="shared" si="5"/>
        <v>1.1528379330962883</v>
      </c>
      <c r="AO55" s="165">
        <f t="shared" si="5"/>
        <v>1.1576250000000015</v>
      </c>
      <c r="AP55" s="165">
        <f t="shared" si="5"/>
        <v>1.162276570965199</v>
      </c>
      <c r="AQ55" s="165">
        <f t="shared" si="5"/>
        <v>1.1671028310544078</v>
      </c>
      <c r="AR55" s="165">
        <f t="shared" si="5"/>
        <v>1.17179248585828</v>
      </c>
      <c r="AS55" s="165">
        <f t="shared" si="5"/>
        <v>1.1766582600196194</v>
      </c>
      <c r="AT55" s="165">
        <f t="shared" si="5"/>
        <v>1.1815442389172708</v>
      </c>
      <c r="AU55" s="165">
        <f t="shared" si="5"/>
        <v>1.1862919222135404</v>
      </c>
      <c r="AV55" s="165">
        <f t="shared" si="5"/>
        <v>1.1912179041195299</v>
      </c>
      <c r="AW55" s="165">
        <f t="shared" si="5"/>
        <v>1.1960044581556175</v>
      </c>
      <c r="AX55" s="165">
        <f t="shared" si="5"/>
        <v>1.2009707705868478</v>
      </c>
      <c r="AY55" s="165">
        <f t="shared" si="5"/>
        <v>1.2059577052314792</v>
      </c>
      <c r="AZ55" s="165">
        <f t="shared" si="5"/>
        <v>1.2104798297511041</v>
      </c>
      <c r="BA55" s="165">
        <f t="shared" si="5"/>
        <v>1.2155062500000029</v>
      </c>
      <c r="BB55" s="165">
        <f t="shared" si="5"/>
        <v>1.2203903995134604</v>
      </c>
      <c r="BC55" s="165">
        <f t="shared" si="5"/>
        <v>1.2254579726071297</v>
      </c>
      <c r="BD55" s="165">
        <f t="shared" si="5"/>
        <v>1.2303821101511956</v>
      </c>
      <c r="BE55" s="165">
        <f t="shared" si="5"/>
        <v>1.235491173020602</v>
      </c>
      <c r="BF55" s="165">
        <f t="shared" si="5"/>
        <v>1.2406214508631359</v>
      </c>
      <c r="BG55" s="165">
        <f t="shared" si="5"/>
        <v>1.2456065183242189</v>
      </c>
      <c r="BH55" s="165">
        <f t="shared" si="5"/>
        <v>1.2507787993255077</v>
      </c>
      <c r="BI55" s="165">
        <f t="shared" si="5"/>
        <v>1.2558046810633996</v>
      </c>
      <c r="BJ55" s="165">
        <f t="shared" si="5"/>
        <v>1.2610193091161914</v>
      </c>
      <c r="BK55" s="165">
        <f t="shared" si="5"/>
        <v>1.2662412541316461</v>
      </c>
      <c r="BL55" s="165">
        <f t="shared" si="5"/>
        <v>1.2711458743925808</v>
      </c>
      <c r="BM55" s="165">
        <f t="shared" si="5"/>
        <v>1.2764097540292474</v>
      </c>
      <c r="BN55" s="165">
        <f t="shared" ref="BN55" si="6">BM55*(1+BN54)</f>
        <v>1.2815245847665053</v>
      </c>
      <c r="BO55" s="165">
        <f t="shared" ref="BO55" si="7">BN55*(1+BO54)</f>
        <v>1.2868314431700412</v>
      </c>
      <c r="BP55" s="165">
        <f t="shared" ref="BP55" si="8">BO55*(1+BP54)</f>
        <v>1.2919880357128504</v>
      </c>
      <c r="BQ55" s="165">
        <f t="shared" ref="BQ55" si="9">BP55*(1+BQ54)</f>
        <v>1.2973382237982702</v>
      </c>
      <c r="BR55" s="165">
        <f t="shared" ref="BR55" si="10">BQ55*(1+BR54)</f>
        <v>1.3027105672843271</v>
      </c>
      <c r="BS55" s="165">
        <f t="shared" ref="BS55" si="11">BR55*(1+BS54)</f>
        <v>1.3079307906728299</v>
      </c>
      <c r="BT55" s="165">
        <f t="shared" ref="BT55" si="12">BS55*(1+BT54)</f>
        <v>1.3133469985163884</v>
      </c>
      <c r="BU55" s="165">
        <f t="shared" ref="BU55" si="13">BT55*(1+BU54)</f>
        <v>1.318609844225215</v>
      </c>
      <c r="BV55" s="165">
        <f t="shared" ref="BV55" si="14">BU55*(1+BV54)</f>
        <v>1.3240702745720012</v>
      </c>
      <c r="BW55" s="165">
        <f t="shared" ref="BW55" si="15">BV55*(1+BW54)</f>
        <v>1.3295683700177072</v>
      </c>
      <c r="BX55" s="165">
        <f t="shared" ref="BX55" si="16">BW55*(1+BX54)</f>
        <v>1.3345540123005939</v>
      </c>
      <c r="BY55" s="165">
        <f t="shared" ref="BY55" si="17">BX55*(1+BY54)</f>
        <v>1.3400956406250046</v>
      </c>
      <c r="BZ55" s="165">
        <f t="shared" ref="BZ55" si="18">BY55*(1+BZ54)</f>
        <v>1.3454804154635915</v>
      </c>
      <c r="CA55" s="165">
        <f t="shared" ref="CA55" si="19">BZ55*(1+CA54)</f>
        <v>1.351067414799362</v>
      </c>
      <c r="CB55" s="165">
        <f t="shared" ref="CB55" si="20">CA55*(1+CB54)</f>
        <v>1.3564962764416946</v>
      </c>
      <c r="CC55" s="165">
        <f t="shared" ref="CC55" si="21">CB55*(1+CC54)</f>
        <v>1.362129018255215</v>
      </c>
      <c r="CD55" s="165">
        <f t="shared" ref="CD55" si="22">CC55*(1+CD54)</f>
        <v>1.3677851495766087</v>
      </c>
      <c r="CE55" s="165">
        <f t="shared" ref="CE55" si="23">CD55*(1+CE54)</f>
        <v>1.3732811864524528</v>
      </c>
      <c r="CF55" s="165">
        <f t="shared" ref="CF55" si="24">CE55*(1+CF54)</f>
        <v>1.3789836262563737</v>
      </c>
      <c r="CG55" s="165">
        <f t="shared" ref="CG55" si="25">CF55*(1+CG54)</f>
        <v>1.3845246608723996</v>
      </c>
      <c r="CH55" s="165">
        <f t="shared" ref="CH55" si="26">CG55*(1+CH54)</f>
        <v>1.3902737883006027</v>
      </c>
      <c r="CI55" s="165">
        <f t="shared" ref="CI55" si="27">CH55*(1+CI54)</f>
        <v>1.3960467885185941</v>
      </c>
      <c r="CJ55" s="165">
        <f t="shared" ref="CJ55" si="28">CI55*(1+CJ54)</f>
        <v>1.401281712915625</v>
      </c>
      <c r="CK55" s="165">
        <f t="shared" ref="CK55" si="29">CJ55*(1+CK54)</f>
        <v>1.4071004226562562</v>
      </c>
    </row>
    <row r="56" spans="2:89">
      <c r="B56" s="14"/>
      <c r="C56" s="14"/>
      <c r="D56" s="14"/>
      <c r="E56" s="1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154"/>
      <c r="BK56" s="154"/>
      <c r="BL56" s="154"/>
      <c r="BM56" s="15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</row>
    <row r="57" spans="2:89" ht="15.75" thickBot="1">
      <c r="B57" s="96" t="str">
        <f>"Цена продукции с учетом инфляции, в "&amp;Ед_измерения_денег&amp;" в т.ч. НДС"</f>
        <v>Цена продукции с учетом инфляции, в  руб. в т.ч. НДС</v>
      </c>
      <c r="C57" s="97"/>
      <c r="D57" s="97"/>
      <c r="E57" s="97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  <c r="BI57" s="154"/>
      <c r="BJ57" s="154"/>
      <c r="BK57" s="154"/>
      <c r="BL57" s="154"/>
      <c r="BM57" s="15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</row>
    <row r="58" spans="2:89">
      <c r="B58" s="99"/>
      <c r="C58" s="14"/>
      <c r="D58" s="14"/>
      <c r="E58" s="14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</row>
    <row r="59" spans="2:89">
      <c r="B59" s="45" t="str">
        <f t="array" ref="B59:B69">Продажи_наименования</f>
        <v>БЛК</v>
      </c>
      <c r="C59" s="118"/>
      <c r="D59" s="118"/>
      <c r="E59" s="46"/>
      <c r="F59" s="49">
        <f t="array" ref="F59:CK69">F39:CK49*F55:CK55</f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237220.52566365898</v>
      </c>
      <c r="S59" s="49">
        <v>238202.86791059974</v>
      </c>
      <c r="T59" s="49">
        <v>239157.3947360538</v>
      </c>
      <c r="U59" s="49">
        <v>240147.75765621112</v>
      </c>
      <c r="V59" s="49">
        <v>241142.22171952861</v>
      </c>
      <c r="W59" s="49">
        <v>242108.52712718336</v>
      </c>
      <c r="X59" s="49">
        <v>243111.110836482</v>
      </c>
      <c r="Y59" s="49">
        <v>244085.30597902933</v>
      </c>
      <c r="Z59" s="49">
        <v>245096.07562996849</v>
      </c>
      <c r="AA59" s="49">
        <v>246113.81739417897</v>
      </c>
      <c r="AB59" s="49">
        <v>247036.69994920449</v>
      </c>
      <c r="AC59" s="49">
        <v>248062.50000000012</v>
      </c>
      <c r="AD59" s="49">
        <v>249059.26520682813</v>
      </c>
      <c r="AE59" s="49">
        <v>250093.46379737288</v>
      </c>
      <c r="AF59" s="49">
        <v>251098.38982677407</v>
      </c>
      <c r="AG59" s="49">
        <v>252141.05571848966</v>
      </c>
      <c r="AH59" s="49">
        <v>253188.05119655782</v>
      </c>
      <c r="AI59" s="49">
        <v>254205.41190290128</v>
      </c>
      <c r="AJ59" s="49">
        <v>255260.97945418471</v>
      </c>
      <c r="AK59" s="49">
        <v>256286.66960477491</v>
      </c>
      <c r="AL59" s="49">
        <v>257350.87941146709</v>
      </c>
      <c r="AM59" s="49">
        <v>258419.5082638881</v>
      </c>
      <c r="AN59" s="49">
        <v>259388.53494666488</v>
      </c>
      <c r="AO59" s="49">
        <v>260465.62500000032</v>
      </c>
      <c r="AP59" s="49">
        <v>261512.22846716977</v>
      </c>
      <c r="AQ59" s="49">
        <v>262598.13698724174</v>
      </c>
      <c r="AR59" s="49">
        <v>263653.30931811302</v>
      </c>
      <c r="AS59" s="49">
        <v>264748.10850441438</v>
      </c>
      <c r="AT59" s="49">
        <v>265847.45375638595</v>
      </c>
      <c r="AU59" s="49">
        <v>266915.6824980466</v>
      </c>
      <c r="AV59" s="49">
        <v>268024.02842689422</v>
      </c>
      <c r="AW59" s="49">
        <v>269101.00308501394</v>
      </c>
      <c r="AX59" s="49">
        <v>270218.42338204075</v>
      </c>
      <c r="AY59" s="49">
        <v>271340.48367708281</v>
      </c>
      <c r="AZ59" s="49">
        <v>272357.96169399843</v>
      </c>
      <c r="BA59" s="49">
        <v>273488.90625000064</v>
      </c>
      <c r="BB59" s="49">
        <v>274587.83989052859</v>
      </c>
      <c r="BC59" s="49">
        <v>275728.04383660416</v>
      </c>
      <c r="BD59" s="49">
        <v>276835.974784019</v>
      </c>
      <c r="BE59" s="49">
        <v>277985.51392963546</v>
      </c>
      <c r="BF59" s="49">
        <v>279139.8264442056</v>
      </c>
      <c r="BG59" s="49">
        <v>280261.46662294923</v>
      </c>
      <c r="BH59" s="49">
        <v>281425.22984823922</v>
      </c>
      <c r="BI59" s="49">
        <v>282556.05323926493</v>
      </c>
      <c r="BJ59" s="49">
        <v>283729.34455114306</v>
      </c>
      <c r="BK59" s="49">
        <v>284904.28217962035</v>
      </c>
      <c r="BL59" s="49">
        <v>286007.82173833065</v>
      </c>
      <c r="BM59" s="49">
        <v>287192.19465658069</v>
      </c>
      <c r="BN59" s="49">
        <v>288343.03157246369</v>
      </c>
      <c r="BO59" s="49">
        <v>289537.07471325924</v>
      </c>
      <c r="BP59" s="49">
        <v>290697.30803539132</v>
      </c>
      <c r="BQ59" s="49">
        <v>291901.10035461083</v>
      </c>
      <c r="BR59" s="49">
        <v>293109.87763897359</v>
      </c>
      <c r="BS59" s="49">
        <v>294284.42790138675</v>
      </c>
      <c r="BT59" s="49">
        <v>295503.0746661874</v>
      </c>
      <c r="BU59" s="49">
        <v>296687.2149506734</v>
      </c>
      <c r="BV59" s="49">
        <v>297915.81177870027</v>
      </c>
      <c r="BW59" s="49">
        <v>299152.88325398415</v>
      </c>
      <c r="BX59" s="49">
        <v>300274.65276763361</v>
      </c>
      <c r="BY59" s="49">
        <v>301521.51914062607</v>
      </c>
      <c r="BZ59" s="49">
        <v>302733.09347930813</v>
      </c>
      <c r="CA59" s="49">
        <v>303990.16832985647</v>
      </c>
      <c r="CB59" s="49">
        <v>305211.66219938127</v>
      </c>
      <c r="CC59" s="49">
        <v>306479.02910742338</v>
      </c>
      <c r="CD59" s="49">
        <v>307751.65865473694</v>
      </c>
      <c r="CE59" s="49">
        <v>308988.2669518019</v>
      </c>
      <c r="CF59" s="49">
        <v>310271.3159076841</v>
      </c>
      <c r="CG59" s="49">
        <v>311518.04869628989</v>
      </c>
      <c r="CH59" s="49">
        <v>312811.60236763558</v>
      </c>
      <c r="CI59" s="49">
        <v>314110.52741668368</v>
      </c>
      <c r="CJ59" s="49">
        <v>315288.38540601562</v>
      </c>
      <c r="CK59" s="49">
        <v>316597.59509765764</v>
      </c>
    </row>
    <row r="60" spans="2:89">
      <c r="B60" s="45" t="str">
        <v>Зоогумус</v>
      </c>
      <c r="C60" s="118"/>
      <c r="D60" s="118"/>
      <c r="E60" s="46"/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24512.787651911425</v>
      </c>
      <c r="S60" s="49">
        <v>24614.296350761975</v>
      </c>
      <c r="T60" s="49">
        <v>24712.930789392227</v>
      </c>
      <c r="U60" s="49">
        <v>24815.268291141816</v>
      </c>
      <c r="V60" s="49">
        <v>24918.029577684625</v>
      </c>
      <c r="W60" s="49">
        <v>25017.881136475615</v>
      </c>
      <c r="X60" s="49">
        <v>25121.481453103137</v>
      </c>
      <c r="Y60" s="49">
        <v>25222.148284499697</v>
      </c>
      <c r="Z60" s="49">
        <v>25326.594481763412</v>
      </c>
      <c r="AA60" s="49">
        <v>25431.761130731826</v>
      </c>
      <c r="AB60" s="49">
        <v>25527.125661417795</v>
      </c>
      <c r="AC60" s="49">
        <v>25633.125000000011</v>
      </c>
      <c r="AD60" s="49">
        <v>25736.12407137224</v>
      </c>
      <c r="AE60" s="49">
        <v>25842.991259061862</v>
      </c>
      <c r="AF60" s="49">
        <v>25946.833615433319</v>
      </c>
      <c r="AG60" s="49">
        <v>26054.575757577266</v>
      </c>
      <c r="AH60" s="49">
        <v>26162.765290310974</v>
      </c>
      <c r="AI60" s="49">
        <v>26267.892563299796</v>
      </c>
      <c r="AJ60" s="49">
        <v>26376.96787693242</v>
      </c>
      <c r="AK60" s="49">
        <v>26482.955859160073</v>
      </c>
      <c r="AL60" s="49">
        <v>26592.924205851599</v>
      </c>
      <c r="AM60" s="49">
        <v>26703.349187268435</v>
      </c>
      <c r="AN60" s="49">
        <v>26803.481944488703</v>
      </c>
      <c r="AO60" s="49">
        <v>26914.781250000033</v>
      </c>
      <c r="AP60" s="49">
        <v>27022.930274940878</v>
      </c>
      <c r="AQ60" s="49">
        <v>27135.140822014982</v>
      </c>
      <c r="AR60" s="49">
        <v>27244.175296205009</v>
      </c>
      <c r="AS60" s="49">
        <v>27357.304545456151</v>
      </c>
      <c r="AT60" s="49">
        <v>27470.903554826546</v>
      </c>
      <c r="AU60" s="49">
        <v>27581.287191464813</v>
      </c>
      <c r="AV60" s="49">
        <v>27695.816270779069</v>
      </c>
      <c r="AW60" s="49">
        <v>27807.103652118109</v>
      </c>
      <c r="AX60" s="49">
        <v>27922.570416144212</v>
      </c>
      <c r="AY60" s="49">
        <v>28038.516646631891</v>
      </c>
      <c r="AZ60" s="49">
        <v>28143.65604171317</v>
      </c>
      <c r="BA60" s="49">
        <v>28260.520312500066</v>
      </c>
      <c r="BB60" s="49">
        <v>28374.076788687955</v>
      </c>
      <c r="BC60" s="49">
        <v>28491.897863115766</v>
      </c>
      <c r="BD60" s="49">
        <v>28606.384061015298</v>
      </c>
      <c r="BE60" s="49">
        <v>28725.169772728994</v>
      </c>
      <c r="BF60" s="49">
        <v>28844.448732567911</v>
      </c>
      <c r="BG60" s="49">
        <v>28960.351551038089</v>
      </c>
      <c r="BH60" s="49">
        <v>29080.607084318053</v>
      </c>
      <c r="BI60" s="49">
        <v>29197.458834724042</v>
      </c>
      <c r="BJ60" s="49">
        <v>29318.698936951452</v>
      </c>
      <c r="BK60" s="49">
        <v>29440.109158560772</v>
      </c>
      <c r="BL60" s="49">
        <v>29554.141579627503</v>
      </c>
      <c r="BM60" s="49">
        <v>29676.52678118</v>
      </c>
      <c r="BN60" s="49">
        <v>29795.44659582125</v>
      </c>
      <c r="BO60" s="49">
        <v>29918.831053703456</v>
      </c>
      <c r="BP60" s="49">
        <v>30038.721830323771</v>
      </c>
      <c r="BQ60" s="49">
        <v>30163.113703309784</v>
      </c>
      <c r="BR60" s="49">
        <v>30288.020689360605</v>
      </c>
      <c r="BS60" s="49">
        <v>30409.390883143296</v>
      </c>
      <c r="BT60" s="49">
        <v>30535.317715506029</v>
      </c>
      <c r="BU60" s="49">
        <v>30657.678878236249</v>
      </c>
      <c r="BV60" s="49">
        <v>30784.63388379903</v>
      </c>
      <c r="BW60" s="49">
        <v>30912.464602911692</v>
      </c>
      <c r="BX60" s="49">
        <v>31028.380785988807</v>
      </c>
      <c r="BY60" s="49">
        <v>31157.223644531357</v>
      </c>
      <c r="BZ60" s="49">
        <v>31282.419659528503</v>
      </c>
      <c r="CA60" s="49">
        <v>31412.317394085167</v>
      </c>
      <c r="CB60" s="49">
        <v>31538.538427269399</v>
      </c>
      <c r="CC60" s="49">
        <v>31669.499674433751</v>
      </c>
      <c r="CD60" s="49">
        <v>31801.004727656153</v>
      </c>
      <c r="CE60" s="49">
        <v>31928.787585019527</v>
      </c>
      <c r="CF60" s="49">
        <v>32061.36931046069</v>
      </c>
      <c r="CG60" s="49">
        <v>32190.19836528329</v>
      </c>
      <c r="CH60" s="49">
        <v>32323.86557798901</v>
      </c>
      <c r="CI60" s="49">
        <v>32458.087833057314</v>
      </c>
      <c r="CJ60" s="49">
        <v>32579.799825288279</v>
      </c>
      <c r="CK60" s="49">
        <v>32715.084826757957</v>
      </c>
    </row>
    <row r="61" spans="2:89">
      <c r="B61" s="45" t="str">
        <v>Протеиновая мука</v>
      </c>
      <c r="C61" s="118"/>
      <c r="D61" s="118"/>
      <c r="E61" s="46"/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1344249.6454274009</v>
      </c>
      <c r="S61" s="49">
        <v>1349816.2514933986</v>
      </c>
      <c r="T61" s="49">
        <v>1355225.2368376383</v>
      </c>
      <c r="U61" s="49">
        <v>1360837.2933851965</v>
      </c>
      <c r="V61" s="49">
        <v>1366472.5897439956</v>
      </c>
      <c r="W61" s="49">
        <v>1371948.3203873725</v>
      </c>
      <c r="X61" s="49">
        <v>1377629.628073398</v>
      </c>
      <c r="Y61" s="49">
        <v>1383150.0672144997</v>
      </c>
      <c r="Z61" s="49">
        <v>1388877.7619031549</v>
      </c>
      <c r="AA61" s="49">
        <v>1394644.9652336808</v>
      </c>
      <c r="AB61" s="49">
        <v>1399874.633045492</v>
      </c>
      <c r="AC61" s="49">
        <v>1405687.5000000007</v>
      </c>
      <c r="AD61" s="49">
        <v>1411335.8361720261</v>
      </c>
      <c r="AE61" s="49">
        <v>1417196.2948517797</v>
      </c>
      <c r="AF61" s="49">
        <v>1422890.8756850532</v>
      </c>
      <c r="AG61" s="49">
        <v>1428799.3157381082</v>
      </c>
      <c r="AH61" s="49">
        <v>1434732.2901138277</v>
      </c>
      <c r="AI61" s="49">
        <v>1440497.3341164405</v>
      </c>
      <c r="AJ61" s="49">
        <v>1446478.8835737132</v>
      </c>
      <c r="AK61" s="49">
        <v>1452291.1277603912</v>
      </c>
      <c r="AL61" s="49">
        <v>1458321.6499983135</v>
      </c>
      <c r="AM61" s="49">
        <v>1464377.2134953658</v>
      </c>
      <c r="AN61" s="49">
        <v>1469868.3646977677</v>
      </c>
      <c r="AO61" s="49">
        <v>1475971.8750000019</v>
      </c>
      <c r="AP61" s="49">
        <v>1481902.6279806287</v>
      </c>
      <c r="AQ61" s="49">
        <v>1488056.10959437</v>
      </c>
      <c r="AR61" s="49">
        <v>1494035.4194693069</v>
      </c>
      <c r="AS61" s="49">
        <v>1500239.2815250147</v>
      </c>
      <c r="AT61" s="49">
        <v>1506468.9046195203</v>
      </c>
      <c r="AU61" s="49">
        <v>1512522.200822264</v>
      </c>
      <c r="AV61" s="49">
        <v>1518802.8277524007</v>
      </c>
      <c r="AW61" s="49">
        <v>1524905.6841484124</v>
      </c>
      <c r="AX61" s="49">
        <v>1531237.7324982309</v>
      </c>
      <c r="AY61" s="49">
        <v>1537596.0741701359</v>
      </c>
      <c r="AZ61" s="49">
        <v>1543361.7829326577</v>
      </c>
      <c r="BA61" s="49">
        <v>1549770.4687500037</v>
      </c>
      <c r="BB61" s="49">
        <v>1555997.7593796621</v>
      </c>
      <c r="BC61" s="49">
        <v>1562458.9150740905</v>
      </c>
      <c r="BD61" s="49">
        <v>1568737.1904427744</v>
      </c>
      <c r="BE61" s="49">
        <v>1575251.2456012676</v>
      </c>
      <c r="BF61" s="49">
        <v>1581792.3498504984</v>
      </c>
      <c r="BG61" s="49">
        <v>1588148.3108633792</v>
      </c>
      <c r="BH61" s="49">
        <v>1594742.9691400223</v>
      </c>
      <c r="BI61" s="49">
        <v>1601150.9683558345</v>
      </c>
      <c r="BJ61" s="49">
        <v>1607799.6191231441</v>
      </c>
      <c r="BK61" s="49">
        <v>1614457.5990178487</v>
      </c>
      <c r="BL61" s="49">
        <v>1620710.9898505404</v>
      </c>
      <c r="BM61" s="49">
        <v>1627422.4363872905</v>
      </c>
      <c r="BN61" s="49">
        <v>1633943.8455772942</v>
      </c>
      <c r="BO61" s="49">
        <v>1640710.0900418025</v>
      </c>
      <c r="BP61" s="49">
        <v>1647284.7455338843</v>
      </c>
      <c r="BQ61" s="49">
        <v>1654106.2353427946</v>
      </c>
      <c r="BR61" s="49">
        <v>1660955.973287517</v>
      </c>
      <c r="BS61" s="49">
        <v>1667611.7581078582</v>
      </c>
      <c r="BT61" s="49">
        <v>1674517.4231083952</v>
      </c>
      <c r="BU61" s="49">
        <v>1681227.5513871491</v>
      </c>
      <c r="BV61" s="49">
        <v>1688189.6000793015</v>
      </c>
      <c r="BW61" s="49">
        <v>1695199.6717725766</v>
      </c>
      <c r="BX61" s="49">
        <v>1701556.3656832571</v>
      </c>
      <c r="BY61" s="49">
        <v>1708621.9417968809</v>
      </c>
      <c r="BZ61" s="49">
        <v>1715487.5297160791</v>
      </c>
      <c r="CA61" s="49">
        <v>1722610.9538691866</v>
      </c>
      <c r="CB61" s="49">
        <v>1729532.7524631605</v>
      </c>
      <c r="CC61" s="49">
        <v>1736714.4982753992</v>
      </c>
      <c r="CD61" s="49">
        <v>1743926.065710176</v>
      </c>
      <c r="CE61" s="49">
        <v>1750933.5127268774</v>
      </c>
      <c r="CF61" s="49">
        <v>1758204.1234768764</v>
      </c>
      <c r="CG61" s="49">
        <v>1765268.9426123095</v>
      </c>
      <c r="CH61" s="49">
        <v>1772599.0800832685</v>
      </c>
      <c r="CI61" s="49">
        <v>1779959.6553612074</v>
      </c>
      <c r="CJ61" s="49">
        <v>1786634.1839674218</v>
      </c>
      <c r="CK61" s="49">
        <v>1794053.0388867266</v>
      </c>
    </row>
    <row r="62" spans="2:89">
      <c r="B62" s="45" t="str">
        <v>Жир светлый из предкуколки ЧЛ</v>
      </c>
      <c r="C62" s="118"/>
      <c r="D62" s="118"/>
      <c r="E62" s="46"/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790735.08554552996</v>
      </c>
      <c r="S62" s="49">
        <v>794009.55970199918</v>
      </c>
      <c r="T62" s="49">
        <v>797191.3157868461</v>
      </c>
      <c r="U62" s="49">
        <v>800492.52552070376</v>
      </c>
      <c r="V62" s="49">
        <v>803807.40573176206</v>
      </c>
      <c r="W62" s="49">
        <v>807028.42375727789</v>
      </c>
      <c r="X62" s="49">
        <v>810370.36945493997</v>
      </c>
      <c r="Y62" s="49">
        <v>813617.68659676448</v>
      </c>
      <c r="Z62" s="49">
        <v>816986.91876656166</v>
      </c>
      <c r="AA62" s="49">
        <v>820379.39131392993</v>
      </c>
      <c r="AB62" s="49">
        <v>823455.66649734823</v>
      </c>
      <c r="AC62" s="49">
        <v>826875.00000000035</v>
      </c>
      <c r="AD62" s="49">
        <v>830197.55068942718</v>
      </c>
      <c r="AE62" s="49">
        <v>833644.87932457624</v>
      </c>
      <c r="AF62" s="49">
        <v>836994.63275591354</v>
      </c>
      <c r="AG62" s="49">
        <v>840470.18572829885</v>
      </c>
      <c r="AH62" s="49">
        <v>843960.17065519269</v>
      </c>
      <c r="AI62" s="49">
        <v>847351.37300967088</v>
      </c>
      <c r="AJ62" s="49">
        <v>850869.93151394906</v>
      </c>
      <c r="AK62" s="49">
        <v>854288.89868258301</v>
      </c>
      <c r="AL62" s="49">
        <v>857836.26470489032</v>
      </c>
      <c r="AM62" s="49">
        <v>861398.36087962694</v>
      </c>
      <c r="AN62" s="49">
        <v>864628.44982221629</v>
      </c>
      <c r="AO62" s="49">
        <v>868218.75000000105</v>
      </c>
      <c r="AP62" s="49">
        <v>871707.42822389922</v>
      </c>
      <c r="AQ62" s="49">
        <v>875327.12329080584</v>
      </c>
      <c r="AR62" s="49">
        <v>878844.36439371004</v>
      </c>
      <c r="AS62" s="49">
        <v>882493.6950147145</v>
      </c>
      <c r="AT62" s="49">
        <v>886158.17918795312</v>
      </c>
      <c r="AU62" s="49">
        <v>889718.94166015531</v>
      </c>
      <c r="AV62" s="49">
        <v>893413.42808964744</v>
      </c>
      <c r="AW62" s="49">
        <v>897003.34361671319</v>
      </c>
      <c r="AX62" s="49">
        <v>900728.07794013584</v>
      </c>
      <c r="AY62" s="49">
        <v>904468.27892360941</v>
      </c>
      <c r="AZ62" s="49">
        <v>907859.87231332809</v>
      </c>
      <c r="BA62" s="49">
        <v>911629.68750000221</v>
      </c>
      <c r="BB62" s="49">
        <v>915292.79963509529</v>
      </c>
      <c r="BC62" s="49">
        <v>919093.47945534729</v>
      </c>
      <c r="BD62" s="49">
        <v>922786.58261339669</v>
      </c>
      <c r="BE62" s="49">
        <v>926618.37976545142</v>
      </c>
      <c r="BF62" s="49">
        <v>930466.08814735198</v>
      </c>
      <c r="BG62" s="49">
        <v>934204.88874316413</v>
      </c>
      <c r="BH62" s="49">
        <v>938084.09949413082</v>
      </c>
      <c r="BI62" s="49">
        <v>941853.51079754974</v>
      </c>
      <c r="BJ62" s="49">
        <v>945764.48183714354</v>
      </c>
      <c r="BK62" s="49">
        <v>949680.94059873454</v>
      </c>
      <c r="BL62" s="49">
        <v>953359.40579443553</v>
      </c>
      <c r="BM62" s="49">
        <v>957307.31552193558</v>
      </c>
      <c r="BN62" s="49">
        <v>961143.43857487896</v>
      </c>
      <c r="BO62" s="49">
        <v>965123.58237753087</v>
      </c>
      <c r="BP62" s="49">
        <v>968991.02678463783</v>
      </c>
      <c r="BQ62" s="49">
        <v>973003.66784870264</v>
      </c>
      <c r="BR62" s="49">
        <v>977032.92546324537</v>
      </c>
      <c r="BS62" s="49">
        <v>980948.09300462238</v>
      </c>
      <c r="BT62" s="49">
        <v>985010.24888729129</v>
      </c>
      <c r="BU62" s="49">
        <v>988957.38316891121</v>
      </c>
      <c r="BV62" s="49">
        <v>993052.70592900086</v>
      </c>
      <c r="BW62" s="49">
        <v>997176.27751328039</v>
      </c>
      <c r="BX62" s="49">
        <v>1000915.5092254455</v>
      </c>
      <c r="BY62" s="49">
        <v>1005071.7304687535</v>
      </c>
      <c r="BZ62" s="49">
        <v>1009110.3115976937</v>
      </c>
      <c r="CA62" s="49">
        <v>1013300.5610995215</v>
      </c>
      <c r="CB62" s="49">
        <v>1017372.2073312709</v>
      </c>
      <c r="CC62" s="49">
        <v>1021596.7636914112</v>
      </c>
      <c r="CD62" s="49">
        <v>1025838.8621824565</v>
      </c>
      <c r="CE62" s="49">
        <v>1029960.8898393395</v>
      </c>
      <c r="CF62" s="49">
        <v>1034237.7196922803</v>
      </c>
      <c r="CG62" s="49">
        <v>1038393.4956542996</v>
      </c>
      <c r="CH62" s="49">
        <v>1042705.341225452</v>
      </c>
      <c r="CI62" s="49">
        <v>1047035.0913889456</v>
      </c>
      <c r="CJ62" s="49">
        <v>1050961.2846867188</v>
      </c>
      <c r="CK62" s="49">
        <v>1055325.3169921921</v>
      </c>
    </row>
    <row r="63" spans="2:89">
      <c r="B63" s="45" t="str">
        <v>Крем-мыло из светлого жира предкуколки ЧЛ</v>
      </c>
      <c r="C63" s="118"/>
      <c r="D63" s="118"/>
      <c r="E63" s="46"/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2214058.2395274839</v>
      </c>
      <c r="S63" s="49">
        <v>2223226.7671655975</v>
      </c>
      <c r="T63" s="49">
        <v>2232135.6842031688</v>
      </c>
      <c r="U63" s="49">
        <v>2241379.0714579704</v>
      </c>
      <c r="V63" s="49">
        <v>2250660.7360489336</v>
      </c>
      <c r="W63" s="49">
        <v>2259679.586520378</v>
      </c>
      <c r="X63" s="49">
        <v>2269037.0344738318</v>
      </c>
      <c r="Y63" s="49">
        <v>2278129.5224709404</v>
      </c>
      <c r="Z63" s="49">
        <v>2287563.3725463725</v>
      </c>
      <c r="AA63" s="49">
        <v>2297062.2956790039</v>
      </c>
      <c r="AB63" s="49">
        <v>2305675.8661925751</v>
      </c>
      <c r="AC63" s="49">
        <v>2315250.0000000009</v>
      </c>
      <c r="AD63" s="49">
        <v>2324553.1419303962</v>
      </c>
      <c r="AE63" s="49">
        <v>2334205.6621088134</v>
      </c>
      <c r="AF63" s="49">
        <v>2343584.9717165581</v>
      </c>
      <c r="AG63" s="49">
        <v>2353316.5200392371</v>
      </c>
      <c r="AH63" s="49">
        <v>2363088.4778345395</v>
      </c>
      <c r="AI63" s="49">
        <v>2372583.8444270785</v>
      </c>
      <c r="AJ63" s="49">
        <v>2382435.8082390572</v>
      </c>
      <c r="AK63" s="49">
        <v>2392008.9163112324</v>
      </c>
      <c r="AL63" s="49">
        <v>2401941.5411736928</v>
      </c>
      <c r="AM63" s="49">
        <v>2411915.4104629555</v>
      </c>
      <c r="AN63" s="49">
        <v>2420959.6595022054</v>
      </c>
      <c r="AO63" s="49">
        <v>2431012.5000000033</v>
      </c>
      <c r="AP63" s="49">
        <v>2440780.7990269177</v>
      </c>
      <c r="AQ63" s="49">
        <v>2450915.9452142566</v>
      </c>
      <c r="AR63" s="49">
        <v>2460764.2203023881</v>
      </c>
      <c r="AS63" s="49">
        <v>2470982.3460412007</v>
      </c>
      <c r="AT63" s="49">
        <v>2481242.9017262687</v>
      </c>
      <c r="AU63" s="49">
        <v>2491213.0366484351</v>
      </c>
      <c r="AV63" s="49">
        <v>2501557.5986510129</v>
      </c>
      <c r="AW63" s="49">
        <v>2511609.362126797</v>
      </c>
      <c r="AX63" s="49">
        <v>2522038.6182323801</v>
      </c>
      <c r="AY63" s="49">
        <v>2532511.1809861064</v>
      </c>
      <c r="AZ63" s="49">
        <v>2542007.6424773186</v>
      </c>
      <c r="BA63" s="49">
        <v>2552563.1250000061</v>
      </c>
      <c r="BB63" s="49">
        <v>2562819.8389782668</v>
      </c>
      <c r="BC63" s="49">
        <v>2573461.7424749723</v>
      </c>
      <c r="BD63" s="49">
        <v>2583802.4313175105</v>
      </c>
      <c r="BE63" s="49">
        <v>2594531.4633432641</v>
      </c>
      <c r="BF63" s="49">
        <v>2605305.0468125856</v>
      </c>
      <c r="BG63" s="49">
        <v>2615773.6884808596</v>
      </c>
      <c r="BH63" s="49">
        <v>2626635.4785835664</v>
      </c>
      <c r="BI63" s="49">
        <v>2637189.830233139</v>
      </c>
      <c r="BJ63" s="49">
        <v>2648140.5491440021</v>
      </c>
      <c r="BK63" s="49">
        <v>2659106.6336764568</v>
      </c>
      <c r="BL63" s="49">
        <v>2669406.3362244195</v>
      </c>
      <c r="BM63" s="49">
        <v>2680460.4834614196</v>
      </c>
      <c r="BN63" s="49">
        <v>2691201.6280096611</v>
      </c>
      <c r="BO63" s="49">
        <v>2702346.0306570865</v>
      </c>
      <c r="BP63" s="49">
        <v>2713174.8749969858</v>
      </c>
      <c r="BQ63" s="49">
        <v>2724410.2699763677</v>
      </c>
      <c r="BR63" s="49">
        <v>2735692.1912970869</v>
      </c>
      <c r="BS63" s="49">
        <v>2746654.660412943</v>
      </c>
      <c r="BT63" s="49">
        <v>2758028.6968844156</v>
      </c>
      <c r="BU63" s="49">
        <v>2769080.6728729513</v>
      </c>
      <c r="BV63" s="49">
        <v>2780547.5766012026</v>
      </c>
      <c r="BW63" s="49">
        <v>2792093.577037185</v>
      </c>
      <c r="BX63" s="49">
        <v>2802563.4258312471</v>
      </c>
      <c r="BY63" s="49">
        <v>2814200.8453125097</v>
      </c>
      <c r="BZ63" s="49">
        <v>2825508.8724735421</v>
      </c>
      <c r="CA63" s="49">
        <v>2837241.57107866</v>
      </c>
      <c r="CB63" s="49">
        <v>2848642.1805275586</v>
      </c>
      <c r="CC63" s="49">
        <v>2860470.9383359514</v>
      </c>
      <c r="CD63" s="49">
        <v>2872348.8141108784</v>
      </c>
      <c r="CE63" s="49">
        <v>2883890.4915501508</v>
      </c>
      <c r="CF63" s="49">
        <v>2895865.615138385</v>
      </c>
      <c r="CG63" s="49">
        <v>2907501.7878320389</v>
      </c>
      <c r="CH63" s="49">
        <v>2919574.9554312658</v>
      </c>
      <c r="CI63" s="49">
        <v>2931698.2558890474</v>
      </c>
      <c r="CJ63" s="49">
        <v>2942691.5971228126</v>
      </c>
      <c r="CK63" s="49">
        <v>2954910.8875781382</v>
      </c>
    </row>
    <row r="64" spans="2:89">
      <c r="B64" s="45" t="str">
        <v>Продукты пчеловодства</v>
      </c>
      <c r="C64" s="118"/>
      <c r="D64" s="118"/>
      <c r="E64" s="46"/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316294.03421821195</v>
      </c>
      <c r="S64" s="49">
        <v>317603.82388079964</v>
      </c>
      <c r="T64" s="49">
        <v>318876.52631473844</v>
      </c>
      <c r="U64" s="49">
        <v>320197.01020828151</v>
      </c>
      <c r="V64" s="49">
        <v>321522.96229270485</v>
      </c>
      <c r="W64" s="49">
        <v>322811.36950291117</v>
      </c>
      <c r="X64" s="49">
        <v>324148.14778197597</v>
      </c>
      <c r="Y64" s="49">
        <v>325447.07463870582</v>
      </c>
      <c r="Z64" s="49">
        <v>326794.76750662469</v>
      </c>
      <c r="AA64" s="49">
        <v>328151.75652557198</v>
      </c>
      <c r="AB64" s="49">
        <v>329382.26659893931</v>
      </c>
      <c r="AC64" s="49">
        <v>330750.00000000012</v>
      </c>
      <c r="AD64" s="49">
        <v>332079.02027577086</v>
      </c>
      <c r="AE64" s="49">
        <v>333457.95172983053</v>
      </c>
      <c r="AF64" s="49">
        <v>334797.85310236545</v>
      </c>
      <c r="AG64" s="49">
        <v>336188.07429131959</v>
      </c>
      <c r="AH64" s="49">
        <v>337584.06826207705</v>
      </c>
      <c r="AI64" s="49">
        <v>338940.54920386837</v>
      </c>
      <c r="AJ64" s="49">
        <v>340347.97260557959</v>
      </c>
      <c r="AK64" s="49">
        <v>341715.55947303318</v>
      </c>
      <c r="AL64" s="49">
        <v>343134.50588195614</v>
      </c>
      <c r="AM64" s="49">
        <v>344559.3443518508</v>
      </c>
      <c r="AN64" s="49">
        <v>345851.37992888648</v>
      </c>
      <c r="AO64" s="49">
        <v>347287.50000000047</v>
      </c>
      <c r="AP64" s="49">
        <v>348682.97128955967</v>
      </c>
      <c r="AQ64" s="49">
        <v>350130.84931632236</v>
      </c>
      <c r="AR64" s="49">
        <v>351537.74575748399</v>
      </c>
      <c r="AS64" s="49">
        <v>352997.47800588579</v>
      </c>
      <c r="AT64" s="49">
        <v>354463.27167518123</v>
      </c>
      <c r="AU64" s="49">
        <v>355887.5766640621</v>
      </c>
      <c r="AV64" s="49">
        <v>357365.37123585894</v>
      </c>
      <c r="AW64" s="49">
        <v>358801.33744668524</v>
      </c>
      <c r="AX64" s="49">
        <v>360291.23117605434</v>
      </c>
      <c r="AY64" s="49">
        <v>361787.31156944373</v>
      </c>
      <c r="AZ64" s="49">
        <v>363143.94892533123</v>
      </c>
      <c r="BA64" s="49">
        <v>364651.87500000087</v>
      </c>
      <c r="BB64" s="49">
        <v>366117.11985403812</v>
      </c>
      <c r="BC64" s="49">
        <v>367637.3917821389</v>
      </c>
      <c r="BD64" s="49">
        <v>369114.6330453587</v>
      </c>
      <c r="BE64" s="49">
        <v>370647.35190618061</v>
      </c>
      <c r="BF64" s="49">
        <v>372186.43525894079</v>
      </c>
      <c r="BG64" s="49">
        <v>373681.95549726568</v>
      </c>
      <c r="BH64" s="49">
        <v>375233.63979765231</v>
      </c>
      <c r="BI64" s="49">
        <v>376741.40431901987</v>
      </c>
      <c r="BJ64" s="49">
        <v>378305.79273485742</v>
      </c>
      <c r="BK64" s="49">
        <v>379872.37623949384</v>
      </c>
      <c r="BL64" s="49">
        <v>381343.76231777424</v>
      </c>
      <c r="BM64" s="49">
        <v>382922.92620877421</v>
      </c>
      <c r="BN64" s="49">
        <v>384457.37542995159</v>
      </c>
      <c r="BO64" s="49">
        <v>386049.43295101234</v>
      </c>
      <c r="BP64" s="49">
        <v>387596.41071385512</v>
      </c>
      <c r="BQ64" s="49">
        <v>389201.4671394811</v>
      </c>
      <c r="BR64" s="49">
        <v>390813.17018529814</v>
      </c>
      <c r="BS64" s="49">
        <v>392379.237201849</v>
      </c>
      <c r="BT64" s="49">
        <v>394004.09955491649</v>
      </c>
      <c r="BU64" s="49">
        <v>395582.95326756447</v>
      </c>
      <c r="BV64" s="49">
        <v>397221.08237160038</v>
      </c>
      <c r="BW64" s="49">
        <v>398870.51100531215</v>
      </c>
      <c r="BX64" s="49">
        <v>400366.20369017817</v>
      </c>
      <c r="BY64" s="49">
        <v>402028.69218750141</v>
      </c>
      <c r="BZ64" s="49">
        <v>403644.12463907746</v>
      </c>
      <c r="CA64" s="49">
        <v>405320.22443980857</v>
      </c>
      <c r="CB64" s="49">
        <v>406948.88293250836</v>
      </c>
      <c r="CC64" s="49">
        <v>408638.70547656453</v>
      </c>
      <c r="CD64" s="49">
        <v>410335.5448729826</v>
      </c>
      <c r="CE64" s="49">
        <v>411984.35593573586</v>
      </c>
      <c r="CF64" s="49">
        <v>413695.08787691209</v>
      </c>
      <c r="CG64" s="49">
        <v>415357.39826171985</v>
      </c>
      <c r="CH64" s="49">
        <v>417082.1364901808</v>
      </c>
      <c r="CI64" s="49">
        <v>418814.03655557823</v>
      </c>
      <c r="CJ64" s="49">
        <v>420384.51387468749</v>
      </c>
      <c r="CK64" s="49">
        <v>422130.1267968769</v>
      </c>
    </row>
    <row r="65" spans="2:89">
      <c r="B65" s="45" t="str">
        <v>Опылительная деятельность</v>
      </c>
      <c r="C65" s="118"/>
      <c r="D65" s="118"/>
      <c r="E65" s="46"/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363.73813935094375</v>
      </c>
      <c r="S65" s="49">
        <v>365.24439746291961</v>
      </c>
      <c r="T65" s="49">
        <v>366.70800526194915</v>
      </c>
      <c r="U65" s="49">
        <v>368.22656173952373</v>
      </c>
      <c r="V65" s="49">
        <v>369.75140663661057</v>
      </c>
      <c r="W65" s="49">
        <v>371.23307492834783</v>
      </c>
      <c r="X65" s="49">
        <v>372.77036994927238</v>
      </c>
      <c r="Y65" s="49">
        <v>374.26413583451165</v>
      </c>
      <c r="Z65" s="49">
        <v>375.81398263261838</v>
      </c>
      <c r="AA65" s="49">
        <v>377.37452000440777</v>
      </c>
      <c r="AB65" s="49">
        <v>378.7896065887802</v>
      </c>
      <c r="AC65" s="49">
        <v>380.36250000000018</v>
      </c>
      <c r="AD65" s="49">
        <v>381.89087331713648</v>
      </c>
      <c r="AE65" s="49">
        <v>383.4766444893051</v>
      </c>
      <c r="AF65" s="49">
        <v>385.01753106772026</v>
      </c>
      <c r="AG65" s="49">
        <v>386.61628543501752</v>
      </c>
      <c r="AH65" s="49">
        <v>388.22167850138862</v>
      </c>
      <c r="AI65" s="49">
        <v>389.78163158444863</v>
      </c>
      <c r="AJ65" s="49">
        <v>391.40016849641654</v>
      </c>
      <c r="AK65" s="49">
        <v>392.97289339398816</v>
      </c>
      <c r="AL65" s="49">
        <v>394.60468176424956</v>
      </c>
      <c r="AM65" s="49">
        <v>396.24324600462842</v>
      </c>
      <c r="AN65" s="49">
        <v>397.72908691821948</v>
      </c>
      <c r="AO65" s="49">
        <v>399.38062500000052</v>
      </c>
      <c r="AP65" s="49">
        <v>400.98541698299363</v>
      </c>
      <c r="AQ65" s="49">
        <v>402.65047671377067</v>
      </c>
      <c r="AR65" s="49">
        <v>404.26840762110658</v>
      </c>
      <c r="AS65" s="49">
        <v>405.94709970676871</v>
      </c>
      <c r="AT65" s="49">
        <v>407.63276242645844</v>
      </c>
      <c r="AU65" s="49">
        <v>409.27071316367142</v>
      </c>
      <c r="AV65" s="49">
        <v>410.97017692123779</v>
      </c>
      <c r="AW65" s="49">
        <v>412.62153806368804</v>
      </c>
      <c r="AX65" s="49">
        <v>414.33491585246247</v>
      </c>
      <c r="AY65" s="49">
        <v>416.05540830486029</v>
      </c>
      <c r="AZ65" s="49">
        <v>417.61554126413091</v>
      </c>
      <c r="BA65" s="49">
        <v>419.34965625000098</v>
      </c>
      <c r="BB65" s="49">
        <v>421.03468783214385</v>
      </c>
      <c r="BC65" s="49">
        <v>422.78300054945976</v>
      </c>
      <c r="BD65" s="49">
        <v>424.4818280021625</v>
      </c>
      <c r="BE65" s="49">
        <v>426.24445469210769</v>
      </c>
      <c r="BF65" s="49">
        <v>428.01440054778186</v>
      </c>
      <c r="BG65" s="49">
        <v>429.73424882185549</v>
      </c>
      <c r="BH65" s="49">
        <v>431.51868576730016</v>
      </c>
      <c r="BI65" s="49">
        <v>433.25261496687284</v>
      </c>
      <c r="BJ65" s="49">
        <v>435.05166164508603</v>
      </c>
      <c r="BK65" s="49">
        <v>436.85323267541793</v>
      </c>
      <c r="BL65" s="49">
        <v>438.54532666544037</v>
      </c>
      <c r="BM65" s="49">
        <v>440.36136514009036</v>
      </c>
      <c r="BN65" s="49">
        <v>442.12598174444435</v>
      </c>
      <c r="BO65" s="49">
        <v>443.95684789366419</v>
      </c>
      <c r="BP65" s="49">
        <v>445.73587232093337</v>
      </c>
      <c r="BQ65" s="49">
        <v>447.58168721040323</v>
      </c>
      <c r="BR65" s="49">
        <v>449.43514571309282</v>
      </c>
      <c r="BS65" s="49">
        <v>451.2361227821263</v>
      </c>
      <c r="BT65" s="49">
        <v>453.104714488154</v>
      </c>
      <c r="BU65" s="49">
        <v>454.92039625769917</v>
      </c>
      <c r="BV65" s="49">
        <v>456.8042447273404</v>
      </c>
      <c r="BW65" s="49">
        <v>458.701087656109</v>
      </c>
      <c r="BX65" s="49">
        <v>460.4211342437049</v>
      </c>
      <c r="BY65" s="49">
        <v>462.33299601562658</v>
      </c>
      <c r="BZ65" s="49">
        <v>464.1907433349391</v>
      </c>
      <c r="CA65" s="49">
        <v>466.11825810577989</v>
      </c>
      <c r="CB65" s="49">
        <v>467.9912153723846</v>
      </c>
      <c r="CC65" s="49">
        <v>469.93451129804919</v>
      </c>
      <c r="CD65" s="49">
        <v>471.88587660393</v>
      </c>
      <c r="CE65" s="49">
        <v>473.78200932609622</v>
      </c>
      <c r="CF65" s="49">
        <v>475.74935105844895</v>
      </c>
      <c r="CG65" s="49">
        <v>477.66100800097786</v>
      </c>
      <c r="CH65" s="49">
        <v>479.64445696370791</v>
      </c>
      <c r="CI65" s="49">
        <v>481.63614203891495</v>
      </c>
      <c r="CJ65" s="49">
        <v>483.44219095589062</v>
      </c>
      <c r="CK65" s="49">
        <v>485.44964581640841</v>
      </c>
    </row>
    <row r="66" spans="2:89">
      <c r="B66" s="86" t="str">
        <v>Реализация пчелопакетов</v>
      </c>
      <c r="C66" s="118"/>
      <c r="D66" s="118"/>
      <c r="E66" s="46"/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3162.9403421821198</v>
      </c>
      <c r="S66" s="176">
        <v>3176.0382388079965</v>
      </c>
      <c r="T66" s="176">
        <v>3188.7652631473843</v>
      </c>
      <c r="U66" s="176">
        <v>3201.9701020828152</v>
      </c>
      <c r="V66" s="176">
        <v>3215.2296229270482</v>
      </c>
      <c r="W66" s="176">
        <v>3228.1136950291116</v>
      </c>
      <c r="X66" s="176">
        <v>3241.4814778197597</v>
      </c>
      <c r="Y66" s="176">
        <v>3254.4707463870577</v>
      </c>
      <c r="Z66" s="176">
        <v>3267.9476750662466</v>
      </c>
      <c r="AA66" s="176">
        <v>3281.5175652557195</v>
      </c>
      <c r="AB66" s="176">
        <v>3293.822665989393</v>
      </c>
      <c r="AC66" s="176">
        <v>3307.5000000000014</v>
      </c>
      <c r="AD66" s="176">
        <v>3320.7902027577084</v>
      </c>
      <c r="AE66" s="176">
        <v>3334.5795172983048</v>
      </c>
      <c r="AF66" s="176">
        <v>3347.9785310236543</v>
      </c>
      <c r="AG66" s="176">
        <v>3361.8807429131957</v>
      </c>
      <c r="AH66" s="176">
        <v>3375.8406826207706</v>
      </c>
      <c r="AI66" s="176">
        <v>3389.4054920386834</v>
      </c>
      <c r="AJ66" s="176">
        <v>3403.4797260557962</v>
      </c>
      <c r="AK66" s="176">
        <v>3417.1555947303318</v>
      </c>
      <c r="AL66" s="176">
        <v>3431.3450588195615</v>
      </c>
      <c r="AM66" s="176">
        <v>3445.5934435185077</v>
      </c>
      <c r="AN66" s="176">
        <v>3458.5137992888649</v>
      </c>
      <c r="AO66" s="176">
        <v>3472.8750000000045</v>
      </c>
      <c r="AP66" s="176">
        <v>3486.8297128955969</v>
      </c>
      <c r="AQ66" s="176">
        <v>3501.3084931632234</v>
      </c>
      <c r="AR66" s="176">
        <v>3515.3774575748398</v>
      </c>
      <c r="AS66" s="176">
        <v>3529.974780058858</v>
      </c>
      <c r="AT66" s="176">
        <v>3544.6327167518125</v>
      </c>
      <c r="AU66" s="176">
        <v>3558.8757666406214</v>
      </c>
      <c r="AV66" s="176">
        <v>3573.6537123585895</v>
      </c>
      <c r="AW66" s="176">
        <v>3588.0133744668524</v>
      </c>
      <c r="AX66" s="176">
        <v>3602.9123117605432</v>
      </c>
      <c r="AY66" s="176">
        <v>3617.8731156944373</v>
      </c>
      <c r="AZ66" s="176">
        <v>3631.4394892533123</v>
      </c>
      <c r="BA66" s="176">
        <v>3646.5187500000088</v>
      </c>
      <c r="BB66" s="176">
        <v>3661.1711985403813</v>
      </c>
      <c r="BC66" s="176">
        <v>3676.3739178213891</v>
      </c>
      <c r="BD66" s="176">
        <v>3691.1463304535869</v>
      </c>
      <c r="BE66" s="176">
        <v>3706.4735190618057</v>
      </c>
      <c r="BF66" s="176">
        <v>3721.8643525894076</v>
      </c>
      <c r="BG66" s="176">
        <v>3736.8195549726565</v>
      </c>
      <c r="BH66" s="176">
        <v>3752.3363979765231</v>
      </c>
      <c r="BI66" s="176">
        <v>3767.4140431901988</v>
      </c>
      <c r="BJ66" s="176">
        <v>3783.0579273485741</v>
      </c>
      <c r="BK66" s="176">
        <v>3798.7237623949381</v>
      </c>
      <c r="BL66" s="176">
        <v>3813.4376231777424</v>
      </c>
      <c r="BM66" s="176">
        <v>3829.229262087742</v>
      </c>
      <c r="BN66" s="176">
        <v>3844.5737542995162</v>
      </c>
      <c r="BO66" s="176">
        <v>3860.4943295101234</v>
      </c>
      <c r="BP66" s="176">
        <v>3875.9641071385513</v>
      </c>
      <c r="BQ66" s="176">
        <v>3892.0146713948106</v>
      </c>
      <c r="BR66" s="176">
        <v>3908.1317018529812</v>
      </c>
      <c r="BS66" s="176">
        <v>3923.7923720184899</v>
      </c>
      <c r="BT66" s="176">
        <v>3940.040995549165</v>
      </c>
      <c r="BU66" s="176">
        <v>3955.8295326756452</v>
      </c>
      <c r="BV66" s="176">
        <v>3972.2108237160037</v>
      </c>
      <c r="BW66" s="176">
        <v>3988.7051100531216</v>
      </c>
      <c r="BX66" s="176">
        <v>4003.6620369017819</v>
      </c>
      <c r="BY66" s="176">
        <v>4020.2869218750138</v>
      </c>
      <c r="BZ66" s="176">
        <v>4036.4412463907747</v>
      </c>
      <c r="CA66" s="176">
        <v>4053.2022443980859</v>
      </c>
      <c r="CB66" s="176">
        <v>4069.4888293250838</v>
      </c>
      <c r="CC66" s="176">
        <v>4086.3870547656452</v>
      </c>
      <c r="CD66" s="176">
        <v>4103.3554487298261</v>
      </c>
      <c r="CE66" s="176">
        <v>4119.8435593573586</v>
      </c>
      <c r="CF66" s="176">
        <v>4136.9508787691211</v>
      </c>
      <c r="CG66" s="176">
        <v>4153.5739826171985</v>
      </c>
      <c r="CH66" s="176">
        <v>4170.821364901808</v>
      </c>
      <c r="CI66" s="176">
        <v>4188.1403655557824</v>
      </c>
      <c r="CJ66" s="176">
        <v>4203.8451387468749</v>
      </c>
      <c r="CK66" s="176">
        <v>4221.301267968769</v>
      </c>
    </row>
    <row r="67" spans="2:89">
      <c r="B67" s="86" t="str">
        <v>Реализация пчеломаток</v>
      </c>
      <c r="C67" s="118"/>
      <c r="D67" s="118"/>
      <c r="E67" s="46"/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790.73508554552996</v>
      </c>
      <c r="S67" s="176">
        <v>794.00955970199914</v>
      </c>
      <c r="T67" s="176">
        <v>797.19131578684608</v>
      </c>
      <c r="U67" s="176">
        <v>800.49252552070379</v>
      </c>
      <c r="V67" s="176">
        <v>803.80740573176206</v>
      </c>
      <c r="W67" s="176">
        <v>807.02842375727789</v>
      </c>
      <c r="X67" s="176">
        <v>810.37036945493992</v>
      </c>
      <c r="Y67" s="176">
        <v>813.61768659676443</v>
      </c>
      <c r="Z67" s="176">
        <v>816.98691876656164</v>
      </c>
      <c r="AA67" s="176">
        <v>820.37939131392989</v>
      </c>
      <c r="AB67" s="176">
        <v>823.45566649734826</v>
      </c>
      <c r="AC67" s="176">
        <v>826.87500000000034</v>
      </c>
      <c r="AD67" s="176">
        <v>830.19755068942709</v>
      </c>
      <c r="AE67" s="176">
        <v>833.64487932457621</v>
      </c>
      <c r="AF67" s="176">
        <v>836.99463275591359</v>
      </c>
      <c r="AG67" s="176">
        <v>840.47018572829893</v>
      </c>
      <c r="AH67" s="176">
        <v>843.96017065519266</v>
      </c>
      <c r="AI67" s="176">
        <v>847.35137300967085</v>
      </c>
      <c r="AJ67" s="176">
        <v>850.86993151394904</v>
      </c>
      <c r="AK67" s="176">
        <v>854.28889868258295</v>
      </c>
      <c r="AL67" s="176">
        <v>857.83626470489037</v>
      </c>
      <c r="AM67" s="176">
        <v>861.39836087962692</v>
      </c>
      <c r="AN67" s="176">
        <v>864.62844982221623</v>
      </c>
      <c r="AO67" s="176">
        <v>868.21875000000114</v>
      </c>
      <c r="AP67" s="176">
        <v>871.70742822389923</v>
      </c>
      <c r="AQ67" s="176">
        <v>875.32712329080584</v>
      </c>
      <c r="AR67" s="176">
        <v>878.84436439370995</v>
      </c>
      <c r="AS67" s="176">
        <v>882.49369501471449</v>
      </c>
      <c r="AT67" s="176">
        <v>886.15817918795312</v>
      </c>
      <c r="AU67" s="176">
        <v>889.71894166015534</v>
      </c>
      <c r="AV67" s="176">
        <v>893.41342808964737</v>
      </c>
      <c r="AW67" s="176">
        <v>897.0033436167131</v>
      </c>
      <c r="AX67" s="176">
        <v>900.72807794013579</v>
      </c>
      <c r="AY67" s="176">
        <v>904.46827892360932</v>
      </c>
      <c r="AZ67" s="176">
        <v>907.85987231332808</v>
      </c>
      <c r="BA67" s="176">
        <v>911.62968750000221</v>
      </c>
      <c r="BB67" s="176">
        <v>915.29279963509532</v>
      </c>
      <c r="BC67" s="176">
        <v>919.09347945534728</v>
      </c>
      <c r="BD67" s="176">
        <v>922.78658261339672</v>
      </c>
      <c r="BE67" s="176">
        <v>926.61837976545144</v>
      </c>
      <c r="BF67" s="176">
        <v>930.46608814735191</v>
      </c>
      <c r="BG67" s="176">
        <v>934.20488874316413</v>
      </c>
      <c r="BH67" s="176">
        <v>938.08409949413078</v>
      </c>
      <c r="BI67" s="176">
        <v>941.85351079754969</v>
      </c>
      <c r="BJ67" s="176">
        <v>945.76448183714353</v>
      </c>
      <c r="BK67" s="176">
        <v>949.68094059873454</v>
      </c>
      <c r="BL67" s="176">
        <v>953.35940579443559</v>
      </c>
      <c r="BM67" s="176">
        <v>957.30731552193549</v>
      </c>
      <c r="BN67" s="176">
        <v>961.14343857487904</v>
      </c>
      <c r="BO67" s="176">
        <v>965.12358237753085</v>
      </c>
      <c r="BP67" s="176">
        <v>968.99102678463782</v>
      </c>
      <c r="BQ67" s="176">
        <v>973.00366784870266</v>
      </c>
      <c r="BR67" s="176">
        <v>977.03292546324531</v>
      </c>
      <c r="BS67" s="176">
        <v>980.94809300462248</v>
      </c>
      <c r="BT67" s="176">
        <v>985.01024888729125</v>
      </c>
      <c r="BU67" s="176">
        <v>988.95738316891129</v>
      </c>
      <c r="BV67" s="176">
        <v>993.05270592900092</v>
      </c>
      <c r="BW67" s="176">
        <v>997.17627751328041</v>
      </c>
      <c r="BX67" s="176">
        <v>1000.9155092254455</v>
      </c>
      <c r="BY67" s="176">
        <v>1005.0717304687535</v>
      </c>
      <c r="BZ67" s="176">
        <v>1009.1103115976937</v>
      </c>
      <c r="CA67" s="176">
        <v>1013.3005610995215</v>
      </c>
      <c r="CB67" s="176">
        <v>1017.3722073312709</v>
      </c>
      <c r="CC67" s="176">
        <v>1021.5967636914113</v>
      </c>
      <c r="CD67" s="176">
        <v>1025.8388621824565</v>
      </c>
      <c r="CE67" s="176">
        <v>1029.9608898393396</v>
      </c>
      <c r="CF67" s="176">
        <v>1034.2377196922803</v>
      </c>
      <c r="CG67" s="176">
        <v>1038.3934956542996</v>
      </c>
      <c r="CH67" s="176">
        <v>1042.705341225452</v>
      </c>
      <c r="CI67" s="176">
        <v>1047.0350913889456</v>
      </c>
      <c r="CJ67" s="176">
        <v>1050.9612846867187</v>
      </c>
      <c r="CK67" s="176">
        <v>1055.3253169921923</v>
      </c>
    </row>
    <row r="68" spans="2:89">
      <c r="B68" s="86" t="str">
        <v>Реализация с/х продукции</v>
      </c>
      <c r="C68" s="118"/>
      <c r="D68" s="118"/>
      <c r="E68" s="46"/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18186.906967547187</v>
      </c>
      <c r="S68" s="176">
        <v>18262.219873145979</v>
      </c>
      <c r="T68" s="176">
        <v>18335.400263097457</v>
      </c>
      <c r="U68" s="176">
        <v>18411.328086976187</v>
      </c>
      <c r="V68" s="176">
        <v>18487.570331830528</v>
      </c>
      <c r="W68" s="176">
        <v>18561.653746417393</v>
      </c>
      <c r="X68" s="176">
        <v>18638.518497463618</v>
      </c>
      <c r="Y68" s="176">
        <v>18713.206791725584</v>
      </c>
      <c r="Z68" s="176">
        <v>18790.699131630918</v>
      </c>
      <c r="AA68" s="176">
        <v>18868.726000220388</v>
      </c>
      <c r="AB68" s="176">
        <v>18939.480329439011</v>
      </c>
      <c r="AC68" s="176">
        <v>19018.125000000007</v>
      </c>
      <c r="AD68" s="176">
        <v>19094.543665856825</v>
      </c>
      <c r="AE68" s="176">
        <v>19173.832224465255</v>
      </c>
      <c r="AF68" s="176">
        <v>19250.876553386013</v>
      </c>
      <c r="AG68" s="176">
        <v>19330.814271750874</v>
      </c>
      <c r="AH68" s="176">
        <v>19411.083925069433</v>
      </c>
      <c r="AI68" s="176">
        <v>19489.081579222431</v>
      </c>
      <c r="AJ68" s="176">
        <v>19570.008424820826</v>
      </c>
      <c r="AK68" s="176">
        <v>19648.64466969941</v>
      </c>
      <c r="AL68" s="176">
        <v>19730.234088212477</v>
      </c>
      <c r="AM68" s="176">
        <v>19812.162300231419</v>
      </c>
      <c r="AN68" s="176">
        <v>19886.454345910974</v>
      </c>
      <c r="AO68" s="176">
        <v>19969.031250000025</v>
      </c>
      <c r="AP68" s="176">
        <v>20049.270849149681</v>
      </c>
      <c r="AQ68" s="176">
        <v>20132.523835688535</v>
      </c>
      <c r="AR68" s="176">
        <v>20213.42038105533</v>
      </c>
      <c r="AS68" s="176">
        <v>20297.354985338436</v>
      </c>
      <c r="AT68" s="176">
        <v>20381.638121322922</v>
      </c>
      <c r="AU68" s="176">
        <v>20463.535658183573</v>
      </c>
      <c r="AV68" s="176">
        <v>20548.50884606189</v>
      </c>
      <c r="AW68" s="176">
        <v>20631.076903184403</v>
      </c>
      <c r="AX68" s="176">
        <v>20716.745792623125</v>
      </c>
      <c r="AY68" s="176">
        <v>20802.770415243016</v>
      </c>
      <c r="AZ68" s="176">
        <v>20880.777063206548</v>
      </c>
      <c r="BA68" s="176">
        <v>20967.482812500049</v>
      </c>
      <c r="BB68" s="176">
        <v>21051.734391607191</v>
      </c>
      <c r="BC68" s="176">
        <v>21139.150027472988</v>
      </c>
      <c r="BD68" s="176">
        <v>21224.091400108126</v>
      </c>
      <c r="BE68" s="176">
        <v>21312.222734605384</v>
      </c>
      <c r="BF68" s="176">
        <v>21400.720027389096</v>
      </c>
      <c r="BG68" s="176">
        <v>21486.712441092775</v>
      </c>
      <c r="BH68" s="176">
        <v>21575.93428836501</v>
      </c>
      <c r="BI68" s="176">
        <v>21662.630748343643</v>
      </c>
      <c r="BJ68" s="176">
        <v>21752.583082254303</v>
      </c>
      <c r="BK68" s="176">
        <v>21842.661633770895</v>
      </c>
      <c r="BL68" s="176">
        <v>21927.266333272019</v>
      </c>
      <c r="BM68" s="176">
        <v>22018.068257004517</v>
      </c>
      <c r="BN68" s="176">
        <v>22106.299087222218</v>
      </c>
      <c r="BO68" s="176">
        <v>22197.842394683212</v>
      </c>
      <c r="BP68" s="176">
        <v>22286.793616046671</v>
      </c>
      <c r="BQ68" s="176">
        <v>22379.084360520163</v>
      </c>
      <c r="BR68" s="176">
        <v>22471.757285654643</v>
      </c>
      <c r="BS68" s="176">
        <v>22561.806139106317</v>
      </c>
      <c r="BT68" s="176">
        <v>22655.235724407699</v>
      </c>
      <c r="BU68" s="176">
        <v>22746.019812884959</v>
      </c>
      <c r="BV68" s="176">
        <v>22840.212236367021</v>
      </c>
      <c r="BW68" s="176">
        <v>22935.054382805451</v>
      </c>
      <c r="BX68" s="176">
        <v>23021.056712185244</v>
      </c>
      <c r="BY68" s="176">
        <v>23116.649800781332</v>
      </c>
      <c r="BZ68" s="176">
        <v>23209.537166746955</v>
      </c>
      <c r="CA68" s="176">
        <v>23305.912905288995</v>
      </c>
      <c r="CB68" s="176">
        <v>23399.560768619231</v>
      </c>
      <c r="CC68" s="176">
        <v>23496.725564902459</v>
      </c>
      <c r="CD68" s="176">
        <v>23594.2938301965</v>
      </c>
      <c r="CE68" s="176">
        <v>23689.100466304812</v>
      </c>
      <c r="CF68" s="176">
        <v>23787.467552922448</v>
      </c>
      <c r="CG68" s="176">
        <v>23883.050400048891</v>
      </c>
      <c r="CH68" s="176">
        <v>23982.222848185396</v>
      </c>
      <c r="CI68" s="176">
        <v>24081.807101945749</v>
      </c>
      <c r="CJ68" s="176">
        <v>24172.109547794531</v>
      </c>
      <c r="CK68" s="176">
        <v>24272.482290820419</v>
      </c>
    </row>
    <row r="69" spans="2:89">
      <c r="B69" s="128" t="str">
        <v>Форель</v>
      </c>
      <c r="C69" s="124"/>
      <c r="D69" s="124"/>
      <c r="E69" s="78"/>
      <c r="F69" s="185">
        <v>0</v>
      </c>
      <c r="G69" s="185">
        <v>0</v>
      </c>
      <c r="H69" s="185">
        <v>0</v>
      </c>
      <c r="I69" s="185">
        <v>0</v>
      </c>
      <c r="J69" s="185">
        <v>0</v>
      </c>
      <c r="K69" s="185">
        <v>0</v>
      </c>
      <c r="L69" s="185">
        <v>0</v>
      </c>
      <c r="M69" s="185">
        <v>0</v>
      </c>
      <c r="N69" s="185">
        <v>0</v>
      </c>
      <c r="O69" s="185">
        <v>0</v>
      </c>
      <c r="P69" s="185">
        <v>0</v>
      </c>
      <c r="Q69" s="185">
        <v>0</v>
      </c>
      <c r="R69" s="185">
        <v>851621.68713253574</v>
      </c>
      <c r="S69" s="185">
        <v>855148.29579905304</v>
      </c>
      <c r="T69" s="185">
        <v>858575.04710243316</v>
      </c>
      <c r="U69" s="185">
        <v>862130.44998579798</v>
      </c>
      <c r="V69" s="185">
        <v>865700.57597310771</v>
      </c>
      <c r="W69" s="185">
        <v>869169.61238658836</v>
      </c>
      <c r="X69" s="185">
        <v>872768.88790297031</v>
      </c>
      <c r="Y69" s="185">
        <v>876266.24846471532</v>
      </c>
      <c r="Z69" s="185">
        <v>879894.91151158686</v>
      </c>
      <c r="AA69" s="185">
        <v>883548.60444510251</v>
      </c>
      <c r="AB69" s="185">
        <v>886861.75281764404</v>
      </c>
      <c r="AC69" s="185">
        <v>890544.37500000035</v>
      </c>
      <c r="AD69" s="185">
        <v>894122.76209251303</v>
      </c>
      <c r="AE69" s="185">
        <v>897835.53503256862</v>
      </c>
      <c r="AF69" s="185">
        <v>901443.21947811893</v>
      </c>
      <c r="AG69" s="185">
        <v>905186.39002937789</v>
      </c>
      <c r="AH69" s="185">
        <v>908945.1037956425</v>
      </c>
      <c r="AI69" s="185">
        <v>912597.42873141554</v>
      </c>
      <c r="AJ69" s="185">
        <v>916386.9162405231</v>
      </c>
      <c r="AK69" s="185">
        <v>920069.14388114191</v>
      </c>
      <c r="AL69" s="185">
        <v>923889.65708716691</v>
      </c>
      <c r="AM69" s="185">
        <v>927726.03466735827</v>
      </c>
      <c r="AN69" s="185">
        <v>931204.84045852686</v>
      </c>
      <c r="AO69" s="185">
        <v>935071.59375000116</v>
      </c>
      <c r="AP69" s="185">
        <v>938828.90019713948</v>
      </c>
      <c r="AQ69" s="185">
        <v>942727.31178419793</v>
      </c>
      <c r="AR69" s="185">
        <v>946515.38045202568</v>
      </c>
      <c r="AS69" s="185">
        <v>950445.7095308475</v>
      </c>
      <c r="AT69" s="185">
        <v>954392.35898542544</v>
      </c>
      <c r="AU69" s="185">
        <v>958227.30016798724</v>
      </c>
      <c r="AV69" s="185">
        <v>962206.26205255021</v>
      </c>
      <c r="AW69" s="185">
        <v>966072.60107520001</v>
      </c>
      <c r="AX69" s="185">
        <v>970084.13994152623</v>
      </c>
      <c r="AY69" s="185">
        <v>974112.33640072728</v>
      </c>
      <c r="AZ69" s="185">
        <v>977765.08248145436</v>
      </c>
      <c r="BA69" s="185">
        <v>981825.17343750235</v>
      </c>
      <c r="BB69" s="185">
        <v>985770.34520699759</v>
      </c>
      <c r="BC69" s="185">
        <v>989863.67737340904</v>
      </c>
      <c r="BD69" s="185">
        <v>993841.14947462827</v>
      </c>
      <c r="BE69" s="185">
        <v>997967.9950073912</v>
      </c>
      <c r="BF69" s="185">
        <v>1002111.9769346981</v>
      </c>
      <c r="BG69" s="185">
        <v>1006138.6651763878</v>
      </c>
      <c r="BH69" s="185">
        <v>1010316.5751551789</v>
      </c>
      <c r="BI69" s="185">
        <v>1014376.2311289611</v>
      </c>
      <c r="BJ69" s="185">
        <v>1018588.3469386037</v>
      </c>
      <c r="BK69" s="185">
        <v>1022806.3730248371</v>
      </c>
      <c r="BL69" s="185">
        <v>1026768.0800406071</v>
      </c>
      <c r="BM69" s="185">
        <v>1031019.9788171246</v>
      </c>
      <c r="BN69" s="185">
        <v>1035151.4833451447</v>
      </c>
      <c r="BO69" s="185">
        <v>1039438.0982206007</v>
      </c>
      <c r="BP69" s="185">
        <v>1043603.3358470548</v>
      </c>
      <c r="BQ69" s="185">
        <v>1047924.9502730528</v>
      </c>
      <c r="BR69" s="185">
        <v>1052264.4607239151</v>
      </c>
      <c r="BS69" s="185">
        <v>1056481.0961659783</v>
      </c>
      <c r="BT69" s="185">
        <v>1060856.0380516127</v>
      </c>
      <c r="BU69" s="185">
        <v>1065107.1016729174</v>
      </c>
      <c r="BV69" s="185">
        <v>1069517.7642855339</v>
      </c>
      <c r="BW69" s="185">
        <v>1073958.8508818031</v>
      </c>
      <c r="BX69" s="185">
        <v>1077986.0034358047</v>
      </c>
      <c r="BY69" s="185">
        <v>1082462.2537148474</v>
      </c>
      <c r="BZ69" s="185">
        <v>1086811.805590716</v>
      </c>
      <c r="CA69" s="185">
        <v>1091324.7043041845</v>
      </c>
      <c r="CB69" s="185">
        <v>1095709.8672957788</v>
      </c>
      <c r="CC69" s="185">
        <v>1100259.71449565</v>
      </c>
      <c r="CD69" s="185">
        <v>1104828.4545705058</v>
      </c>
      <c r="CE69" s="185">
        <v>1109267.8783569688</v>
      </c>
      <c r="CF69" s="185">
        <v>1113874.0241085859</v>
      </c>
      <c r="CG69" s="185">
        <v>1118349.7948196807</v>
      </c>
      <c r="CH69" s="185">
        <v>1122993.6524998117</v>
      </c>
      <c r="CI69" s="185">
        <v>1127656.7934258943</v>
      </c>
      <c r="CJ69" s="185">
        <v>1131885.3036075961</v>
      </c>
      <c r="CK69" s="185">
        <v>1136585.3664005909</v>
      </c>
    </row>
    <row r="70" spans="2:89">
      <c r="B70" s="14"/>
      <c r="C70" s="14"/>
      <c r="D70" s="14"/>
      <c r="E70" s="1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</row>
    <row r="71" spans="2:89" ht="18" thickBot="1">
      <c r="B71" s="100" t="s">
        <v>526</v>
      </c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4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</row>
    <row r="72" spans="2:89" ht="15.75" thickTop="1">
      <c r="B72" s="14"/>
      <c r="C72" s="14"/>
      <c r="D72" s="14"/>
      <c r="E72" s="1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</row>
    <row r="73" spans="2:89" ht="15.75" thickBot="1">
      <c r="B73" s="96" t="str">
        <f>"Продажи без учета графика нарастания производства, в "&amp;Ед_измерения_продукции</f>
        <v>Продажи без учета графика нарастания производства, в шт.(т, пч/семьи, пч/пакеты)</v>
      </c>
      <c r="C73" s="97"/>
      <c r="D73" s="97"/>
      <c r="E73" s="97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</row>
    <row r="74" spans="2:89">
      <c r="B74" s="14"/>
      <c r="C74" s="14"/>
      <c r="D74" s="14"/>
      <c r="E74" s="1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  <c r="BI74" s="154"/>
      <c r="BJ74" s="154"/>
      <c r="BK74" s="154"/>
      <c r="BL74" s="154"/>
      <c r="BM74" s="15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</row>
    <row r="75" spans="2:89">
      <c r="B75" s="45" t="str">
        <f t="array" ref="B75:B85">Продажи_наименования</f>
        <v>БЛК</v>
      </c>
      <c r="C75" s="46"/>
      <c r="D75" s="47">
        <f>SUM(F75:CK75)</f>
        <v>9000</v>
      </c>
      <c r="E75" s="48"/>
      <c r="F75" s="49">
        <f t="array" ref="F75:CK85">Продажи_натуральное_выражение*F14:CK14</f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125</v>
      </c>
      <c r="S75" s="49">
        <v>125</v>
      </c>
      <c r="T75" s="49">
        <v>125</v>
      </c>
      <c r="U75" s="49">
        <v>125</v>
      </c>
      <c r="V75" s="49">
        <v>125</v>
      </c>
      <c r="W75" s="49">
        <v>125</v>
      </c>
      <c r="X75" s="49">
        <v>125</v>
      </c>
      <c r="Y75" s="49">
        <v>125</v>
      </c>
      <c r="Z75" s="49">
        <v>125</v>
      </c>
      <c r="AA75" s="49">
        <v>125</v>
      </c>
      <c r="AB75" s="49">
        <v>125</v>
      </c>
      <c r="AC75" s="49">
        <v>125</v>
      </c>
      <c r="AD75" s="49">
        <v>125</v>
      </c>
      <c r="AE75" s="49">
        <v>125</v>
      </c>
      <c r="AF75" s="49">
        <v>125</v>
      </c>
      <c r="AG75" s="49">
        <v>125</v>
      </c>
      <c r="AH75" s="49">
        <v>125</v>
      </c>
      <c r="AI75" s="49">
        <v>125</v>
      </c>
      <c r="AJ75" s="49">
        <v>125</v>
      </c>
      <c r="AK75" s="49">
        <v>125</v>
      </c>
      <c r="AL75" s="49">
        <v>125</v>
      </c>
      <c r="AM75" s="49">
        <v>125</v>
      </c>
      <c r="AN75" s="49">
        <v>125</v>
      </c>
      <c r="AO75" s="49">
        <v>125</v>
      </c>
      <c r="AP75" s="49">
        <v>125</v>
      </c>
      <c r="AQ75" s="49">
        <v>125</v>
      </c>
      <c r="AR75" s="49">
        <v>125</v>
      </c>
      <c r="AS75" s="49">
        <v>125</v>
      </c>
      <c r="AT75" s="49">
        <v>125</v>
      </c>
      <c r="AU75" s="49">
        <v>125</v>
      </c>
      <c r="AV75" s="49">
        <v>125</v>
      </c>
      <c r="AW75" s="49">
        <v>125</v>
      </c>
      <c r="AX75" s="49">
        <v>125</v>
      </c>
      <c r="AY75" s="49">
        <v>125</v>
      </c>
      <c r="AZ75" s="49">
        <v>125</v>
      </c>
      <c r="BA75" s="49">
        <v>125</v>
      </c>
      <c r="BB75" s="49">
        <v>125</v>
      </c>
      <c r="BC75" s="49">
        <v>125</v>
      </c>
      <c r="BD75" s="49">
        <v>125</v>
      </c>
      <c r="BE75" s="49">
        <v>125</v>
      </c>
      <c r="BF75" s="49">
        <v>125</v>
      </c>
      <c r="BG75" s="49">
        <v>125</v>
      </c>
      <c r="BH75" s="49">
        <v>125</v>
      </c>
      <c r="BI75" s="49">
        <v>125</v>
      </c>
      <c r="BJ75" s="49">
        <v>125</v>
      </c>
      <c r="BK75" s="49">
        <v>125</v>
      </c>
      <c r="BL75" s="49">
        <v>125</v>
      </c>
      <c r="BM75" s="49">
        <v>125</v>
      </c>
      <c r="BN75" s="49">
        <v>125</v>
      </c>
      <c r="BO75" s="49">
        <v>125</v>
      </c>
      <c r="BP75" s="49">
        <v>125</v>
      </c>
      <c r="BQ75" s="49">
        <v>125</v>
      </c>
      <c r="BR75" s="49">
        <v>125</v>
      </c>
      <c r="BS75" s="49">
        <v>125</v>
      </c>
      <c r="BT75" s="49">
        <v>125</v>
      </c>
      <c r="BU75" s="49">
        <v>125</v>
      </c>
      <c r="BV75" s="49">
        <v>125</v>
      </c>
      <c r="BW75" s="49">
        <v>125</v>
      </c>
      <c r="BX75" s="49">
        <v>125</v>
      </c>
      <c r="BY75" s="49">
        <v>125</v>
      </c>
      <c r="BZ75" s="49">
        <v>125</v>
      </c>
      <c r="CA75" s="49">
        <v>125</v>
      </c>
      <c r="CB75" s="49">
        <v>125</v>
      </c>
      <c r="CC75" s="49">
        <v>125</v>
      </c>
      <c r="CD75" s="49">
        <v>125</v>
      </c>
      <c r="CE75" s="49">
        <v>125</v>
      </c>
      <c r="CF75" s="49">
        <v>125</v>
      </c>
      <c r="CG75" s="49">
        <v>125</v>
      </c>
      <c r="CH75" s="49">
        <v>125</v>
      </c>
      <c r="CI75" s="49">
        <v>125</v>
      </c>
      <c r="CJ75" s="49">
        <v>125</v>
      </c>
      <c r="CK75" s="49">
        <v>125</v>
      </c>
    </row>
    <row r="76" spans="2:89">
      <c r="B76" s="45" t="str">
        <v>Зоогумус</v>
      </c>
      <c r="C76" s="46"/>
      <c r="D76" s="47">
        <f t="shared" ref="D76:D85" si="30">SUM(F76:CK76)</f>
        <v>37800</v>
      </c>
      <c r="E76" s="48"/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525</v>
      </c>
      <c r="S76" s="49">
        <v>525</v>
      </c>
      <c r="T76" s="49">
        <v>525</v>
      </c>
      <c r="U76" s="49">
        <v>525</v>
      </c>
      <c r="V76" s="49">
        <v>525</v>
      </c>
      <c r="W76" s="49">
        <v>525</v>
      </c>
      <c r="X76" s="49">
        <v>525</v>
      </c>
      <c r="Y76" s="49">
        <v>525</v>
      </c>
      <c r="Z76" s="49">
        <v>525</v>
      </c>
      <c r="AA76" s="49">
        <v>525</v>
      </c>
      <c r="AB76" s="49">
        <v>525</v>
      </c>
      <c r="AC76" s="49">
        <v>525</v>
      </c>
      <c r="AD76" s="49">
        <v>525</v>
      </c>
      <c r="AE76" s="49">
        <v>525</v>
      </c>
      <c r="AF76" s="49">
        <v>525</v>
      </c>
      <c r="AG76" s="49">
        <v>525</v>
      </c>
      <c r="AH76" s="49">
        <v>525</v>
      </c>
      <c r="AI76" s="49">
        <v>525</v>
      </c>
      <c r="AJ76" s="49">
        <v>525</v>
      </c>
      <c r="AK76" s="49">
        <v>525</v>
      </c>
      <c r="AL76" s="49">
        <v>525</v>
      </c>
      <c r="AM76" s="49">
        <v>525</v>
      </c>
      <c r="AN76" s="49">
        <v>525</v>
      </c>
      <c r="AO76" s="49">
        <v>525</v>
      </c>
      <c r="AP76" s="49">
        <v>525</v>
      </c>
      <c r="AQ76" s="49">
        <v>525</v>
      </c>
      <c r="AR76" s="49">
        <v>525</v>
      </c>
      <c r="AS76" s="49">
        <v>525</v>
      </c>
      <c r="AT76" s="49">
        <v>525</v>
      </c>
      <c r="AU76" s="49">
        <v>525</v>
      </c>
      <c r="AV76" s="49">
        <v>525</v>
      </c>
      <c r="AW76" s="49">
        <v>525</v>
      </c>
      <c r="AX76" s="49">
        <v>525</v>
      </c>
      <c r="AY76" s="49">
        <v>525</v>
      </c>
      <c r="AZ76" s="49">
        <v>525</v>
      </c>
      <c r="BA76" s="49">
        <v>525</v>
      </c>
      <c r="BB76" s="49">
        <v>525</v>
      </c>
      <c r="BC76" s="49">
        <v>525</v>
      </c>
      <c r="BD76" s="49">
        <v>525</v>
      </c>
      <c r="BE76" s="49">
        <v>525</v>
      </c>
      <c r="BF76" s="49">
        <v>525</v>
      </c>
      <c r="BG76" s="49">
        <v>525</v>
      </c>
      <c r="BH76" s="49">
        <v>525</v>
      </c>
      <c r="BI76" s="49">
        <v>525</v>
      </c>
      <c r="BJ76" s="49">
        <v>525</v>
      </c>
      <c r="BK76" s="49">
        <v>525</v>
      </c>
      <c r="BL76" s="49">
        <v>525</v>
      </c>
      <c r="BM76" s="49">
        <v>525</v>
      </c>
      <c r="BN76" s="49">
        <v>525</v>
      </c>
      <c r="BO76" s="49">
        <v>525</v>
      </c>
      <c r="BP76" s="49">
        <v>525</v>
      </c>
      <c r="BQ76" s="49">
        <v>525</v>
      </c>
      <c r="BR76" s="49">
        <v>525</v>
      </c>
      <c r="BS76" s="49">
        <v>525</v>
      </c>
      <c r="BT76" s="49">
        <v>525</v>
      </c>
      <c r="BU76" s="49">
        <v>525</v>
      </c>
      <c r="BV76" s="49">
        <v>525</v>
      </c>
      <c r="BW76" s="49">
        <v>525</v>
      </c>
      <c r="BX76" s="49">
        <v>525</v>
      </c>
      <c r="BY76" s="49">
        <v>525</v>
      </c>
      <c r="BZ76" s="49">
        <v>525</v>
      </c>
      <c r="CA76" s="49">
        <v>525</v>
      </c>
      <c r="CB76" s="49">
        <v>525</v>
      </c>
      <c r="CC76" s="49">
        <v>525</v>
      </c>
      <c r="CD76" s="49">
        <v>525</v>
      </c>
      <c r="CE76" s="49">
        <v>525</v>
      </c>
      <c r="CF76" s="49">
        <v>525</v>
      </c>
      <c r="CG76" s="49">
        <v>525</v>
      </c>
      <c r="CH76" s="49">
        <v>525</v>
      </c>
      <c r="CI76" s="49">
        <v>525</v>
      </c>
      <c r="CJ76" s="49">
        <v>525</v>
      </c>
      <c r="CK76" s="49">
        <v>525</v>
      </c>
    </row>
    <row r="77" spans="2:89">
      <c r="B77" s="45" t="str">
        <v>Протеиновая мука</v>
      </c>
      <c r="C77" s="46"/>
      <c r="D77" s="47">
        <f t="shared" si="30"/>
        <v>1800</v>
      </c>
      <c r="E77" s="48"/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25</v>
      </c>
      <c r="S77" s="49">
        <v>25</v>
      </c>
      <c r="T77" s="49">
        <v>25</v>
      </c>
      <c r="U77" s="49">
        <v>25</v>
      </c>
      <c r="V77" s="49">
        <v>25</v>
      </c>
      <c r="W77" s="49">
        <v>25</v>
      </c>
      <c r="X77" s="49">
        <v>25</v>
      </c>
      <c r="Y77" s="49">
        <v>25</v>
      </c>
      <c r="Z77" s="49">
        <v>25</v>
      </c>
      <c r="AA77" s="49">
        <v>25</v>
      </c>
      <c r="AB77" s="49">
        <v>25</v>
      </c>
      <c r="AC77" s="49">
        <v>25</v>
      </c>
      <c r="AD77" s="49">
        <v>25</v>
      </c>
      <c r="AE77" s="49">
        <v>25</v>
      </c>
      <c r="AF77" s="49">
        <v>25</v>
      </c>
      <c r="AG77" s="49">
        <v>25</v>
      </c>
      <c r="AH77" s="49">
        <v>25</v>
      </c>
      <c r="AI77" s="49">
        <v>25</v>
      </c>
      <c r="AJ77" s="49">
        <v>25</v>
      </c>
      <c r="AK77" s="49">
        <v>25</v>
      </c>
      <c r="AL77" s="49">
        <v>25</v>
      </c>
      <c r="AM77" s="49">
        <v>25</v>
      </c>
      <c r="AN77" s="49">
        <v>25</v>
      </c>
      <c r="AO77" s="49">
        <v>25</v>
      </c>
      <c r="AP77" s="49">
        <v>25</v>
      </c>
      <c r="AQ77" s="49">
        <v>25</v>
      </c>
      <c r="AR77" s="49">
        <v>25</v>
      </c>
      <c r="AS77" s="49">
        <v>25</v>
      </c>
      <c r="AT77" s="49">
        <v>25</v>
      </c>
      <c r="AU77" s="49">
        <v>25</v>
      </c>
      <c r="AV77" s="49">
        <v>25</v>
      </c>
      <c r="AW77" s="49">
        <v>25</v>
      </c>
      <c r="AX77" s="49">
        <v>25</v>
      </c>
      <c r="AY77" s="49">
        <v>25</v>
      </c>
      <c r="AZ77" s="49">
        <v>25</v>
      </c>
      <c r="BA77" s="49">
        <v>25</v>
      </c>
      <c r="BB77" s="49">
        <v>25</v>
      </c>
      <c r="BC77" s="49">
        <v>25</v>
      </c>
      <c r="BD77" s="49">
        <v>25</v>
      </c>
      <c r="BE77" s="49">
        <v>25</v>
      </c>
      <c r="BF77" s="49">
        <v>25</v>
      </c>
      <c r="BG77" s="49">
        <v>25</v>
      </c>
      <c r="BH77" s="49">
        <v>25</v>
      </c>
      <c r="BI77" s="49">
        <v>25</v>
      </c>
      <c r="BJ77" s="49">
        <v>25</v>
      </c>
      <c r="BK77" s="49">
        <v>25</v>
      </c>
      <c r="BL77" s="49">
        <v>25</v>
      </c>
      <c r="BM77" s="49">
        <v>25</v>
      </c>
      <c r="BN77" s="49">
        <v>25</v>
      </c>
      <c r="BO77" s="49">
        <v>25</v>
      </c>
      <c r="BP77" s="49">
        <v>25</v>
      </c>
      <c r="BQ77" s="49">
        <v>25</v>
      </c>
      <c r="BR77" s="49">
        <v>25</v>
      </c>
      <c r="BS77" s="49">
        <v>25</v>
      </c>
      <c r="BT77" s="49">
        <v>25</v>
      </c>
      <c r="BU77" s="49">
        <v>25</v>
      </c>
      <c r="BV77" s="49">
        <v>25</v>
      </c>
      <c r="BW77" s="49">
        <v>25</v>
      </c>
      <c r="BX77" s="49">
        <v>25</v>
      </c>
      <c r="BY77" s="49">
        <v>25</v>
      </c>
      <c r="BZ77" s="49">
        <v>25</v>
      </c>
      <c r="CA77" s="49">
        <v>25</v>
      </c>
      <c r="CB77" s="49">
        <v>25</v>
      </c>
      <c r="CC77" s="49">
        <v>25</v>
      </c>
      <c r="CD77" s="49">
        <v>25</v>
      </c>
      <c r="CE77" s="49">
        <v>25</v>
      </c>
      <c r="CF77" s="49">
        <v>25</v>
      </c>
      <c r="CG77" s="49">
        <v>25</v>
      </c>
      <c r="CH77" s="49">
        <v>25</v>
      </c>
      <c r="CI77" s="49">
        <v>25</v>
      </c>
      <c r="CJ77" s="49">
        <v>25</v>
      </c>
      <c r="CK77" s="49">
        <v>25</v>
      </c>
    </row>
    <row r="78" spans="2:89">
      <c r="B78" s="45" t="str">
        <v>Жир светлый из предкуколки ЧЛ</v>
      </c>
      <c r="C78" s="46"/>
      <c r="D78" s="47">
        <f t="shared" si="30"/>
        <v>576</v>
      </c>
      <c r="E78" s="48"/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8</v>
      </c>
      <c r="S78" s="49">
        <v>8</v>
      </c>
      <c r="T78" s="49">
        <v>8</v>
      </c>
      <c r="U78" s="49">
        <v>8</v>
      </c>
      <c r="V78" s="49">
        <v>8</v>
      </c>
      <c r="W78" s="49">
        <v>8</v>
      </c>
      <c r="X78" s="49">
        <v>8</v>
      </c>
      <c r="Y78" s="49">
        <v>8</v>
      </c>
      <c r="Z78" s="49">
        <v>8</v>
      </c>
      <c r="AA78" s="49">
        <v>8</v>
      </c>
      <c r="AB78" s="49">
        <v>8</v>
      </c>
      <c r="AC78" s="49">
        <v>8</v>
      </c>
      <c r="AD78" s="49">
        <v>8</v>
      </c>
      <c r="AE78" s="49">
        <v>8</v>
      </c>
      <c r="AF78" s="49">
        <v>8</v>
      </c>
      <c r="AG78" s="49">
        <v>8</v>
      </c>
      <c r="AH78" s="49">
        <v>8</v>
      </c>
      <c r="AI78" s="49">
        <v>8</v>
      </c>
      <c r="AJ78" s="49">
        <v>8</v>
      </c>
      <c r="AK78" s="49">
        <v>8</v>
      </c>
      <c r="AL78" s="49">
        <v>8</v>
      </c>
      <c r="AM78" s="49">
        <v>8</v>
      </c>
      <c r="AN78" s="49">
        <v>8</v>
      </c>
      <c r="AO78" s="49">
        <v>8</v>
      </c>
      <c r="AP78" s="49">
        <v>8</v>
      </c>
      <c r="AQ78" s="49">
        <v>8</v>
      </c>
      <c r="AR78" s="49">
        <v>8</v>
      </c>
      <c r="AS78" s="49">
        <v>8</v>
      </c>
      <c r="AT78" s="49">
        <v>8</v>
      </c>
      <c r="AU78" s="49">
        <v>8</v>
      </c>
      <c r="AV78" s="49">
        <v>8</v>
      </c>
      <c r="AW78" s="49">
        <v>8</v>
      </c>
      <c r="AX78" s="49">
        <v>8</v>
      </c>
      <c r="AY78" s="49">
        <v>8</v>
      </c>
      <c r="AZ78" s="49">
        <v>8</v>
      </c>
      <c r="BA78" s="49">
        <v>8</v>
      </c>
      <c r="BB78" s="49">
        <v>8</v>
      </c>
      <c r="BC78" s="49">
        <v>8</v>
      </c>
      <c r="BD78" s="49">
        <v>8</v>
      </c>
      <c r="BE78" s="49">
        <v>8</v>
      </c>
      <c r="BF78" s="49">
        <v>8</v>
      </c>
      <c r="BG78" s="49">
        <v>8</v>
      </c>
      <c r="BH78" s="49">
        <v>8</v>
      </c>
      <c r="BI78" s="49">
        <v>8</v>
      </c>
      <c r="BJ78" s="49">
        <v>8</v>
      </c>
      <c r="BK78" s="49">
        <v>8</v>
      </c>
      <c r="BL78" s="49">
        <v>8</v>
      </c>
      <c r="BM78" s="49">
        <v>8</v>
      </c>
      <c r="BN78" s="49">
        <v>8</v>
      </c>
      <c r="BO78" s="49">
        <v>8</v>
      </c>
      <c r="BP78" s="49">
        <v>8</v>
      </c>
      <c r="BQ78" s="49">
        <v>8</v>
      </c>
      <c r="BR78" s="49">
        <v>8</v>
      </c>
      <c r="BS78" s="49">
        <v>8</v>
      </c>
      <c r="BT78" s="49">
        <v>8</v>
      </c>
      <c r="BU78" s="49">
        <v>8</v>
      </c>
      <c r="BV78" s="49">
        <v>8</v>
      </c>
      <c r="BW78" s="49">
        <v>8</v>
      </c>
      <c r="BX78" s="49">
        <v>8</v>
      </c>
      <c r="BY78" s="49">
        <v>8</v>
      </c>
      <c r="BZ78" s="49">
        <v>8</v>
      </c>
      <c r="CA78" s="49">
        <v>8</v>
      </c>
      <c r="CB78" s="49">
        <v>8</v>
      </c>
      <c r="CC78" s="49">
        <v>8</v>
      </c>
      <c r="CD78" s="49">
        <v>8</v>
      </c>
      <c r="CE78" s="49">
        <v>8</v>
      </c>
      <c r="CF78" s="49">
        <v>8</v>
      </c>
      <c r="CG78" s="49">
        <v>8</v>
      </c>
      <c r="CH78" s="49">
        <v>8</v>
      </c>
      <c r="CI78" s="49">
        <v>8</v>
      </c>
      <c r="CJ78" s="49">
        <v>8</v>
      </c>
      <c r="CK78" s="49">
        <v>8</v>
      </c>
    </row>
    <row r="79" spans="2:89">
      <c r="B79" s="45" t="str">
        <v>Крем-мыло из светлого жира предкуколки ЧЛ</v>
      </c>
      <c r="C79" s="46"/>
      <c r="D79" s="47">
        <f t="shared" si="30"/>
        <v>288</v>
      </c>
      <c r="E79" s="48"/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4</v>
      </c>
      <c r="S79" s="49">
        <v>4</v>
      </c>
      <c r="T79" s="49">
        <v>4</v>
      </c>
      <c r="U79" s="49">
        <v>4</v>
      </c>
      <c r="V79" s="49">
        <v>4</v>
      </c>
      <c r="W79" s="49">
        <v>4</v>
      </c>
      <c r="X79" s="49">
        <v>4</v>
      </c>
      <c r="Y79" s="49">
        <v>4</v>
      </c>
      <c r="Z79" s="49">
        <v>4</v>
      </c>
      <c r="AA79" s="49">
        <v>4</v>
      </c>
      <c r="AB79" s="49">
        <v>4</v>
      </c>
      <c r="AC79" s="49">
        <v>4</v>
      </c>
      <c r="AD79" s="49">
        <v>4</v>
      </c>
      <c r="AE79" s="49">
        <v>4</v>
      </c>
      <c r="AF79" s="49">
        <v>4</v>
      </c>
      <c r="AG79" s="49">
        <v>4</v>
      </c>
      <c r="AH79" s="49">
        <v>4</v>
      </c>
      <c r="AI79" s="49">
        <v>4</v>
      </c>
      <c r="AJ79" s="49">
        <v>4</v>
      </c>
      <c r="AK79" s="49">
        <v>4</v>
      </c>
      <c r="AL79" s="49">
        <v>4</v>
      </c>
      <c r="AM79" s="49">
        <v>4</v>
      </c>
      <c r="AN79" s="49">
        <v>4</v>
      </c>
      <c r="AO79" s="49">
        <v>4</v>
      </c>
      <c r="AP79" s="49">
        <v>4</v>
      </c>
      <c r="AQ79" s="49">
        <v>4</v>
      </c>
      <c r="AR79" s="49">
        <v>4</v>
      </c>
      <c r="AS79" s="49">
        <v>4</v>
      </c>
      <c r="AT79" s="49">
        <v>4</v>
      </c>
      <c r="AU79" s="49">
        <v>4</v>
      </c>
      <c r="AV79" s="49">
        <v>4</v>
      </c>
      <c r="AW79" s="49">
        <v>4</v>
      </c>
      <c r="AX79" s="49">
        <v>4</v>
      </c>
      <c r="AY79" s="49">
        <v>4</v>
      </c>
      <c r="AZ79" s="49">
        <v>4</v>
      </c>
      <c r="BA79" s="49">
        <v>4</v>
      </c>
      <c r="BB79" s="49">
        <v>4</v>
      </c>
      <c r="BC79" s="49">
        <v>4</v>
      </c>
      <c r="BD79" s="49">
        <v>4</v>
      </c>
      <c r="BE79" s="49">
        <v>4</v>
      </c>
      <c r="BF79" s="49">
        <v>4</v>
      </c>
      <c r="BG79" s="49">
        <v>4</v>
      </c>
      <c r="BH79" s="49">
        <v>4</v>
      </c>
      <c r="BI79" s="49">
        <v>4</v>
      </c>
      <c r="BJ79" s="49">
        <v>4</v>
      </c>
      <c r="BK79" s="49">
        <v>4</v>
      </c>
      <c r="BL79" s="49">
        <v>4</v>
      </c>
      <c r="BM79" s="49">
        <v>4</v>
      </c>
      <c r="BN79" s="49">
        <v>4</v>
      </c>
      <c r="BO79" s="49">
        <v>4</v>
      </c>
      <c r="BP79" s="49">
        <v>4</v>
      </c>
      <c r="BQ79" s="49">
        <v>4</v>
      </c>
      <c r="BR79" s="49">
        <v>4</v>
      </c>
      <c r="BS79" s="49">
        <v>4</v>
      </c>
      <c r="BT79" s="49">
        <v>4</v>
      </c>
      <c r="BU79" s="49">
        <v>4</v>
      </c>
      <c r="BV79" s="49">
        <v>4</v>
      </c>
      <c r="BW79" s="49">
        <v>4</v>
      </c>
      <c r="BX79" s="49">
        <v>4</v>
      </c>
      <c r="BY79" s="49">
        <v>4</v>
      </c>
      <c r="BZ79" s="49">
        <v>4</v>
      </c>
      <c r="CA79" s="49">
        <v>4</v>
      </c>
      <c r="CB79" s="49">
        <v>4</v>
      </c>
      <c r="CC79" s="49">
        <v>4</v>
      </c>
      <c r="CD79" s="49">
        <v>4</v>
      </c>
      <c r="CE79" s="49">
        <v>4</v>
      </c>
      <c r="CF79" s="49">
        <v>4</v>
      </c>
      <c r="CG79" s="49">
        <v>4</v>
      </c>
      <c r="CH79" s="49">
        <v>4</v>
      </c>
      <c r="CI79" s="49">
        <v>4</v>
      </c>
      <c r="CJ79" s="49">
        <v>4</v>
      </c>
      <c r="CK79" s="49">
        <v>4</v>
      </c>
    </row>
    <row r="80" spans="2:89">
      <c r="B80" s="45" t="str">
        <v>Продукты пчеловодства</v>
      </c>
      <c r="C80" s="46"/>
      <c r="D80" s="47">
        <f t="shared" si="30"/>
        <v>360</v>
      </c>
      <c r="E80" s="48"/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5</v>
      </c>
      <c r="S80" s="49">
        <v>5</v>
      </c>
      <c r="T80" s="49">
        <v>5</v>
      </c>
      <c r="U80" s="49">
        <v>5</v>
      </c>
      <c r="V80" s="49">
        <v>5</v>
      </c>
      <c r="W80" s="49">
        <v>5</v>
      </c>
      <c r="X80" s="49">
        <v>5</v>
      </c>
      <c r="Y80" s="49">
        <v>5</v>
      </c>
      <c r="Z80" s="49">
        <v>5</v>
      </c>
      <c r="AA80" s="49">
        <v>5</v>
      </c>
      <c r="AB80" s="49">
        <v>5</v>
      </c>
      <c r="AC80" s="49">
        <v>5</v>
      </c>
      <c r="AD80" s="49">
        <v>5</v>
      </c>
      <c r="AE80" s="49">
        <v>5</v>
      </c>
      <c r="AF80" s="49">
        <v>5</v>
      </c>
      <c r="AG80" s="49">
        <v>5</v>
      </c>
      <c r="AH80" s="49">
        <v>5</v>
      </c>
      <c r="AI80" s="49">
        <v>5</v>
      </c>
      <c r="AJ80" s="49">
        <v>5</v>
      </c>
      <c r="AK80" s="49">
        <v>5</v>
      </c>
      <c r="AL80" s="49">
        <v>5</v>
      </c>
      <c r="AM80" s="49">
        <v>5</v>
      </c>
      <c r="AN80" s="49">
        <v>5</v>
      </c>
      <c r="AO80" s="49">
        <v>5</v>
      </c>
      <c r="AP80" s="49">
        <v>5</v>
      </c>
      <c r="AQ80" s="49">
        <v>5</v>
      </c>
      <c r="AR80" s="49">
        <v>5</v>
      </c>
      <c r="AS80" s="49">
        <v>5</v>
      </c>
      <c r="AT80" s="49">
        <v>5</v>
      </c>
      <c r="AU80" s="49">
        <v>5</v>
      </c>
      <c r="AV80" s="49">
        <v>5</v>
      </c>
      <c r="AW80" s="49">
        <v>5</v>
      </c>
      <c r="AX80" s="49">
        <v>5</v>
      </c>
      <c r="AY80" s="49">
        <v>5</v>
      </c>
      <c r="AZ80" s="49">
        <v>5</v>
      </c>
      <c r="BA80" s="49">
        <v>5</v>
      </c>
      <c r="BB80" s="49">
        <v>5</v>
      </c>
      <c r="BC80" s="49">
        <v>5</v>
      </c>
      <c r="BD80" s="49">
        <v>5</v>
      </c>
      <c r="BE80" s="49">
        <v>5</v>
      </c>
      <c r="BF80" s="49">
        <v>5</v>
      </c>
      <c r="BG80" s="49">
        <v>5</v>
      </c>
      <c r="BH80" s="49">
        <v>5</v>
      </c>
      <c r="BI80" s="49">
        <v>5</v>
      </c>
      <c r="BJ80" s="49">
        <v>5</v>
      </c>
      <c r="BK80" s="49">
        <v>5</v>
      </c>
      <c r="BL80" s="49">
        <v>5</v>
      </c>
      <c r="BM80" s="49">
        <v>5</v>
      </c>
      <c r="BN80" s="49">
        <v>5</v>
      </c>
      <c r="BO80" s="49">
        <v>5</v>
      </c>
      <c r="BP80" s="49">
        <v>5</v>
      </c>
      <c r="BQ80" s="49">
        <v>5</v>
      </c>
      <c r="BR80" s="49">
        <v>5</v>
      </c>
      <c r="BS80" s="49">
        <v>5</v>
      </c>
      <c r="BT80" s="49">
        <v>5</v>
      </c>
      <c r="BU80" s="49">
        <v>5</v>
      </c>
      <c r="BV80" s="49">
        <v>5</v>
      </c>
      <c r="BW80" s="49">
        <v>5</v>
      </c>
      <c r="BX80" s="49">
        <v>5</v>
      </c>
      <c r="BY80" s="49">
        <v>5</v>
      </c>
      <c r="BZ80" s="49">
        <v>5</v>
      </c>
      <c r="CA80" s="49">
        <v>5</v>
      </c>
      <c r="CB80" s="49">
        <v>5</v>
      </c>
      <c r="CC80" s="49">
        <v>5</v>
      </c>
      <c r="CD80" s="49">
        <v>5</v>
      </c>
      <c r="CE80" s="49">
        <v>5</v>
      </c>
      <c r="CF80" s="49">
        <v>5</v>
      </c>
      <c r="CG80" s="49">
        <v>5</v>
      </c>
      <c r="CH80" s="49">
        <v>5</v>
      </c>
      <c r="CI80" s="49">
        <v>5</v>
      </c>
      <c r="CJ80" s="49">
        <v>5</v>
      </c>
      <c r="CK80" s="49">
        <v>5</v>
      </c>
    </row>
    <row r="81" spans="2:89">
      <c r="B81" s="45" t="str">
        <v>Опылительная деятельность</v>
      </c>
      <c r="C81" s="46"/>
      <c r="D81" s="47">
        <f t="shared" si="30"/>
        <v>1800</v>
      </c>
      <c r="E81" s="48"/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25</v>
      </c>
      <c r="S81" s="49">
        <v>25</v>
      </c>
      <c r="T81" s="49">
        <v>25</v>
      </c>
      <c r="U81" s="49">
        <v>25</v>
      </c>
      <c r="V81" s="49">
        <v>25</v>
      </c>
      <c r="W81" s="49">
        <v>25</v>
      </c>
      <c r="X81" s="49">
        <v>25</v>
      </c>
      <c r="Y81" s="49">
        <v>25</v>
      </c>
      <c r="Z81" s="49">
        <v>25</v>
      </c>
      <c r="AA81" s="49">
        <v>25</v>
      </c>
      <c r="AB81" s="49">
        <v>25</v>
      </c>
      <c r="AC81" s="49">
        <v>25</v>
      </c>
      <c r="AD81" s="49">
        <v>25</v>
      </c>
      <c r="AE81" s="49">
        <v>25</v>
      </c>
      <c r="AF81" s="49">
        <v>25</v>
      </c>
      <c r="AG81" s="49">
        <v>25</v>
      </c>
      <c r="AH81" s="49">
        <v>25</v>
      </c>
      <c r="AI81" s="49">
        <v>25</v>
      </c>
      <c r="AJ81" s="49">
        <v>25</v>
      </c>
      <c r="AK81" s="49">
        <v>25</v>
      </c>
      <c r="AL81" s="49">
        <v>25</v>
      </c>
      <c r="AM81" s="49">
        <v>25</v>
      </c>
      <c r="AN81" s="49">
        <v>25</v>
      </c>
      <c r="AO81" s="49">
        <v>25</v>
      </c>
      <c r="AP81" s="49">
        <v>25</v>
      </c>
      <c r="AQ81" s="49">
        <v>25</v>
      </c>
      <c r="AR81" s="49">
        <v>25</v>
      </c>
      <c r="AS81" s="49">
        <v>25</v>
      </c>
      <c r="AT81" s="49">
        <v>25</v>
      </c>
      <c r="AU81" s="49">
        <v>25</v>
      </c>
      <c r="AV81" s="49">
        <v>25</v>
      </c>
      <c r="AW81" s="49">
        <v>25</v>
      </c>
      <c r="AX81" s="49">
        <v>25</v>
      </c>
      <c r="AY81" s="49">
        <v>25</v>
      </c>
      <c r="AZ81" s="49">
        <v>25</v>
      </c>
      <c r="BA81" s="49">
        <v>25</v>
      </c>
      <c r="BB81" s="49">
        <v>25</v>
      </c>
      <c r="BC81" s="49">
        <v>25</v>
      </c>
      <c r="BD81" s="49">
        <v>25</v>
      </c>
      <c r="BE81" s="49">
        <v>25</v>
      </c>
      <c r="BF81" s="49">
        <v>25</v>
      </c>
      <c r="BG81" s="49">
        <v>25</v>
      </c>
      <c r="BH81" s="49">
        <v>25</v>
      </c>
      <c r="BI81" s="49">
        <v>25</v>
      </c>
      <c r="BJ81" s="49">
        <v>25</v>
      </c>
      <c r="BK81" s="49">
        <v>25</v>
      </c>
      <c r="BL81" s="49">
        <v>25</v>
      </c>
      <c r="BM81" s="49">
        <v>25</v>
      </c>
      <c r="BN81" s="49">
        <v>25</v>
      </c>
      <c r="BO81" s="49">
        <v>25</v>
      </c>
      <c r="BP81" s="49">
        <v>25</v>
      </c>
      <c r="BQ81" s="49">
        <v>25</v>
      </c>
      <c r="BR81" s="49">
        <v>25</v>
      </c>
      <c r="BS81" s="49">
        <v>25</v>
      </c>
      <c r="BT81" s="49">
        <v>25</v>
      </c>
      <c r="BU81" s="49">
        <v>25</v>
      </c>
      <c r="BV81" s="49">
        <v>25</v>
      </c>
      <c r="BW81" s="49">
        <v>25</v>
      </c>
      <c r="BX81" s="49">
        <v>25</v>
      </c>
      <c r="BY81" s="49">
        <v>25</v>
      </c>
      <c r="BZ81" s="49">
        <v>25</v>
      </c>
      <c r="CA81" s="49">
        <v>25</v>
      </c>
      <c r="CB81" s="49">
        <v>25</v>
      </c>
      <c r="CC81" s="49">
        <v>25</v>
      </c>
      <c r="CD81" s="49">
        <v>25</v>
      </c>
      <c r="CE81" s="49">
        <v>25</v>
      </c>
      <c r="CF81" s="49">
        <v>25</v>
      </c>
      <c r="CG81" s="49">
        <v>25</v>
      </c>
      <c r="CH81" s="49">
        <v>25</v>
      </c>
      <c r="CI81" s="49">
        <v>25</v>
      </c>
      <c r="CJ81" s="49">
        <v>25</v>
      </c>
      <c r="CK81" s="49">
        <v>25</v>
      </c>
    </row>
    <row r="82" spans="2:89">
      <c r="B82" s="86" t="str">
        <v>Реализация пчелопакетов</v>
      </c>
      <c r="C82" s="46"/>
      <c r="D82" s="47">
        <f t="shared" si="30"/>
        <v>9000</v>
      </c>
      <c r="E82" s="48"/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125</v>
      </c>
      <c r="S82" s="176">
        <v>125</v>
      </c>
      <c r="T82" s="176">
        <v>125</v>
      </c>
      <c r="U82" s="176">
        <v>125</v>
      </c>
      <c r="V82" s="176">
        <v>125</v>
      </c>
      <c r="W82" s="176">
        <v>125</v>
      </c>
      <c r="X82" s="176">
        <v>125</v>
      </c>
      <c r="Y82" s="176">
        <v>125</v>
      </c>
      <c r="Z82" s="176">
        <v>125</v>
      </c>
      <c r="AA82" s="176">
        <v>125</v>
      </c>
      <c r="AB82" s="176">
        <v>125</v>
      </c>
      <c r="AC82" s="176">
        <v>125</v>
      </c>
      <c r="AD82" s="176">
        <v>125</v>
      </c>
      <c r="AE82" s="176">
        <v>125</v>
      </c>
      <c r="AF82" s="176">
        <v>125</v>
      </c>
      <c r="AG82" s="176">
        <v>125</v>
      </c>
      <c r="AH82" s="176">
        <v>125</v>
      </c>
      <c r="AI82" s="176">
        <v>125</v>
      </c>
      <c r="AJ82" s="176">
        <v>125</v>
      </c>
      <c r="AK82" s="176">
        <v>125</v>
      </c>
      <c r="AL82" s="176">
        <v>125</v>
      </c>
      <c r="AM82" s="176">
        <v>125</v>
      </c>
      <c r="AN82" s="176">
        <v>125</v>
      </c>
      <c r="AO82" s="176">
        <v>125</v>
      </c>
      <c r="AP82" s="176">
        <v>125</v>
      </c>
      <c r="AQ82" s="176">
        <v>125</v>
      </c>
      <c r="AR82" s="176">
        <v>125</v>
      </c>
      <c r="AS82" s="176">
        <v>125</v>
      </c>
      <c r="AT82" s="176">
        <v>125</v>
      </c>
      <c r="AU82" s="176">
        <v>125</v>
      </c>
      <c r="AV82" s="176">
        <v>125</v>
      </c>
      <c r="AW82" s="176">
        <v>125</v>
      </c>
      <c r="AX82" s="176">
        <v>125</v>
      </c>
      <c r="AY82" s="176">
        <v>125</v>
      </c>
      <c r="AZ82" s="176">
        <v>125</v>
      </c>
      <c r="BA82" s="176">
        <v>125</v>
      </c>
      <c r="BB82" s="176">
        <v>125</v>
      </c>
      <c r="BC82" s="176">
        <v>125</v>
      </c>
      <c r="BD82" s="176">
        <v>125</v>
      </c>
      <c r="BE82" s="176">
        <v>125</v>
      </c>
      <c r="BF82" s="176">
        <v>125</v>
      </c>
      <c r="BG82" s="176">
        <v>125</v>
      </c>
      <c r="BH82" s="176">
        <v>125</v>
      </c>
      <c r="BI82" s="176">
        <v>125</v>
      </c>
      <c r="BJ82" s="176">
        <v>125</v>
      </c>
      <c r="BK82" s="176">
        <v>125</v>
      </c>
      <c r="BL82" s="176">
        <v>125</v>
      </c>
      <c r="BM82" s="176">
        <v>125</v>
      </c>
      <c r="BN82" s="176">
        <v>125</v>
      </c>
      <c r="BO82" s="176">
        <v>125</v>
      </c>
      <c r="BP82" s="176">
        <v>125</v>
      </c>
      <c r="BQ82" s="176">
        <v>125</v>
      </c>
      <c r="BR82" s="176">
        <v>125</v>
      </c>
      <c r="BS82" s="176">
        <v>125</v>
      </c>
      <c r="BT82" s="176">
        <v>125</v>
      </c>
      <c r="BU82" s="176">
        <v>125</v>
      </c>
      <c r="BV82" s="176">
        <v>125</v>
      </c>
      <c r="BW82" s="176">
        <v>125</v>
      </c>
      <c r="BX82" s="176">
        <v>125</v>
      </c>
      <c r="BY82" s="176">
        <v>125</v>
      </c>
      <c r="BZ82" s="176">
        <v>125</v>
      </c>
      <c r="CA82" s="176">
        <v>125</v>
      </c>
      <c r="CB82" s="176">
        <v>125</v>
      </c>
      <c r="CC82" s="176">
        <v>125</v>
      </c>
      <c r="CD82" s="176">
        <v>125</v>
      </c>
      <c r="CE82" s="176">
        <v>125</v>
      </c>
      <c r="CF82" s="176">
        <v>125</v>
      </c>
      <c r="CG82" s="176">
        <v>125</v>
      </c>
      <c r="CH82" s="176">
        <v>125</v>
      </c>
      <c r="CI82" s="176">
        <v>125</v>
      </c>
      <c r="CJ82" s="176">
        <v>125</v>
      </c>
      <c r="CK82" s="176">
        <v>125</v>
      </c>
    </row>
    <row r="83" spans="2:89">
      <c r="B83" s="86" t="str">
        <v>Реализация пчеломаток</v>
      </c>
      <c r="C83" s="46"/>
      <c r="D83" s="47">
        <f t="shared" si="30"/>
        <v>9000</v>
      </c>
      <c r="E83" s="48"/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125</v>
      </c>
      <c r="S83" s="176">
        <v>125</v>
      </c>
      <c r="T83" s="176">
        <v>125</v>
      </c>
      <c r="U83" s="176">
        <v>125</v>
      </c>
      <c r="V83" s="176">
        <v>125</v>
      </c>
      <c r="W83" s="176">
        <v>125</v>
      </c>
      <c r="X83" s="176">
        <v>125</v>
      </c>
      <c r="Y83" s="176">
        <v>125</v>
      </c>
      <c r="Z83" s="176">
        <v>125</v>
      </c>
      <c r="AA83" s="176">
        <v>125</v>
      </c>
      <c r="AB83" s="176">
        <v>125</v>
      </c>
      <c r="AC83" s="176">
        <v>125</v>
      </c>
      <c r="AD83" s="176">
        <v>125</v>
      </c>
      <c r="AE83" s="176">
        <v>125</v>
      </c>
      <c r="AF83" s="176">
        <v>125</v>
      </c>
      <c r="AG83" s="176">
        <v>125</v>
      </c>
      <c r="AH83" s="176">
        <v>125</v>
      </c>
      <c r="AI83" s="176">
        <v>125</v>
      </c>
      <c r="AJ83" s="176">
        <v>125</v>
      </c>
      <c r="AK83" s="176">
        <v>125</v>
      </c>
      <c r="AL83" s="176">
        <v>125</v>
      </c>
      <c r="AM83" s="176">
        <v>125</v>
      </c>
      <c r="AN83" s="176">
        <v>125</v>
      </c>
      <c r="AO83" s="176">
        <v>125</v>
      </c>
      <c r="AP83" s="176">
        <v>125</v>
      </c>
      <c r="AQ83" s="176">
        <v>125</v>
      </c>
      <c r="AR83" s="176">
        <v>125</v>
      </c>
      <c r="AS83" s="176">
        <v>125</v>
      </c>
      <c r="AT83" s="176">
        <v>125</v>
      </c>
      <c r="AU83" s="176">
        <v>125</v>
      </c>
      <c r="AV83" s="176">
        <v>125</v>
      </c>
      <c r="AW83" s="176">
        <v>125</v>
      </c>
      <c r="AX83" s="176">
        <v>125</v>
      </c>
      <c r="AY83" s="176">
        <v>125</v>
      </c>
      <c r="AZ83" s="176">
        <v>125</v>
      </c>
      <c r="BA83" s="176">
        <v>125</v>
      </c>
      <c r="BB83" s="176">
        <v>125</v>
      </c>
      <c r="BC83" s="176">
        <v>125</v>
      </c>
      <c r="BD83" s="176">
        <v>125</v>
      </c>
      <c r="BE83" s="176">
        <v>125</v>
      </c>
      <c r="BF83" s="176">
        <v>125</v>
      </c>
      <c r="BG83" s="176">
        <v>125</v>
      </c>
      <c r="BH83" s="176">
        <v>125</v>
      </c>
      <c r="BI83" s="176">
        <v>125</v>
      </c>
      <c r="BJ83" s="176">
        <v>125</v>
      </c>
      <c r="BK83" s="176">
        <v>125</v>
      </c>
      <c r="BL83" s="176">
        <v>125</v>
      </c>
      <c r="BM83" s="176">
        <v>125</v>
      </c>
      <c r="BN83" s="176">
        <v>125</v>
      </c>
      <c r="BO83" s="176">
        <v>125</v>
      </c>
      <c r="BP83" s="176">
        <v>125</v>
      </c>
      <c r="BQ83" s="176">
        <v>125</v>
      </c>
      <c r="BR83" s="176">
        <v>125</v>
      </c>
      <c r="BS83" s="176">
        <v>125</v>
      </c>
      <c r="BT83" s="176">
        <v>125</v>
      </c>
      <c r="BU83" s="176">
        <v>125</v>
      </c>
      <c r="BV83" s="176">
        <v>125</v>
      </c>
      <c r="BW83" s="176">
        <v>125</v>
      </c>
      <c r="BX83" s="176">
        <v>125</v>
      </c>
      <c r="BY83" s="176">
        <v>125</v>
      </c>
      <c r="BZ83" s="176">
        <v>125</v>
      </c>
      <c r="CA83" s="176">
        <v>125</v>
      </c>
      <c r="CB83" s="176">
        <v>125</v>
      </c>
      <c r="CC83" s="176">
        <v>125</v>
      </c>
      <c r="CD83" s="176">
        <v>125</v>
      </c>
      <c r="CE83" s="176">
        <v>125</v>
      </c>
      <c r="CF83" s="176">
        <v>125</v>
      </c>
      <c r="CG83" s="176">
        <v>125</v>
      </c>
      <c r="CH83" s="176">
        <v>125</v>
      </c>
      <c r="CI83" s="176">
        <v>125</v>
      </c>
      <c r="CJ83" s="176">
        <v>125</v>
      </c>
      <c r="CK83" s="176">
        <v>125</v>
      </c>
    </row>
    <row r="84" spans="2:89">
      <c r="B84" s="86" t="str">
        <v>Реализация с/х продукции</v>
      </c>
      <c r="C84" s="46"/>
      <c r="D84" s="47">
        <f t="shared" si="30"/>
        <v>216</v>
      </c>
      <c r="E84" s="48"/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3</v>
      </c>
      <c r="S84" s="176">
        <v>3</v>
      </c>
      <c r="T84" s="176">
        <v>3</v>
      </c>
      <c r="U84" s="176">
        <v>3</v>
      </c>
      <c r="V84" s="176">
        <v>3</v>
      </c>
      <c r="W84" s="176">
        <v>3</v>
      </c>
      <c r="X84" s="176">
        <v>3</v>
      </c>
      <c r="Y84" s="176">
        <v>3</v>
      </c>
      <c r="Z84" s="176">
        <v>3</v>
      </c>
      <c r="AA84" s="176">
        <v>3</v>
      </c>
      <c r="AB84" s="176">
        <v>3</v>
      </c>
      <c r="AC84" s="176">
        <v>3</v>
      </c>
      <c r="AD84" s="176">
        <v>3</v>
      </c>
      <c r="AE84" s="176">
        <v>3</v>
      </c>
      <c r="AF84" s="176">
        <v>3</v>
      </c>
      <c r="AG84" s="176">
        <v>3</v>
      </c>
      <c r="AH84" s="176">
        <v>3</v>
      </c>
      <c r="AI84" s="176">
        <v>3</v>
      </c>
      <c r="AJ84" s="176">
        <v>3</v>
      </c>
      <c r="AK84" s="176">
        <v>3</v>
      </c>
      <c r="AL84" s="176">
        <v>3</v>
      </c>
      <c r="AM84" s="176">
        <v>3</v>
      </c>
      <c r="AN84" s="176">
        <v>3</v>
      </c>
      <c r="AO84" s="176">
        <v>3</v>
      </c>
      <c r="AP84" s="176">
        <v>3</v>
      </c>
      <c r="AQ84" s="176">
        <v>3</v>
      </c>
      <c r="AR84" s="176">
        <v>3</v>
      </c>
      <c r="AS84" s="176">
        <v>3</v>
      </c>
      <c r="AT84" s="176">
        <v>3</v>
      </c>
      <c r="AU84" s="176">
        <v>3</v>
      </c>
      <c r="AV84" s="176">
        <v>3</v>
      </c>
      <c r="AW84" s="176">
        <v>3</v>
      </c>
      <c r="AX84" s="176">
        <v>3</v>
      </c>
      <c r="AY84" s="176">
        <v>3</v>
      </c>
      <c r="AZ84" s="176">
        <v>3</v>
      </c>
      <c r="BA84" s="176">
        <v>3</v>
      </c>
      <c r="BB84" s="176">
        <v>3</v>
      </c>
      <c r="BC84" s="176">
        <v>3</v>
      </c>
      <c r="BD84" s="176">
        <v>3</v>
      </c>
      <c r="BE84" s="176">
        <v>3</v>
      </c>
      <c r="BF84" s="176">
        <v>3</v>
      </c>
      <c r="BG84" s="176">
        <v>3</v>
      </c>
      <c r="BH84" s="176">
        <v>3</v>
      </c>
      <c r="BI84" s="176">
        <v>3</v>
      </c>
      <c r="BJ84" s="176">
        <v>3</v>
      </c>
      <c r="BK84" s="176">
        <v>3</v>
      </c>
      <c r="BL84" s="176">
        <v>3</v>
      </c>
      <c r="BM84" s="176">
        <v>3</v>
      </c>
      <c r="BN84" s="176">
        <v>3</v>
      </c>
      <c r="BO84" s="176">
        <v>3</v>
      </c>
      <c r="BP84" s="176">
        <v>3</v>
      </c>
      <c r="BQ84" s="176">
        <v>3</v>
      </c>
      <c r="BR84" s="176">
        <v>3</v>
      </c>
      <c r="BS84" s="176">
        <v>3</v>
      </c>
      <c r="BT84" s="176">
        <v>3</v>
      </c>
      <c r="BU84" s="176">
        <v>3</v>
      </c>
      <c r="BV84" s="176">
        <v>3</v>
      </c>
      <c r="BW84" s="176">
        <v>3</v>
      </c>
      <c r="BX84" s="176">
        <v>3</v>
      </c>
      <c r="BY84" s="176">
        <v>3</v>
      </c>
      <c r="BZ84" s="176">
        <v>3</v>
      </c>
      <c r="CA84" s="176">
        <v>3</v>
      </c>
      <c r="CB84" s="176">
        <v>3</v>
      </c>
      <c r="CC84" s="176">
        <v>3</v>
      </c>
      <c r="CD84" s="176">
        <v>3</v>
      </c>
      <c r="CE84" s="176">
        <v>3</v>
      </c>
      <c r="CF84" s="176">
        <v>3</v>
      </c>
      <c r="CG84" s="176">
        <v>3</v>
      </c>
      <c r="CH84" s="176">
        <v>3</v>
      </c>
      <c r="CI84" s="176">
        <v>3</v>
      </c>
      <c r="CJ84" s="176">
        <v>3</v>
      </c>
      <c r="CK84" s="176">
        <v>3</v>
      </c>
    </row>
    <row r="85" spans="2:89" ht="15.75" thickBot="1">
      <c r="B85" s="86" t="str">
        <v>Форель</v>
      </c>
      <c r="C85" s="46"/>
      <c r="D85" s="47">
        <f t="shared" si="30"/>
        <v>3024</v>
      </c>
      <c r="E85" s="48"/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42</v>
      </c>
      <c r="S85" s="176">
        <v>42</v>
      </c>
      <c r="T85" s="176">
        <v>42</v>
      </c>
      <c r="U85" s="176">
        <v>42</v>
      </c>
      <c r="V85" s="176">
        <v>42</v>
      </c>
      <c r="W85" s="176">
        <v>42</v>
      </c>
      <c r="X85" s="176">
        <v>42</v>
      </c>
      <c r="Y85" s="176">
        <v>42</v>
      </c>
      <c r="Z85" s="176">
        <v>42</v>
      </c>
      <c r="AA85" s="176">
        <v>42</v>
      </c>
      <c r="AB85" s="176">
        <v>42</v>
      </c>
      <c r="AC85" s="176">
        <v>42</v>
      </c>
      <c r="AD85" s="176">
        <v>42</v>
      </c>
      <c r="AE85" s="176">
        <v>42</v>
      </c>
      <c r="AF85" s="176">
        <v>42</v>
      </c>
      <c r="AG85" s="176">
        <v>42</v>
      </c>
      <c r="AH85" s="176">
        <v>42</v>
      </c>
      <c r="AI85" s="176">
        <v>42</v>
      </c>
      <c r="AJ85" s="176">
        <v>42</v>
      </c>
      <c r="AK85" s="176">
        <v>42</v>
      </c>
      <c r="AL85" s="176">
        <v>42</v>
      </c>
      <c r="AM85" s="176">
        <v>42</v>
      </c>
      <c r="AN85" s="176">
        <v>42</v>
      </c>
      <c r="AO85" s="176">
        <v>42</v>
      </c>
      <c r="AP85" s="176">
        <v>42</v>
      </c>
      <c r="AQ85" s="176">
        <v>42</v>
      </c>
      <c r="AR85" s="176">
        <v>42</v>
      </c>
      <c r="AS85" s="176">
        <v>42</v>
      </c>
      <c r="AT85" s="176">
        <v>42</v>
      </c>
      <c r="AU85" s="176">
        <v>42</v>
      </c>
      <c r="AV85" s="176">
        <v>42</v>
      </c>
      <c r="AW85" s="176">
        <v>42</v>
      </c>
      <c r="AX85" s="176">
        <v>42</v>
      </c>
      <c r="AY85" s="176">
        <v>42</v>
      </c>
      <c r="AZ85" s="176">
        <v>42</v>
      </c>
      <c r="BA85" s="176">
        <v>42</v>
      </c>
      <c r="BB85" s="176">
        <v>42</v>
      </c>
      <c r="BC85" s="176">
        <v>42</v>
      </c>
      <c r="BD85" s="176">
        <v>42</v>
      </c>
      <c r="BE85" s="176">
        <v>42</v>
      </c>
      <c r="BF85" s="176">
        <v>42</v>
      </c>
      <c r="BG85" s="176">
        <v>42</v>
      </c>
      <c r="BH85" s="176">
        <v>42</v>
      </c>
      <c r="BI85" s="176">
        <v>42</v>
      </c>
      <c r="BJ85" s="176">
        <v>42</v>
      </c>
      <c r="BK85" s="176">
        <v>42</v>
      </c>
      <c r="BL85" s="176">
        <v>42</v>
      </c>
      <c r="BM85" s="176">
        <v>42</v>
      </c>
      <c r="BN85" s="176">
        <v>42</v>
      </c>
      <c r="BO85" s="176">
        <v>42</v>
      </c>
      <c r="BP85" s="176">
        <v>42</v>
      </c>
      <c r="BQ85" s="176">
        <v>42</v>
      </c>
      <c r="BR85" s="176">
        <v>42</v>
      </c>
      <c r="BS85" s="176">
        <v>42</v>
      </c>
      <c r="BT85" s="176">
        <v>42</v>
      </c>
      <c r="BU85" s="176">
        <v>42</v>
      </c>
      <c r="BV85" s="176">
        <v>42</v>
      </c>
      <c r="BW85" s="176">
        <v>42</v>
      </c>
      <c r="BX85" s="176">
        <v>42</v>
      </c>
      <c r="BY85" s="176">
        <v>42</v>
      </c>
      <c r="BZ85" s="176">
        <v>42</v>
      </c>
      <c r="CA85" s="176">
        <v>42</v>
      </c>
      <c r="CB85" s="176">
        <v>42</v>
      </c>
      <c r="CC85" s="176">
        <v>42</v>
      </c>
      <c r="CD85" s="176">
        <v>42</v>
      </c>
      <c r="CE85" s="176">
        <v>42</v>
      </c>
      <c r="CF85" s="176">
        <v>42</v>
      </c>
      <c r="CG85" s="176">
        <v>42</v>
      </c>
      <c r="CH85" s="176">
        <v>42</v>
      </c>
      <c r="CI85" s="176">
        <v>42</v>
      </c>
      <c r="CJ85" s="176">
        <v>42</v>
      </c>
      <c r="CK85" s="176">
        <v>42</v>
      </c>
    </row>
    <row r="86" spans="2:89" ht="15.75" thickTop="1">
      <c r="B86" s="50" t="s">
        <v>50</v>
      </c>
      <c r="C86" s="51"/>
      <c r="D86" s="52">
        <f>SUM(D75:D85)</f>
        <v>72864</v>
      </c>
      <c r="E86" s="53"/>
      <c r="F86" s="54">
        <f>SUM(F75:F85)</f>
        <v>0</v>
      </c>
      <c r="G86" s="54">
        <f t="shared" ref="G86:BM86" si="31">SUM(G75:G85)</f>
        <v>0</v>
      </c>
      <c r="H86" s="54">
        <f t="shared" si="31"/>
        <v>0</v>
      </c>
      <c r="I86" s="54">
        <f t="shared" si="31"/>
        <v>0</v>
      </c>
      <c r="J86" s="54">
        <f t="shared" si="31"/>
        <v>0</v>
      </c>
      <c r="K86" s="54">
        <f t="shared" si="31"/>
        <v>0</v>
      </c>
      <c r="L86" s="54">
        <f t="shared" si="31"/>
        <v>0</v>
      </c>
      <c r="M86" s="54">
        <f t="shared" si="31"/>
        <v>0</v>
      </c>
      <c r="N86" s="54">
        <f t="shared" si="31"/>
        <v>0</v>
      </c>
      <c r="O86" s="54">
        <f t="shared" si="31"/>
        <v>0</v>
      </c>
      <c r="P86" s="54">
        <f t="shared" si="31"/>
        <v>0</v>
      </c>
      <c r="Q86" s="54">
        <f t="shared" si="31"/>
        <v>0</v>
      </c>
      <c r="R86" s="54">
        <f t="shared" si="31"/>
        <v>1012</v>
      </c>
      <c r="S86" s="54">
        <f t="shared" si="31"/>
        <v>1012</v>
      </c>
      <c r="T86" s="54">
        <f t="shared" si="31"/>
        <v>1012</v>
      </c>
      <c r="U86" s="54">
        <f t="shared" si="31"/>
        <v>1012</v>
      </c>
      <c r="V86" s="54">
        <f t="shared" si="31"/>
        <v>1012</v>
      </c>
      <c r="W86" s="54">
        <f t="shared" si="31"/>
        <v>1012</v>
      </c>
      <c r="X86" s="54">
        <f t="shared" si="31"/>
        <v>1012</v>
      </c>
      <c r="Y86" s="54">
        <f t="shared" si="31"/>
        <v>1012</v>
      </c>
      <c r="Z86" s="54">
        <f t="shared" si="31"/>
        <v>1012</v>
      </c>
      <c r="AA86" s="54">
        <f t="shared" si="31"/>
        <v>1012</v>
      </c>
      <c r="AB86" s="54">
        <f t="shared" si="31"/>
        <v>1012</v>
      </c>
      <c r="AC86" s="54">
        <f t="shared" si="31"/>
        <v>1012</v>
      </c>
      <c r="AD86" s="54">
        <f t="shared" si="31"/>
        <v>1012</v>
      </c>
      <c r="AE86" s="54">
        <f t="shared" si="31"/>
        <v>1012</v>
      </c>
      <c r="AF86" s="54">
        <f t="shared" si="31"/>
        <v>1012</v>
      </c>
      <c r="AG86" s="54">
        <f t="shared" si="31"/>
        <v>1012</v>
      </c>
      <c r="AH86" s="54">
        <f t="shared" si="31"/>
        <v>1012</v>
      </c>
      <c r="AI86" s="54">
        <f t="shared" si="31"/>
        <v>1012</v>
      </c>
      <c r="AJ86" s="54">
        <f t="shared" si="31"/>
        <v>1012</v>
      </c>
      <c r="AK86" s="54">
        <f t="shared" si="31"/>
        <v>1012</v>
      </c>
      <c r="AL86" s="54">
        <f t="shared" si="31"/>
        <v>1012</v>
      </c>
      <c r="AM86" s="54">
        <f t="shared" si="31"/>
        <v>1012</v>
      </c>
      <c r="AN86" s="54">
        <f t="shared" si="31"/>
        <v>1012</v>
      </c>
      <c r="AO86" s="54">
        <f t="shared" si="31"/>
        <v>1012</v>
      </c>
      <c r="AP86" s="54">
        <f t="shared" si="31"/>
        <v>1012</v>
      </c>
      <c r="AQ86" s="54">
        <f t="shared" si="31"/>
        <v>1012</v>
      </c>
      <c r="AR86" s="54">
        <f t="shared" si="31"/>
        <v>1012</v>
      </c>
      <c r="AS86" s="54">
        <f t="shared" si="31"/>
        <v>1012</v>
      </c>
      <c r="AT86" s="54">
        <f t="shared" si="31"/>
        <v>1012</v>
      </c>
      <c r="AU86" s="54">
        <f t="shared" si="31"/>
        <v>1012</v>
      </c>
      <c r="AV86" s="54">
        <f t="shared" si="31"/>
        <v>1012</v>
      </c>
      <c r="AW86" s="54">
        <f t="shared" si="31"/>
        <v>1012</v>
      </c>
      <c r="AX86" s="54">
        <f t="shared" si="31"/>
        <v>1012</v>
      </c>
      <c r="AY86" s="54">
        <f t="shared" si="31"/>
        <v>1012</v>
      </c>
      <c r="AZ86" s="54">
        <f t="shared" si="31"/>
        <v>1012</v>
      </c>
      <c r="BA86" s="54">
        <f t="shared" si="31"/>
        <v>1012</v>
      </c>
      <c r="BB86" s="54">
        <f t="shared" si="31"/>
        <v>1012</v>
      </c>
      <c r="BC86" s="54">
        <f t="shared" si="31"/>
        <v>1012</v>
      </c>
      <c r="BD86" s="54">
        <f t="shared" si="31"/>
        <v>1012</v>
      </c>
      <c r="BE86" s="54">
        <f t="shared" si="31"/>
        <v>1012</v>
      </c>
      <c r="BF86" s="54">
        <f t="shared" si="31"/>
        <v>1012</v>
      </c>
      <c r="BG86" s="54">
        <f t="shared" si="31"/>
        <v>1012</v>
      </c>
      <c r="BH86" s="54">
        <f t="shared" si="31"/>
        <v>1012</v>
      </c>
      <c r="BI86" s="54">
        <f t="shared" si="31"/>
        <v>1012</v>
      </c>
      <c r="BJ86" s="54">
        <f t="shared" si="31"/>
        <v>1012</v>
      </c>
      <c r="BK86" s="54">
        <f t="shared" si="31"/>
        <v>1012</v>
      </c>
      <c r="BL86" s="54">
        <f t="shared" si="31"/>
        <v>1012</v>
      </c>
      <c r="BM86" s="54">
        <f t="shared" si="31"/>
        <v>1012</v>
      </c>
      <c r="BN86" s="54">
        <f t="shared" ref="BN86:CK86" si="32">SUM(BN75:BN85)</f>
        <v>1012</v>
      </c>
      <c r="BO86" s="54">
        <f t="shared" si="32"/>
        <v>1012</v>
      </c>
      <c r="BP86" s="54">
        <f t="shared" si="32"/>
        <v>1012</v>
      </c>
      <c r="BQ86" s="54">
        <f t="shared" si="32"/>
        <v>1012</v>
      </c>
      <c r="BR86" s="54">
        <f t="shared" si="32"/>
        <v>1012</v>
      </c>
      <c r="BS86" s="54">
        <f t="shared" si="32"/>
        <v>1012</v>
      </c>
      <c r="BT86" s="54">
        <f t="shared" si="32"/>
        <v>1012</v>
      </c>
      <c r="BU86" s="54">
        <f t="shared" si="32"/>
        <v>1012</v>
      </c>
      <c r="BV86" s="54">
        <f t="shared" si="32"/>
        <v>1012</v>
      </c>
      <c r="BW86" s="54">
        <f t="shared" si="32"/>
        <v>1012</v>
      </c>
      <c r="BX86" s="54">
        <f t="shared" si="32"/>
        <v>1012</v>
      </c>
      <c r="BY86" s="54">
        <f t="shared" si="32"/>
        <v>1012</v>
      </c>
      <c r="BZ86" s="54">
        <f t="shared" si="32"/>
        <v>1012</v>
      </c>
      <c r="CA86" s="54">
        <f t="shared" si="32"/>
        <v>1012</v>
      </c>
      <c r="CB86" s="54">
        <f t="shared" si="32"/>
        <v>1012</v>
      </c>
      <c r="CC86" s="54">
        <f t="shared" si="32"/>
        <v>1012</v>
      </c>
      <c r="CD86" s="54">
        <f t="shared" si="32"/>
        <v>1012</v>
      </c>
      <c r="CE86" s="54">
        <f t="shared" si="32"/>
        <v>1012</v>
      </c>
      <c r="CF86" s="54">
        <f t="shared" si="32"/>
        <v>1012</v>
      </c>
      <c r="CG86" s="54">
        <f t="shared" si="32"/>
        <v>1012</v>
      </c>
      <c r="CH86" s="54">
        <f t="shared" si="32"/>
        <v>1012</v>
      </c>
      <c r="CI86" s="54">
        <f t="shared" si="32"/>
        <v>1012</v>
      </c>
      <c r="CJ86" s="54">
        <f t="shared" si="32"/>
        <v>1012</v>
      </c>
      <c r="CK86" s="54">
        <f t="shared" si="32"/>
        <v>1012</v>
      </c>
    </row>
    <row r="87" spans="2:89">
      <c r="B87" s="14"/>
      <c r="C87" s="14"/>
      <c r="D87" s="14"/>
      <c r="E87" s="1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</row>
    <row r="88" spans="2:89" ht="15.75" thickBot="1">
      <c r="B88" s="96" t="s">
        <v>42</v>
      </c>
      <c r="C88" s="97"/>
      <c r="D88" s="97"/>
      <c r="E88" s="97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</row>
    <row r="89" spans="2:89">
      <c r="B89" s="14"/>
      <c r="C89" s="14"/>
      <c r="D89" s="14"/>
      <c r="E89" s="1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</row>
    <row r="90" spans="2:89">
      <c r="B90" s="187" t="str">
        <f>$B$75</f>
        <v>БЛК</v>
      </c>
      <c r="C90" s="155" t="s">
        <v>44</v>
      </c>
      <c r="D90" s="155"/>
      <c r="E90" s="158"/>
      <c r="F90" s="159">
        <f t="shared" ref="F90:AK90" si="33">IFERROR(LOOKUP(F$29,Продажи_год_прироста,Продажи_уровень_прироста_продукт1),0)</f>
        <v>0</v>
      </c>
      <c r="G90" s="159">
        <f t="shared" si="33"/>
        <v>0</v>
      </c>
      <c r="H90" s="159">
        <f t="shared" si="33"/>
        <v>0</v>
      </c>
      <c r="I90" s="159">
        <f t="shared" si="33"/>
        <v>0</v>
      </c>
      <c r="J90" s="159">
        <f t="shared" si="33"/>
        <v>0</v>
      </c>
      <c r="K90" s="159">
        <f t="shared" si="33"/>
        <v>0</v>
      </c>
      <c r="L90" s="159">
        <f t="shared" si="33"/>
        <v>0</v>
      </c>
      <c r="M90" s="159">
        <f t="shared" si="33"/>
        <v>0</v>
      </c>
      <c r="N90" s="159">
        <f t="shared" si="33"/>
        <v>0</v>
      </c>
      <c r="O90" s="159">
        <f t="shared" si="33"/>
        <v>0</v>
      </c>
      <c r="P90" s="159">
        <f t="shared" si="33"/>
        <v>0</v>
      </c>
      <c r="Q90" s="159">
        <f t="shared" si="33"/>
        <v>0</v>
      </c>
      <c r="R90" s="159">
        <f t="shared" si="33"/>
        <v>0</v>
      </c>
      <c r="S90" s="159">
        <f t="shared" si="33"/>
        <v>0</v>
      </c>
      <c r="T90" s="159">
        <f t="shared" si="33"/>
        <v>0</v>
      </c>
      <c r="U90" s="159">
        <f t="shared" si="33"/>
        <v>0</v>
      </c>
      <c r="V90" s="159">
        <f t="shared" si="33"/>
        <v>0</v>
      </c>
      <c r="W90" s="159">
        <f t="shared" si="33"/>
        <v>0</v>
      </c>
      <c r="X90" s="159">
        <f t="shared" si="33"/>
        <v>0</v>
      </c>
      <c r="Y90" s="159">
        <f t="shared" si="33"/>
        <v>0</v>
      </c>
      <c r="Z90" s="159">
        <f t="shared" si="33"/>
        <v>0</v>
      </c>
      <c r="AA90" s="159">
        <f t="shared" si="33"/>
        <v>0</v>
      </c>
      <c r="AB90" s="159">
        <f t="shared" si="33"/>
        <v>0</v>
      </c>
      <c r="AC90" s="159">
        <f t="shared" si="33"/>
        <v>0</v>
      </c>
      <c r="AD90" s="159">
        <f t="shared" si="33"/>
        <v>0.34</v>
      </c>
      <c r="AE90" s="159">
        <f t="shared" si="33"/>
        <v>0.34</v>
      </c>
      <c r="AF90" s="159">
        <f t="shared" si="33"/>
        <v>0.34</v>
      </c>
      <c r="AG90" s="159">
        <f t="shared" si="33"/>
        <v>0.34</v>
      </c>
      <c r="AH90" s="159">
        <f t="shared" si="33"/>
        <v>0.34</v>
      </c>
      <c r="AI90" s="159">
        <f t="shared" si="33"/>
        <v>0.34</v>
      </c>
      <c r="AJ90" s="159">
        <f t="shared" si="33"/>
        <v>0.34</v>
      </c>
      <c r="AK90" s="159">
        <f t="shared" si="33"/>
        <v>0.34</v>
      </c>
      <c r="AL90" s="159">
        <f t="shared" ref="AL90:CK90" si="34">IFERROR(LOOKUP(AL$29,Продажи_год_прироста,Продажи_уровень_прироста_продукт1),0)</f>
        <v>0.34</v>
      </c>
      <c r="AM90" s="159">
        <f t="shared" si="34"/>
        <v>0.34</v>
      </c>
      <c r="AN90" s="159">
        <f t="shared" si="34"/>
        <v>0.34</v>
      </c>
      <c r="AO90" s="159">
        <f t="shared" si="34"/>
        <v>0.34</v>
      </c>
      <c r="AP90" s="159">
        <f t="shared" si="34"/>
        <v>0</v>
      </c>
      <c r="AQ90" s="159">
        <f t="shared" si="34"/>
        <v>0</v>
      </c>
      <c r="AR90" s="159">
        <f t="shared" si="34"/>
        <v>0</v>
      </c>
      <c r="AS90" s="159">
        <f t="shared" si="34"/>
        <v>0</v>
      </c>
      <c r="AT90" s="159">
        <f t="shared" si="34"/>
        <v>0</v>
      </c>
      <c r="AU90" s="159">
        <f t="shared" si="34"/>
        <v>0</v>
      </c>
      <c r="AV90" s="159">
        <f t="shared" si="34"/>
        <v>0</v>
      </c>
      <c r="AW90" s="159">
        <f t="shared" si="34"/>
        <v>0</v>
      </c>
      <c r="AX90" s="159">
        <f t="shared" si="34"/>
        <v>0</v>
      </c>
      <c r="AY90" s="159">
        <f t="shared" si="34"/>
        <v>0</v>
      </c>
      <c r="AZ90" s="159">
        <f t="shared" si="34"/>
        <v>0</v>
      </c>
      <c r="BA90" s="159">
        <f t="shared" si="34"/>
        <v>0</v>
      </c>
      <c r="BB90" s="159">
        <f t="shared" si="34"/>
        <v>0</v>
      </c>
      <c r="BC90" s="159">
        <f t="shared" si="34"/>
        <v>0</v>
      </c>
      <c r="BD90" s="159">
        <f t="shared" si="34"/>
        <v>0</v>
      </c>
      <c r="BE90" s="159">
        <f t="shared" si="34"/>
        <v>0</v>
      </c>
      <c r="BF90" s="159">
        <f t="shared" si="34"/>
        <v>0</v>
      </c>
      <c r="BG90" s="159">
        <f t="shared" si="34"/>
        <v>0</v>
      </c>
      <c r="BH90" s="159">
        <f t="shared" si="34"/>
        <v>0</v>
      </c>
      <c r="BI90" s="159">
        <f t="shared" si="34"/>
        <v>0</v>
      </c>
      <c r="BJ90" s="159">
        <f t="shared" si="34"/>
        <v>0</v>
      </c>
      <c r="BK90" s="159">
        <f t="shared" si="34"/>
        <v>0</v>
      </c>
      <c r="BL90" s="159">
        <f t="shared" si="34"/>
        <v>0</v>
      </c>
      <c r="BM90" s="159">
        <f t="shared" si="34"/>
        <v>0</v>
      </c>
      <c r="BN90" s="159">
        <f t="shared" si="34"/>
        <v>0</v>
      </c>
      <c r="BO90" s="159">
        <f t="shared" si="34"/>
        <v>0</v>
      </c>
      <c r="BP90" s="159">
        <f t="shared" si="34"/>
        <v>0</v>
      </c>
      <c r="BQ90" s="159">
        <f t="shared" si="34"/>
        <v>0</v>
      </c>
      <c r="BR90" s="159">
        <f t="shared" si="34"/>
        <v>0</v>
      </c>
      <c r="BS90" s="159">
        <f t="shared" si="34"/>
        <v>0</v>
      </c>
      <c r="BT90" s="159">
        <f t="shared" si="34"/>
        <v>0</v>
      </c>
      <c r="BU90" s="159">
        <f t="shared" si="34"/>
        <v>0</v>
      </c>
      <c r="BV90" s="159">
        <f t="shared" si="34"/>
        <v>0</v>
      </c>
      <c r="BW90" s="159">
        <f t="shared" si="34"/>
        <v>0</v>
      </c>
      <c r="BX90" s="159">
        <f t="shared" si="34"/>
        <v>0</v>
      </c>
      <c r="BY90" s="159">
        <f t="shared" si="34"/>
        <v>0</v>
      </c>
      <c r="BZ90" s="159">
        <f t="shared" si="34"/>
        <v>0</v>
      </c>
      <c r="CA90" s="159">
        <f t="shared" si="34"/>
        <v>0</v>
      </c>
      <c r="CB90" s="159">
        <f t="shared" si="34"/>
        <v>0</v>
      </c>
      <c r="CC90" s="159">
        <f t="shared" si="34"/>
        <v>0</v>
      </c>
      <c r="CD90" s="159">
        <f t="shared" si="34"/>
        <v>0</v>
      </c>
      <c r="CE90" s="159">
        <f t="shared" si="34"/>
        <v>0</v>
      </c>
      <c r="CF90" s="159">
        <f t="shared" si="34"/>
        <v>0</v>
      </c>
      <c r="CG90" s="159">
        <f t="shared" si="34"/>
        <v>0</v>
      </c>
      <c r="CH90" s="159">
        <f t="shared" si="34"/>
        <v>0</v>
      </c>
      <c r="CI90" s="159">
        <f t="shared" si="34"/>
        <v>0</v>
      </c>
      <c r="CJ90" s="159">
        <f t="shared" si="34"/>
        <v>0</v>
      </c>
      <c r="CK90" s="159">
        <f t="shared" si="34"/>
        <v>0</v>
      </c>
    </row>
    <row r="91" spans="2:89" ht="15.75" thickBot="1">
      <c r="B91" s="187" t="str">
        <f>$B$75</f>
        <v>БЛК</v>
      </c>
      <c r="C91" s="155" t="s">
        <v>45</v>
      </c>
      <c r="D91" s="155"/>
      <c r="E91" s="158"/>
      <c r="F91" s="159">
        <f>(1+F90)^(F$26/F$20)-1</f>
        <v>0</v>
      </c>
      <c r="G91" s="159">
        <f t="shared" ref="G91:BR91" si="35">(1+G90)^(G$26/G$20)-1</f>
        <v>0</v>
      </c>
      <c r="H91" s="159">
        <f t="shared" si="35"/>
        <v>0</v>
      </c>
      <c r="I91" s="159">
        <f t="shared" si="35"/>
        <v>0</v>
      </c>
      <c r="J91" s="159">
        <f t="shared" si="35"/>
        <v>0</v>
      </c>
      <c r="K91" s="159">
        <f t="shared" si="35"/>
        <v>0</v>
      </c>
      <c r="L91" s="159">
        <f t="shared" si="35"/>
        <v>0</v>
      </c>
      <c r="M91" s="159">
        <f t="shared" si="35"/>
        <v>0</v>
      </c>
      <c r="N91" s="159">
        <f t="shared" si="35"/>
        <v>0</v>
      </c>
      <c r="O91" s="159">
        <f t="shared" si="35"/>
        <v>0</v>
      </c>
      <c r="P91" s="159">
        <f t="shared" si="35"/>
        <v>0</v>
      </c>
      <c r="Q91" s="159">
        <f t="shared" si="35"/>
        <v>0</v>
      </c>
      <c r="R91" s="159">
        <f t="shared" si="35"/>
        <v>0</v>
      </c>
      <c r="S91" s="159">
        <f t="shared" si="35"/>
        <v>0</v>
      </c>
      <c r="T91" s="159">
        <f t="shared" si="35"/>
        <v>0</v>
      </c>
      <c r="U91" s="159">
        <f t="shared" si="35"/>
        <v>0</v>
      </c>
      <c r="V91" s="159">
        <f t="shared" si="35"/>
        <v>0</v>
      </c>
      <c r="W91" s="159">
        <f t="shared" si="35"/>
        <v>0</v>
      </c>
      <c r="X91" s="159">
        <f t="shared" si="35"/>
        <v>0</v>
      </c>
      <c r="Y91" s="159">
        <f t="shared" si="35"/>
        <v>0</v>
      </c>
      <c r="Z91" s="159">
        <f t="shared" si="35"/>
        <v>0</v>
      </c>
      <c r="AA91" s="159">
        <f t="shared" si="35"/>
        <v>0</v>
      </c>
      <c r="AB91" s="159">
        <f t="shared" si="35"/>
        <v>0</v>
      </c>
      <c r="AC91" s="159">
        <f t="shared" si="35"/>
        <v>0</v>
      </c>
      <c r="AD91" s="159">
        <f t="shared" si="35"/>
        <v>2.4346693066523262E-2</v>
      </c>
      <c r="AE91" s="159">
        <f t="shared" si="35"/>
        <v>2.5168379029294918E-2</v>
      </c>
      <c r="AF91" s="159">
        <f t="shared" si="35"/>
        <v>2.4346693066523262E-2</v>
      </c>
      <c r="AG91" s="159">
        <f t="shared" si="35"/>
        <v>2.5168379029294918E-2</v>
      </c>
      <c r="AH91" s="159">
        <f t="shared" si="35"/>
        <v>2.5168379029294918E-2</v>
      </c>
      <c r="AI91" s="159">
        <f t="shared" si="35"/>
        <v>2.4346693066523262E-2</v>
      </c>
      <c r="AJ91" s="159">
        <f t="shared" si="35"/>
        <v>2.5168379029294918E-2</v>
      </c>
      <c r="AK91" s="159">
        <f t="shared" si="35"/>
        <v>2.4346693066523262E-2</v>
      </c>
      <c r="AL91" s="159">
        <f t="shared" si="35"/>
        <v>2.5168379029294918E-2</v>
      </c>
      <c r="AM91" s="159">
        <f t="shared" si="35"/>
        <v>2.5168379029294918E-2</v>
      </c>
      <c r="AN91" s="159">
        <f t="shared" si="35"/>
        <v>2.270529638948493E-2</v>
      </c>
      <c r="AO91" s="159">
        <f t="shared" si="35"/>
        <v>2.5168379029294918E-2</v>
      </c>
      <c r="AP91" s="159">
        <f t="shared" si="35"/>
        <v>0</v>
      </c>
      <c r="AQ91" s="159">
        <f t="shared" si="35"/>
        <v>0</v>
      </c>
      <c r="AR91" s="159">
        <f t="shared" si="35"/>
        <v>0</v>
      </c>
      <c r="AS91" s="159">
        <f t="shared" si="35"/>
        <v>0</v>
      </c>
      <c r="AT91" s="159">
        <f t="shared" si="35"/>
        <v>0</v>
      </c>
      <c r="AU91" s="159">
        <f t="shared" si="35"/>
        <v>0</v>
      </c>
      <c r="AV91" s="159">
        <f t="shared" si="35"/>
        <v>0</v>
      </c>
      <c r="AW91" s="159">
        <f t="shared" si="35"/>
        <v>0</v>
      </c>
      <c r="AX91" s="159">
        <f t="shared" si="35"/>
        <v>0</v>
      </c>
      <c r="AY91" s="159">
        <f t="shared" si="35"/>
        <v>0</v>
      </c>
      <c r="AZ91" s="159">
        <f t="shared" si="35"/>
        <v>0</v>
      </c>
      <c r="BA91" s="159">
        <f t="shared" si="35"/>
        <v>0</v>
      </c>
      <c r="BB91" s="159">
        <f t="shared" si="35"/>
        <v>0</v>
      </c>
      <c r="BC91" s="159">
        <f t="shared" si="35"/>
        <v>0</v>
      </c>
      <c r="BD91" s="159">
        <f t="shared" si="35"/>
        <v>0</v>
      </c>
      <c r="BE91" s="159">
        <f t="shared" si="35"/>
        <v>0</v>
      </c>
      <c r="BF91" s="159">
        <f t="shared" si="35"/>
        <v>0</v>
      </c>
      <c r="BG91" s="159">
        <f t="shared" si="35"/>
        <v>0</v>
      </c>
      <c r="BH91" s="159">
        <f t="shared" si="35"/>
        <v>0</v>
      </c>
      <c r="BI91" s="159">
        <f t="shared" si="35"/>
        <v>0</v>
      </c>
      <c r="BJ91" s="159">
        <f t="shared" si="35"/>
        <v>0</v>
      </c>
      <c r="BK91" s="159">
        <f t="shared" si="35"/>
        <v>0</v>
      </c>
      <c r="BL91" s="159">
        <f t="shared" si="35"/>
        <v>0</v>
      </c>
      <c r="BM91" s="159">
        <f t="shared" si="35"/>
        <v>0</v>
      </c>
      <c r="BN91" s="159">
        <f t="shared" si="35"/>
        <v>0</v>
      </c>
      <c r="BO91" s="159">
        <f t="shared" si="35"/>
        <v>0</v>
      </c>
      <c r="BP91" s="159">
        <f t="shared" si="35"/>
        <v>0</v>
      </c>
      <c r="BQ91" s="159">
        <f t="shared" si="35"/>
        <v>0</v>
      </c>
      <c r="BR91" s="159">
        <f t="shared" si="35"/>
        <v>0</v>
      </c>
      <c r="BS91" s="159">
        <f t="shared" ref="BS91:CK91" si="36">(1+BS90)^(BS$26/BS$20)-1</f>
        <v>0</v>
      </c>
      <c r="BT91" s="159">
        <f t="shared" si="36"/>
        <v>0</v>
      </c>
      <c r="BU91" s="159">
        <f t="shared" si="36"/>
        <v>0</v>
      </c>
      <c r="BV91" s="159">
        <f t="shared" si="36"/>
        <v>0</v>
      </c>
      <c r="BW91" s="159">
        <f t="shared" si="36"/>
        <v>0</v>
      </c>
      <c r="BX91" s="159">
        <f t="shared" si="36"/>
        <v>0</v>
      </c>
      <c r="BY91" s="159">
        <f t="shared" si="36"/>
        <v>0</v>
      </c>
      <c r="BZ91" s="159">
        <f t="shared" si="36"/>
        <v>0</v>
      </c>
      <c r="CA91" s="159">
        <f t="shared" si="36"/>
        <v>0</v>
      </c>
      <c r="CB91" s="159">
        <f t="shared" si="36"/>
        <v>0</v>
      </c>
      <c r="CC91" s="159">
        <f t="shared" si="36"/>
        <v>0</v>
      </c>
      <c r="CD91" s="159">
        <f t="shared" si="36"/>
        <v>0</v>
      </c>
      <c r="CE91" s="159">
        <f t="shared" si="36"/>
        <v>0</v>
      </c>
      <c r="CF91" s="159">
        <f t="shared" si="36"/>
        <v>0</v>
      </c>
      <c r="CG91" s="159">
        <f t="shared" si="36"/>
        <v>0</v>
      </c>
      <c r="CH91" s="159">
        <f t="shared" si="36"/>
        <v>0</v>
      </c>
      <c r="CI91" s="159">
        <f t="shared" si="36"/>
        <v>0</v>
      </c>
      <c r="CJ91" s="159">
        <f t="shared" si="36"/>
        <v>0</v>
      </c>
      <c r="CK91" s="159">
        <f t="shared" si="36"/>
        <v>0</v>
      </c>
    </row>
    <row r="92" spans="2:89" ht="15.75" thickTop="1">
      <c r="B92" s="161" t="str">
        <f>$B$75</f>
        <v>БЛК</v>
      </c>
      <c r="C92" s="161" t="s">
        <v>46</v>
      </c>
      <c r="D92" s="161"/>
      <c r="E92" s="164">
        <v>1</v>
      </c>
      <c r="F92" s="165">
        <f>IF(AND(E92=0,F91&gt;0),F91,E92*(1+F91))</f>
        <v>1</v>
      </c>
      <c r="G92" s="165">
        <f t="shared" ref="G92:BR92" si="37">IF(AND(F92=0,G91&gt;0),G91,F92*(1+G91))</f>
        <v>1</v>
      </c>
      <c r="H92" s="165">
        <f t="shared" si="37"/>
        <v>1</v>
      </c>
      <c r="I92" s="165">
        <f t="shared" si="37"/>
        <v>1</v>
      </c>
      <c r="J92" s="165">
        <f t="shared" si="37"/>
        <v>1</v>
      </c>
      <c r="K92" s="165">
        <f t="shared" si="37"/>
        <v>1</v>
      </c>
      <c r="L92" s="165">
        <f t="shared" si="37"/>
        <v>1</v>
      </c>
      <c r="M92" s="165">
        <f t="shared" si="37"/>
        <v>1</v>
      </c>
      <c r="N92" s="165">
        <f t="shared" si="37"/>
        <v>1</v>
      </c>
      <c r="O92" s="165">
        <f t="shared" si="37"/>
        <v>1</v>
      </c>
      <c r="P92" s="165">
        <f t="shared" si="37"/>
        <v>1</v>
      </c>
      <c r="Q92" s="165">
        <f t="shared" si="37"/>
        <v>1</v>
      </c>
      <c r="R92" s="165">
        <f t="shared" si="37"/>
        <v>1</v>
      </c>
      <c r="S92" s="165">
        <f t="shared" si="37"/>
        <v>1</v>
      </c>
      <c r="T92" s="165">
        <f t="shared" si="37"/>
        <v>1</v>
      </c>
      <c r="U92" s="165">
        <f t="shared" si="37"/>
        <v>1</v>
      </c>
      <c r="V92" s="165">
        <f t="shared" si="37"/>
        <v>1</v>
      </c>
      <c r="W92" s="165">
        <f t="shared" si="37"/>
        <v>1</v>
      </c>
      <c r="X92" s="165">
        <f t="shared" si="37"/>
        <v>1</v>
      </c>
      <c r="Y92" s="165">
        <f t="shared" si="37"/>
        <v>1</v>
      </c>
      <c r="Z92" s="165">
        <f t="shared" si="37"/>
        <v>1</v>
      </c>
      <c r="AA92" s="165">
        <f t="shared" si="37"/>
        <v>1</v>
      </c>
      <c r="AB92" s="165">
        <f t="shared" si="37"/>
        <v>1</v>
      </c>
      <c r="AC92" s="165">
        <f t="shared" si="37"/>
        <v>1</v>
      </c>
      <c r="AD92" s="165">
        <f t="shared" si="37"/>
        <v>1.0243466930665233</v>
      </c>
      <c r="AE92" s="165">
        <f t="shared" si="37"/>
        <v>1.0501278388950264</v>
      </c>
      <c r="AF92" s="165">
        <f t="shared" si="37"/>
        <v>1.075694979069215</v>
      </c>
      <c r="AG92" s="165">
        <f t="shared" si="37"/>
        <v>1.1027684780223383</v>
      </c>
      <c r="AH92" s="165">
        <f t="shared" si="37"/>
        <v>1.1305233730587632</v>
      </c>
      <c r="AI92" s="165">
        <f t="shared" si="37"/>
        <v>1.1580478786271555</v>
      </c>
      <c r="AJ92" s="165">
        <f t="shared" si="37"/>
        <v>1.1871940665705147</v>
      </c>
      <c r="AK92" s="165">
        <f t="shared" si="37"/>
        <v>1.2160983161197045</v>
      </c>
      <c r="AL92" s="165">
        <f t="shared" si="37"/>
        <v>1.2467055394766926</v>
      </c>
      <c r="AM92" s="165">
        <f t="shared" si="37"/>
        <v>1.2780830970321635</v>
      </c>
      <c r="AN92" s="165">
        <f t="shared" si="37"/>
        <v>1.3071023525606695</v>
      </c>
      <c r="AO92" s="165">
        <f t="shared" si="37"/>
        <v>1.3399999999999996</v>
      </c>
      <c r="AP92" s="165">
        <f t="shared" si="37"/>
        <v>1.3399999999999996</v>
      </c>
      <c r="AQ92" s="165">
        <f t="shared" si="37"/>
        <v>1.3399999999999996</v>
      </c>
      <c r="AR92" s="165">
        <f t="shared" si="37"/>
        <v>1.3399999999999996</v>
      </c>
      <c r="AS92" s="165">
        <f t="shared" si="37"/>
        <v>1.3399999999999996</v>
      </c>
      <c r="AT92" s="165">
        <f t="shared" si="37"/>
        <v>1.3399999999999996</v>
      </c>
      <c r="AU92" s="165">
        <f t="shared" si="37"/>
        <v>1.3399999999999996</v>
      </c>
      <c r="AV92" s="165">
        <f t="shared" si="37"/>
        <v>1.3399999999999996</v>
      </c>
      <c r="AW92" s="165">
        <f t="shared" si="37"/>
        <v>1.3399999999999996</v>
      </c>
      <c r="AX92" s="165">
        <f t="shared" si="37"/>
        <v>1.3399999999999996</v>
      </c>
      <c r="AY92" s="165">
        <f t="shared" si="37"/>
        <v>1.3399999999999996</v>
      </c>
      <c r="AZ92" s="165">
        <f t="shared" si="37"/>
        <v>1.3399999999999996</v>
      </c>
      <c r="BA92" s="165">
        <f t="shared" si="37"/>
        <v>1.3399999999999996</v>
      </c>
      <c r="BB92" s="165">
        <f t="shared" si="37"/>
        <v>1.3399999999999996</v>
      </c>
      <c r="BC92" s="165">
        <f t="shared" si="37"/>
        <v>1.3399999999999996</v>
      </c>
      <c r="BD92" s="165">
        <f t="shared" si="37"/>
        <v>1.3399999999999996</v>
      </c>
      <c r="BE92" s="165">
        <f t="shared" si="37"/>
        <v>1.3399999999999996</v>
      </c>
      <c r="BF92" s="165">
        <f t="shared" si="37"/>
        <v>1.3399999999999996</v>
      </c>
      <c r="BG92" s="165">
        <f t="shared" si="37"/>
        <v>1.3399999999999996</v>
      </c>
      <c r="BH92" s="165">
        <f t="shared" si="37"/>
        <v>1.3399999999999996</v>
      </c>
      <c r="BI92" s="165">
        <f t="shared" si="37"/>
        <v>1.3399999999999996</v>
      </c>
      <c r="BJ92" s="165">
        <f t="shared" si="37"/>
        <v>1.3399999999999996</v>
      </c>
      <c r="BK92" s="165">
        <f t="shared" si="37"/>
        <v>1.3399999999999996</v>
      </c>
      <c r="BL92" s="165">
        <f t="shared" si="37"/>
        <v>1.3399999999999996</v>
      </c>
      <c r="BM92" s="165">
        <f t="shared" si="37"/>
        <v>1.3399999999999996</v>
      </c>
      <c r="BN92" s="165">
        <f t="shared" si="37"/>
        <v>1.3399999999999996</v>
      </c>
      <c r="BO92" s="165">
        <f t="shared" si="37"/>
        <v>1.3399999999999996</v>
      </c>
      <c r="BP92" s="165">
        <f t="shared" si="37"/>
        <v>1.3399999999999996</v>
      </c>
      <c r="BQ92" s="165">
        <f t="shared" si="37"/>
        <v>1.3399999999999996</v>
      </c>
      <c r="BR92" s="165">
        <f t="shared" si="37"/>
        <v>1.3399999999999996</v>
      </c>
      <c r="BS92" s="165">
        <f t="shared" ref="BS92:CK92" si="38">IF(AND(BR92=0,BS91&gt;0),BS91,BR92*(1+BS91))</f>
        <v>1.3399999999999996</v>
      </c>
      <c r="BT92" s="165">
        <f t="shared" si="38"/>
        <v>1.3399999999999996</v>
      </c>
      <c r="BU92" s="165">
        <f t="shared" si="38"/>
        <v>1.3399999999999996</v>
      </c>
      <c r="BV92" s="165">
        <f t="shared" si="38"/>
        <v>1.3399999999999996</v>
      </c>
      <c r="BW92" s="165">
        <f t="shared" si="38"/>
        <v>1.3399999999999996</v>
      </c>
      <c r="BX92" s="165">
        <f t="shared" si="38"/>
        <v>1.3399999999999996</v>
      </c>
      <c r="BY92" s="165">
        <f t="shared" si="38"/>
        <v>1.3399999999999996</v>
      </c>
      <c r="BZ92" s="165">
        <f t="shared" si="38"/>
        <v>1.3399999999999996</v>
      </c>
      <c r="CA92" s="165">
        <f t="shared" si="38"/>
        <v>1.3399999999999996</v>
      </c>
      <c r="CB92" s="165">
        <f t="shared" si="38"/>
        <v>1.3399999999999996</v>
      </c>
      <c r="CC92" s="165">
        <f t="shared" si="38"/>
        <v>1.3399999999999996</v>
      </c>
      <c r="CD92" s="165">
        <f t="shared" si="38"/>
        <v>1.3399999999999996</v>
      </c>
      <c r="CE92" s="165">
        <f t="shared" si="38"/>
        <v>1.3399999999999996</v>
      </c>
      <c r="CF92" s="165">
        <f t="shared" si="38"/>
        <v>1.3399999999999996</v>
      </c>
      <c r="CG92" s="165">
        <f t="shared" si="38"/>
        <v>1.3399999999999996</v>
      </c>
      <c r="CH92" s="165">
        <f t="shared" si="38"/>
        <v>1.3399999999999996</v>
      </c>
      <c r="CI92" s="165">
        <f t="shared" si="38"/>
        <v>1.3399999999999996</v>
      </c>
      <c r="CJ92" s="165">
        <f t="shared" si="38"/>
        <v>1.3399999999999996</v>
      </c>
      <c r="CK92" s="165">
        <f t="shared" si="38"/>
        <v>1.3399999999999996</v>
      </c>
    </row>
    <row r="93" spans="2:89">
      <c r="B93" s="14"/>
      <c r="C93" s="14"/>
      <c r="D93" s="14"/>
      <c r="E93" s="1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</row>
    <row r="94" spans="2:89">
      <c r="B94" s="187" t="str">
        <f>$B$76</f>
        <v>Зоогумус</v>
      </c>
      <c r="C94" s="155" t="s">
        <v>44</v>
      </c>
      <c r="D94" s="155"/>
      <c r="E94" s="158"/>
      <c r="F94" s="159">
        <f t="shared" ref="F94:AK94" si="39">IFERROR(LOOKUP(F$29,Продажи_год_прироста,Продажи_уровень_прироста_продукт2),0)</f>
        <v>0</v>
      </c>
      <c r="G94" s="159">
        <f t="shared" si="39"/>
        <v>0</v>
      </c>
      <c r="H94" s="159">
        <f t="shared" si="39"/>
        <v>0</v>
      </c>
      <c r="I94" s="159">
        <f t="shared" si="39"/>
        <v>0</v>
      </c>
      <c r="J94" s="159">
        <f t="shared" si="39"/>
        <v>0</v>
      </c>
      <c r="K94" s="159">
        <f t="shared" si="39"/>
        <v>0</v>
      </c>
      <c r="L94" s="159">
        <f t="shared" si="39"/>
        <v>0</v>
      </c>
      <c r="M94" s="159">
        <f t="shared" si="39"/>
        <v>0</v>
      </c>
      <c r="N94" s="159">
        <f t="shared" si="39"/>
        <v>0</v>
      </c>
      <c r="O94" s="159">
        <f t="shared" si="39"/>
        <v>0</v>
      </c>
      <c r="P94" s="159">
        <f t="shared" si="39"/>
        <v>0</v>
      </c>
      <c r="Q94" s="159">
        <f t="shared" si="39"/>
        <v>0</v>
      </c>
      <c r="R94" s="159">
        <f t="shared" si="39"/>
        <v>0</v>
      </c>
      <c r="S94" s="159">
        <f t="shared" si="39"/>
        <v>0</v>
      </c>
      <c r="T94" s="159">
        <f t="shared" si="39"/>
        <v>0</v>
      </c>
      <c r="U94" s="159">
        <f t="shared" si="39"/>
        <v>0</v>
      </c>
      <c r="V94" s="159">
        <f t="shared" si="39"/>
        <v>0</v>
      </c>
      <c r="W94" s="159">
        <f t="shared" si="39"/>
        <v>0</v>
      </c>
      <c r="X94" s="159">
        <f t="shared" si="39"/>
        <v>0</v>
      </c>
      <c r="Y94" s="159">
        <f t="shared" si="39"/>
        <v>0</v>
      </c>
      <c r="Z94" s="159">
        <f t="shared" si="39"/>
        <v>0</v>
      </c>
      <c r="AA94" s="159">
        <f t="shared" si="39"/>
        <v>0</v>
      </c>
      <c r="AB94" s="159">
        <f t="shared" si="39"/>
        <v>0</v>
      </c>
      <c r="AC94" s="159">
        <f t="shared" si="39"/>
        <v>0</v>
      </c>
      <c r="AD94" s="159">
        <f t="shared" si="39"/>
        <v>0.19</v>
      </c>
      <c r="AE94" s="159">
        <f t="shared" si="39"/>
        <v>0.19</v>
      </c>
      <c r="AF94" s="159">
        <f t="shared" si="39"/>
        <v>0.19</v>
      </c>
      <c r="AG94" s="159">
        <f t="shared" si="39"/>
        <v>0.19</v>
      </c>
      <c r="AH94" s="159">
        <f t="shared" si="39"/>
        <v>0.19</v>
      </c>
      <c r="AI94" s="159">
        <f t="shared" si="39"/>
        <v>0.19</v>
      </c>
      <c r="AJ94" s="159">
        <f t="shared" si="39"/>
        <v>0.19</v>
      </c>
      <c r="AK94" s="159">
        <f t="shared" si="39"/>
        <v>0.19</v>
      </c>
      <c r="AL94" s="159">
        <f t="shared" ref="AL94:BQ94" si="40">IFERROR(LOOKUP(AL$29,Продажи_год_прироста,Продажи_уровень_прироста_продукт2),0)</f>
        <v>0.19</v>
      </c>
      <c r="AM94" s="159">
        <f t="shared" si="40"/>
        <v>0.19</v>
      </c>
      <c r="AN94" s="159">
        <f t="shared" si="40"/>
        <v>0.19</v>
      </c>
      <c r="AO94" s="159">
        <f t="shared" si="40"/>
        <v>0.19</v>
      </c>
      <c r="AP94" s="159">
        <f t="shared" si="40"/>
        <v>0</v>
      </c>
      <c r="AQ94" s="159">
        <f t="shared" si="40"/>
        <v>0</v>
      </c>
      <c r="AR94" s="159">
        <f t="shared" si="40"/>
        <v>0</v>
      </c>
      <c r="AS94" s="159">
        <f t="shared" si="40"/>
        <v>0</v>
      </c>
      <c r="AT94" s="159">
        <f t="shared" si="40"/>
        <v>0</v>
      </c>
      <c r="AU94" s="159">
        <f t="shared" si="40"/>
        <v>0</v>
      </c>
      <c r="AV94" s="159">
        <f t="shared" si="40"/>
        <v>0</v>
      </c>
      <c r="AW94" s="159">
        <f t="shared" si="40"/>
        <v>0</v>
      </c>
      <c r="AX94" s="159">
        <f t="shared" si="40"/>
        <v>0</v>
      </c>
      <c r="AY94" s="159">
        <f t="shared" si="40"/>
        <v>0</v>
      </c>
      <c r="AZ94" s="159">
        <f t="shared" si="40"/>
        <v>0</v>
      </c>
      <c r="BA94" s="159">
        <f t="shared" si="40"/>
        <v>0</v>
      </c>
      <c r="BB94" s="159">
        <f t="shared" si="40"/>
        <v>0</v>
      </c>
      <c r="BC94" s="159">
        <f t="shared" si="40"/>
        <v>0</v>
      </c>
      <c r="BD94" s="159">
        <f t="shared" si="40"/>
        <v>0</v>
      </c>
      <c r="BE94" s="159">
        <f t="shared" si="40"/>
        <v>0</v>
      </c>
      <c r="BF94" s="159">
        <f t="shared" si="40"/>
        <v>0</v>
      </c>
      <c r="BG94" s="159">
        <f t="shared" si="40"/>
        <v>0</v>
      </c>
      <c r="BH94" s="159">
        <f t="shared" si="40"/>
        <v>0</v>
      </c>
      <c r="BI94" s="159">
        <f t="shared" si="40"/>
        <v>0</v>
      </c>
      <c r="BJ94" s="159">
        <f t="shared" si="40"/>
        <v>0</v>
      </c>
      <c r="BK94" s="159">
        <f t="shared" si="40"/>
        <v>0</v>
      </c>
      <c r="BL94" s="159">
        <f t="shared" si="40"/>
        <v>0</v>
      </c>
      <c r="BM94" s="159">
        <f t="shared" si="40"/>
        <v>0</v>
      </c>
      <c r="BN94" s="159">
        <f t="shared" si="40"/>
        <v>0</v>
      </c>
      <c r="BO94" s="159">
        <f t="shared" si="40"/>
        <v>0</v>
      </c>
      <c r="BP94" s="159">
        <f t="shared" si="40"/>
        <v>0</v>
      </c>
      <c r="BQ94" s="159">
        <f t="shared" si="40"/>
        <v>0</v>
      </c>
      <c r="BR94" s="159">
        <f t="shared" ref="BR94:CK94" si="41">IFERROR(LOOKUP(BR$29,Продажи_год_прироста,Продажи_уровень_прироста_продукт2),0)</f>
        <v>0</v>
      </c>
      <c r="BS94" s="159">
        <f t="shared" si="41"/>
        <v>0</v>
      </c>
      <c r="BT94" s="159">
        <f t="shared" si="41"/>
        <v>0</v>
      </c>
      <c r="BU94" s="159">
        <f t="shared" si="41"/>
        <v>0</v>
      </c>
      <c r="BV94" s="159">
        <f t="shared" si="41"/>
        <v>0</v>
      </c>
      <c r="BW94" s="159">
        <f t="shared" si="41"/>
        <v>0</v>
      </c>
      <c r="BX94" s="159">
        <f t="shared" si="41"/>
        <v>0</v>
      </c>
      <c r="BY94" s="159">
        <f t="shared" si="41"/>
        <v>0</v>
      </c>
      <c r="BZ94" s="159">
        <f t="shared" si="41"/>
        <v>0</v>
      </c>
      <c r="CA94" s="159">
        <f t="shared" si="41"/>
        <v>0</v>
      </c>
      <c r="CB94" s="159">
        <f t="shared" si="41"/>
        <v>0</v>
      </c>
      <c r="CC94" s="159">
        <f t="shared" si="41"/>
        <v>0</v>
      </c>
      <c r="CD94" s="159">
        <f t="shared" si="41"/>
        <v>0</v>
      </c>
      <c r="CE94" s="159">
        <f t="shared" si="41"/>
        <v>0</v>
      </c>
      <c r="CF94" s="159">
        <f t="shared" si="41"/>
        <v>0</v>
      </c>
      <c r="CG94" s="159">
        <f t="shared" si="41"/>
        <v>0</v>
      </c>
      <c r="CH94" s="159">
        <f t="shared" si="41"/>
        <v>0</v>
      </c>
      <c r="CI94" s="159">
        <f t="shared" si="41"/>
        <v>0</v>
      </c>
      <c r="CJ94" s="159">
        <f t="shared" si="41"/>
        <v>0</v>
      </c>
      <c r="CK94" s="159">
        <f t="shared" si="41"/>
        <v>0</v>
      </c>
    </row>
    <row r="95" spans="2:89" ht="15.75" thickBot="1">
      <c r="B95" s="187" t="str">
        <f t="shared" ref="B95:B96" si="42">$B$76</f>
        <v>Зоогумус</v>
      </c>
      <c r="C95" s="155" t="s">
        <v>45</v>
      </c>
      <c r="D95" s="155"/>
      <c r="E95" s="158"/>
      <c r="F95" s="159">
        <f>(1+F94)^(F$26/F$20)-1</f>
        <v>0</v>
      </c>
      <c r="G95" s="159">
        <f t="shared" ref="G95:BR95" si="43">(1+G94)^(G$26/G$20)-1</f>
        <v>0</v>
      </c>
      <c r="H95" s="159">
        <f t="shared" si="43"/>
        <v>0</v>
      </c>
      <c r="I95" s="159">
        <f t="shared" si="43"/>
        <v>0</v>
      </c>
      <c r="J95" s="159">
        <f t="shared" si="43"/>
        <v>0</v>
      </c>
      <c r="K95" s="159">
        <f t="shared" si="43"/>
        <v>0</v>
      </c>
      <c r="L95" s="159">
        <f t="shared" si="43"/>
        <v>0</v>
      </c>
      <c r="M95" s="159">
        <f t="shared" si="43"/>
        <v>0</v>
      </c>
      <c r="N95" s="159">
        <f t="shared" si="43"/>
        <v>0</v>
      </c>
      <c r="O95" s="159">
        <f t="shared" si="43"/>
        <v>0</v>
      </c>
      <c r="P95" s="159">
        <f t="shared" si="43"/>
        <v>0</v>
      </c>
      <c r="Q95" s="159">
        <f t="shared" si="43"/>
        <v>0</v>
      </c>
      <c r="R95" s="159">
        <f t="shared" si="43"/>
        <v>0</v>
      </c>
      <c r="S95" s="159">
        <f t="shared" si="43"/>
        <v>0</v>
      </c>
      <c r="T95" s="159">
        <f t="shared" si="43"/>
        <v>0</v>
      </c>
      <c r="U95" s="159">
        <f t="shared" si="43"/>
        <v>0</v>
      </c>
      <c r="V95" s="159">
        <f t="shared" si="43"/>
        <v>0</v>
      </c>
      <c r="W95" s="159">
        <f t="shared" si="43"/>
        <v>0</v>
      </c>
      <c r="X95" s="159">
        <f t="shared" si="43"/>
        <v>0</v>
      </c>
      <c r="Y95" s="159">
        <f t="shared" si="43"/>
        <v>0</v>
      </c>
      <c r="Z95" s="159">
        <f t="shared" si="43"/>
        <v>0</v>
      </c>
      <c r="AA95" s="159">
        <f t="shared" si="43"/>
        <v>0</v>
      </c>
      <c r="AB95" s="159">
        <f t="shared" si="43"/>
        <v>0</v>
      </c>
      <c r="AC95" s="159">
        <f t="shared" si="43"/>
        <v>0</v>
      </c>
      <c r="AD95" s="159">
        <f t="shared" si="43"/>
        <v>1.4400230665976954E-2</v>
      </c>
      <c r="AE95" s="159">
        <f t="shared" si="43"/>
        <v>1.4883793214422569E-2</v>
      </c>
      <c r="AF95" s="159">
        <f t="shared" si="43"/>
        <v>1.4400230665976954E-2</v>
      </c>
      <c r="AG95" s="159">
        <f t="shared" si="43"/>
        <v>1.4883793214422569E-2</v>
      </c>
      <c r="AH95" s="159">
        <f t="shared" si="43"/>
        <v>1.4883793214422569E-2</v>
      </c>
      <c r="AI95" s="159">
        <f t="shared" si="43"/>
        <v>1.4400230665976954E-2</v>
      </c>
      <c r="AJ95" s="159">
        <f t="shared" si="43"/>
        <v>1.4883793214422569E-2</v>
      </c>
      <c r="AK95" s="159">
        <f t="shared" si="43"/>
        <v>1.4400230665976954E-2</v>
      </c>
      <c r="AL95" s="159">
        <f t="shared" si="43"/>
        <v>1.4883793214422569E-2</v>
      </c>
      <c r="AM95" s="159">
        <f t="shared" si="43"/>
        <v>1.4883793214422569E-2</v>
      </c>
      <c r="AN95" s="159">
        <f t="shared" si="43"/>
        <v>1.3433796669687803E-2</v>
      </c>
      <c r="AO95" s="159">
        <f t="shared" si="43"/>
        <v>1.4883793214422569E-2</v>
      </c>
      <c r="AP95" s="159">
        <f t="shared" si="43"/>
        <v>0</v>
      </c>
      <c r="AQ95" s="159">
        <f t="shared" si="43"/>
        <v>0</v>
      </c>
      <c r="AR95" s="159">
        <f t="shared" si="43"/>
        <v>0</v>
      </c>
      <c r="AS95" s="159">
        <f t="shared" si="43"/>
        <v>0</v>
      </c>
      <c r="AT95" s="159">
        <f t="shared" si="43"/>
        <v>0</v>
      </c>
      <c r="AU95" s="159">
        <f t="shared" si="43"/>
        <v>0</v>
      </c>
      <c r="AV95" s="159">
        <f t="shared" si="43"/>
        <v>0</v>
      </c>
      <c r="AW95" s="159">
        <f t="shared" si="43"/>
        <v>0</v>
      </c>
      <c r="AX95" s="159">
        <f t="shared" si="43"/>
        <v>0</v>
      </c>
      <c r="AY95" s="159">
        <f t="shared" si="43"/>
        <v>0</v>
      </c>
      <c r="AZ95" s="159">
        <f t="shared" si="43"/>
        <v>0</v>
      </c>
      <c r="BA95" s="159">
        <f t="shared" si="43"/>
        <v>0</v>
      </c>
      <c r="BB95" s="159">
        <f t="shared" si="43"/>
        <v>0</v>
      </c>
      <c r="BC95" s="159">
        <f t="shared" si="43"/>
        <v>0</v>
      </c>
      <c r="BD95" s="159">
        <f t="shared" si="43"/>
        <v>0</v>
      </c>
      <c r="BE95" s="159">
        <f t="shared" si="43"/>
        <v>0</v>
      </c>
      <c r="BF95" s="159">
        <f t="shared" si="43"/>
        <v>0</v>
      </c>
      <c r="BG95" s="159">
        <f t="shared" si="43"/>
        <v>0</v>
      </c>
      <c r="BH95" s="159">
        <f t="shared" si="43"/>
        <v>0</v>
      </c>
      <c r="BI95" s="159">
        <f t="shared" si="43"/>
        <v>0</v>
      </c>
      <c r="BJ95" s="159">
        <f t="shared" si="43"/>
        <v>0</v>
      </c>
      <c r="BK95" s="159">
        <f t="shared" si="43"/>
        <v>0</v>
      </c>
      <c r="BL95" s="159">
        <f t="shared" si="43"/>
        <v>0</v>
      </c>
      <c r="BM95" s="159">
        <f t="shared" si="43"/>
        <v>0</v>
      </c>
      <c r="BN95" s="159">
        <f t="shared" si="43"/>
        <v>0</v>
      </c>
      <c r="BO95" s="159">
        <f t="shared" si="43"/>
        <v>0</v>
      </c>
      <c r="BP95" s="159">
        <f t="shared" si="43"/>
        <v>0</v>
      </c>
      <c r="BQ95" s="159">
        <f t="shared" si="43"/>
        <v>0</v>
      </c>
      <c r="BR95" s="159">
        <f t="shared" si="43"/>
        <v>0</v>
      </c>
      <c r="BS95" s="159">
        <f t="shared" ref="BS95:CK95" si="44">(1+BS94)^(BS$26/BS$20)-1</f>
        <v>0</v>
      </c>
      <c r="BT95" s="159">
        <f t="shared" si="44"/>
        <v>0</v>
      </c>
      <c r="BU95" s="159">
        <f t="shared" si="44"/>
        <v>0</v>
      </c>
      <c r="BV95" s="159">
        <f t="shared" si="44"/>
        <v>0</v>
      </c>
      <c r="BW95" s="159">
        <f t="shared" si="44"/>
        <v>0</v>
      </c>
      <c r="BX95" s="159">
        <f t="shared" si="44"/>
        <v>0</v>
      </c>
      <c r="BY95" s="159">
        <f t="shared" si="44"/>
        <v>0</v>
      </c>
      <c r="BZ95" s="159">
        <f t="shared" si="44"/>
        <v>0</v>
      </c>
      <c r="CA95" s="159">
        <f t="shared" si="44"/>
        <v>0</v>
      </c>
      <c r="CB95" s="159">
        <f t="shared" si="44"/>
        <v>0</v>
      </c>
      <c r="CC95" s="159">
        <f t="shared" si="44"/>
        <v>0</v>
      </c>
      <c r="CD95" s="159">
        <f t="shared" si="44"/>
        <v>0</v>
      </c>
      <c r="CE95" s="159">
        <f t="shared" si="44"/>
        <v>0</v>
      </c>
      <c r="CF95" s="159">
        <f t="shared" si="44"/>
        <v>0</v>
      </c>
      <c r="CG95" s="159">
        <f t="shared" si="44"/>
        <v>0</v>
      </c>
      <c r="CH95" s="159">
        <f t="shared" si="44"/>
        <v>0</v>
      </c>
      <c r="CI95" s="159">
        <f t="shared" si="44"/>
        <v>0</v>
      </c>
      <c r="CJ95" s="159">
        <f t="shared" si="44"/>
        <v>0</v>
      </c>
      <c r="CK95" s="159">
        <f t="shared" si="44"/>
        <v>0</v>
      </c>
    </row>
    <row r="96" spans="2:89" ht="15.75" thickTop="1">
      <c r="B96" s="161" t="str">
        <f t="shared" si="42"/>
        <v>Зоогумус</v>
      </c>
      <c r="C96" s="161" t="s">
        <v>46</v>
      </c>
      <c r="D96" s="161"/>
      <c r="E96" s="164">
        <v>1</v>
      </c>
      <c r="F96" s="165">
        <f>IF(AND(E96=0,F95&gt;0),F95,E96*(1+F95))</f>
        <v>1</v>
      </c>
      <c r="G96" s="165">
        <f t="shared" ref="G96:BR96" si="45">IF(AND(F96=0,G95&gt;0),G95,F96*(1+G95))</f>
        <v>1</v>
      </c>
      <c r="H96" s="165">
        <f t="shared" si="45"/>
        <v>1</v>
      </c>
      <c r="I96" s="165">
        <f t="shared" si="45"/>
        <v>1</v>
      </c>
      <c r="J96" s="165">
        <f t="shared" si="45"/>
        <v>1</v>
      </c>
      <c r="K96" s="165">
        <f t="shared" si="45"/>
        <v>1</v>
      </c>
      <c r="L96" s="165">
        <f t="shared" si="45"/>
        <v>1</v>
      </c>
      <c r="M96" s="165">
        <f t="shared" si="45"/>
        <v>1</v>
      </c>
      <c r="N96" s="165">
        <f t="shared" si="45"/>
        <v>1</v>
      </c>
      <c r="O96" s="165">
        <f t="shared" si="45"/>
        <v>1</v>
      </c>
      <c r="P96" s="165">
        <f t="shared" si="45"/>
        <v>1</v>
      </c>
      <c r="Q96" s="165">
        <f t="shared" si="45"/>
        <v>1</v>
      </c>
      <c r="R96" s="165">
        <f t="shared" si="45"/>
        <v>1</v>
      </c>
      <c r="S96" s="165">
        <f t="shared" si="45"/>
        <v>1</v>
      </c>
      <c r="T96" s="165">
        <f t="shared" si="45"/>
        <v>1</v>
      </c>
      <c r="U96" s="165">
        <f t="shared" si="45"/>
        <v>1</v>
      </c>
      <c r="V96" s="165">
        <f t="shared" si="45"/>
        <v>1</v>
      </c>
      <c r="W96" s="165">
        <f t="shared" si="45"/>
        <v>1</v>
      </c>
      <c r="X96" s="165">
        <f t="shared" si="45"/>
        <v>1</v>
      </c>
      <c r="Y96" s="165">
        <f t="shared" si="45"/>
        <v>1</v>
      </c>
      <c r="Z96" s="165">
        <f t="shared" si="45"/>
        <v>1</v>
      </c>
      <c r="AA96" s="165">
        <f t="shared" si="45"/>
        <v>1</v>
      </c>
      <c r="AB96" s="165">
        <f t="shared" si="45"/>
        <v>1</v>
      </c>
      <c r="AC96" s="165">
        <f t="shared" si="45"/>
        <v>1</v>
      </c>
      <c r="AD96" s="165">
        <f t="shared" si="45"/>
        <v>1.014400230665977</v>
      </c>
      <c r="AE96" s="165">
        <f t="shared" si="45"/>
        <v>1.029498353935872</v>
      </c>
      <c r="AF96" s="165">
        <f t="shared" si="45"/>
        <v>1.0443233677027921</v>
      </c>
      <c r="AG96" s="165">
        <f t="shared" si="45"/>
        <v>1.0598668607566699</v>
      </c>
      <c r="AH96" s="165">
        <f t="shared" si="45"/>
        <v>1.0756416999469913</v>
      </c>
      <c r="AI96" s="165">
        <f t="shared" si="45"/>
        <v>1.0911311885401715</v>
      </c>
      <c r="AJ96" s="165">
        <f t="shared" si="45"/>
        <v>1.1073713595202106</v>
      </c>
      <c r="AK96" s="165">
        <f t="shared" si="45"/>
        <v>1.1233177625301982</v>
      </c>
      <c r="AL96" s="165">
        <f t="shared" si="45"/>
        <v>1.1400369918217854</v>
      </c>
      <c r="AM96" s="165">
        <f t="shared" si="45"/>
        <v>1.1570050666648533</v>
      </c>
      <c r="AN96" s="165">
        <f t="shared" si="45"/>
        <v>1.1725480374762274</v>
      </c>
      <c r="AO96" s="165">
        <f t="shared" si="45"/>
        <v>1.1900000000000006</v>
      </c>
      <c r="AP96" s="165">
        <f t="shared" si="45"/>
        <v>1.1900000000000006</v>
      </c>
      <c r="AQ96" s="165">
        <f t="shared" si="45"/>
        <v>1.1900000000000006</v>
      </c>
      <c r="AR96" s="165">
        <f t="shared" si="45"/>
        <v>1.1900000000000006</v>
      </c>
      <c r="AS96" s="165">
        <f t="shared" si="45"/>
        <v>1.1900000000000006</v>
      </c>
      <c r="AT96" s="165">
        <f t="shared" si="45"/>
        <v>1.1900000000000006</v>
      </c>
      <c r="AU96" s="165">
        <f t="shared" si="45"/>
        <v>1.1900000000000006</v>
      </c>
      <c r="AV96" s="165">
        <f t="shared" si="45"/>
        <v>1.1900000000000006</v>
      </c>
      <c r="AW96" s="165">
        <f t="shared" si="45"/>
        <v>1.1900000000000006</v>
      </c>
      <c r="AX96" s="165">
        <f t="shared" si="45"/>
        <v>1.1900000000000006</v>
      </c>
      <c r="AY96" s="165">
        <f t="shared" si="45"/>
        <v>1.1900000000000006</v>
      </c>
      <c r="AZ96" s="165">
        <f t="shared" si="45"/>
        <v>1.1900000000000006</v>
      </c>
      <c r="BA96" s="165">
        <f t="shared" si="45"/>
        <v>1.1900000000000006</v>
      </c>
      <c r="BB96" s="165">
        <f t="shared" si="45"/>
        <v>1.1900000000000006</v>
      </c>
      <c r="BC96" s="165">
        <f t="shared" si="45"/>
        <v>1.1900000000000006</v>
      </c>
      <c r="BD96" s="165">
        <f t="shared" si="45"/>
        <v>1.1900000000000006</v>
      </c>
      <c r="BE96" s="165">
        <f t="shared" si="45"/>
        <v>1.1900000000000006</v>
      </c>
      <c r="BF96" s="165">
        <f t="shared" si="45"/>
        <v>1.1900000000000006</v>
      </c>
      <c r="BG96" s="165">
        <f t="shared" si="45"/>
        <v>1.1900000000000006</v>
      </c>
      <c r="BH96" s="165">
        <f t="shared" si="45"/>
        <v>1.1900000000000006</v>
      </c>
      <c r="BI96" s="165">
        <f t="shared" si="45"/>
        <v>1.1900000000000006</v>
      </c>
      <c r="BJ96" s="165">
        <f t="shared" si="45"/>
        <v>1.1900000000000006</v>
      </c>
      <c r="BK96" s="165">
        <f t="shared" si="45"/>
        <v>1.1900000000000006</v>
      </c>
      <c r="BL96" s="165">
        <f t="shared" si="45"/>
        <v>1.1900000000000006</v>
      </c>
      <c r="BM96" s="165">
        <f t="shared" si="45"/>
        <v>1.1900000000000006</v>
      </c>
      <c r="BN96" s="165">
        <f t="shared" si="45"/>
        <v>1.1900000000000006</v>
      </c>
      <c r="BO96" s="165">
        <f t="shared" si="45"/>
        <v>1.1900000000000006</v>
      </c>
      <c r="BP96" s="165">
        <f t="shared" si="45"/>
        <v>1.1900000000000006</v>
      </c>
      <c r="BQ96" s="165">
        <f t="shared" si="45"/>
        <v>1.1900000000000006</v>
      </c>
      <c r="BR96" s="165">
        <f t="shared" si="45"/>
        <v>1.1900000000000006</v>
      </c>
      <c r="BS96" s="165">
        <f t="shared" ref="BS96:CK96" si="46">IF(AND(BR96=0,BS95&gt;0),BS95,BR96*(1+BS95))</f>
        <v>1.1900000000000006</v>
      </c>
      <c r="BT96" s="165">
        <f t="shared" si="46"/>
        <v>1.1900000000000006</v>
      </c>
      <c r="BU96" s="165">
        <f t="shared" si="46"/>
        <v>1.1900000000000006</v>
      </c>
      <c r="BV96" s="165">
        <f t="shared" si="46"/>
        <v>1.1900000000000006</v>
      </c>
      <c r="BW96" s="165">
        <f t="shared" si="46"/>
        <v>1.1900000000000006</v>
      </c>
      <c r="BX96" s="165">
        <f t="shared" si="46"/>
        <v>1.1900000000000006</v>
      </c>
      <c r="BY96" s="165">
        <f t="shared" si="46"/>
        <v>1.1900000000000006</v>
      </c>
      <c r="BZ96" s="165">
        <f t="shared" si="46"/>
        <v>1.1900000000000006</v>
      </c>
      <c r="CA96" s="165">
        <f t="shared" si="46"/>
        <v>1.1900000000000006</v>
      </c>
      <c r="CB96" s="165">
        <f t="shared" si="46"/>
        <v>1.1900000000000006</v>
      </c>
      <c r="CC96" s="165">
        <f t="shared" si="46"/>
        <v>1.1900000000000006</v>
      </c>
      <c r="CD96" s="165">
        <f t="shared" si="46"/>
        <v>1.1900000000000006</v>
      </c>
      <c r="CE96" s="165">
        <f t="shared" si="46"/>
        <v>1.1900000000000006</v>
      </c>
      <c r="CF96" s="165">
        <f t="shared" si="46"/>
        <v>1.1900000000000006</v>
      </c>
      <c r="CG96" s="165">
        <f t="shared" si="46"/>
        <v>1.1900000000000006</v>
      </c>
      <c r="CH96" s="165">
        <f t="shared" si="46"/>
        <v>1.1900000000000006</v>
      </c>
      <c r="CI96" s="165">
        <f t="shared" si="46"/>
        <v>1.1900000000000006</v>
      </c>
      <c r="CJ96" s="165">
        <f t="shared" si="46"/>
        <v>1.1900000000000006</v>
      </c>
      <c r="CK96" s="165">
        <f t="shared" si="46"/>
        <v>1.1900000000000006</v>
      </c>
    </row>
    <row r="97" spans="2:89">
      <c r="B97" s="14"/>
      <c r="C97" s="14"/>
      <c r="D97" s="14"/>
      <c r="E97" s="1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</row>
    <row r="98" spans="2:89">
      <c r="B98" s="187" t="str">
        <f>$B$77</f>
        <v>Протеиновая мука</v>
      </c>
      <c r="C98" s="155" t="s">
        <v>44</v>
      </c>
      <c r="D98" s="155"/>
      <c r="E98" s="158"/>
      <c r="F98" s="159">
        <f t="shared" ref="F98:AK98" si="47">IFERROR(LOOKUP(F$29,Продажи_год_прироста,Продажи_уровень_прироста_продукт3),0)</f>
        <v>0</v>
      </c>
      <c r="G98" s="159">
        <f t="shared" si="47"/>
        <v>0</v>
      </c>
      <c r="H98" s="159">
        <f t="shared" si="47"/>
        <v>0</v>
      </c>
      <c r="I98" s="159">
        <f t="shared" si="47"/>
        <v>0</v>
      </c>
      <c r="J98" s="159">
        <f t="shared" si="47"/>
        <v>0</v>
      </c>
      <c r="K98" s="159">
        <f t="shared" si="47"/>
        <v>0</v>
      </c>
      <c r="L98" s="159">
        <f t="shared" si="47"/>
        <v>0</v>
      </c>
      <c r="M98" s="159">
        <f t="shared" si="47"/>
        <v>0</v>
      </c>
      <c r="N98" s="159">
        <f t="shared" si="47"/>
        <v>0</v>
      </c>
      <c r="O98" s="159">
        <f t="shared" si="47"/>
        <v>0</v>
      </c>
      <c r="P98" s="159">
        <f t="shared" si="47"/>
        <v>0</v>
      </c>
      <c r="Q98" s="159">
        <f t="shared" si="47"/>
        <v>0</v>
      </c>
      <c r="R98" s="159">
        <f t="shared" si="47"/>
        <v>0</v>
      </c>
      <c r="S98" s="159">
        <f t="shared" si="47"/>
        <v>0</v>
      </c>
      <c r="T98" s="159">
        <f t="shared" si="47"/>
        <v>0</v>
      </c>
      <c r="U98" s="159">
        <f t="shared" si="47"/>
        <v>0</v>
      </c>
      <c r="V98" s="159">
        <f t="shared" si="47"/>
        <v>0</v>
      </c>
      <c r="W98" s="159">
        <f t="shared" si="47"/>
        <v>0</v>
      </c>
      <c r="X98" s="159">
        <f t="shared" si="47"/>
        <v>0</v>
      </c>
      <c r="Y98" s="159">
        <f t="shared" si="47"/>
        <v>0</v>
      </c>
      <c r="Z98" s="159">
        <f t="shared" si="47"/>
        <v>0</v>
      </c>
      <c r="AA98" s="159">
        <f t="shared" si="47"/>
        <v>0</v>
      </c>
      <c r="AB98" s="159">
        <f t="shared" si="47"/>
        <v>0</v>
      </c>
      <c r="AC98" s="159">
        <f t="shared" si="47"/>
        <v>0</v>
      </c>
      <c r="AD98" s="159">
        <f t="shared" si="47"/>
        <v>0</v>
      </c>
      <c r="AE98" s="159">
        <f t="shared" si="47"/>
        <v>0</v>
      </c>
      <c r="AF98" s="159">
        <f t="shared" si="47"/>
        <v>0</v>
      </c>
      <c r="AG98" s="159">
        <f t="shared" si="47"/>
        <v>0</v>
      </c>
      <c r="AH98" s="159">
        <f t="shared" si="47"/>
        <v>0</v>
      </c>
      <c r="AI98" s="159">
        <f t="shared" si="47"/>
        <v>0</v>
      </c>
      <c r="AJ98" s="159">
        <f t="shared" si="47"/>
        <v>0</v>
      </c>
      <c r="AK98" s="159">
        <f t="shared" si="47"/>
        <v>0</v>
      </c>
      <c r="AL98" s="159">
        <f t="shared" ref="AL98:BQ98" si="48">IFERROR(LOOKUP(AL$29,Продажи_год_прироста,Продажи_уровень_прироста_продукт3),0)</f>
        <v>0</v>
      </c>
      <c r="AM98" s="159">
        <f t="shared" si="48"/>
        <v>0</v>
      </c>
      <c r="AN98" s="159">
        <f t="shared" si="48"/>
        <v>0</v>
      </c>
      <c r="AO98" s="159">
        <f t="shared" si="48"/>
        <v>0</v>
      </c>
      <c r="AP98" s="159">
        <f t="shared" si="48"/>
        <v>0</v>
      </c>
      <c r="AQ98" s="159">
        <f t="shared" si="48"/>
        <v>0</v>
      </c>
      <c r="AR98" s="159">
        <f t="shared" si="48"/>
        <v>0</v>
      </c>
      <c r="AS98" s="159">
        <f t="shared" si="48"/>
        <v>0</v>
      </c>
      <c r="AT98" s="159">
        <f t="shared" si="48"/>
        <v>0</v>
      </c>
      <c r="AU98" s="159">
        <f t="shared" si="48"/>
        <v>0</v>
      </c>
      <c r="AV98" s="159">
        <f t="shared" si="48"/>
        <v>0</v>
      </c>
      <c r="AW98" s="159">
        <f t="shared" si="48"/>
        <v>0</v>
      </c>
      <c r="AX98" s="159">
        <f t="shared" si="48"/>
        <v>0</v>
      </c>
      <c r="AY98" s="159">
        <f t="shared" si="48"/>
        <v>0</v>
      </c>
      <c r="AZ98" s="159">
        <f t="shared" si="48"/>
        <v>0</v>
      </c>
      <c r="BA98" s="159">
        <f t="shared" si="48"/>
        <v>0</v>
      </c>
      <c r="BB98" s="159">
        <f t="shared" si="48"/>
        <v>0</v>
      </c>
      <c r="BC98" s="159">
        <f t="shared" si="48"/>
        <v>0</v>
      </c>
      <c r="BD98" s="159">
        <f t="shared" si="48"/>
        <v>0</v>
      </c>
      <c r="BE98" s="159">
        <f t="shared" si="48"/>
        <v>0</v>
      </c>
      <c r="BF98" s="159">
        <f t="shared" si="48"/>
        <v>0</v>
      </c>
      <c r="BG98" s="159">
        <f t="shared" si="48"/>
        <v>0</v>
      </c>
      <c r="BH98" s="159">
        <f t="shared" si="48"/>
        <v>0</v>
      </c>
      <c r="BI98" s="159">
        <f t="shared" si="48"/>
        <v>0</v>
      </c>
      <c r="BJ98" s="159">
        <f t="shared" si="48"/>
        <v>0</v>
      </c>
      <c r="BK98" s="159">
        <f t="shared" si="48"/>
        <v>0</v>
      </c>
      <c r="BL98" s="159">
        <f t="shared" si="48"/>
        <v>0</v>
      </c>
      <c r="BM98" s="159">
        <f t="shared" si="48"/>
        <v>0</v>
      </c>
      <c r="BN98" s="159">
        <f t="shared" si="48"/>
        <v>0</v>
      </c>
      <c r="BO98" s="159">
        <f t="shared" si="48"/>
        <v>0</v>
      </c>
      <c r="BP98" s="159">
        <f t="shared" si="48"/>
        <v>0</v>
      </c>
      <c r="BQ98" s="159">
        <f t="shared" si="48"/>
        <v>0</v>
      </c>
      <c r="BR98" s="159">
        <f t="shared" ref="BR98:CK98" si="49">IFERROR(LOOKUP(BR$29,Продажи_год_прироста,Продажи_уровень_прироста_продукт3),0)</f>
        <v>0</v>
      </c>
      <c r="BS98" s="159">
        <f t="shared" si="49"/>
        <v>0</v>
      </c>
      <c r="BT98" s="159">
        <f t="shared" si="49"/>
        <v>0</v>
      </c>
      <c r="BU98" s="159">
        <f t="shared" si="49"/>
        <v>0</v>
      </c>
      <c r="BV98" s="159">
        <f t="shared" si="49"/>
        <v>0</v>
      </c>
      <c r="BW98" s="159">
        <f t="shared" si="49"/>
        <v>0</v>
      </c>
      <c r="BX98" s="159">
        <f t="shared" si="49"/>
        <v>0</v>
      </c>
      <c r="BY98" s="159">
        <f t="shared" si="49"/>
        <v>0</v>
      </c>
      <c r="BZ98" s="159">
        <f t="shared" si="49"/>
        <v>0</v>
      </c>
      <c r="CA98" s="159">
        <f t="shared" si="49"/>
        <v>0</v>
      </c>
      <c r="CB98" s="159">
        <f t="shared" si="49"/>
        <v>0</v>
      </c>
      <c r="CC98" s="159">
        <f t="shared" si="49"/>
        <v>0</v>
      </c>
      <c r="CD98" s="159">
        <f t="shared" si="49"/>
        <v>0</v>
      </c>
      <c r="CE98" s="159">
        <f t="shared" si="49"/>
        <v>0</v>
      </c>
      <c r="CF98" s="159">
        <f t="shared" si="49"/>
        <v>0</v>
      </c>
      <c r="CG98" s="159">
        <f t="shared" si="49"/>
        <v>0</v>
      </c>
      <c r="CH98" s="159">
        <f t="shared" si="49"/>
        <v>0</v>
      </c>
      <c r="CI98" s="159">
        <f t="shared" si="49"/>
        <v>0</v>
      </c>
      <c r="CJ98" s="159">
        <f t="shared" si="49"/>
        <v>0</v>
      </c>
      <c r="CK98" s="159">
        <f t="shared" si="49"/>
        <v>0</v>
      </c>
    </row>
    <row r="99" spans="2:89" ht="15.75" thickBot="1">
      <c r="B99" s="187" t="str">
        <f t="shared" ref="B99:B100" si="50">$B$77</f>
        <v>Протеиновая мука</v>
      </c>
      <c r="C99" s="155" t="s">
        <v>45</v>
      </c>
      <c r="D99" s="155"/>
      <c r="E99" s="158"/>
      <c r="F99" s="159">
        <f>(1+F98)^(F$26/F$22)-1</f>
        <v>0</v>
      </c>
      <c r="G99" s="159">
        <f t="shared" ref="G99:BR99" si="51">(1+G98)^(G$26/G$22)-1</f>
        <v>0</v>
      </c>
      <c r="H99" s="159">
        <f t="shared" si="51"/>
        <v>0</v>
      </c>
      <c r="I99" s="159">
        <f t="shared" si="51"/>
        <v>0</v>
      </c>
      <c r="J99" s="159">
        <f t="shared" si="51"/>
        <v>0</v>
      </c>
      <c r="K99" s="159">
        <f t="shared" si="51"/>
        <v>0</v>
      </c>
      <c r="L99" s="159">
        <f t="shared" si="51"/>
        <v>0</v>
      </c>
      <c r="M99" s="159">
        <f t="shared" si="51"/>
        <v>0</v>
      </c>
      <c r="N99" s="159">
        <f t="shared" si="51"/>
        <v>0</v>
      </c>
      <c r="O99" s="159">
        <f t="shared" si="51"/>
        <v>0</v>
      </c>
      <c r="P99" s="159">
        <f t="shared" si="51"/>
        <v>0</v>
      </c>
      <c r="Q99" s="159">
        <f t="shared" si="51"/>
        <v>0</v>
      </c>
      <c r="R99" s="159">
        <f t="shared" si="51"/>
        <v>0</v>
      </c>
      <c r="S99" s="159">
        <f t="shared" si="51"/>
        <v>0</v>
      </c>
      <c r="T99" s="159">
        <f t="shared" si="51"/>
        <v>0</v>
      </c>
      <c r="U99" s="159">
        <f t="shared" si="51"/>
        <v>0</v>
      </c>
      <c r="V99" s="159">
        <f t="shared" si="51"/>
        <v>0</v>
      </c>
      <c r="W99" s="159">
        <f t="shared" si="51"/>
        <v>0</v>
      </c>
      <c r="X99" s="159">
        <f t="shared" si="51"/>
        <v>0</v>
      </c>
      <c r="Y99" s="159">
        <f t="shared" si="51"/>
        <v>0</v>
      </c>
      <c r="Z99" s="159">
        <f t="shared" si="51"/>
        <v>0</v>
      </c>
      <c r="AA99" s="159">
        <f t="shared" si="51"/>
        <v>0</v>
      </c>
      <c r="AB99" s="159">
        <f t="shared" si="51"/>
        <v>0</v>
      </c>
      <c r="AC99" s="159">
        <f t="shared" si="51"/>
        <v>0</v>
      </c>
      <c r="AD99" s="159">
        <f t="shared" si="51"/>
        <v>0</v>
      </c>
      <c r="AE99" s="159">
        <f t="shared" si="51"/>
        <v>0</v>
      </c>
      <c r="AF99" s="159">
        <f t="shared" si="51"/>
        <v>0</v>
      </c>
      <c r="AG99" s="159">
        <f t="shared" si="51"/>
        <v>0</v>
      </c>
      <c r="AH99" s="159">
        <f t="shared" si="51"/>
        <v>0</v>
      </c>
      <c r="AI99" s="159">
        <f t="shared" si="51"/>
        <v>0</v>
      </c>
      <c r="AJ99" s="159">
        <f t="shared" si="51"/>
        <v>0</v>
      </c>
      <c r="AK99" s="159">
        <f t="shared" si="51"/>
        <v>0</v>
      </c>
      <c r="AL99" s="159">
        <f t="shared" si="51"/>
        <v>0</v>
      </c>
      <c r="AM99" s="159">
        <f t="shared" si="51"/>
        <v>0</v>
      </c>
      <c r="AN99" s="159">
        <f t="shared" si="51"/>
        <v>0</v>
      </c>
      <c r="AO99" s="159">
        <f t="shared" si="51"/>
        <v>0</v>
      </c>
      <c r="AP99" s="159">
        <f t="shared" si="51"/>
        <v>0</v>
      </c>
      <c r="AQ99" s="159">
        <f t="shared" si="51"/>
        <v>0</v>
      </c>
      <c r="AR99" s="159">
        <f t="shared" si="51"/>
        <v>0</v>
      </c>
      <c r="AS99" s="159">
        <f t="shared" si="51"/>
        <v>0</v>
      </c>
      <c r="AT99" s="159">
        <f t="shared" si="51"/>
        <v>0</v>
      </c>
      <c r="AU99" s="159">
        <f t="shared" si="51"/>
        <v>0</v>
      </c>
      <c r="AV99" s="159">
        <f t="shared" si="51"/>
        <v>0</v>
      </c>
      <c r="AW99" s="159">
        <f t="shared" si="51"/>
        <v>0</v>
      </c>
      <c r="AX99" s="159">
        <f t="shared" si="51"/>
        <v>0</v>
      </c>
      <c r="AY99" s="159">
        <f t="shared" si="51"/>
        <v>0</v>
      </c>
      <c r="AZ99" s="159">
        <f t="shared" si="51"/>
        <v>0</v>
      </c>
      <c r="BA99" s="159">
        <f t="shared" si="51"/>
        <v>0</v>
      </c>
      <c r="BB99" s="159">
        <f t="shared" si="51"/>
        <v>0</v>
      </c>
      <c r="BC99" s="159">
        <f t="shared" si="51"/>
        <v>0</v>
      </c>
      <c r="BD99" s="159">
        <f t="shared" si="51"/>
        <v>0</v>
      </c>
      <c r="BE99" s="159">
        <f t="shared" si="51"/>
        <v>0</v>
      </c>
      <c r="BF99" s="159">
        <f t="shared" si="51"/>
        <v>0</v>
      </c>
      <c r="BG99" s="159">
        <f t="shared" si="51"/>
        <v>0</v>
      </c>
      <c r="BH99" s="159">
        <f t="shared" si="51"/>
        <v>0</v>
      </c>
      <c r="BI99" s="159">
        <f t="shared" si="51"/>
        <v>0</v>
      </c>
      <c r="BJ99" s="159">
        <f t="shared" si="51"/>
        <v>0</v>
      </c>
      <c r="BK99" s="159">
        <f t="shared" si="51"/>
        <v>0</v>
      </c>
      <c r="BL99" s="159">
        <f t="shared" si="51"/>
        <v>0</v>
      </c>
      <c r="BM99" s="159">
        <f t="shared" si="51"/>
        <v>0</v>
      </c>
      <c r="BN99" s="159">
        <f t="shared" si="51"/>
        <v>0</v>
      </c>
      <c r="BO99" s="159">
        <f t="shared" si="51"/>
        <v>0</v>
      </c>
      <c r="BP99" s="159">
        <f t="shared" si="51"/>
        <v>0</v>
      </c>
      <c r="BQ99" s="159">
        <f t="shared" si="51"/>
        <v>0</v>
      </c>
      <c r="BR99" s="159">
        <f t="shared" si="51"/>
        <v>0</v>
      </c>
      <c r="BS99" s="159">
        <f t="shared" ref="BS99:CK99" si="52">(1+BS98)^(BS$26/BS$22)-1</f>
        <v>0</v>
      </c>
      <c r="BT99" s="159">
        <f t="shared" si="52"/>
        <v>0</v>
      </c>
      <c r="BU99" s="159">
        <f t="shared" si="52"/>
        <v>0</v>
      </c>
      <c r="BV99" s="159">
        <f t="shared" si="52"/>
        <v>0</v>
      </c>
      <c r="BW99" s="159">
        <f t="shared" si="52"/>
        <v>0</v>
      </c>
      <c r="BX99" s="159">
        <f t="shared" si="52"/>
        <v>0</v>
      </c>
      <c r="BY99" s="159">
        <f t="shared" si="52"/>
        <v>0</v>
      </c>
      <c r="BZ99" s="159">
        <f t="shared" si="52"/>
        <v>0</v>
      </c>
      <c r="CA99" s="159">
        <f t="shared" si="52"/>
        <v>0</v>
      </c>
      <c r="CB99" s="159">
        <f t="shared" si="52"/>
        <v>0</v>
      </c>
      <c r="CC99" s="159">
        <f t="shared" si="52"/>
        <v>0</v>
      </c>
      <c r="CD99" s="159">
        <f t="shared" si="52"/>
        <v>0</v>
      </c>
      <c r="CE99" s="159">
        <f t="shared" si="52"/>
        <v>0</v>
      </c>
      <c r="CF99" s="159">
        <f t="shared" si="52"/>
        <v>0</v>
      </c>
      <c r="CG99" s="159">
        <f t="shared" si="52"/>
        <v>0</v>
      </c>
      <c r="CH99" s="159">
        <f t="shared" si="52"/>
        <v>0</v>
      </c>
      <c r="CI99" s="159">
        <f t="shared" si="52"/>
        <v>0</v>
      </c>
      <c r="CJ99" s="159">
        <f t="shared" si="52"/>
        <v>0</v>
      </c>
      <c r="CK99" s="159">
        <f t="shared" si="52"/>
        <v>0</v>
      </c>
    </row>
    <row r="100" spans="2:89" ht="15.75" thickTop="1">
      <c r="B100" s="161" t="str">
        <f t="shared" si="50"/>
        <v>Протеиновая мука</v>
      </c>
      <c r="C100" s="161" t="s">
        <v>46</v>
      </c>
      <c r="D100" s="161"/>
      <c r="E100" s="164">
        <v>1</v>
      </c>
      <c r="F100" s="165">
        <f>IF(AND(E100=0,F99&gt;0),F99,E100*(1+F99))</f>
        <v>1</v>
      </c>
      <c r="G100" s="165">
        <f t="shared" ref="G100:BR100" si="53">IF(AND(F100=0,G99&gt;0),G99,F100*(1+G99))</f>
        <v>1</v>
      </c>
      <c r="H100" s="165">
        <f t="shared" si="53"/>
        <v>1</v>
      </c>
      <c r="I100" s="165">
        <f t="shared" si="53"/>
        <v>1</v>
      </c>
      <c r="J100" s="165">
        <f t="shared" si="53"/>
        <v>1</v>
      </c>
      <c r="K100" s="165">
        <f t="shared" si="53"/>
        <v>1</v>
      </c>
      <c r="L100" s="165">
        <f t="shared" si="53"/>
        <v>1</v>
      </c>
      <c r="M100" s="165">
        <f t="shared" si="53"/>
        <v>1</v>
      </c>
      <c r="N100" s="165">
        <f t="shared" si="53"/>
        <v>1</v>
      </c>
      <c r="O100" s="165">
        <f t="shared" si="53"/>
        <v>1</v>
      </c>
      <c r="P100" s="165">
        <f t="shared" si="53"/>
        <v>1</v>
      </c>
      <c r="Q100" s="165">
        <f t="shared" si="53"/>
        <v>1</v>
      </c>
      <c r="R100" s="165">
        <f t="shared" si="53"/>
        <v>1</v>
      </c>
      <c r="S100" s="165">
        <f t="shared" si="53"/>
        <v>1</v>
      </c>
      <c r="T100" s="165">
        <f t="shared" si="53"/>
        <v>1</v>
      </c>
      <c r="U100" s="165">
        <f t="shared" si="53"/>
        <v>1</v>
      </c>
      <c r="V100" s="165">
        <f t="shared" si="53"/>
        <v>1</v>
      </c>
      <c r="W100" s="165">
        <f t="shared" si="53"/>
        <v>1</v>
      </c>
      <c r="X100" s="165">
        <f t="shared" si="53"/>
        <v>1</v>
      </c>
      <c r="Y100" s="165">
        <f t="shared" si="53"/>
        <v>1</v>
      </c>
      <c r="Z100" s="165">
        <f t="shared" si="53"/>
        <v>1</v>
      </c>
      <c r="AA100" s="165">
        <f t="shared" si="53"/>
        <v>1</v>
      </c>
      <c r="AB100" s="165">
        <f t="shared" si="53"/>
        <v>1</v>
      </c>
      <c r="AC100" s="165">
        <f t="shared" si="53"/>
        <v>1</v>
      </c>
      <c r="AD100" s="165">
        <f t="shared" si="53"/>
        <v>1</v>
      </c>
      <c r="AE100" s="165">
        <f t="shared" si="53"/>
        <v>1</v>
      </c>
      <c r="AF100" s="165">
        <f t="shared" si="53"/>
        <v>1</v>
      </c>
      <c r="AG100" s="165">
        <f t="shared" si="53"/>
        <v>1</v>
      </c>
      <c r="AH100" s="165">
        <f t="shared" si="53"/>
        <v>1</v>
      </c>
      <c r="AI100" s="165">
        <f t="shared" si="53"/>
        <v>1</v>
      </c>
      <c r="AJ100" s="165">
        <f t="shared" si="53"/>
        <v>1</v>
      </c>
      <c r="AK100" s="165">
        <f t="shared" si="53"/>
        <v>1</v>
      </c>
      <c r="AL100" s="165">
        <f t="shared" si="53"/>
        <v>1</v>
      </c>
      <c r="AM100" s="165">
        <f t="shared" si="53"/>
        <v>1</v>
      </c>
      <c r="AN100" s="165">
        <f t="shared" si="53"/>
        <v>1</v>
      </c>
      <c r="AO100" s="165">
        <f t="shared" si="53"/>
        <v>1</v>
      </c>
      <c r="AP100" s="165">
        <f t="shared" si="53"/>
        <v>1</v>
      </c>
      <c r="AQ100" s="165">
        <f t="shared" si="53"/>
        <v>1</v>
      </c>
      <c r="AR100" s="165">
        <f t="shared" si="53"/>
        <v>1</v>
      </c>
      <c r="AS100" s="165">
        <f t="shared" si="53"/>
        <v>1</v>
      </c>
      <c r="AT100" s="165">
        <f t="shared" si="53"/>
        <v>1</v>
      </c>
      <c r="AU100" s="165">
        <f t="shared" si="53"/>
        <v>1</v>
      </c>
      <c r="AV100" s="165">
        <f t="shared" si="53"/>
        <v>1</v>
      </c>
      <c r="AW100" s="165">
        <f t="shared" si="53"/>
        <v>1</v>
      </c>
      <c r="AX100" s="165">
        <f t="shared" si="53"/>
        <v>1</v>
      </c>
      <c r="AY100" s="165">
        <f t="shared" si="53"/>
        <v>1</v>
      </c>
      <c r="AZ100" s="165">
        <f t="shared" si="53"/>
        <v>1</v>
      </c>
      <c r="BA100" s="165">
        <f t="shared" si="53"/>
        <v>1</v>
      </c>
      <c r="BB100" s="165">
        <f t="shared" si="53"/>
        <v>1</v>
      </c>
      <c r="BC100" s="165">
        <f t="shared" si="53"/>
        <v>1</v>
      </c>
      <c r="BD100" s="165">
        <f t="shared" si="53"/>
        <v>1</v>
      </c>
      <c r="BE100" s="165">
        <f t="shared" si="53"/>
        <v>1</v>
      </c>
      <c r="BF100" s="165">
        <f t="shared" si="53"/>
        <v>1</v>
      </c>
      <c r="BG100" s="165">
        <f t="shared" si="53"/>
        <v>1</v>
      </c>
      <c r="BH100" s="165">
        <f t="shared" si="53"/>
        <v>1</v>
      </c>
      <c r="BI100" s="165">
        <f t="shared" si="53"/>
        <v>1</v>
      </c>
      <c r="BJ100" s="165">
        <f t="shared" si="53"/>
        <v>1</v>
      </c>
      <c r="BK100" s="165">
        <f t="shared" si="53"/>
        <v>1</v>
      </c>
      <c r="BL100" s="165">
        <f t="shared" si="53"/>
        <v>1</v>
      </c>
      <c r="BM100" s="165">
        <f t="shared" si="53"/>
        <v>1</v>
      </c>
      <c r="BN100" s="165">
        <f t="shared" si="53"/>
        <v>1</v>
      </c>
      <c r="BO100" s="165">
        <f t="shared" si="53"/>
        <v>1</v>
      </c>
      <c r="BP100" s="165">
        <f t="shared" si="53"/>
        <v>1</v>
      </c>
      <c r="BQ100" s="165">
        <f t="shared" si="53"/>
        <v>1</v>
      </c>
      <c r="BR100" s="165">
        <f t="shared" si="53"/>
        <v>1</v>
      </c>
      <c r="BS100" s="165">
        <f t="shared" ref="BS100:CK100" si="54">IF(AND(BR100=0,BS99&gt;0),BS99,BR100*(1+BS99))</f>
        <v>1</v>
      </c>
      <c r="BT100" s="165">
        <f t="shared" si="54"/>
        <v>1</v>
      </c>
      <c r="BU100" s="165">
        <f t="shared" si="54"/>
        <v>1</v>
      </c>
      <c r="BV100" s="165">
        <f t="shared" si="54"/>
        <v>1</v>
      </c>
      <c r="BW100" s="165">
        <f t="shared" si="54"/>
        <v>1</v>
      </c>
      <c r="BX100" s="165">
        <f t="shared" si="54"/>
        <v>1</v>
      </c>
      <c r="BY100" s="165">
        <f t="shared" si="54"/>
        <v>1</v>
      </c>
      <c r="BZ100" s="165">
        <f t="shared" si="54"/>
        <v>1</v>
      </c>
      <c r="CA100" s="165">
        <f t="shared" si="54"/>
        <v>1</v>
      </c>
      <c r="CB100" s="165">
        <f t="shared" si="54"/>
        <v>1</v>
      </c>
      <c r="CC100" s="165">
        <f t="shared" si="54"/>
        <v>1</v>
      </c>
      <c r="CD100" s="165">
        <f t="shared" si="54"/>
        <v>1</v>
      </c>
      <c r="CE100" s="165">
        <f t="shared" si="54"/>
        <v>1</v>
      </c>
      <c r="CF100" s="165">
        <f t="shared" si="54"/>
        <v>1</v>
      </c>
      <c r="CG100" s="165">
        <f t="shared" si="54"/>
        <v>1</v>
      </c>
      <c r="CH100" s="165">
        <f t="shared" si="54"/>
        <v>1</v>
      </c>
      <c r="CI100" s="165">
        <f t="shared" si="54"/>
        <v>1</v>
      </c>
      <c r="CJ100" s="165">
        <f t="shared" si="54"/>
        <v>1</v>
      </c>
      <c r="CK100" s="165">
        <f t="shared" si="54"/>
        <v>1</v>
      </c>
    </row>
    <row r="101" spans="2:89">
      <c r="B101" s="14"/>
      <c r="C101" s="14"/>
      <c r="D101" s="14"/>
      <c r="E101" s="1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</row>
    <row r="102" spans="2:89">
      <c r="B102" s="187" t="str">
        <f>$B$78</f>
        <v>Жир светлый из предкуколки ЧЛ</v>
      </c>
      <c r="C102" s="155" t="s">
        <v>44</v>
      </c>
      <c r="D102" s="155"/>
      <c r="E102" s="158"/>
      <c r="F102" s="159">
        <f t="shared" ref="F102:AK102" si="55">IFERROR(LOOKUP(F$29,Продажи_год_прироста,Продажи_уровень_прироста_продукт4),0)</f>
        <v>0</v>
      </c>
      <c r="G102" s="159">
        <f t="shared" si="55"/>
        <v>0</v>
      </c>
      <c r="H102" s="159">
        <f t="shared" si="55"/>
        <v>0</v>
      </c>
      <c r="I102" s="159">
        <f t="shared" si="55"/>
        <v>0</v>
      </c>
      <c r="J102" s="159">
        <f t="shared" si="55"/>
        <v>0</v>
      </c>
      <c r="K102" s="159">
        <f t="shared" si="55"/>
        <v>0</v>
      </c>
      <c r="L102" s="159">
        <f t="shared" si="55"/>
        <v>0</v>
      </c>
      <c r="M102" s="159">
        <f t="shared" si="55"/>
        <v>0</v>
      </c>
      <c r="N102" s="159">
        <f t="shared" si="55"/>
        <v>0</v>
      </c>
      <c r="O102" s="159">
        <f t="shared" si="55"/>
        <v>0</v>
      </c>
      <c r="P102" s="159">
        <f t="shared" si="55"/>
        <v>0</v>
      </c>
      <c r="Q102" s="159">
        <f t="shared" si="55"/>
        <v>0</v>
      </c>
      <c r="R102" s="159">
        <f t="shared" si="55"/>
        <v>0</v>
      </c>
      <c r="S102" s="159">
        <f t="shared" si="55"/>
        <v>0</v>
      </c>
      <c r="T102" s="159">
        <f t="shared" si="55"/>
        <v>0</v>
      </c>
      <c r="U102" s="159">
        <f t="shared" si="55"/>
        <v>0</v>
      </c>
      <c r="V102" s="159">
        <f t="shared" si="55"/>
        <v>0</v>
      </c>
      <c r="W102" s="159">
        <f t="shared" si="55"/>
        <v>0</v>
      </c>
      <c r="X102" s="159">
        <f t="shared" si="55"/>
        <v>0</v>
      </c>
      <c r="Y102" s="159">
        <f t="shared" si="55"/>
        <v>0</v>
      </c>
      <c r="Z102" s="159">
        <f t="shared" si="55"/>
        <v>0</v>
      </c>
      <c r="AA102" s="159">
        <f t="shared" si="55"/>
        <v>0</v>
      </c>
      <c r="AB102" s="159">
        <f t="shared" si="55"/>
        <v>0</v>
      </c>
      <c r="AC102" s="159">
        <f t="shared" si="55"/>
        <v>0</v>
      </c>
      <c r="AD102" s="159">
        <f t="shared" si="55"/>
        <v>0</v>
      </c>
      <c r="AE102" s="159">
        <f t="shared" si="55"/>
        <v>0</v>
      </c>
      <c r="AF102" s="159">
        <f t="shared" si="55"/>
        <v>0</v>
      </c>
      <c r="AG102" s="159">
        <f t="shared" si="55"/>
        <v>0</v>
      </c>
      <c r="AH102" s="159">
        <f t="shared" si="55"/>
        <v>0</v>
      </c>
      <c r="AI102" s="159">
        <f t="shared" si="55"/>
        <v>0</v>
      </c>
      <c r="AJ102" s="159">
        <f t="shared" si="55"/>
        <v>0</v>
      </c>
      <c r="AK102" s="159">
        <f t="shared" si="55"/>
        <v>0</v>
      </c>
      <c r="AL102" s="159">
        <f t="shared" ref="AL102:BQ102" si="56">IFERROR(LOOKUP(AL$29,Продажи_год_прироста,Продажи_уровень_прироста_продукт4),0)</f>
        <v>0</v>
      </c>
      <c r="AM102" s="159">
        <f t="shared" si="56"/>
        <v>0</v>
      </c>
      <c r="AN102" s="159">
        <f t="shared" si="56"/>
        <v>0</v>
      </c>
      <c r="AO102" s="159">
        <f t="shared" si="56"/>
        <v>0</v>
      </c>
      <c r="AP102" s="159">
        <f t="shared" si="56"/>
        <v>0</v>
      </c>
      <c r="AQ102" s="159">
        <f t="shared" si="56"/>
        <v>0</v>
      </c>
      <c r="AR102" s="159">
        <f t="shared" si="56"/>
        <v>0</v>
      </c>
      <c r="AS102" s="159">
        <f t="shared" si="56"/>
        <v>0</v>
      </c>
      <c r="AT102" s="159">
        <f t="shared" si="56"/>
        <v>0</v>
      </c>
      <c r="AU102" s="159">
        <f t="shared" si="56"/>
        <v>0</v>
      </c>
      <c r="AV102" s="159">
        <f t="shared" si="56"/>
        <v>0</v>
      </c>
      <c r="AW102" s="159">
        <f t="shared" si="56"/>
        <v>0</v>
      </c>
      <c r="AX102" s="159">
        <f t="shared" si="56"/>
        <v>0</v>
      </c>
      <c r="AY102" s="159">
        <f t="shared" si="56"/>
        <v>0</v>
      </c>
      <c r="AZ102" s="159">
        <f t="shared" si="56"/>
        <v>0</v>
      </c>
      <c r="BA102" s="159">
        <f t="shared" si="56"/>
        <v>0</v>
      </c>
      <c r="BB102" s="159">
        <f t="shared" si="56"/>
        <v>0</v>
      </c>
      <c r="BC102" s="159">
        <f t="shared" si="56"/>
        <v>0</v>
      </c>
      <c r="BD102" s="159">
        <f t="shared" si="56"/>
        <v>0</v>
      </c>
      <c r="BE102" s="159">
        <f t="shared" si="56"/>
        <v>0</v>
      </c>
      <c r="BF102" s="159">
        <f t="shared" si="56"/>
        <v>0</v>
      </c>
      <c r="BG102" s="159">
        <f t="shared" si="56"/>
        <v>0</v>
      </c>
      <c r="BH102" s="159">
        <f t="shared" si="56"/>
        <v>0</v>
      </c>
      <c r="BI102" s="159">
        <f t="shared" si="56"/>
        <v>0</v>
      </c>
      <c r="BJ102" s="159">
        <f t="shared" si="56"/>
        <v>0</v>
      </c>
      <c r="BK102" s="159">
        <f t="shared" si="56"/>
        <v>0</v>
      </c>
      <c r="BL102" s="159">
        <f t="shared" si="56"/>
        <v>0</v>
      </c>
      <c r="BM102" s="159">
        <f t="shared" si="56"/>
        <v>0</v>
      </c>
      <c r="BN102" s="159">
        <f t="shared" si="56"/>
        <v>0</v>
      </c>
      <c r="BO102" s="159">
        <f t="shared" si="56"/>
        <v>0</v>
      </c>
      <c r="BP102" s="159">
        <f t="shared" si="56"/>
        <v>0</v>
      </c>
      <c r="BQ102" s="159">
        <f t="shared" si="56"/>
        <v>0</v>
      </c>
      <c r="BR102" s="159">
        <f t="shared" ref="BR102:CK102" si="57">IFERROR(LOOKUP(BR$29,Продажи_год_прироста,Продажи_уровень_прироста_продукт4),0)</f>
        <v>0</v>
      </c>
      <c r="BS102" s="159">
        <f t="shared" si="57"/>
        <v>0</v>
      </c>
      <c r="BT102" s="159">
        <f t="shared" si="57"/>
        <v>0</v>
      </c>
      <c r="BU102" s="159">
        <f t="shared" si="57"/>
        <v>0</v>
      </c>
      <c r="BV102" s="159">
        <f t="shared" si="57"/>
        <v>0</v>
      </c>
      <c r="BW102" s="159">
        <f t="shared" si="57"/>
        <v>0</v>
      </c>
      <c r="BX102" s="159">
        <f t="shared" si="57"/>
        <v>0</v>
      </c>
      <c r="BY102" s="159">
        <f t="shared" si="57"/>
        <v>0</v>
      </c>
      <c r="BZ102" s="159">
        <f t="shared" si="57"/>
        <v>0</v>
      </c>
      <c r="CA102" s="159">
        <f t="shared" si="57"/>
        <v>0</v>
      </c>
      <c r="CB102" s="159">
        <f t="shared" si="57"/>
        <v>0</v>
      </c>
      <c r="CC102" s="159">
        <f t="shared" si="57"/>
        <v>0</v>
      </c>
      <c r="CD102" s="159">
        <f t="shared" si="57"/>
        <v>0</v>
      </c>
      <c r="CE102" s="159">
        <f t="shared" si="57"/>
        <v>0</v>
      </c>
      <c r="CF102" s="159">
        <f t="shared" si="57"/>
        <v>0</v>
      </c>
      <c r="CG102" s="159">
        <f t="shared" si="57"/>
        <v>0</v>
      </c>
      <c r="CH102" s="159">
        <f t="shared" si="57"/>
        <v>0</v>
      </c>
      <c r="CI102" s="159">
        <f t="shared" si="57"/>
        <v>0</v>
      </c>
      <c r="CJ102" s="159">
        <f t="shared" si="57"/>
        <v>0</v>
      </c>
      <c r="CK102" s="159">
        <f t="shared" si="57"/>
        <v>0</v>
      </c>
    </row>
    <row r="103" spans="2:89" ht="15.75" thickBot="1">
      <c r="B103" s="187" t="str">
        <f t="shared" ref="B103:B104" si="58">$B$78</f>
        <v>Жир светлый из предкуколки ЧЛ</v>
      </c>
      <c r="C103" s="155" t="s">
        <v>45</v>
      </c>
      <c r="D103" s="155"/>
      <c r="E103" s="158"/>
      <c r="F103" s="159">
        <f>(1+F102)^(F$26/F$20)-1</f>
        <v>0</v>
      </c>
      <c r="G103" s="159">
        <f t="shared" ref="G103:BR103" si="59">(1+G102)^(G$26/G$20)-1</f>
        <v>0</v>
      </c>
      <c r="H103" s="159">
        <f t="shared" si="59"/>
        <v>0</v>
      </c>
      <c r="I103" s="159">
        <f t="shared" si="59"/>
        <v>0</v>
      </c>
      <c r="J103" s="159">
        <f t="shared" si="59"/>
        <v>0</v>
      </c>
      <c r="K103" s="159">
        <f t="shared" si="59"/>
        <v>0</v>
      </c>
      <c r="L103" s="159">
        <f t="shared" si="59"/>
        <v>0</v>
      </c>
      <c r="M103" s="159">
        <f t="shared" si="59"/>
        <v>0</v>
      </c>
      <c r="N103" s="159">
        <f t="shared" si="59"/>
        <v>0</v>
      </c>
      <c r="O103" s="159">
        <f t="shared" si="59"/>
        <v>0</v>
      </c>
      <c r="P103" s="159">
        <f t="shared" si="59"/>
        <v>0</v>
      </c>
      <c r="Q103" s="159">
        <f t="shared" si="59"/>
        <v>0</v>
      </c>
      <c r="R103" s="159">
        <f t="shared" si="59"/>
        <v>0</v>
      </c>
      <c r="S103" s="159">
        <f t="shared" si="59"/>
        <v>0</v>
      </c>
      <c r="T103" s="159">
        <f t="shared" si="59"/>
        <v>0</v>
      </c>
      <c r="U103" s="159">
        <f t="shared" si="59"/>
        <v>0</v>
      </c>
      <c r="V103" s="159">
        <f t="shared" si="59"/>
        <v>0</v>
      </c>
      <c r="W103" s="159">
        <f t="shared" si="59"/>
        <v>0</v>
      </c>
      <c r="X103" s="159">
        <f t="shared" si="59"/>
        <v>0</v>
      </c>
      <c r="Y103" s="159">
        <f t="shared" si="59"/>
        <v>0</v>
      </c>
      <c r="Z103" s="159">
        <f t="shared" si="59"/>
        <v>0</v>
      </c>
      <c r="AA103" s="159">
        <f t="shared" si="59"/>
        <v>0</v>
      </c>
      <c r="AB103" s="159">
        <f t="shared" si="59"/>
        <v>0</v>
      </c>
      <c r="AC103" s="159">
        <f t="shared" si="59"/>
        <v>0</v>
      </c>
      <c r="AD103" s="159">
        <f t="shared" si="59"/>
        <v>0</v>
      </c>
      <c r="AE103" s="159">
        <f t="shared" si="59"/>
        <v>0</v>
      </c>
      <c r="AF103" s="159">
        <f t="shared" si="59"/>
        <v>0</v>
      </c>
      <c r="AG103" s="159">
        <f t="shared" si="59"/>
        <v>0</v>
      </c>
      <c r="AH103" s="159">
        <f t="shared" si="59"/>
        <v>0</v>
      </c>
      <c r="AI103" s="159">
        <f t="shared" si="59"/>
        <v>0</v>
      </c>
      <c r="AJ103" s="159">
        <f t="shared" si="59"/>
        <v>0</v>
      </c>
      <c r="AK103" s="159">
        <f t="shared" si="59"/>
        <v>0</v>
      </c>
      <c r="AL103" s="159">
        <f t="shared" si="59"/>
        <v>0</v>
      </c>
      <c r="AM103" s="159">
        <f t="shared" si="59"/>
        <v>0</v>
      </c>
      <c r="AN103" s="159">
        <f t="shared" si="59"/>
        <v>0</v>
      </c>
      <c r="AO103" s="159">
        <f t="shared" si="59"/>
        <v>0</v>
      </c>
      <c r="AP103" s="159">
        <f t="shared" si="59"/>
        <v>0</v>
      </c>
      <c r="AQ103" s="159">
        <f t="shared" si="59"/>
        <v>0</v>
      </c>
      <c r="AR103" s="159">
        <f t="shared" si="59"/>
        <v>0</v>
      </c>
      <c r="AS103" s="159">
        <f t="shared" si="59"/>
        <v>0</v>
      </c>
      <c r="AT103" s="159">
        <f t="shared" si="59"/>
        <v>0</v>
      </c>
      <c r="AU103" s="159">
        <f t="shared" si="59"/>
        <v>0</v>
      </c>
      <c r="AV103" s="159">
        <f t="shared" si="59"/>
        <v>0</v>
      </c>
      <c r="AW103" s="159">
        <f t="shared" si="59"/>
        <v>0</v>
      </c>
      <c r="AX103" s="159">
        <f t="shared" si="59"/>
        <v>0</v>
      </c>
      <c r="AY103" s="159">
        <f t="shared" si="59"/>
        <v>0</v>
      </c>
      <c r="AZ103" s="159">
        <f t="shared" si="59"/>
        <v>0</v>
      </c>
      <c r="BA103" s="159">
        <f t="shared" si="59"/>
        <v>0</v>
      </c>
      <c r="BB103" s="159">
        <f t="shared" si="59"/>
        <v>0</v>
      </c>
      <c r="BC103" s="159">
        <f t="shared" si="59"/>
        <v>0</v>
      </c>
      <c r="BD103" s="159">
        <f t="shared" si="59"/>
        <v>0</v>
      </c>
      <c r="BE103" s="159">
        <f t="shared" si="59"/>
        <v>0</v>
      </c>
      <c r="BF103" s="159">
        <f t="shared" si="59"/>
        <v>0</v>
      </c>
      <c r="BG103" s="159">
        <f t="shared" si="59"/>
        <v>0</v>
      </c>
      <c r="BH103" s="159">
        <f t="shared" si="59"/>
        <v>0</v>
      </c>
      <c r="BI103" s="159">
        <f t="shared" si="59"/>
        <v>0</v>
      </c>
      <c r="BJ103" s="159">
        <f t="shared" si="59"/>
        <v>0</v>
      </c>
      <c r="BK103" s="159">
        <f t="shared" si="59"/>
        <v>0</v>
      </c>
      <c r="BL103" s="159">
        <f t="shared" si="59"/>
        <v>0</v>
      </c>
      <c r="BM103" s="159">
        <f t="shared" si="59"/>
        <v>0</v>
      </c>
      <c r="BN103" s="159">
        <f t="shared" si="59"/>
        <v>0</v>
      </c>
      <c r="BO103" s="159">
        <f t="shared" si="59"/>
        <v>0</v>
      </c>
      <c r="BP103" s="159">
        <f t="shared" si="59"/>
        <v>0</v>
      </c>
      <c r="BQ103" s="159">
        <f t="shared" si="59"/>
        <v>0</v>
      </c>
      <c r="BR103" s="159">
        <f t="shared" si="59"/>
        <v>0</v>
      </c>
      <c r="BS103" s="159">
        <f t="shared" ref="BS103:CK103" si="60">(1+BS102)^(BS$26/BS$20)-1</f>
        <v>0</v>
      </c>
      <c r="BT103" s="159">
        <f t="shared" si="60"/>
        <v>0</v>
      </c>
      <c r="BU103" s="159">
        <f t="shared" si="60"/>
        <v>0</v>
      </c>
      <c r="BV103" s="159">
        <f t="shared" si="60"/>
        <v>0</v>
      </c>
      <c r="BW103" s="159">
        <f t="shared" si="60"/>
        <v>0</v>
      </c>
      <c r="BX103" s="159">
        <f t="shared" si="60"/>
        <v>0</v>
      </c>
      <c r="BY103" s="159">
        <f t="shared" si="60"/>
        <v>0</v>
      </c>
      <c r="BZ103" s="159">
        <f t="shared" si="60"/>
        <v>0</v>
      </c>
      <c r="CA103" s="159">
        <f t="shared" si="60"/>
        <v>0</v>
      </c>
      <c r="CB103" s="159">
        <f t="shared" si="60"/>
        <v>0</v>
      </c>
      <c r="CC103" s="159">
        <f t="shared" si="60"/>
        <v>0</v>
      </c>
      <c r="CD103" s="159">
        <f t="shared" si="60"/>
        <v>0</v>
      </c>
      <c r="CE103" s="159">
        <f t="shared" si="60"/>
        <v>0</v>
      </c>
      <c r="CF103" s="159">
        <f t="shared" si="60"/>
        <v>0</v>
      </c>
      <c r="CG103" s="159">
        <f t="shared" si="60"/>
        <v>0</v>
      </c>
      <c r="CH103" s="159">
        <f t="shared" si="60"/>
        <v>0</v>
      </c>
      <c r="CI103" s="159">
        <f t="shared" si="60"/>
        <v>0</v>
      </c>
      <c r="CJ103" s="159">
        <f t="shared" si="60"/>
        <v>0</v>
      </c>
      <c r="CK103" s="159">
        <f t="shared" si="60"/>
        <v>0</v>
      </c>
    </row>
    <row r="104" spans="2:89" ht="15.75" thickTop="1">
      <c r="B104" s="161" t="str">
        <f t="shared" si="58"/>
        <v>Жир светлый из предкуколки ЧЛ</v>
      </c>
      <c r="C104" s="161" t="s">
        <v>46</v>
      </c>
      <c r="D104" s="161"/>
      <c r="E104" s="164">
        <v>1</v>
      </c>
      <c r="F104" s="165">
        <f>IF(AND(E104=0,F103&gt;0),F103,E104*(1+F103))</f>
        <v>1</v>
      </c>
      <c r="G104" s="165">
        <f t="shared" ref="G104:BR104" si="61">IF(AND(F104=0,G103&gt;0),G103,F104*(1+G103))</f>
        <v>1</v>
      </c>
      <c r="H104" s="165">
        <f t="shared" si="61"/>
        <v>1</v>
      </c>
      <c r="I104" s="165">
        <f t="shared" si="61"/>
        <v>1</v>
      </c>
      <c r="J104" s="165">
        <f t="shared" si="61"/>
        <v>1</v>
      </c>
      <c r="K104" s="165">
        <f t="shared" si="61"/>
        <v>1</v>
      </c>
      <c r="L104" s="165">
        <f t="shared" si="61"/>
        <v>1</v>
      </c>
      <c r="M104" s="165">
        <f t="shared" si="61"/>
        <v>1</v>
      </c>
      <c r="N104" s="165">
        <f t="shared" si="61"/>
        <v>1</v>
      </c>
      <c r="O104" s="165">
        <f t="shared" si="61"/>
        <v>1</v>
      </c>
      <c r="P104" s="165">
        <f t="shared" si="61"/>
        <v>1</v>
      </c>
      <c r="Q104" s="165">
        <f t="shared" si="61"/>
        <v>1</v>
      </c>
      <c r="R104" s="165">
        <f t="shared" si="61"/>
        <v>1</v>
      </c>
      <c r="S104" s="165">
        <f t="shared" si="61"/>
        <v>1</v>
      </c>
      <c r="T104" s="165">
        <f t="shared" si="61"/>
        <v>1</v>
      </c>
      <c r="U104" s="165">
        <f t="shared" si="61"/>
        <v>1</v>
      </c>
      <c r="V104" s="165">
        <f t="shared" si="61"/>
        <v>1</v>
      </c>
      <c r="W104" s="165">
        <f t="shared" si="61"/>
        <v>1</v>
      </c>
      <c r="X104" s="165">
        <f t="shared" si="61"/>
        <v>1</v>
      </c>
      <c r="Y104" s="165">
        <f t="shared" si="61"/>
        <v>1</v>
      </c>
      <c r="Z104" s="165">
        <f t="shared" si="61"/>
        <v>1</v>
      </c>
      <c r="AA104" s="165">
        <f t="shared" si="61"/>
        <v>1</v>
      </c>
      <c r="AB104" s="165">
        <f t="shared" si="61"/>
        <v>1</v>
      </c>
      <c r="AC104" s="165">
        <f t="shared" si="61"/>
        <v>1</v>
      </c>
      <c r="AD104" s="165">
        <f t="shared" si="61"/>
        <v>1</v>
      </c>
      <c r="AE104" s="165">
        <f t="shared" si="61"/>
        <v>1</v>
      </c>
      <c r="AF104" s="165">
        <f t="shared" si="61"/>
        <v>1</v>
      </c>
      <c r="AG104" s="165">
        <f t="shared" si="61"/>
        <v>1</v>
      </c>
      <c r="AH104" s="165">
        <f t="shared" si="61"/>
        <v>1</v>
      </c>
      <c r="AI104" s="165">
        <f t="shared" si="61"/>
        <v>1</v>
      </c>
      <c r="AJ104" s="165">
        <f t="shared" si="61"/>
        <v>1</v>
      </c>
      <c r="AK104" s="165">
        <f t="shared" si="61"/>
        <v>1</v>
      </c>
      <c r="AL104" s="165">
        <f t="shared" si="61"/>
        <v>1</v>
      </c>
      <c r="AM104" s="165">
        <f t="shared" si="61"/>
        <v>1</v>
      </c>
      <c r="AN104" s="165">
        <f t="shared" si="61"/>
        <v>1</v>
      </c>
      <c r="AO104" s="165">
        <f t="shared" si="61"/>
        <v>1</v>
      </c>
      <c r="AP104" s="165">
        <f t="shared" si="61"/>
        <v>1</v>
      </c>
      <c r="AQ104" s="165">
        <f t="shared" si="61"/>
        <v>1</v>
      </c>
      <c r="AR104" s="165">
        <f t="shared" si="61"/>
        <v>1</v>
      </c>
      <c r="AS104" s="165">
        <f t="shared" si="61"/>
        <v>1</v>
      </c>
      <c r="AT104" s="165">
        <f t="shared" si="61"/>
        <v>1</v>
      </c>
      <c r="AU104" s="165">
        <f t="shared" si="61"/>
        <v>1</v>
      </c>
      <c r="AV104" s="165">
        <f t="shared" si="61"/>
        <v>1</v>
      </c>
      <c r="AW104" s="165">
        <f t="shared" si="61"/>
        <v>1</v>
      </c>
      <c r="AX104" s="165">
        <f t="shared" si="61"/>
        <v>1</v>
      </c>
      <c r="AY104" s="165">
        <f t="shared" si="61"/>
        <v>1</v>
      </c>
      <c r="AZ104" s="165">
        <f t="shared" si="61"/>
        <v>1</v>
      </c>
      <c r="BA104" s="165">
        <f t="shared" si="61"/>
        <v>1</v>
      </c>
      <c r="BB104" s="165">
        <f t="shared" si="61"/>
        <v>1</v>
      </c>
      <c r="BC104" s="165">
        <f t="shared" si="61"/>
        <v>1</v>
      </c>
      <c r="BD104" s="165">
        <f t="shared" si="61"/>
        <v>1</v>
      </c>
      <c r="BE104" s="165">
        <f t="shared" si="61"/>
        <v>1</v>
      </c>
      <c r="BF104" s="165">
        <f t="shared" si="61"/>
        <v>1</v>
      </c>
      <c r="BG104" s="165">
        <f t="shared" si="61"/>
        <v>1</v>
      </c>
      <c r="BH104" s="165">
        <f t="shared" si="61"/>
        <v>1</v>
      </c>
      <c r="BI104" s="165">
        <f t="shared" si="61"/>
        <v>1</v>
      </c>
      <c r="BJ104" s="165">
        <f t="shared" si="61"/>
        <v>1</v>
      </c>
      <c r="BK104" s="165">
        <f t="shared" si="61"/>
        <v>1</v>
      </c>
      <c r="BL104" s="165">
        <f t="shared" si="61"/>
        <v>1</v>
      </c>
      <c r="BM104" s="165">
        <f t="shared" si="61"/>
        <v>1</v>
      </c>
      <c r="BN104" s="165">
        <f t="shared" si="61"/>
        <v>1</v>
      </c>
      <c r="BO104" s="165">
        <f t="shared" si="61"/>
        <v>1</v>
      </c>
      <c r="BP104" s="165">
        <f t="shared" si="61"/>
        <v>1</v>
      </c>
      <c r="BQ104" s="165">
        <f t="shared" si="61"/>
        <v>1</v>
      </c>
      <c r="BR104" s="165">
        <f t="shared" si="61"/>
        <v>1</v>
      </c>
      <c r="BS104" s="165">
        <f t="shared" ref="BS104:CK104" si="62">IF(AND(BR104=0,BS103&gt;0),BS103,BR104*(1+BS103))</f>
        <v>1</v>
      </c>
      <c r="BT104" s="165">
        <f t="shared" si="62"/>
        <v>1</v>
      </c>
      <c r="BU104" s="165">
        <f t="shared" si="62"/>
        <v>1</v>
      </c>
      <c r="BV104" s="165">
        <f t="shared" si="62"/>
        <v>1</v>
      </c>
      <c r="BW104" s="165">
        <f t="shared" si="62"/>
        <v>1</v>
      </c>
      <c r="BX104" s="165">
        <f t="shared" si="62"/>
        <v>1</v>
      </c>
      <c r="BY104" s="165">
        <f t="shared" si="62"/>
        <v>1</v>
      </c>
      <c r="BZ104" s="165">
        <f t="shared" si="62"/>
        <v>1</v>
      </c>
      <c r="CA104" s="165">
        <f t="shared" si="62"/>
        <v>1</v>
      </c>
      <c r="CB104" s="165">
        <f t="shared" si="62"/>
        <v>1</v>
      </c>
      <c r="CC104" s="165">
        <f t="shared" si="62"/>
        <v>1</v>
      </c>
      <c r="CD104" s="165">
        <f t="shared" si="62"/>
        <v>1</v>
      </c>
      <c r="CE104" s="165">
        <f t="shared" si="62"/>
        <v>1</v>
      </c>
      <c r="CF104" s="165">
        <f t="shared" si="62"/>
        <v>1</v>
      </c>
      <c r="CG104" s="165">
        <f t="shared" si="62"/>
        <v>1</v>
      </c>
      <c r="CH104" s="165">
        <f t="shared" si="62"/>
        <v>1</v>
      </c>
      <c r="CI104" s="165">
        <f t="shared" si="62"/>
        <v>1</v>
      </c>
      <c r="CJ104" s="165">
        <f t="shared" si="62"/>
        <v>1</v>
      </c>
      <c r="CK104" s="165">
        <f t="shared" si="62"/>
        <v>1</v>
      </c>
    </row>
    <row r="105" spans="2:89">
      <c r="B105" s="14"/>
      <c r="C105" s="14"/>
      <c r="D105" s="14"/>
      <c r="E105" s="1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</row>
    <row r="106" spans="2:89">
      <c r="B106" s="187" t="str">
        <f>$B$79</f>
        <v>Крем-мыло из светлого жира предкуколки ЧЛ</v>
      </c>
      <c r="C106" s="155" t="s">
        <v>44</v>
      </c>
      <c r="D106" s="155"/>
      <c r="E106" s="158"/>
      <c r="F106" s="159">
        <f t="shared" ref="F106:AK106" si="63">IFERROR(LOOKUP(F$29,Продажи_год_прироста,Продажи_уровень_прироста_продукт5),0)</f>
        <v>0</v>
      </c>
      <c r="G106" s="159">
        <f t="shared" si="63"/>
        <v>0</v>
      </c>
      <c r="H106" s="159">
        <f t="shared" si="63"/>
        <v>0</v>
      </c>
      <c r="I106" s="159">
        <f t="shared" si="63"/>
        <v>0</v>
      </c>
      <c r="J106" s="159">
        <f t="shared" si="63"/>
        <v>0</v>
      </c>
      <c r="K106" s="159">
        <f t="shared" si="63"/>
        <v>0</v>
      </c>
      <c r="L106" s="159">
        <f t="shared" si="63"/>
        <v>0</v>
      </c>
      <c r="M106" s="159">
        <f t="shared" si="63"/>
        <v>0</v>
      </c>
      <c r="N106" s="159">
        <f t="shared" si="63"/>
        <v>0</v>
      </c>
      <c r="O106" s="159">
        <f t="shared" si="63"/>
        <v>0</v>
      </c>
      <c r="P106" s="159">
        <f t="shared" si="63"/>
        <v>0</v>
      </c>
      <c r="Q106" s="159">
        <f t="shared" si="63"/>
        <v>0</v>
      </c>
      <c r="R106" s="159">
        <f t="shared" si="63"/>
        <v>-1</v>
      </c>
      <c r="S106" s="159">
        <f t="shared" si="63"/>
        <v>-1</v>
      </c>
      <c r="T106" s="159">
        <f t="shared" si="63"/>
        <v>-1</v>
      </c>
      <c r="U106" s="159">
        <f t="shared" si="63"/>
        <v>-1</v>
      </c>
      <c r="V106" s="159">
        <f t="shared" si="63"/>
        <v>-1</v>
      </c>
      <c r="W106" s="159">
        <f t="shared" si="63"/>
        <v>-1</v>
      </c>
      <c r="X106" s="159">
        <f t="shared" si="63"/>
        <v>-1</v>
      </c>
      <c r="Y106" s="159">
        <f t="shared" si="63"/>
        <v>-1</v>
      </c>
      <c r="Z106" s="159">
        <f t="shared" si="63"/>
        <v>-1</v>
      </c>
      <c r="AA106" s="159">
        <f t="shared" si="63"/>
        <v>-1</v>
      </c>
      <c r="AB106" s="159">
        <f t="shared" si="63"/>
        <v>-1</v>
      </c>
      <c r="AC106" s="159">
        <f t="shared" si="63"/>
        <v>-1</v>
      </c>
      <c r="AD106" s="159">
        <f t="shared" si="63"/>
        <v>5.84</v>
      </c>
      <c r="AE106" s="159">
        <f t="shared" si="63"/>
        <v>5.84</v>
      </c>
      <c r="AF106" s="159">
        <f t="shared" si="63"/>
        <v>5.84</v>
      </c>
      <c r="AG106" s="159">
        <f t="shared" si="63"/>
        <v>5.84</v>
      </c>
      <c r="AH106" s="159">
        <f t="shared" si="63"/>
        <v>5.84</v>
      </c>
      <c r="AI106" s="159">
        <f t="shared" si="63"/>
        <v>5.84</v>
      </c>
      <c r="AJ106" s="159">
        <f t="shared" si="63"/>
        <v>5.84</v>
      </c>
      <c r="AK106" s="159">
        <f t="shared" si="63"/>
        <v>5.84</v>
      </c>
      <c r="AL106" s="159">
        <f t="shared" ref="AL106:BQ106" si="64">IFERROR(LOOKUP(AL$29,Продажи_год_прироста,Продажи_уровень_прироста_продукт5),0)</f>
        <v>5.84</v>
      </c>
      <c r="AM106" s="159">
        <f t="shared" si="64"/>
        <v>5.84</v>
      </c>
      <c r="AN106" s="159">
        <f t="shared" si="64"/>
        <v>5.84</v>
      </c>
      <c r="AO106" s="159">
        <f t="shared" si="64"/>
        <v>5.84</v>
      </c>
      <c r="AP106" s="159">
        <f t="shared" si="64"/>
        <v>0</v>
      </c>
      <c r="AQ106" s="159">
        <f t="shared" si="64"/>
        <v>0</v>
      </c>
      <c r="AR106" s="159">
        <f t="shared" si="64"/>
        <v>0</v>
      </c>
      <c r="AS106" s="159">
        <f t="shared" si="64"/>
        <v>0</v>
      </c>
      <c r="AT106" s="159">
        <f t="shared" si="64"/>
        <v>0</v>
      </c>
      <c r="AU106" s="159">
        <f t="shared" si="64"/>
        <v>0</v>
      </c>
      <c r="AV106" s="159">
        <f t="shared" si="64"/>
        <v>0</v>
      </c>
      <c r="AW106" s="159">
        <f t="shared" si="64"/>
        <v>0</v>
      </c>
      <c r="AX106" s="159">
        <f t="shared" si="64"/>
        <v>0</v>
      </c>
      <c r="AY106" s="159">
        <f t="shared" si="64"/>
        <v>0</v>
      </c>
      <c r="AZ106" s="159">
        <f t="shared" si="64"/>
        <v>0</v>
      </c>
      <c r="BA106" s="159">
        <f t="shared" si="64"/>
        <v>0</v>
      </c>
      <c r="BB106" s="159">
        <f t="shared" si="64"/>
        <v>0</v>
      </c>
      <c r="BC106" s="159">
        <f t="shared" si="64"/>
        <v>0</v>
      </c>
      <c r="BD106" s="159">
        <f t="shared" si="64"/>
        <v>0</v>
      </c>
      <c r="BE106" s="159">
        <f t="shared" si="64"/>
        <v>0</v>
      </c>
      <c r="BF106" s="159">
        <f t="shared" si="64"/>
        <v>0</v>
      </c>
      <c r="BG106" s="159">
        <f t="shared" si="64"/>
        <v>0</v>
      </c>
      <c r="BH106" s="159">
        <f t="shared" si="64"/>
        <v>0</v>
      </c>
      <c r="BI106" s="159">
        <f t="shared" si="64"/>
        <v>0</v>
      </c>
      <c r="BJ106" s="159">
        <f t="shared" si="64"/>
        <v>0</v>
      </c>
      <c r="BK106" s="159">
        <f t="shared" si="64"/>
        <v>0</v>
      </c>
      <c r="BL106" s="159">
        <f t="shared" si="64"/>
        <v>0</v>
      </c>
      <c r="BM106" s="159">
        <f t="shared" si="64"/>
        <v>0</v>
      </c>
      <c r="BN106" s="159">
        <f t="shared" si="64"/>
        <v>0</v>
      </c>
      <c r="BO106" s="159">
        <f t="shared" si="64"/>
        <v>0</v>
      </c>
      <c r="BP106" s="159">
        <f t="shared" si="64"/>
        <v>0</v>
      </c>
      <c r="BQ106" s="159">
        <f t="shared" si="64"/>
        <v>0</v>
      </c>
      <c r="BR106" s="159">
        <f t="shared" ref="BR106:CK106" si="65">IFERROR(LOOKUP(BR$29,Продажи_год_прироста,Продажи_уровень_прироста_продукт5),0)</f>
        <v>0</v>
      </c>
      <c r="BS106" s="159">
        <f t="shared" si="65"/>
        <v>0</v>
      </c>
      <c r="BT106" s="159">
        <f t="shared" si="65"/>
        <v>0</v>
      </c>
      <c r="BU106" s="159">
        <f t="shared" si="65"/>
        <v>0</v>
      </c>
      <c r="BV106" s="159">
        <f t="shared" si="65"/>
        <v>0</v>
      </c>
      <c r="BW106" s="159">
        <f t="shared" si="65"/>
        <v>0</v>
      </c>
      <c r="BX106" s="159">
        <f t="shared" si="65"/>
        <v>0</v>
      </c>
      <c r="BY106" s="159">
        <f t="shared" si="65"/>
        <v>0</v>
      </c>
      <c r="BZ106" s="159">
        <f t="shared" si="65"/>
        <v>0</v>
      </c>
      <c r="CA106" s="159">
        <f t="shared" si="65"/>
        <v>0</v>
      </c>
      <c r="CB106" s="159">
        <f t="shared" si="65"/>
        <v>0</v>
      </c>
      <c r="CC106" s="159">
        <f t="shared" si="65"/>
        <v>0</v>
      </c>
      <c r="CD106" s="159">
        <f t="shared" si="65"/>
        <v>0</v>
      </c>
      <c r="CE106" s="159">
        <f t="shared" si="65"/>
        <v>0</v>
      </c>
      <c r="CF106" s="159">
        <f t="shared" si="65"/>
        <v>0</v>
      </c>
      <c r="CG106" s="159">
        <f t="shared" si="65"/>
        <v>0</v>
      </c>
      <c r="CH106" s="159">
        <f t="shared" si="65"/>
        <v>0</v>
      </c>
      <c r="CI106" s="159">
        <f t="shared" si="65"/>
        <v>0</v>
      </c>
      <c r="CJ106" s="159">
        <f t="shared" si="65"/>
        <v>0</v>
      </c>
      <c r="CK106" s="159">
        <f t="shared" si="65"/>
        <v>0</v>
      </c>
    </row>
    <row r="107" spans="2:89" ht="15.75" thickBot="1">
      <c r="B107" s="187" t="str">
        <f t="shared" ref="B107:B108" si="66">$B$79</f>
        <v>Крем-мыло из светлого жира предкуколки ЧЛ</v>
      </c>
      <c r="C107" s="155" t="s">
        <v>45</v>
      </c>
      <c r="D107" s="155"/>
      <c r="E107" s="158"/>
      <c r="F107" s="159">
        <f>(1+F106)^(F$26/F$20)-1</f>
        <v>0</v>
      </c>
      <c r="G107" s="159">
        <f t="shared" ref="G107:BR107" si="67">(1+G106)^(G$26/G$20)-1</f>
        <v>0</v>
      </c>
      <c r="H107" s="159">
        <f t="shared" si="67"/>
        <v>0</v>
      </c>
      <c r="I107" s="159">
        <f t="shared" si="67"/>
        <v>0</v>
      </c>
      <c r="J107" s="159">
        <f t="shared" si="67"/>
        <v>0</v>
      </c>
      <c r="K107" s="159">
        <f t="shared" si="67"/>
        <v>0</v>
      </c>
      <c r="L107" s="159">
        <f t="shared" si="67"/>
        <v>0</v>
      </c>
      <c r="M107" s="159">
        <f t="shared" si="67"/>
        <v>0</v>
      </c>
      <c r="N107" s="159">
        <f t="shared" si="67"/>
        <v>0</v>
      </c>
      <c r="O107" s="159">
        <f t="shared" si="67"/>
        <v>0</v>
      </c>
      <c r="P107" s="159">
        <f t="shared" si="67"/>
        <v>0</v>
      </c>
      <c r="Q107" s="159">
        <f t="shared" si="67"/>
        <v>0</v>
      </c>
      <c r="R107" s="159">
        <f t="shared" si="67"/>
        <v>-1</v>
      </c>
      <c r="S107" s="159">
        <f t="shared" si="67"/>
        <v>-1</v>
      </c>
      <c r="T107" s="159">
        <f t="shared" si="67"/>
        <v>-1</v>
      </c>
      <c r="U107" s="159">
        <f t="shared" si="67"/>
        <v>-1</v>
      </c>
      <c r="V107" s="159">
        <f t="shared" si="67"/>
        <v>-1</v>
      </c>
      <c r="W107" s="159">
        <f t="shared" si="67"/>
        <v>-1</v>
      </c>
      <c r="X107" s="159">
        <f t="shared" si="67"/>
        <v>-1</v>
      </c>
      <c r="Y107" s="159">
        <f t="shared" si="67"/>
        <v>-1</v>
      </c>
      <c r="Z107" s="159">
        <f t="shared" si="67"/>
        <v>-1</v>
      </c>
      <c r="AA107" s="159">
        <f t="shared" si="67"/>
        <v>-1</v>
      </c>
      <c r="AB107" s="159">
        <f t="shared" si="67"/>
        <v>-1</v>
      </c>
      <c r="AC107" s="159">
        <f t="shared" si="67"/>
        <v>-1</v>
      </c>
      <c r="AD107" s="159">
        <f t="shared" si="67"/>
        <v>0.17120993601181755</v>
      </c>
      <c r="AE107" s="159">
        <f t="shared" si="67"/>
        <v>0.17739604604673187</v>
      </c>
      <c r="AF107" s="159">
        <f t="shared" si="67"/>
        <v>0.17120993601181755</v>
      </c>
      <c r="AG107" s="159">
        <f t="shared" si="67"/>
        <v>0.17739604604673187</v>
      </c>
      <c r="AH107" s="159">
        <f t="shared" si="67"/>
        <v>0.17739604604673187</v>
      </c>
      <c r="AI107" s="159">
        <f t="shared" si="67"/>
        <v>0.17120993601181755</v>
      </c>
      <c r="AJ107" s="159">
        <f t="shared" si="67"/>
        <v>0.17739604604673187</v>
      </c>
      <c r="AK107" s="159">
        <f t="shared" si="67"/>
        <v>0.17120993601181755</v>
      </c>
      <c r="AL107" s="159">
        <f t="shared" si="67"/>
        <v>0.17739604604673187</v>
      </c>
      <c r="AM107" s="159">
        <f t="shared" si="67"/>
        <v>0.17739604604673187</v>
      </c>
      <c r="AN107" s="159">
        <f t="shared" si="67"/>
        <v>0.15893505176226341</v>
      </c>
      <c r="AO107" s="159">
        <f t="shared" si="67"/>
        <v>0.17739604604673187</v>
      </c>
      <c r="AP107" s="159">
        <f t="shared" si="67"/>
        <v>0</v>
      </c>
      <c r="AQ107" s="159">
        <f t="shared" si="67"/>
        <v>0</v>
      </c>
      <c r="AR107" s="159">
        <f t="shared" si="67"/>
        <v>0</v>
      </c>
      <c r="AS107" s="159">
        <f t="shared" si="67"/>
        <v>0</v>
      </c>
      <c r="AT107" s="159">
        <f t="shared" si="67"/>
        <v>0</v>
      </c>
      <c r="AU107" s="159">
        <f t="shared" si="67"/>
        <v>0</v>
      </c>
      <c r="AV107" s="159">
        <f t="shared" si="67"/>
        <v>0</v>
      </c>
      <c r="AW107" s="159">
        <f t="shared" si="67"/>
        <v>0</v>
      </c>
      <c r="AX107" s="159">
        <f t="shared" si="67"/>
        <v>0</v>
      </c>
      <c r="AY107" s="159">
        <f t="shared" si="67"/>
        <v>0</v>
      </c>
      <c r="AZ107" s="159">
        <f t="shared" si="67"/>
        <v>0</v>
      </c>
      <c r="BA107" s="159">
        <f t="shared" si="67"/>
        <v>0</v>
      </c>
      <c r="BB107" s="159">
        <f t="shared" si="67"/>
        <v>0</v>
      </c>
      <c r="BC107" s="159">
        <f t="shared" si="67"/>
        <v>0</v>
      </c>
      <c r="BD107" s="159">
        <f t="shared" si="67"/>
        <v>0</v>
      </c>
      <c r="BE107" s="159">
        <f t="shared" si="67"/>
        <v>0</v>
      </c>
      <c r="BF107" s="159">
        <f t="shared" si="67"/>
        <v>0</v>
      </c>
      <c r="BG107" s="159">
        <f t="shared" si="67"/>
        <v>0</v>
      </c>
      <c r="BH107" s="159">
        <f t="shared" si="67"/>
        <v>0</v>
      </c>
      <c r="BI107" s="159">
        <f t="shared" si="67"/>
        <v>0</v>
      </c>
      <c r="BJ107" s="159">
        <f t="shared" si="67"/>
        <v>0</v>
      </c>
      <c r="BK107" s="159">
        <f t="shared" si="67"/>
        <v>0</v>
      </c>
      <c r="BL107" s="159">
        <f t="shared" si="67"/>
        <v>0</v>
      </c>
      <c r="BM107" s="159">
        <f t="shared" si="67"/>
        <v>0</v>
      </c>
      <c r="BN107" s="159">
        <f t="shared" si="67"/>
        <v>0</v>
      </c>
      <c r="BO107" s="159">
        <f t="shared" si="67"/>
        <v>0</v>
      </c>
      <c r="BP107" s="159">
        <f t="shared" si="67"/>
        <v>0</v>
      </c>
      <c r="BQ107" s="159">
        <f t="shared" si="67"/>
        <v>0</v>
      </c>
      <c r="BR107" s="159">
        <f t="shared" si="67"/>
        <v>0</v>
      </c>
      <c r="BS107" s="159">
        <f t="shared" ref="BS107:CK107" si="68">(1+BS106)^(BS$26/BS$20)-1</f>
        <v>0</v>
      </c>
      <c r="BT107" s="159">
        <f t="shared" si="68"/>
        <v>0</v>
      </c>
      <c r="BU107" s="159">
        <f t="shared" si="68"/>
        <v>0</v>
      </c>
      <c r="BV107" s="159">
        <f t="shared" si="68"/>
        <v>0</v>
      </c>
      <c r="BW107" s="159">
        <f t="shared" si="68"/>
        <v>0</v>
      </c>
      <c r="BX107" s="159">
        <f t="shared" si="68"/>
        <v>0</v>
      </c>
      <c r="BY107" s="159">
        <f t="shared" si="68"/>
        <v>0</v>
      </c>
      <c r="BZ107" s="159">
        <f t="shared" si="68"/>
        <v>0</v>
      </c>
      <c r="CA107" s="159">
        <f t="shared" si="68"/>
        <v>0</v>
      </c>
      <c r="CB107" s="159">
        <f t="shared" si="68"/>
        <v>0</v>
      </c>
      <c r="CC107" s="159">
        <f t="shared" si="68"/>
        <v>0</v>
      </c>
      <c r="CD107" s="159">
        <f t="shared" si="68"/>
        <v>0</v>
      </c>
      <c r="CE107" s="159">
        <f t="shared" si="68"/>
        <v>0</v>
      </c>
      <c r="CF107" s="159">
        <f t="shared" si="68"/>
        <v>0</v>
      </c>
      <c r="CG107" s="159">
        <f t="shared" si="68"/>
        <v>0</v>
      </c>
      <c r="CH107" s="159">
        <f t="shared" si="68"/>
        <v>0</v>
      </c>
      <c r="CI107" s="159">
        <f t="shared" si="68"/>
        <v>0</v>
      </c>
      <c r="CJ107" s="159">
        <f t="shared" si="68"/>
        <v>0</v>
      </c>
      <c r="CK107" s="159">
        <f t="shared" si="68"/>
        <v>0</v>
      </c>
    </row>
    <row r="108" spans="2:89" ht="15.75" thickTop="1">
      <c r="B108" s="161" t="str">
        <f t="shared" si="66"/>
        <v>Крем-мыло из светлого жира предкуколки ЧЛ</v>
      </c>
      <c r="C108" s="161" t="s">
        <v>46</v>
      </c>
      <c r="D108" s="161"/>
      <c r="E108" s="164">
        <v>1</v>
      </c>
      <c r="F108" s="165">
        <f>IF(AND(E108=0,F107&gt;0),F107,E108*(1+F107))</f>
        <v>1</v>
      </c>
      <c r="G108" s="165">
        <f t="shared" ref="G108:BR108" si="69">IF(AND(F108=0,G107&gt;0),G107,F108*(1+G107))</f>
        <v>1</v>
      </c>
      <c r="H108" s="165">
        <f t="shared" si="69"/>
        <v>1</v>
      </c>
      <c r="I108" s="165">
        <f t="shared" si="69"/>
        <v>1</v>
      </c>
      <c r="J108" s="165">
        <f t="shared" si="69"/>
        <v>1</v>
      </c>
      <c r="K108" s="165">
        <f t="shared" si="69"/>
        <v>1</v>
      </c>
      <c r="L108" s="165">
        <f t="shared" si="69"/>
        <v>1</v>
      </c>
      <c r="M108" s="165">
        <f t="shared" si="69"/>
        <v>1</v>
      </c>
      <c r="N108" s="165">
        <f t="shared" si="69"/>
        <v>1</v>
      </c>
      <c r="O108" s="165">
        <f t="shared" si="69"/>
        <v>1</v>
      </c>
      <c r="P108" s="165">
        <f t="shared" si="69"/>
        <v>1</v>
      </c>
      <c r="Q108" s="165">
        <f t="shared" si="69"/>
        <v>1</v>
      </c>
      <c r="R108" s="165">
        <f t="shared" si="69"/>
        <v>0</v>
      </c>
      <c r="S108" s="165">
        <f t="shared" si="69"/>
        <v>0</v>
      </c>
      <c r="T108" s="165">
        <f t="shared" si="69"/>
        <v>0</v>
      </c>
      <c r="U108" s="165">
        <f t="shared" si="69"/>
        <v>0</v>
      </c>
      <c r="V108" s="165">
        <f t="shared" si="69"/>
        <v>0</v>
      </c>
      <c r="W108" s="165">
        <f t="shared" si="69"/>
        <v>0</v>
      </c>
      <c r="X108" s="165">
        <f t="shared" si="69"/>
        <v>0</v>
      </c>
      <c r="Y108" s="165">
        <f t="shared" si="69"/>
        <v>0</v>
      </c>
      <c r="Z108" s="165">
        <f t="shared" si="69"/>
        <v>0</v>
      </c>
      <c r="AA108" s="165">
        <f t="shared" si="69"/>
        <v>0</v>
      </c>
      <c r="AB108" s="165">
        <f t="shared" si="69"/>
        <v>0</v>
      </c>
      <c r="AC108" s="165">
        <f t="shared" si="69"/>
        <v>0</v>
      </c>
      <c r="AD108" s="165">
        <f t="shared" si="69"/>
        <v>0.17120993601181755</v>
      </c>
      <c r="AE108" s="165">
        <f t="shared" si="69"/>
        <v>0.20158190170422796</v>
      </c>
      <c r="AF108" s="165">
        <f t="shared" si="69"/>
        <v>0.23609472619614932</v>
      </c>
      <c r="AG108" s="165">
        <f t="shared" si="69"/>
        <v>0.27797699711583196</v>
      </c>
      <c r="AH108" s="165">
        <f t="shared" si="69"/>
        <v>0.32728901729612436</v>
      </c>
      <c r="AI108" s="165">
        <f t="shared" si="69"/>
        <v>0.38332414900476447</v>
      </c>
      <c r="AJ108" s="165">
        <f t="shared" si="69"/>
        <v>0.45132433739243799</v>
      </c>
      <c r="AK108" s="165">
        <f t="shared" si="69"/>
        <v>0.52859554831797329</v>
      </c>
      <c r="AL108" s="165">
        <f t="shared" si="69"/>
        <v>0.62236630854748598</v>
      </c>
      <c r="AM108" s="165">
        <f t="shared" si="69"/>
        <v>0.73277163087651032</v>
      </c>
      <c r="AN108" s="165">
        <f t="shared" si="69"/>
        <v>0.84923472795978672</v>
      </c>
      <c r="AO108" s="165">
        <f t="shared" si="69"/>
        <v>0.99988561086542482</v>
      </c>
      <c r="AP108" s="165">
        <f t="shared" si="69"/>
        <v>0.99988561086542482</v>
      </c>
      <c r="AQ108" s="165">
        <f t="shared" si="69"/>
        <v>0.99988561086542482</v>
      </c>
      <c r="AR108" s="165">
        <f t="shared" si="69"/>
        <v>0.99988561086542482</v>
      </c>
      <c r="AS108" s="165">
        <f t="shared" si="69"/>
        <v>0.99988561086542482</v>
      </c>
      <c r="AT108" s="165">
        <f t="shared" si="69"/>
        <v>0.99988561086542482</v>
      </c>
      <c r="AU108" s="165">
        <f t="shared" si="69"/>
        <v>0.99988561086542482</v>
      </c>
      <c r="AV108" s="165">
        <f t="shared" si="69"/>
        <v>0.99988561086542482</v>
      </c>
      <c r="AW108" s="165">
        <f t="shared" si="69"/>
        <v>0.99988561086542482</v>
      </c>
      <c r="AX108" s="165">
        <f t="shared" si="69"/>
        <v>0.99988561086542482</v>
      </c>
      <c r="AY108" s="165">
        <f t="shared" si="69"/>
        <v>0.99988561086542482</v>
      </c>
      <c r="AZ108" s="165">
        <f t="shared" si="69"/>
        <v>0.99988561086542482</v>
      </c>
      <c r="BA108" s="165">
        <f t="shared" si="69"/>
        <v>0.99988561086542482</v>
      </c>
      <c r="BB108" s="165">
        <f t="shared" si="69"/>
        <v>0.99988561086542482</v>
      </c>
      <c r="BC108" s="165">
        <f t="shared" si="69"/>
        <v>0.99988561086542482</v>
      </c>
      <c r="BD108" s="165">
        <f t="shared" si="69"/>
        <v>0.99988561086542482</v>
      </c>
      <c r="BE108" s="165">
        <f t="shared" si="69"/>
        <v>0.99988561086542482</v>
      </c>
      <c r="BF108" s="165">
        <f t="shared" si="69"/>
        <v>0.99988561086542482</v>
      </c>
      <c r="BG108" s="165">
        <f t="shared" si="69"/>
        <v>0.99988561086542482</v>
      </c>
      <c r="BH108" s="165">
        <f t="shared" si="69"/>
        <v>0.99988561086542482</v>
      </c>
      <c r="BI108" s="165">
        <f t="shared" si="69"/>
        <v>0.99988561086542482</v>
      </c>
      <c r="BJ108" s="165">
        <f t="shared" si="69"/>
        <v>0.99988561086542482</v>
      </c>
      <c r="BK108" s="165">
        <f t="shared" si="69"/>
        <v>0.99988561086542482</v>
      </c>
      <c r="BL108" s="165">
        <f t="shared" si="69"/>
        <v>0.99988561086542482</v>
      </c>
      <c r="BM108" s="165">
        <f t="shared" si="69"/>
        <v>0.99988561086542482</v>
      </c>
      <c r="BN108" s="165">
        <f t="shared" si="69"/>
        <v>0.99988561086542482</v>
      </c>
      <c r="BO108" s="165">
        <f t="shared" si="69"/>
        <v>0.99988561086542482</v>
      </c>
      <c r="BP108" s="165">
        <f t="shared" si="69"/>
        <v>0.99988561086542482</v>
      </c>
      <c r="BQ108" s="165">
        <f t="shared" si="69"/>
        <v>0.99988561086542482</v>
      </c>
      <c r="BR108" s="165">
        <f t="shared" si="69"/>
        <v>0.99988561086542482</v>
      </c>
      <c r="BS108" s="165">
        <f t="shared" ref="BS108:CK108" si="70">IF(AND(BR108=0,BS107&gt;0),BS107,BR108*(1+BS107))</f>
        <v>0.99988561086542482</v>
      </c>
      <c r="BT108" s="165">
        <f t="shared" si="70"/>
        <v>0.99988561086542482</v>
      </c>
      <c r="BU108" s="165">
        <f t="shared" si="70"/>
        <v>0.99988561086542482</v>
      </c>
      <c r="BV108" s="165">
        <f t="shared" si="70"/>
        <v>0.99988561086542482</v>
      </c>
      <c r="BW108" s="165">
        <f t="shared" si="70"/>
        <v>0.99988561086542482</v>
      </c>
      <c r="BX108" s="165">
        <f t="shared" si="70"/>
        <v>0.99988561086542482</v>
      </c>
      <c r="BY108" s="165">
        <f t="shared" si="70"/>
        <v>0.99988561086542482</v>
      </c>
      <c r="BZ108" s="165">
        <f t="shared" si="70"/>
        <v>0.99988561086542482</v>
      </c>
      <c r="CA108" s="165">
        <f t="shared" si="70"/>
        <v>0.99988561086542482</v>
      </c>
      <c r="CB108" s="165">
        <f t="shared" si="70"/>
        <v>0.99988561086542482</v>
      </c>
      <c r="CC108" s="165">
        <f t="shared" si="70"/>
        <v>0.99988561086542482</v>
      </c>
      <c r="CD108" s="165">
        <f t="shared" si="70"/>
        <v>0.99988561086542482</v>
      </c>
      <c r="CE108" s="165">
        <f t="shared" si="70"/>
        <v>0.99988561086542482</v>
      </c>
      <c r="CF108" s="165">
        <f t="shared" si="70"/>
        <v>0.99988561086542482</v>
      </c>
      <c r="CG108" s="165">
        <f t="shared" si="70"/>
        <v>0.99988561086542482</v>
      </c>
      <c r="CH108" s="165">
        <f t="shared" si="70"/>
        <v>0.99988561086542482</v>
      </c>
      <c r="CI108" s="165">
        <f t="shared" si="70"/>
        <v>0.99988561086542482</v>
      </c>
      <c r="CJ108" s="165">
        <f t="shared" si="70"/>
        <v>0.99988561086542482</v>
      </c>
      <c r="CK108" s="165">
        <f t="shared" si="70"/>
        <v>0.99988561086542482</v>
      </c>
    </row>
    <row r="109" spans="2:89">
      <c r="B109" s="14"/>
      <c r="C109" s="14"/>
      <c r="D109" s="14"/>
      <c r="E109" s="1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</row>
    <row r="110" spans="2:89">
      <c r="B110" s="187" t="str">
        <f>$B$80</f>
        <v>Продукты пчеловодства</v>
      </c>
      <c r="C110" s="155" t="s">
        <v>44</v>
      </c>
      <c r="D110" s="155"/>
      <c r="E110" s="158"/>
      <c r="F110" s="159">
        <f t="shared" ref="F110:AK110" si="71">IFERROR(LOOKUP(F$29,Продажи_год_прироста,Продажи_уровень_прироста_продукт6),0)</f>
        <v>0</v>
      </c>
      <c r="G110" s="159">
        <f t="shared" si="71"/>
        <v>0</v>
      </c>
      <c r="H110" s="159">
        <f t="shared" si="71"/>
        <v>0</v>
      </c>
      <c r="I110" s="159">
        <f t="shared" si="71"/>
        <v>0</v>
      </c>
      <c r="J110" s="159">
        <f t="shared" si="71"/>
        <v>0</v>
      </c>
      <c r="K110" s="159">
        <f t="shared" si="71"/>
        <v>0</v>
      </c>
      <c r="L110" s="159">
        <f t="shared" si="71"/>
        <v>0</v>
      </c>
      <c r="M110" s="159">
        <f t="shared" si="71"/>
        <v>0</v>
      </c>
      <c r="N110" s="159">
        <f t="shared" si="71"/>
        <v>0</v>
      </c>
      <c r="O110" s="159">
        <f t="shared" si="71"/>
        <v>0</v>
      </c>
      <c r="P110" s="159">
        <f t="shared" si="71"/>
        <v>0</v>
      </c>
      <c r="Q110" s="159">
        <f t="shared" si="71"/>
        <v>0</v>
      </c>
      <c r="R110" s="159">
        <f t="shared" si="71"/>
        <v>0</v>
      </c>
      <c r="S110" s="159">
        <f t="shared" si="71"/>
        <v>0</v>
      </c>
      <c r="T110" s="159">
        <f t="shared" si="71"/>
        <v>0</v>
      </c>
      <c r="U110" s="159">
        <f t="shared" si="71"/>
        <v>0</v>
      </c>
      <c r="V110" s="159">
        <f t="shared" si="71"/>
        <v>0</v>
      </c>
      <c r="W110" s="159">
        <f t="shared" si="71"/>
        <v>0</v>
      </c>
      <c r="X110" s="159">
        <f t="shared" si="71"/>
        <v>0</v>
      </c>
      <c r="Y110" s="159">
        <f t="shared" si="71"/>
        <v>0</v>
      </c>
      <c r="Z110" s="159">
        <f t="shared" si="71"/>
        <v>0</v>
      </c>
      <c r="AA110" s="159">
        <f t="shared" si="71"/>
        <v>0</v>
      </c>
      <c r="AB110" s="159">
        <f t="shared" si="71"/>
        <v>0</v>
      </c>
      <c r="AC110" s="159">
        <f t="shared" si="71"/>
        <v>0</v>
      </c>
      <c r="AD110" s="159">
        <f t="shared" si="71"/>
        <v>0.72</v>
      </c>
      <c r="AE110" s="159">
        <f t="shared" si="71"/>
        <v>0.72</v>
      </c>
      <c r="AF110" s="159">
        <f t="shared" si="71"/>
        <v>0.72</v>
      </c>
      <c r="AG110" s="159">
        <f t="shared" si="71"/>
        <v>0.72</v>
      </c>
      <c r="AH110" s="159">
        <f t="shared" si="71"/>
        <v>0.72</v>
      </c>
      <c r="AI110" s="159">
        <f t="shared" si="71"/>
        <v>0.72</v>
      </c>
      <c r="AJ110" s="159">
        <f t="shared" si="71"/>
        <v>0.72</v>
      </c>
      <c r="AK110" s="159">
        <f t="shared" si="71"/>
        <v>0.72</v>
      </c>
      <c r="AL110" s="159">
        <f t="shared" ref="AL110:BQ110" si="72">IFERROR(LOOKUP(AL$29,Продажи_год_прироста,Продажи_уровень_прироста_продукт6),0)</f>
        <v>0.72</v>
      </c>
      <c r="AM110" s="159">
        <f t="shared" si="72"/>
        <v>0.72</v>
      </c>
      <c r="AN110" s="159">
        <f t="shared" si="72"/>
        <v>0.72</v>
      </c>
      <c r="AO110" s="159">
        <f t="shared" si="72"/>
        <v>0.72</v>
      </c>
      <c r="AP110" s="159">
        <f t="shared" si="72"/>
        <v>0</v>
      </c>
      <c r="AQ110" s="159">
        <f t="shared" si="72"/>
        <v>0</v>
      </c>
      <c r="AR110" s="159">
        <f t="shared" si="72"/>
        <v>0</v>
      </c>
      <c r="AS110" s="159">
        <f t="shared" si="72"/>
        <v>0</v>
      </c>
      <c r="AT110" s="159">
        <f t="shared" si="72"/>
        <v>0</v>
      </c>
      <c r="AU110" s="159">
        <f t="shared" si="72"/>
        <v>0</v>
      </c>
      <c r="AV110" s="159">
        <f t="shared" si="72"/>
        <v>0</v>
      </c>
      <c r="AW110" s="159">
        <f t="shared" si="72"/>
        <v>0</v>
      </c>
      <c r="AX110" s="159">
        <f t="shared" si="72"/>
        <v>0</v>
      </c>
      <c r="AY110" s="159">
        <f t="shared" si="72"/>
        <v>0</v>
      </c>
      <c r="AZ110" s="159">
        <f t="shared" si="72"/>
        <v>0</v>
      </c>
      <c r="BA110" s="159">
        <f t="shared" si="72"/>
        <v>0</v>
      </c>
      <c r="BB110" s="159">
        <f t="shared" si="72"/>
        <v>0</v>
      </c>
      <c r="BC110" s="159">
        <f t="shared" si="72"/>
        <v>0</v>
      </c>
      <c r="BD110" s="159">
        <f t="shared" si="72"/>
        <v>0</v>
      </c>
      <c r="BE110" s="159">
        <f t="shared" si="72"/>
        <v>0</v>
      </c>
      <c r="BF110" s="159">
        <f t="shared" si="72"/>
        <v>0</v>
      </c>
      <c r="BG110" s="159">
        <f t="shared" si="72"/>
        <v>0</v>
      </c>
      <c r="BH110" s="159">
        <f t="shared" si="72"/>
        <v>0</v>
      </c>
      <c r="BI110" s="159">
        <f t="shared" si="72"/>
        <v>0</v>
      </c>
      <c r="BJ110" s="159">
        <f t="shared" si="72"/>
        <v>0</v>
      </c>
      <c r="BK110" s="159">
        <f t="shared" si="72"/>
        <v>0</v>
      </c>
      <c r="BL110" s="159">
        <f t="shared" si="72"/>
        <v>0</v>
      </c>
      <c r="BM110" s="159">
        <f t="shared" si="72"/>
        <v>0</v>
      </c>
      <c r="BN110" s="159">
        <f t="shared" si="72"/>
        <v>0</v>
      </c>
      <c r="BO110" s="159">
        <f t="shared" si="72"/>
        <v>0</v>
      </c>
      <c r="BP110" s="159">
        <f t="shared" si="72"/>
        <v>0</v>
      </c>
      <c r="BQ110" s="159">
        <f t="shared" si="72"/>
        <v>0</v>
      </c>
      <c r="BR110" s="159">
        <f t="shared" ref="BR110:CK110" si="73">IFERROR(LOOKUP(BR$29,Продажи_год_прироста,Продажи_уровень_прироста_продукт6),0)</f>
        <v>0</v>
      </c>
      <c r="BS110" s="159">
        <f t="shared" si="73"/>
        <v>0</v>
      </c>
      <c r="BT110" s="159">
        <f t="shared" si="73"/>
        <v>0</v>
      </c>
      <c r="BU110" s="159">
        <f t="shared" si="73"/>
        <v>0</v>
      </c>
      <c r="BV110" s="159">
        <f t="shared" si="73"/>
        <v>0</v>
      </c>
      <c r="BW110" s="159">
        <f t="shared" si="73"/>
        <v>0</v>
      </c>
      <c r="BX110" s="159">
        <f t="shared" si="73"/>
        <v>0</v>
      </c>
      <c r="BY110" s="159">
        <f t="shared" si="73"/>
        <v>0</v>
      </c>
      <c r="BZ110" s="159">
        <f t="shared" si="73"/>
        <v>0</v>
      </c>
      <c r="CA110" s="159">
        <f t="shared" si="73"/>
        <v>0</v>
      </c>
      <c r="CB110" s="159">
        <f t="shared" si="73"/>
        <v>0</v>
      </c>
      <c r="CC110" s="159">
        <f t="shared" si="73"/>
        <v>0</v>
      </c>
      <c r="CD110" s="159">
        <f t="shared" si="73"/>
        <v>0</v>
      </c>
      <c r="CE110" s="159">
        <f t="shared" si="73"/>
        <v>0</v>
      </c>
      <c r="CF110" s="159">
        <f t="shared" si="73"/>
        <v>0</v>
      </c>
      <c r="CG110" s="159">
        <f t="shared" si="73"/>
        <v>0</v>
      </c>
      <c r="CH110" s="159">
        <f t="shared" si="73"/>
        <v>0</v>
      </c>
      <c r="CI110" s="159">
        <f t="shared" si="73"/>
        <v>0</v>
      </c>
      <c r="CJ110" s="159">
        <f t="shared" si="73"/>
        <v>0</v>
      </c>
      <c r="CK110" s="159">
        <f t="shared" si="73"/>
        <v>0</v>
      </c>
    </row>
    <row r="111" spans="2:89" ht="15.75" thickBot="1">
      <c r="B111" s="187" t="str">
        <f t="shared" ref="B111:B112" si="74">$B$80</f>
        <v>Продукты пчеловодства</v>
      </c>
      <c r="C111" s="155" t="s">
        <v>45</v>
      </c>
      <c r="D111" s="155"/>
      <c r="E111" s="158"/>
      <c r="F111" s="159">
        <f>(1+F110)^(F$26/F$20)-1</f>
        <v>0</v>
      </c>
      <c r="G111" s="159">
        <f t="shared" ref="G111:BR111" si="75">(1+G110)^(G$26/G$20)-1</f>
        <v>0</v>
      </c>
      <c r="H111" s="159">
        <f t="shared" si="75"/>
        <v>0</v>
      </c>
      <c r="I111" s="159">
        <f t="shared" si="75"/>
        <v>0</v>
      </c>
      <c r="J111" s="159">
        <f t="shared" si="75"/>
        <v>0</v>
      </c>
      <c r="K111" s="159">
        <f t="shared" si="75"/>
        <v>0</v>
      </c>
      <c r="L111" s="159">
        <f t="shared" si="75"/>
        <v>0</v>
      </c>
      <c r="M111" s="159">
        <f t="shared" si="75"/>
        <v>0</v>
      </c>
      <c r="N111" s="159">
        <f t="shared" si="75"/>
        <v>0</v>
      </c>
      <c r="O111" s="159">
        <f t="shared" si="75"/>
        <v>0</v>
      </c>
      <c r="P111" s="159">
        <f t="shared" si="75"/>
        <v>0</v>
      </c>
      <c r="Q111" s="159">
        <f t="shared" si="75"/>
        <v>0</v>
      </c>
      <c r="R111" s="159">
        <f t="shared" si="75"/>
        <v>0</v>
      </c>
      <c r="S111" s="159">
        <f t="shared" si="75"/>
        <v>0</v>
      </c>
      <c r="T111" s="159">
        <f t="shared" si="75"/>
        <v>0</v>
      </c>
      <c r="U111" s="159">
        <f t="shared" si="75"/>
        <v>0</v>
      </c>
      <c r="V111" s="159">
        <f t="shared" si="75"/>
        <v>0</v>
      </c>
      <c r="W111" s="159">
        <f t="shared" si="75"/>
        <v>0</v>
      </c>
      <c r="X111" s="159">
        <f t="shared" si="75"/>
        <v>0</v>
      </c>
      <c r="Y111" s="159">
        <f t="shared" si="75"/>
        <v>0</v>
      </c>
      <c r="Z111" s="159">
        <f t="shared" si="75"/>
        <v>0</v>
      </c>
      <c r="AA111" s="159">
        <f t="shared" si="75"/>
        <v>0</v>
      </c>
      <c r="AB111" s="159">
        <f t="shared" si="75"/>
        <v>0</v>
      </c>
      <c r="AC111" s="159">
        <f t="shared" si="75"/>
        <v>0</v>
      </c>
      <c r="AD111" s="159">
        <f t="shared" si="75"/>
        <v>4.5582973502538593E-2</v>
      </c>
      <c r="AE111" s="159">
        <f t="shared" si="75"/>
        <v>4.7137676288151908E-2</v>
      </c>
      <c r="AF111" s="159">
        <f t="shared" si="75"/>
        <v>4.5582973502538593E-2</v>
      </c>
      <c r="AG111" s="159">
        <f t="shared" si="75"/>
        <v>4.7137676288151908E-2</v>
      </c>
      <c r="AH111" s="159">
        <f t="shared" si="75"/>
        <v>4.7137676288151908E-2</v>
      </c>
      <c r="AI111" s="159">
        <f t="shared" si="75"/>
        <v>4.5582973502538593E-2</v>
      </c>
      <c r="AJ111" s="159">
        <f t="shared" si="75"/>
        <v>4.7137676288151908E-2</v>
      </c>
      <c r="AK111" s="159">
        <f t="shared" si="75"/>
        <v>4.5582973502538593E-2</v>
      </c>
      <c r="AL111" s="159">
        <f t="shared" si="75"/>
        <v>4.7137676288151908E-2</v>
      </c>
      <c r="AM111" s="159">
        <f t="shared" si="75"/>
        <v>4.7137676288151908E-2</v>
      </c>
      <c r="AN111" s="159">
        <f t="shared" si="75"/>
        <v>4.2480489383676101E-2</v>
      </c>
      <c r="AO111" s="159">
        <f t="shared" si="75"/>
        <v>4.7137676288151908E-2</v>
      </c>
      <c r="AP111" s="159">
        <f t="shared" si="75"/>
        <v>0</v>
      </c>
      <c r="AQ111" s="159">
        <f t="shared" si="75"/>
        <v>0</v>
      </c>
      <c r="AR111" s="159">
        <f t="shared" si="75"/>
        <v>0</v>
      </c>
      <c r="AS111" s="159">
        <f t="shared" si="75"/>
        <v>0</v>
      </c>
      <c r="AT111" s="159">
        <f t="shared" si="75"/>
        <v>0</v>
      </c>
      <c r="AU111" s="159">
        <f t="shared" si="75"/>
        <v>0</v>
      </c>
      <c r="AV111" s="159">
        <f t="shared" si="75"/>
        <v>0</v>
      </c>
      <c r="AW111" s="159">
        <f t="shared" si="75"/>
        <v>0</v>
      </c>
      <c r="AX111" s="159">
        <f t="shared" si="75"/>
        <v>0</v>
      </c>
      <c r="AY111" s="159">
        <f t="shared" si="75"/>
        <v>0</v>
      </c>
      <c r="AZ111" s="159">
        <f t="shared" si="75"/>
        <v>0</v>
      </c>
      <c r="BA111" s="159">
        <f t="shared" si="75"/>
        <v>0</v>
      </c>
      <c r="BB111" s="159">
        <f t="shared" si="75"/>
        <v>0</v>
      </c>
      <c r="BC111" s="159">
        <f t="shared" si="75"/>
        <v>0</v>
      </c>
      <c r="BD111" s="159">
        <f t="shared" si="75"/>
        <v>0</v>
      </c>
      <c r="BE111" s="159">
        <f t="shared" si="75"/>
        <v>0</v>
      </c>
      <c r="BF111" s="159">
        <f t="shared" si="75"/>
        <v>0</v>
      </c>
      <c r="BG111" s="159">
        <f t="shared" si="75"/>
        <v>0</v>
      </c>
      <c r="BH111" s="159">
        <f t="shared" si="75"/>
        <v>0</v>
      </c>
      <c r="BI111" s="159">
        <f t="shared" si="75"/>
        <v>0</v>
      </c>
      <c r="BJ111" s="159">
        <f t="shared" si="75"/>
        <v>0</v>
      </c>
      <c r="BK111" s="159">
        <f t="shared" si="75"/>
        <v>0</v>
      </c>
      <c r="BL111" s="159">
        <f t="shared" si="75"/>
        <v>0</v>
      </c>
      <c r="BM111" s="159">
        <f t="shared" si="75"/>
        <v>0</v>
      </c>
      <c r="BN111" s="159">
        <f t="shared" si="75"/>
        <v>0</v>
      </c>
      <c r="BO111" s="159">
        <f t="shared" si="75"/>
        <v>0</v>
      </c>
      <c r="BP111" s="159">
        <f t="shared" si="75"/>
        <v>0</v>
      </c>
      <c r="BQ111" s="159">
        <f t="shared" si="75"/>
        <v>0</v>
      </c>
      <c r="BR111" s="159">
        <f t="shared" si="75"/>
        <v>0</v>
      </c>
      <c r="BS111" s="159">
        <f t="shared" ref="BS111:CK111" si="76">(1+BS110)^(BS$26/BS$20)-1</f>
        <v>0</v>
      </c>
      <c r="BT111" s="159">
        <f t="shared" si="76"/>
        <v>0</v>
      </c>
      <c r="BU111" s="159">
        <f t="shared" si="76"/>
        <v>0</v>
      </c>
      <c r="BV111" s="159">
        <f t="shared" si="76"/>
        <v>0</v>
      </c>
      <c r="BW111" s="159">
        <f t="shared" si="76"/>
        <v>0</v>
      </c>
      <c r="BX111" s="159">
        <f t="shared" si="76"/>
        <v>0</v>
      </c>
      <c r="BY111" s="159">
        <f t="shared" si="76"/>
        <v>0</v>
      </c>
      <c r="BZ111" s="159">
        <f t="shared" si="76"/>
        <v>0</v>
      </c>
      <c r="CA111" s="159">
        <f t="shared" si="76"/>
        <v>0</v>
      </c>
      <c r="CB111" s="159">
        <f t="shared" si="76"/>
        <v>0</v>
      </c>
      <c r="CC111" s="159">
        <f t="shared" si="76"/>
        <v>0</v>
      </c>
      <c r="CD111" s="159">
        <f t="shared" si="76"/>
        <v>0</v>
      </c>
      <c r="CE111" s="159">
        <f t="shared" si="76"/>
        <v>0</v>
      </c>
      <c r="CF111" s="159">
        <f t="shared" si="76"/>
        <v>0</v>
      </c>
      <c r="CG111" s="159">
        <f t="shared" si="76"/>
        <v>0</v>
      </c>
      <c r="CH111" s="159">
        <f t="shared" si="76"/>
        <v>0</v>
      </c>
      <c r="CI111" s="159">
        <f t="shared" si="76"/>
        <v>0</v>
      </c>
      <c r="CJ111" s="159">
        <f t="shared" si="76"/>
        <v>0</v>
      </c>
      <c r="CK111" s="159">
        <f t="shared" si="76"/>
        <v>0</v>
      </c>
    </row>
    <row r="112" spans="2:89" ht="15.75" thickTop="1">
      <c r="B112" s="161" t="str">
        <f t="shared" si="74"/>
        <v>Продукты пчеловодства</v>
      </c>
      <c r="C112" s="161" t="s">
        <v>46</v>
      </c>
      <c r="D112" s="161"/>
      <c r="E112" s="164">
        <v>1</v>
      </c>
      <c r="F112" s="165">
        <f>IF(AND(E112=0,F111&gt;0),F111,E112*(1+F111))</f>
        <v>1</v>
      </c>
      <c r="G112" s="165">
        <f t="shared" ref="G112:BR112" si="77">IF(AND(F112=0,G111&gt;0),G111,F112*(1+G111))</f>
        <v>1</v>
      </c>
      <c r="H112" s="165">
        <f t="shared" si="77"/>
        <v>1</v>
      </c>
      <c r="I112" s="165">
        <f t="shared" si="77"/>
        <v>1</v>
      </c>
      <c r="J112" s="165">
        <f t="shared" si="77"/>
        <v>1</v>
      </c>
      <c r="K112" s="165">
        <f t="shared" si="77"/>
        <v>1</v>
      </c>
      <c r="L112" s="165">
        <f t="shared" si="77"/>
        <v>1</v>
      </c>
      <c r="M112" s="165">
        <f t="shared" si="77"/>
        <v>1</v>
      </c>
      <c r="N112" s="165">
        <f t="shared" si="77"/>
        <v>1</v>
      </c>
      <c r="O112" s="165">
        <f t="shared" si="77"/>
        <v>1</v>
      </c>
      <c r="P112" s="165">
        <f t="shared" si="77"/>
        <v>1</v>
      </c>
      <c r="Q112" s="165">
        <f t="shared" si="77"/>
        <v>1</v>
      </c>
      <c r="R112" s="165">
        <f t="shared" si="77"/>
        <v>1</v>
      </c>
      <c r="S112" s="165">
        <f t="shared" si="77"/>
        <v>1</v>
      </c>
      <c r="T112" s="165">
        <f t="shared" si="77"/>
        <v>1</v>
      </c>
      <c r="U112" s="165">
        <f t="shared" si="77"/>
        <v>1</v>
      </c>
      <c r="V112" s="165">
        <f t="shared" si="77"/>
        <v>1</v>
      </c>
      <c r="W112" s="165">
        <f t="shared" si="77"/>
        <v>1</v>
      </c>
      <c r="X112" s="165">
        <f t="shared" si="77"/>
        <v>1</v>
      </c>
      <c r="Y112" s="165">
        <f t="shared" si="77"/>
        <v>1</v>
      </c>
      <c r="Z112" s="165">
        <f t="shared" si="77"/>
        <v>1</v>
      </c>
      <c r="AA112" s="165">
        <f t="shared" si="77"/>
        <v>1</v>
      </c>
      <c r="AB112" s="165">
        <f t="shared" si="77"/>
        <v>1</v>
      </c>
      <c r="AC112" s="165">
        <f t="shared" si="77"/>
        <v>1</v>
      </c>
      <c r="AD112" s="165">
        <f t="shared" si="77"/>
        <v>1.0455829735025386</v>
      </c>
      <c r="AE112" s="165">
        <f t="shared" si="77"/>
        <v>1.0948693252399047</v>
      </c>
      <c r="AF112" s="165">
        <f t="shared" si="77"/>
        <v>1.1447767246810576</v>
      </c>
      <c r="AG112" s="165">
        <f t="shared" si="77"/>
        <v>1.1987388393512841</v>
      </c>
      <c r="AH112" s="165">
        <f t="shared" si="77"/>
        <v>1.25524460271466</v>
      </c>
      <c r="AI112" s="165">
        <f t="shared" si="77"/>
        <v>1.312462384179407</v>
      </c>
      <c r="AJ112" s="165">
        <f t="shared" si="77"/>
        <v>1.3743288111852319</v>
      </c>
      <c r="AK112" s="165">
        <f t="shared" si="77"/>
        <v>1.4369748049692637</v>
      </c>
      <c r="AL112" s="165">
        <f t="shared" si="77"/>
        <v>1.5047104581601349</v>
      </c>
      <c r="AM112" s="165">
        <f t="shared" si="77"/>
        <v>1.5756390126442841</v>
      </c>
      <c r="AN112" s="165">
        <f t="shared" si="77"/>
        <v>1.6425729289934254</v>
      </c>
      <c r="AO112" s="165">
        <f t="shared" si="77"/>
        <v>1.7199999999999991</v>
      </c>
      <c r="AP112" s="165">
        <f t="shared" si="77"/>
        <v>1.7199999999999991</v>
      </c>
      <c r="AQ112" s="165">
        <f t="shared" si="77"/>
        <v>1.7199999999999991</v>
      </c>
      <c r="AR112" s="165">
        <f t="shared" si="77"/>
        <v>1.7199999999999991</v>
      </c>
      <c r="AS112" s="165">
        <f t="shared" si="77"/>
        <v>1.7199999999999991</v>
      </c>
      <c r="AT112" s="165">
        <f t="shared" si="77"/>
        <v>1.7199999999999991</v>
      </c>
      <c r="AU112" s="165">
        <f t="shared" si="77"/>
        <v>1.7199999999999991</v>
      </c>
      <c r="AV112" s="165">
        <f t="shared" si="77"/>
        <v>1.7199999999999991</v>
      </c>
      <c r="AW112" s="165">
        <f t="shared" si="77"/>
        <v>1.7199999999999991</v>
      </c>
      <c r="AX112" s="165">
        <f t="shared" si="77"/>
        <v>1.7199999999999991</v>
      </c>
      <c r="AY112" s="165">
        <f t="shared" si="77"/>
        <v>1.7199999999999991</v>
      </c>
      <c r="AZ112" s="165">
        <f t="shared" si="77"/>
        <v>1.7199999999999991</v>
      </c>
      <c r="BA112" s="165">
        <f t="shared" si="77"/>
        <v>1.7199999999999991</v>
      </c>
      <c r="BB112" s="165">
        <f t="shared" si="77"/>
        <v>1.7199999999999991</v>
      </c>
      <c r="BC112" s="165">
        <f t="shared" si="77"/>
        <v>1.7199999999999991</v>
      </c>
      <c r="BD112" s="165">
        <f t="shared" si="77"/>
        <v>1.7199999999999991</v>
      </c>
      <c r="BE112" s="165">
        <f t="shared" si="77"/>
        <v>1.7199999999999991</v>
      </c>
      <c r="BF112" s="165">
        <f t="shared" si="77"/>
        <v>1.7199999999999991</v>
      </c>
      <c r="BG112" s="165">
        <f t="shared" si="77"/>
        <v>1.7199999999999991</v>
      </c>
      <c r="BH112" s="165">
        <f t="shared" si="77"/>
        <v>1.7199999999999991</v>
      </c>
      <c r="BI112" s="165">
        <f t="shared" si="77"/>
        <v>1.7199999999999991</v>
      </c>
      <c r="BJ112" s="165">
        <f t="shared" si="77"/>
        <v>1.7199999999999991</v>
      </c>
      <c r="BK112" s="165">
        <f t="shared" si="77"/>
        <v>1.7199999999999991</v>
      </c>
      <c r="BL112" s="165">
        <f t="shared" si="77"/>
        <v>1.7199999999999991</v>
      </c>
      <c r="BM112" s="165">
        <f t="shared" si="77"/>
        <v>1.7199999999999991</v>
      </c>
      <c r="BN112" s="165">
        <f t="shared" si="77"/>
        <v>1.7199999999999991</v>
      </c>
      <c r="BO112" s="165">
        <f t="shared" si="77"/>
        <v>1.7199999999999991</v>
      </c>
      <c r="BP112" s="165">
        <f t="shared" si="77"/>
        <v>1.7199999999999991</v>
      </c>
      <c r="BQ112" s="165">
        <f t="shared" si="77"/>
        <v>1.7199999999999991</v>
      </c>
      <c r="BR112" s="165">
        <f t="shared" si="77"/>
        <v>1.7199999999999991</v>
      </c>
      <c r="BS112" s="165">
        <f t="shared" ref="BS112:CK112" si="78">IF(AND(BR112=0,BS111&gt;0),BS111,BR112*(1+BS111))</f>
        <v>1.7199999999999991</v>
      </c>
      <c r="BT112" s="165">
        <f t="shared" si="78"/>
        <v>1.7199999999999991</v>
      </c>
      <c r="BU112" s="165">
        <f t="shared" si="78"/>
        <v>1.7199999999999991</v>
      </c>
      <c r="BV112" s="165">
        <f t="shared" si="78"/>
        <v>1.7199999999999991</v>
      </c>
      <c r="BW112" s="165">
        <f t="shared" si="78"/>
        <v>1.7199999999999991</v>
      </c>
      <c r="BX112" s="165">
        <f t="shared" si="78"/>
        <v>1.7199999999999991</v>
      </c>
      <c r="BY112" s="165">
        <f t="shared" si="78"/>
        <v>1.7199999999999991</v>
      </c>
      <c r="BZ112" s="165">
        <f t="shared" si="78"/>
        <v>1.7199999999999991</v>
      </c>
      <c r="CA112" s="165">
        <f t="shared" si="78"/>
        <v>1.7199999999999991</v>
      </c>
      <c r="CB112" s="165">
        <f t="shared" si="78"/>
        <v>1.7199999999999991</v>
      </c>
      <c r="CC112" s="165">
        <f t="shared" si="78"/>
        <v>1.7199999999999991</v>
      </c>
      <c r="CD112" s="165">
        <f t="shared" si="78"/>
        <v>1.7199999999999991</v>
      </c>
      <c r="CE112" s="165">
        <f t="shared" si="78"/>
        <v>1.7199999999999991</v>
      </c>
      <c r="CF112" s="165">
        <f t="shared" si="78"/>
        <v>1.7199999999999991</v>
      </c>
      <c r="CG112" s="165">
        <f t="shared" si="78"/>
        <v>1.7199999999999991</v>
      </c>
      <c r="CH112" s="165">
        <f t="shared" si="78"/>
        <v>1.7199999999999991</v>
      </c>
      <c r="CI112" s="165">
        <f t="shared" si="78"/>
        <v>1.7199999999999991</v>
      </c>
      <c r="CJ112" s="165">
        <f t="shared" si="78"/>
        <v>1.7199999999999991</v>
      </c>
      <c r="CK112" s="165">
        <f t="shared" si="78"/>
        <v>1.7199999999999991</v>
      </c>
    </row>
    <row r="113" spans="2:89">
      <c r="B113" s="14"/>
      <c r="C113" s="14"/>
      <c r="D113" s="14"/>
      <c r="E113" s="1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</row>
    <row r="114" spans="2:89">
      <c r="B114" s="187" t="str">
        <f>$B$81</f>
        <v>Опылительная деятельность</v>
      </c>
      <c r="C114" s="155" t="s">
        <v>44</v>
      </c>
      <c r="D114" s="155"/>
      <c r="E114" s="158"/>
      <c r="F114" s="159">
        <f t="shared" ref="F114:AK114" si="79">IFERROR(LOOKUP(F$29,Продажи_год_прироста,Продажи_уровень_прироста_продукт7),0)</f>
        <v>0</v>
      </c>
      <c r="G114" s="159">
        <f t="shared" si="79"/>
        <v>0</v>
      </c>
      <c r="H114" s="159">
        <f t="shared" si="79"/>
        <v>0</v>
      </c>
      <c r="I114" s="159">
        <f t="shared" si="79"/>
        <v>0</v>
      </c>
      <c r="J114" s="159">
        <f t="shared" si="79"/>
        <v>0</v>
      </c>
      <c r="K114" s="159">
        <f t="shared" si="79"/>
        <v>0</v>
      </c>
      <c r="L114" s="159">
        <f t="shared" si="79"/>
        <v>0</v>
      </c>
      <c r="M114" s="159">
        <f t="shared" si="79"/>
        <v>0</v>
      </c>
      <c r="N114" s="159">
        <f t="shared" si="79"/>
        <v>0</v>
      </c>
      <c r="O114" s="159">
        <f t="shared" si="79"/>
        <v>0</v>
      </c>
      <c r="P114" s="159">
        <f t="shared" si="79"/>
        <v>0</v>
      </c>
      <c r="Q114" s="159">
        <f t="shared" si="79"/>
        <v>0</v>
      </c>
      <c r="R114" s="159">
        <f t="shared" si="79"/>
        <v>0</v>
      </c>
      <c r="S114" s="159">
        <f t="shared" si="79"/>
        <v>0</v>
      </c>
      <c r="T114" s="159">
        <f t="shared" si="79"/>
        <v>0</v>
      </c>
      <c r="U114" s="159">
        <f t="shared" si="79"/>
        <v>0</v>
      </c>
      <c r="V114" s="159">
        <f t="shared" si="79"/>
        <v>0</v>
      </c>
      <c r="W114" s="159">
        <f t="shared" si="79"/>
        <v>0</v>
      </c>
      <c r="X114" s="159">
        <f t="shared" si="79"/>
        <v>0</v>
      </c>
      <c r="Y114" s="159">
        <f t="shared" si="79"/>
        <v>0</v>
      </c>
      <c r="Z114" s="159">
        <f t="shared" si="79"/>
        <v>0</v>
      </c>
      <c r="AA114" s="159">
        <f t="shared" si="79"/>
        <v>0</v>
      </c>
      <c r="AB114" s="159">
        <f t="shared" si="79"/>
        <v>0</v>
      </c>
      <c r="AC114" s="159">
        <f t="shared" si="79"/>
        <v>0</v>
      </c>
      <c r="AD114" s="159">
        <f t="shared" si="79"/>
        <v>1.66</v>
      </c>
      <c r="AE114" s="159">
        <f t="shared" si="79"/>
        <v>1.66</v>
      </c>
      <c r="AF114" s="159">
        <f t="shared" si="79"/>
        <v>1.66</v>
      </c>
      <c r="AG114" s="159">
        <f t="shared" si="79"/>
        <v>1.66</v>
      </c>
      <c r="AH114" s="159">
        <f t="shared" si="79"/>
        <v>1.66</v>
      </c>
      <c r="AI114" s="159">
        <f t="shared" si="79"/>
        <v>1.66</v>
      </c>
      <c r="AJ114" s="159">
        <f t="shared" si="79"/>
        <v>1.66</v>
      </c>
      <c r="AK114" s="159">
        <f t="shared" si="79"/>
        <v>1.66</v>
      </c>
      <c r="AL114" s="159">
        <f t="shared" ref="AL114:BQ114" si="80">IFERROR(LOOKUP(AL$29,Продажи_год_прироста,Продажи_уровень_прироста_продукт7),0)</f>
        <v>1.66</v>
      </c>
      <c r="AM114" s="159">
        <f t="shared" si="80"/>
        <v>1.66</v>
      </c>
      <c r="AN114" s="159">
        <f t="shared" si="80"/>
        <v>1.66</v>
      </c>
      <c r="AO114" s="159">
        <f t="shared" si="80"/>
        <v>1.66</v>
      </c>
      <c r="AP114" s="159">
        <f t="shared" si="80"/>
        <v>0</v>
      </c>
      <c r="AQ114" s="159">
        <f t="shared" si="80"/>
        <v>0</v>
      </c>
      <c r="AR114" s="159">
        <f t="shared" si="80"/>
        <v>0</v>
      </c>
      <c r="AS114" s="159">
        <f t="shared" si="80"/>
        <v>0</v>
      </c>
      <c r="AT114" s="159">
        <f t="shared" si="80"/>
        <v>0</v>
      </c>
      <c r="AU114" s="159">
        <f t="shared" si="80"/>
        <v>0</v>
      </c>
      <c r="AV114" s="159">
        <f t="shared" si="80"/>
        <v>0</v>
      </c>
      <c r="AW114" s="159">
        <f t="shared" si="80"/>
        <v>0</v>
      </c>
      <c r="AX114" s="159">
        <f t="shared" si="80"/>
        <v>0</v>
      </c>
      <c r="AY114" s="159">
        <f t="shared" si="80"/>
        <v>0</v>
      </c>
      <c r="AZ114" s="159">
        <f t="shared" si="80"/>
        <v>0</v>
      </c>
      <c r="BA114" s="159">
        <f t="shared" si="80"/>
        <v>0</v>
      </c>
      <c r="BB114" s="159">
        <f t="shared" si="80"/>
        <v>0</v>
      </c>
      <c r="BC114" s="159">
        <f t="shared" si="80"/>
        <v>0</v>
      </c>
      <c r="BD114" s="159">
        <f t="shared" si="80"/>
        <v>0</v>
      </c>
      <c r="BE114" s="159">
        <f t="shared" si="80"/>
        <v>0</v>
      </c>
      <c r="BF114" s="159">
        <f t="shared" si="80"/>
        <v>0</v>
      </c>
      <c r="BG114" s="159">
        <f t="shared" si="80"/>
        <v>0</v>
      </c>
      <c r="BH114" s="159">
        <f t="shared" si="80"/>
        <v>0</v>
      </c>
      <c r="BI114" s="159">
        <f t="shared" si="80"/>
        <v>0</v>
      </c>
      <c r="BJ114" s="159">
        <f t="shared" si="80"/>
        <v>0</v>
      </c>
      <c r="BK114" s="159">
        <f t="shared" si="80"/>
        <v>0</v>
      </c>
      <c r="BL114" s="159">
        <f t="shared" si="80"/>
        <v>0</v>
      </c>
      <c r="BM114" s="159">
        <f t="shared" si="80"/>
        <v>0</v>
      </c>
      <c r="BN114" s="159">
        <f t="shared" si="80"/>
        <v>0</v>
      </c>
      <c r="BO114" s="159">
        <f t="shared" si="80"/>
        <v>0</v>
      </c>
      <c r="BP114" s="159">
        <f t="shared" si="80"/>
        <v>0</v>
      </c>
      <c r="BQ114" s="159">
        <f t="shared" si="80"/>
        <v>0</v>
      </c>
      <c r="BR114" s="159">
        <f t="shared" ref="BR114:CK114" si="81">IFERROR(LOOKUP(BR$29,Продажи_год_прироста,Продажи_уровень_прироста_продукт7),0)</f>
        <v>0</v>
      </c>
      <c r="BS114" s="159">
        <f t="shared" si="81"/>
        <v>0</v>
      </c>
      <c r="BT114" s="159">
        <f t="shared" si="81"/>
        <v>0</v>
      </c>
      <c r="BU114" s="159">
        <f t="shared" si="81"/>
        <v>0</v>
      </c>
      <c r="BV114" s="159">
        <f t="shared" si="81"/>
        <v>0</v>
      </c>
      <c r="BW114" s="159">
        <f t="shared" si="81"/>
        <v>0</v>
      </c>
      <c r="BX114" s="159">
        <f t="shared" si="81"/>
        <v>0</v>
      </c>
      <c r="BY114" s="159">
        <f t="shared" si="81"/>
        <v>0</v>
      </c>
      <c r="BZ114" s="159">
        <f t="shared" si="81"/>
        <v>0</v>
      </c>
      <c r="CA114" s="159">
        <f t="shared" si="81"/>
        <v>0</v>
      </c>
      <c r="CB114" s="159">
        <f t="shared" si="81"/>
        <v>0</v>
      </c>
      <c r="CC114" s="159">
        <f t="shared" si="81"/>
        <v>0</v>
      </c>
      <c r="CD114" s="159">
        <f t="shared" si="81"/>
        <v>0</v>
      </c>
      <c r="CE114" s="159">
        <f t="shared" si="81"/>
        <v>0</v>
      </c>
      <c r="CF114" s="159">
        <f t="shared" si="81"/>
        <v>0</v>
      </c>
      <c r="CG114" s="159">
        <f t="shared" si="81"/>
        <v>0</v>
      </c>
      <c r="CH114" s="159">
        <f t="shared" si="81"/>
        <v>0</v>
      </c>
      <c r="CI114" s="159">
        <f t="shared" si="81"/>
        <v>0</v>
      </c>
      <c r="CJ114" s="159">
        <f t="shared" si="81"/>
        <v>0</v>
      </c>
      <c r="CK114" s="159">
        <f t="shared" si="81"/>
        <v>0</v>
      </c>
    </row>
    <row r="115" spans="2:89" ht="15.75" thickBot="1">
      <c r="B115" s="187" t="str">
        <f t="shared" ref="B115:B116" si="82">$B$81</f>
        <v>Опылительная деятельность</v>
      </c>
      <c r="C115" s="155" t="s">
        <v>45</v>
      </c>
      <c r="D115" s="155"/>
      <c r="E115" s="158"/>
      <c r="F115" s="159">
        <f>(1+F114)^(F$26/F$20)-1</f>
        <v>0</v>
      </c>
      <c r="G115" s="159">
        <f t="shared" ref="G115:BR115" si="83">(1+G114)^(G$26/G$20)-1</f>
        <v>0</v>
      </c>
      <c r="H115" s="159">
        <f t="shared" si="83"/>
        <v>0</v>
      </c>
      <c r="I115" s="159">
        <f t="shared" si="83"/>
        <v>0</v>
      </c>
      <c r="J115" s="159">
        <f t="shared" si="83"/>
        <v>0</v>
      </c>
      <c r="K115" s="159">
        <f t="shared" si="83"/>
        <v>0</v>
      </c>
      <c r="L115" s="159">
        <f t="shared" si="83"/>
        <v>0</v>
      </c>
      <c r="M115" s="159">
        <f t="shared" si="83"/>
        <v>0</v>
      </c>
      <c r="N115" s="159">
        <f t="shared" si="83"/>
        <v>0</v>
      </c>
      <c r="O115" s="159">
        <f t="shared" si="83"/>
        <v>0</v>
      </c>
      <c r="P115" s="159">
        <f t="shared" si="83"/>
        <v>0</v>
      </c>
      <c r="Q115" s="159">
        <f t="shared" si="83"/>
        <v>0</v>
      </c>
      <c r="R115" s="159">
        <f t="shared" si="83"/>
        <v>0</v>
      </c>
      <c r="S115" s="159">
        <f t="shared" si="83"/>
        <v>0</v>
      </c>
      <c r="T115" s="159">
        <f t="shared" si="83"/>
        <v>0</v>
      </c>
      <c r="U115" s="159">
        <f t="shared" si="83"/>
        <v>0</v>
      </c>
      <c r="V115" s="159">
        <f t="shared" si="83"/>
        <v>0</v>
      </c>
      <c r="W115" s="159">
        <f t="shared" si="83"/>
        <v>0</v>
      </c>
      <c r="X115" s="159">
        <f t="shared" si="83"/>
        <v>0</v>
      </c>
      <c r="Y115" s="159">
        <f t="shared" si="83"/>
        <v>0</v>
      </c>
      <c r="Z115" s="159">
        <f t="shared" si="83"/>
        <v>0</v>
      </c>
      <c r="AA115" s="159">
        <f t="shared" si="83"/>
        <v>0</v>
      </c>
      <c r="AB115" s="159">
        <f t="shared" si="83"/>
        <v>0</v>
      </c>
      <c r="AC115" s="159">
        <f t="shared" si="83"/>
        <v>0</v>
      </c>
      <c r="AD115" s="159">
        <f t="shared" si="83"/>
        <v>8.3731703359687604E-2</v>
      </c>
      <c r="AE115" s="159">
        <f t="shared" si="83"/>
        <v>8.6640375180792262E-2</v>
      </c>
      <c r="AF115" s="159">
        <f t="shared" si="83"/>
        <v>8.3731703359687604E-2</v>
      </c>
      <c r="AG115" s="159">
        <f t="shared" si="83"/>
        <v>8.6640375180792262E-2</v>
      </c>
      <c r="AH115" s="159">
        <f t="shared" si="83"/>
        <v>8.6640375180792262E-2</v>
      </c>
      <c r="AI115" s="159">
        <f t="shared" si="83"/>
        <v>8.3731703359687604E-2</v>
      </c>
      <c r="AJ115" s="159">
        <f t="shared" si="83"/>
        <v>8.6640375180792262E-2</v>
      </c>
      <c r="AK115" s="159">
        <f t="shared" si="83"/>
        <v>8.3731703359687604E-2</v>
      </c>
      <c r="AL115" s="159">
        <f t="shared" si="83"/>
        <v>8.6640375180792262E-2</v>
      </c>
      <c r="AM115" s="159">
        <f t="shared" si="83"/>
        <v>8.6640375180792262E-2</v>
      </c>
      <c r="AN115" s="159">
        <f t="shared" si="83"/>
        <v>7.7937696296452863E-2</v>
      </c>
      <c r="AO115" s="159">
        <f t="shared" si="83"/>
        <v>8.6640375180792262E-2</v>
      </c>
      <c r="AP115" s="159">
        <f t="shared" si="83"/>
        <v>0</v>
      </c>
      <c r="AQ115" s="159">
        <f t="shared" si="83"/>
        <v>0</v>
      </c>
      <c r="AR115" s="159">
        <f t="shared" si="83"/>
        <v>0</v>
      </c>
      <c r="AS115" s="159">
        <f t="shared" si="83"/>
        <v>0</v>
      </c>
      <c r="AT115" s="159">
        <f t="shared" si="83"/>
        <v>0</v>
      </c>
      <c r="AU115" s="159">
        <f t="shared" si="83"/>
        <v>0</v>
      </c>
      <c r="AV115" s="159">
        <f t="shared" si="83"/>
        <v>0</v>
      </c>
      <c r="AW115" s="159">
        <f t="shared" si="83"/>
        <v>0</v>
      </c>
      <c r="AX115" s="159">
        <f t="shared" si="83"/>
        <v>0</v>
      </c>
      <c r="AY115" s="159">
        <f t="shared" si="83"/>
        <v>0</v>
      </c>
      <c r="AZ115" s="159">
        <f t="shared" si="83"/>
        <v>0</v>
      </c>
      <c r="BA115" s="159">
        <f t="shared" si="83"/>
        <v>0</v>
      </c>
      <c r="BB115" s="159">
        <f t="shared" si="83"/>
        <v>0</v>
      </c>
      <c r="BC115" s="159">
        <f t="shared" si="83"/>
        <v>0</v>
      </c>
      <c r="BD115" s="159">
        <f t="shared" si="83"/>
        <v>0</v>
      </c>
      <c r="BE115" s="159">
        <f t="shared" si="83"/>
        <v>0</v>
      </c>
      <c r="BF115" s="159">
        <f t="shared" si="83"/>
        <v>0</v>
      </c>
      <c r="BG115" s="159">
        <f t="shared" si="83"/>
        <v>0</v>
      </c>
      <c r="BH115" s="159">
        <f t="shared" si="83"/>
        <v>0</v>
      </c>
      <c r="BI115" s="159">
        <f t="shared" si="83"/>
        <v>0</v>
      </c>
      <c r="BJ115" s="159">
        <f t="shared" si="83"/>
        <v>0</v>
      </c>
      <c r="BK115" s="159">
        <f t="shared" si="83"/>
        <v>0</v>
      </c>
      <c r="BL115" s="159">
        <f t="shared" si="83"/>
        <v>0</v>
      </c>
      <c r="BM115" s="159">
        <f t="shared" si="83"/>
        <v>0</v>
      </c>
      <c r="BN115" s="159">
        <f t="shared" si="83"/>
        <v>0</v>
      </c>
      <c r="BO115" s="159">
        <f t="shared" si="83"/>
        <v>0</v>
      </c>
      <c r="BP115" s="159">
        <f t="shared" si="83"/>
        <v>0</v>
      </c>
      <c r="BQ115" s="159">
        <f t="shared" si="83"/>
        <v>0</v>
      </c>
      <c r="BR115" s="159">
        <f t="shared" si="83"/>
        <v>0</v>
      </c>
      <c r="BS115" s="159">
        <f t="shared" ref="BS115:CK115" si="84">(1+BS114)^(BS$26/BS$20)-1</f>
        <v>0</v>
      </c>
      <c r="BT115" s="159">
        <f t="shared" si="84"/>
        <v>0</v>
      </c>
      <c r="BU115" s="159">
        <f t="shared" si="84"/>
        <v>0</v>
      </c>
      <c r="BV115" s="159">
        <f t="shared" si="84"/>
        <v>0</v>
      </c>
      <c r="BW115" s="159">
        <f t="shared" si="84"/>
        <v>0</v>
      </c>
      <c r="BX115" s="159">
        <f t="shared" si="84"/>
        <v>0</v>
      </c>
      <c r="BY115" s="159">
        <f t="shared" si="84"/>
        <v>0</v>
      </c>
      <c r="BZ115" s="159">
        <f t="shared" si="84"/>
        <v>0</v>
      </c>
      <c r="CA115" s="159">
        <f t="shared" si="84"/>
        <v>0</v>
      </c>
      <c r="CB115" s="159">
        <f t="shared" si="84"/>
        <v>0</v>
      </c>
      <c r="CC115" s="159">
        <f t="shared" si="84"/>
        <v>0</v>
      </c>
      <c r="CD115" s="159">
        <f t="shared" si="84"/>
        <v>0</v>
      </c>
      <c r="CE115" s="159">
        <f t="shared" si="84"/>
        <v>0</v>
      </c>
      <c r="CF115" s="159">
        <f t="shared" si="84"/>
        <v>0</v>
      </c>
      <c r="CG115" s="159">
        <f t="shared" si="84"/>
        <v>0</v>
      </c>
      <c r="CH115" s="159">
        <f t="shared" si="84"/>
        <v>0</v>
      </c>
      <c r="CI115" s="159">
        <f t="shared" si="84"/>
        <v>0</v>
      </c>
      <c r="CJ115" s="159">
        <f t="shared" si="84"/>
        <v>0</v>
      </c>
      <c r="CK115" s="159">
        <f t="shared" si="84"/>
        <v>0</v>
      </c>
    </row>
    <row r="116" spans="2:89" ht="15.75" thickTop="1">
      <c r="B116" s="161" t="str">
        <f t="shared" si="82"/>
        <v>Опылительная деятельность</v>
      </c>
      <c r="C116" s="161" t="s">
        <v>46</v>
      </c>
      <c r="D116" s="161"/>
      <c r="E116" s="164">
        <v>1</v>
      </c>
      <c r="F116" s="165">
        <f>IF(AND(E116=0,F115&gt;0),F115,E116*(1+F115))</f>
        <v>1</v>
      </c>
      <c r="G116" s="165">
        <f t="shared" ref="G116:BR116" si="85">IF(AND(F116=0,G115&gt;0),G115,F116*(1+G115))</f>
        <v>1</v>
      </c>
      <c r="H116" s="165">
        <f t="shared" si="85"/>
        <v>1</v>
      </c>
      <c r="I116" s="165">
        <f t="shared" si="85"/>
        <v>1</v>
      </c>
      <c r="J116" s="165">
        <f t="shared" si="85"/>
        <v>1</v>
      </c>
      <c r="K116" s="165">
        <f t="shared" si="85"/>
        <v>1</v>
      </c>
      <c r="L116" s="165">
        <f t="shared" si="85"/>
        <v>1</v>
      </c>
      <c r="M116" s="165">
        <f t="shared" si="85"/>
        <v>1</v>
      </c>
      <c r="N116" s="165">
        <f t="shared" si="85"/>
        <v>1</v>
      </c>
      <c r="O116" s="165">
        <f t="shared" si="85"/>
        <v>1</v>
      </c>
      <c r="P116" s="165">
        <f t="shared" si="85"/>
        <v>1</v>
      </c>
      <c r="Q116" s="165">
        <f t="shared" si="85"/>
        <v>1</v>
      </c>
      <c r="R116" s="165">
        <f t="shared" si="85"/>
        <v>1</v>
      </c>
      <c r="S116" s="165">
        <f t="shared" si="85"/>
        <v>1</v>
      </c>
      <c r="T116" s="165">
        <f t="shared" si="85"/>
        <v>1</v>
      </c>
      <c r="U116" s="165">
        <f t="shared" si="85"/>
        <v>1</v>
      </c>
      <c r="V116" s="165">
        <f t="shared" si="85"/>
        <v>1</v>
      </c>
      <c r="W116" s="165">
        <f t="shared" si="85"/>
        <v>1</v>
      </c>
      <c r="X116" s="165">
        <f t="shared" si="85"/>
        <v>1</v>
      </c>
      <c r="Y116" s="165">
        <f t="shared" si="85"/>
        <v>1</v>
      </c>
      <c r="Z116" s="165">
        <f t="shared" si="85"/>
        <v>1</v>
      </c>
      <c r="AA116" s="165">
        <f t="shared" si="85"/>
        <v>1</v>
      </c>
      <c r="AB116" s="165">
        <f t="shared" si="85"/>
        <v>1</v>
      </c>
      <c r="AC116" s="165">
        <f t="shared" si="85"/>
        <v>1</v>
      </c>
      <c r="AD116" s="165">
        <f t="shared" si="85"/>
        <v>1.0837317033596876</v>
      </c>
      <c r="AE116" s="165">
        <f t="shared" si="85"/>
        <v>1.1776266247340901</v>
      </c>
      <c r="AF116" s="165">
        <f t="shared" si="85"/>
        <v>1.2762313079447951</v>
      </c>
      <c r="AG116" s="165">
        <f t="shared" si="85"/>
        <v>1.3868044672826054</v>
      </c>
      <c r="AH116" s="165">
        <f t="shared" si="85"/>
        <v>1.5069577266303691</v>
      </c>
      <c r="AI116" s="165">
        <f t="shared" si="85"/>
        <v>1.6331378639721723</v>
      </c>
      <c r="AJ116" s="165">
        <f t="shared" si="85"/>
        <v>1.7746335412286789</v>
      </c>
      <c r="AK116" s="165">
        <f t="shared" si="85"/>
        <v>1.9232266304749905</v>
      </c>
      <c r="AL116" s="165">
        <f t="shared" si="85"/>
        <v>2.0898557072970347</v>
      </c>
      <c r="AM116" s="165">
        <f t="shared" si="85"/>
        <v>2.2709215898509698</v>
      </c>
      <c r="AN116" s="165">
        <f t="shared" si="85"/>
        <v>2.4479119870338324</v>
      </c>
      <c r="AO116" s="165">
        <f t="shared" si="85"/>
        <v>2.6600000000000024</v>
      </c>
      <c r="AP116" s="165">
        <f t="shared" si="85"/>
        <v>2.6600000000000024</v>
      </c>
      <c r="AQ116" s="165">
        <f t="shared" si="85"/>
        <v>2.6600000000000024</v>
      </c>
      <c r="AR116" s="165">
        <f t="shared" si="85"/>
        <v>2.6600000000000024</v>
      </c>
      <c r="AS116" s="165">
        <f t="shared" si="85"/>
        <v>2.6600000000000024</v>
      </c>
      <c r="AT116" s="165">
        <f t="shared" si="85"/>
        <v>2.6600000000000024</v>
      </c>
      <c r="AU116" s="165">
        <f t="shared" si="85"/>
        <v>2.6600000000000024</v>
      </c>
      <c r="AV116" s="165">
        <f t="shared" si="85"/>
        <v>2.6600000000000024</v>
      </c>
      <c r="AW116" s="165">
        <f t="shared" si="85"/>
        <v>2.6600000000000024</v>
      </c>
      <c r="AX116" s="165">
        <f t="shared" si="85"/>
        <v>2.6600000000000024</v>
      </c>
      <c r="AY116" s="165">
        <f t="shared" si="85"/>
        <v>2.6600000000000024</v>
      </c>
      <c r="AZ116" s="165">
        <f t="shared" si="85"/>
        <v>2.6600000000000024</v>
      </c>
      <c r="BA116" s="165">
        <f t="shared" si="85"/>
        <v>2.6600000000000024</v>
      </c>
      <c r="BB116" s="165">
        <f t="shared" si="85"/>
        <v>2.6600000000000024</v>
      </c>
      <c r="BC116" s="165">
        <f t="shared" si="85"/>
        <v>2.6600000000000024</v>
      </c>
      <c r="BD116" s="165">
        <f t="shared" si="85"/>
        <v>2.6600000000000024</v>
      </c>
      <c r="BE116" s="165">
        <f t="shared" si="85"/>
        <v>2.6600000000000024</v>
      </c>
      <c r="BF116" s="165">
        <f t="shared" si="85"/>
        <v>2.6600000000000024</v>
      </c>
      <c r="BG116" s="165">
        <f t="shared" si="85"/>
        <v>2.6600000000000024</v>
      </c>
      <c r="BH116" s="165">
        <f t="shared" si="85"/>
        <v>2.6600000000000024</v>
      </c>
      <c r="BI116" s="165">
        <f t="shared" si="85"/>
        <v>2.6600000000000024</v>
      </c>
      <c r="BJ116" s="165">
        <f t="shared" si="85"/>
        <v>2.6600000000000024</v>
      </c>
      <c r="BK116" s="165">
        <f t="shared" si="85"/>
        <v>2.6600000000000024</v>
      </c>
      <c r="BL116" s="165">
        <f t="shared" si="85"/>
        <v>2.6600000000000024</v>
      </c>
      <c r="BM116" s="165">
        <f t="shared" si="85"/>
        <v>2.6600000000000024</v>
      </c>
      <c r="BN116" s="165">
        <f t="shared" si="85"/>
        <v>2.6600000000000024</v>
      </c>
      <c r="BO116" s="165">
        <f t="shared" si="85"/>
        <v>2.6600000000000024</v>
      </c>
      <c r="BP116" s="165">
        <f t="shared" si="85"/>
        <v>2.6600000000000024</v>
      </c>
      <c r="BQ116" s="165">
        <f t="shared" si="85"/>
        <v>2.6600000000000024</v>
      </c>
      <c r="BR116" s="165">
        <f t="shared" si="85"/>
        <v>2.6600000000000024</v>
      </c>
      <c r="BS116" s="165">
        <f t="shared" ref="BS116:CK116" si="86">IF(AND(BR116=0,BS115&gt;0),BS115,BR116*(1+BS115))</f>
        <v>2.6600000000000024</v>
      </c>
      <c r="BT116" s="165">
        <f t="shared" si="86"/>
        <v>2.6600000000000024</v>
      </c>
      <c r="BU116" s="165">
        <f t="shared" si="86"/>
        <v>2.6600000000000024</v>
      </c>
      <c r="BV116" s="165">
        <f t="shared" si="86"/>
        <v>2.6600000000000024</v>
      </c>
      <c r="BW116" s="165">
        <f t="shared" si="86"/>
        <v>2.6600000000000024</v>
      </c>
      <c r="BX116" s="165">
        <f t="shared" si="86"/>
        <v>2.6600000000000024</v>
      </c>
      <c r="BY116" s="165">
        <f t="shared" si="86"/>
        <v>2.6600000000000024</v>
      </c>
      <c r="BZ116" s="165">
        <f t="shared" si="86"/>
        <v>2.6600000000000024</v>
      </c>
      <c r="CA116" s="165">
        <f t="shared" si="86"/>
        <v>2.6600000000000024</v>
      </c>
      <c r="CB116" s="165">
        <f t="shared" si="86"/>
        <v>2.6600000000000024</v>
      </c>
      <c r="CC116" s="165">
        <f t="shared" si="86"/>
        <v>2.6600000000000024</v>
      </c>
      <c r="CD116" s="165">
        <f t="shared" si="86"/>
        <v>2.6600000000000024</v>
      </c>
      <c r="CE116" s="165">
        <f t="shared" si="86"/>
        <v>2.6600000000000024</v>
      </c>
      <c r="CF116" s="165">
        <f t="shared" si="86"/>
        <v>2.6600000000000024</v>
      </c>
      <c r="CG116" s="165">
        <f t="shared" si="86"/>
        <v>2.6600000000000024</v>
      </c>
      <c r="CH116" s="165">
        <f t="shared" si="86"/>
        <v>2.6600000000000024</v>
      </c>
      <c r="CI116" s="165">
        <f t="shared" si="86"/>
        <v>2.6600000000000024</v>
      </c>
      <c r="CJ116" s="165">
        <f t="shared" si="86"/>
        <v>2.6600000000000024</v>
      </c>
      <c r="CK116" s="165">
        <f t="shared" si="86"/>
        <v>2.6600000000000024</v>
      </c>
    </row>
    <row r="117" spans="2:89">
      <c r="B117" s="14"/>
      <c r="C117" s="14"/>
      <c r="D117" s="14"/>
      <c r="E117" s="1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</row>
    <row r="118" spans="2:89">
      <c r="B118" s="187" t="str">
        <f>$B$82</f>
        <v>Реализация пчелопакетов</v>
      </c>
      <c r="C118" s="155" t="s">
        <v>44</v>
      </c>
      <c r="D118" s="155"/>
      <c r="E118" s="158"/>
      <c r="F118" s="159">
        <f t="shared" ref="F118:AK118" si="87">IFERROR(LOOKUP(F$29,Продажи_год_прироста,Продажи_уровень_прироста_продукт8),0)</f>
        <v>0</v>
      </c>
      <c r="G118" s="159">
        <f t="shared" si="87"/>
        <v>0</v>
      </c>
      <c r="H118" s="159">
        <f t="shared" si="87"/>
        <v>0</v>
      </c>
      <c r="I118" s="159">
        <f t="shared" si="87"/>
        <v>0</v>
      </c>
      <c r="J118" s="159">
        <f t="shared" si="87"/>
        <v>0</v>
      </c>
      <c r="K118" s="159">
        <f t="shared" si="87"/>
        <v>0</v>
      </c>
      <c r="L118" s="159">
        <f t="shared" si="87"/>
        <v>0</v>
      </c>
      <c r="M118" s="159">
        <f t="shared" si="87"/>
        <v>0</v>
      </c>
      <c r="N118" s="159">
        <f t="shared" si="87"/>
        <v>0</v>
      </c>
      <c r="O118" s="159">
        <f t="shared" si="87"/>
        <v>0</v>
      </c>
      <c r="P118" s="159">
        <f t="shared" si="87"/>
        <v>0</v>
      </c>
      <c r="Q118" s="159">
        <f t="shared" si="87"/>
        <v>0</v>
      </c>
      <c r="R118" s="159">
        <f t="shared" si="87"/>
        <v>0</v>
      </c>
      <c r="S118" s="159">
        <f t="shared" si="87"/>
        <v>0</v>
      </c>
      <c r="T118" s="159">
        <f t="shared" si="87"/>
        <v>0</v>
      </c>
      <c r="U118" s="159">
        <f t="shared" si="87"/>
        <v>0</v>
      </c>
      <c r="V118" s="159">
        <f t="shared" si="87"/>
        <v>0</v>
      </c>
      <c r="W118" s="159">
        <f t="shared" si="87"/>
        <v>0</v>
      </c>
      <c r="X118" s="159">
        <f t="shared" si="87"/>
        <v>0</v>
      </c>
      <c r="Y118" s="159">
        <f t="shared" si="87"/>
        <v>0</v>
      </c>
      <c r="Z118" s="159">
        <f t="shared" si="87"/>
        <v>0</v>
      </c>
      <c r="AA118" s="159">
        <f t="shared" si="87"/>
        <v>0</v>
      </c>
      <c r="AB118" s="159">
        <f t="shared" si="87"/>
        <v>0</v>
      </c>
      <c r="AC118" s="159">
        <f t="shared" si="87"/>
        <v>0</v>
      </c>
      <c r="AD118" s="159">
        <f t="shared" si="87"/>
        <v>0.33</v>
      </c>
      <c r="AE118" s="159">
        <f t="shared" si="87"/>
        <v>0.33</v>
      </c>
      <c r="AF118" s="159">
        <f t="shared" si="87"/>
        <v>0.33</v>
      </c>
      <c r="AG118" s="159">
        <f t="shared" si="87"/>
        <v>0.33</v>
      </c>
      <c r="AH118" s="159">
        <f t="shared" si="87"/>
        <v>0.33</v>
      </c>
      <c r="AI118" s="159">
        <f t="shared" si="87"/>
        <v>0.33</v>
      </c>
      <c r="AJ118" s="159">
        <f t="shared" si="87"/>
        <v>0.33</v>
      </c>
      <c r="AK118" s="159">
        <f t="shared" si="87"/>
        <v>0.33</v>
      </c>
      <c r="AL118" s="159">
        <f t="shared" ref="AL118:BQ118" si="88">IFERROR(LOOKUP(AL$29,Продажи_год_прироста,Продажи_уровень_прироста_продукт8),0)</f>
        <v>0.33</v>
      </c>
      <c r="AM118" s="159">
        <f t="shared" si="88"/>
        <v>0.33</v>
      </c>
      <c r="AN118" s="159">
        <f t="shared" si="88"/>
        <v>0.33</v>
      </c>
      <c r="AO118" s="159">
        <f t="shared" si="88"/>
        <v>0.33</v>
      </c>
      <c r="AP118" s="159">
        <f t="shared" si="88"/>
        <v>0</v>
      </c>
      <c r="AQ118" s="159">
        <f t="shared" si="88"/>
        <v>0</v>
      </c>
      <c r="AR118" s="159">
        <f t="shared" si="88"/>
        <v>0</v>
      </c>
      <c r="AS118" s="159">
        <f t="shared" si="88"/>
        <v>0</v>
      </c>
      <c r="AT118" s="159">
        <f t="shared" si="88"/>
        <v>0</v>
      </c>
      <c r="AU118" s="159">
        <f t="shared" si="88"/>
        <v>0</v>
      </c>
      <c r="AV118" s="159">
        <f t="shared" si="88"/>
        <v>0</v>
      </c>
      <c r="AW118" s="159">
        <f t="shared" si="88"/>
        <v>0</v>
      </c>
      <c r="AX118" s="159">
        <f t="shared" si="88"/>
        <v>0</v>
      </c>
      <c r="AY118" s="159">
        <f t="shared" si="88"/>
        <v>0</v>
      </c>
      <c r="AZ118" s="159">
        <f t="shared" si="88"/>
        <v>0</v>
      </c>
      <c r="BA118" s="159">
        <f t="shared" si="88"/>
        <v>0</v>
      </c>
      <c r="BB118" s="159">
        <f t="shared" si="88"/>
        <v>0</v>
      </c>
      <c r="BC118" s="159">
        <f t="shared" si="88"/>
        <v>0</v>
      </c>
      <c r="BD118" s="159">
        <f t="shared" si="88"/>
        <v>0</v>
      </c>
      <c r="BE118" s="159">
        <f t="shared" si="88"/>
        <v>0</v>
      </c>
      <c r="BF118" s="159">
        <f t="shared" si="88"/>
        <v>0</v>
      </c>
      <c r="BG118" s="159">
        <f t="shared" si="88"/>
        <v>0</v>
      </c>
      <c r="BH118" s="159">
        <f t="shared" si="88"/>
        <v>0</v>
      </c>
      <c r="BI118" s="159">
        <f t="shared" si="88"/>
        <v>0</v>
      </c>
      <c r="BJ118" s="159">
        <f t="shared" si="88"/>
        <v>0</v>
      </c>
      <c r="BK118" s="159">
        <f t="shared" si="88"/>
        <v>0</v>
      </c>
      <c r="BL118" s="159">
        <f t="shared" si="88"/>
        <v>0</v>
      </c>
      <c r="BM118" s="159">
        <f t="shared" si="88"/>
        <v>0</v>
      </c>
      <c r="BN118" s="159">
        <f t="shared" si="88"/>
        <v>0</v>
      </c>
      <c r="BO118" s="159">
        <f t="shared" si="88"/>
        <v>0</v>
      </c>
      <c r="BP118" s="159">
        <f t="shared" si="88"/>
        <v>0</v>
      </c>
      <c r="BQ118" s="159">
        <f t="shared" si="88"/>
        <v>0</v>
      </c>
      <c r="BR118" s="159">
        <f t="shared" ref="BR118:CK118" si="89">IFERROR(LOOKUP(BR$29,Продажи_год_прироста,Продажи_уровень_прироста_продукт8),0)</f>
        <v>0</v>
      </c>
      <c r="BS118" s="159">
        <f t="shared" si="89"/>
        <v>0</v>
      </c>
      <c r="BT118" s="159">
        <f t="shared" si="89"/>
        <v>0</v>
      </c>
      <c r="BU118" s="159">
        <f t="shared" si="89"/>
        <v>0</v>
      </c>
      <c r="BV118" s="159">
        <f t="shared" si="89"/>
        <v>0</v>
      </c>
      <c r="BW118" s="159">
        <f t="shared" si="89"/>
        <v>0</v>
      </c>
      <c r="BX118" s="159">
        <f t="shared" si="89"/>
        <v>0</v>
      </c>
      <c r="BY118" s="159">
        <f t="shared" si="89"/>
        <v>0</v>
      </c>
      <c r="BZ118" s="159">
        <f t="shared" si="89"/>
        <v>0</v>
      </c>
      <c r="CA118" s="159">
        <f t="shared" si="89"/>
        <v>0</v>
      </c>
      <c r="CB118" s="159">
        <f t="shared" si="89"/>
        <v>0</v>
      </c>
      <c r="CC118" s="159">
        <f t="shared" si="89"/>
        <v>0</v>
      </c>
      <c r="CD118" s="159">
        <f t="shared" si="89"/>
        <v>0</v>
      </c>
      <c r="CE118" s="159">
        <f t="shared" si="89"/>
        <v>0</v>
      </c>
      <c r="CF118" s="159">
        <f t="shared" si="89"/>
        <v>0</v>
      </c>
      <c r="CG118" s="159">
        <f t="shared" si="89"/>
        <v>0</v>
      </c>
      <c r="CH118" s="159">
        <f t="shared" si="89"/>
        <v>0</v>
      </c>
      <c r="CI118" s="159">
        <f t="shared" si="89"/>
        <v>0</v>
      </c>
      <c r="CJ118" s="159">
        <f t="shared" si="89"/>
        <v>0</v>
      </c>
      <c r="CK118" s="159">
        <f t="shared" si="89"/>
        <v>0</v>
      </c>
    </row>
    <row r="119" spans="2:89" ht="15.75" thickBot="1">
      <c r="B119" s="187" t="str">
        <f t="shared" ref="B119:B120" si="90">$B$82</f>
        <v>Реализация пчелопакетов</v>
      </c>
      <c r="C119" s="155" t="s">
        <v>45</v>
      </c>
      <c r="D119" s="155"/>
      <c r="E119" s="158"/>
      <c r="F119" s="159">
        <f>(1+F118)^(F$26/F$20)-1</f>
        <v>0</v>
      </c>
      <c r="G119" s="159">
        <f t="shared" ref="G119:BR119" si="91">(1+G118)^(G$26/G$20)-1</f>
        <v>0</v>
      </c>
      <c r="H119" s="159">
        <f t="shared" si="91"/>
        <v>0</v>
      </c>
      <c r="I119" s="159">
        <f t="shared" si="91"/>
        <v>0</v>
      </c>
      <c r="J119" s="159">
        <f t="shared" si="91"/>
        <v>0</v>
      </c>
      <c r="K119" s="159">
        <f t="shared" si="91"/>
        <v>0</v>
      </c>
      <c r="L119" s="159">
        <f t="shared" si="91"/>
        <v>0</v>
      </c>
      <c r="M119" s="159">
        <f t="shared" si="91"/>
        <v>0</v>
      </c>
      <c r="N119" s="159">
        <f t="shared" si="91"/>
        <v>0</v>
      </c>
      <c r="O119" s="159">
        <f t="shared" si="91"/>
        <v>0</v>
      </c>
      <c r="P119" s="159">
        <f t="shared" si="91"/>
        <v>0</v>
      </c>
      <c r="Q119" s="159">
        <f t="shared" si="91"/>
        <v>0</v>
      </c>
      <c r="R119" s="159">
        <f t="shared" si="91"/>
        <v>0</v>
      </c>
      <c r="S119" s="159">
        <f t="shared" si="91"/>
        <v>0</v>
      </c>
      <c r="T119" s="159">
        <f t="shared" si="91"/>
        <v>0</v>
      </c>
      <c r="U119" s="159">
        <f t="shared" si="91"/>
        <v>0</v>
      </c>
      <c r="V119" s="159">
        <f t="shared" si="91"/>
        <v>0</v>
      </c>
      <c r="W119" s="159">
        <f t="shared" si="91"/>
        <v>0</v>
      </c>
      <c r="X119" s="159">
        <f t="shared" si="91"/>
        <v>0</v>
      </c>
      <c r="Y119" s="159">
        <f t="shared" si="91"/>
        <v>0</v>
      </c>
      <c r="Z119" s="159">
        <f t="shared" si="91"/>
        <v>0</v>
      </c>
      <c r="AA119" s="159">
        <f t="shared" si="91"/>
        <v>0</v>
      </c>
      <c r="AB119" s="159">
        <f t="shared" si="91"/>
        <v>0</v>
      </c>
      <c r="AC119" s="159">
        <f t="shared" si="91"/>
        <v>0</v>
      </c>
      <c r="AD119" s="159">
        <f t="shared" si="91"/>
        <v>2.3716225949163894E-2</v>
      </c>
      <c r="AE119" s="159">
        <f t="shared" si="91"/>
        <v>2.4516380440156249E-2</v>
      </c>
      <c r="AF119" s="159">
        <f t="shared" si="91"/>
        <v>2.3716225949163894E-2</v>
      </c>
      <c r="AG119" s="159">
        <f t="shared" si="91"/>
        <v>2.4516380440156249E-2</v>
      </c>
      <c r="AH119" s="159">
        <f t="shared" si="91"/>
        <v>2.4516380440156249E-2</v>
      </c>
      <c r="AI119" s="159">
        <f t="shared" si="91"/>
        <v>2.3716225949163894E-2</v>
      </c>
      <c r="AJ119" s="159">
        <f t="shared" si="91"/>
        <v>2.4516380440156249E-2</v>
      </c>
      <c r="AK119" s="159">
        <f t="shared" si="91"/>
        <v>2.3716225949163894E-2</v>
      </c>
      <c r="AL119" s="159">
        <f t="shared" si="91"/>
        <v>2.4516380440156249E-2</v>
      </c>
      <c r="AM119" s="159">
        <f t="shared" si="91"/>
        <v>2.4516380440156249E-2</v>
      </c>
      <c r="AN119" s="159">
        <f t="shared" si="91"/>
        <v>2.2117791257944663E-2</v>
      </c>
      <c r="AO119" s="159">
        <f t="shared" si="91"/>
        <v>2.4516380440156249E-2</v>
      </c>
      <c r="AP119" s="159">
        <f t="shared" si="91"/>
        <v>0</v>
      </c>
      <c r="AQ119" s="159">
        <f t="shared" si="91"/>
        <v>0</v>
      </c>
      <c r="AR119" s="159">
        <f t="shared" si="91"/>
        <v>0</v>
      </c>
      <c r="AS119" s="159">
        <f t="shared" si="91"/>
        <v>0</v>
      </c>
      <c r="AT119" s="159">
        <f t="shared" si="91"/>
        <v>0</v>
      </c>
      <c r="AU119" s="159">
        <f t="shared" si="91"/>
        <v>0</v>
      </c>
      <c r="AV119" s="159">
        <f t="shared" si="91"/>
        <v>0</v>
      </c>
      <c r="AW119" s="159">
        <f t="shared" si="91"/>
        <v>0</v>
      </c>
      <c r="AX119" s="159">
        <f t="shared" si="91"/>
        <v>0</v>
      </c>
      <c r="AY119" s="159">
        <f t="shared" si="91"/>
        <v>0</v>
      </c>
      <c r="AZ119" s="159">
        <f t="shared" si="91"/>
        <v>0</v>
      </c>
      <c r="BA119" s="159">
        <f t="shared" si="91"/>
        <v>0</v>
      </c>
      <c r="BB119" s="159">
        <f t="shared" si="91"/>
        <v>0</v>
      </c>
      <c r="BC119" s="159">
        <f t="shared" si="91"/>
        <v>0</v>
      </c>
      <c r="BD119" s="159">
        <f t="shared" si="91"/>
        <v>0</v>
      </c>
      <c r="BE119" s="159">
        <f t="shared" si="91"/>
        <v>0</v>
      </c>
      <c r="BF119" s="159">
        <f t="shared" si="91"/>
        <v>0</v>
      </c>
      <c r="BG119" s="159">
        <f t="shared" si="91"/>
        <v>0</v>
      </c>
      <c r="BH119" s="159">
        <f t="shared" si="91"/>
        <v>0</v>
      </c>
      <c r="BI119" s="159">
        <f t="shared" si="91"/>
        <v>0</v>
      </c>
      <c r="BJ119" s="159">
        <f t="shared" si="91"/>
        <v>0</v>
      </c>
      <c r="BK119" s="159">
        <f t="shared" si="91"/>
        <v>0</v>
      </c>
      <c r="BL119" s="159">
        <f t="shared" si="91"/>
        <v>0</v>
      </c>
      <c r="BM119" s="159">
        <f t="shared" si="91"/>
        <v>0</v>
      </c>
      <c r="BN119" s="159">
        <f t="shared" si="91"/>
        <v>0</v>
      </c>
      <c r="BO119" s="159">
        <f t="shared" si="91"/>
        <v>0</v>
      </c>
      <c r="BP119" s="159">
        <f t="shared" si="91"/>
        <v>0</v>
      </c>
      <c r="BQ119" s="159">
        <f t="shared" si="91"/>
        <v>0</v>
      </c>
      <c r="BR119" s="159">
        <f t="shared" si="91"/>
        <v>0</v>
      </c>
      <c r="BS119" s="159">
        <f t="shared" ref="BS119:CK119" si="92">(1+BS118)^(BS$26/BS$20)-1</f>
        <v>0</v>
      </c>
      <c r="BT119" s="159">
        <f t="shared" si="92"/>
        <v>0</v>
      </c>
      <c r="BU119" s="159">
        <f t="shared" si="92"/>
        <v>0</v>
      </c>
      <c r="BV119" s="159">
        <f t="shared" si="92"/>
        <v>0</v>
      </c>
      <c r="BW119" s="159">
        <f t="shared" si="92"/>
        <v>0</v>
      </c>
      <c r="BX119" s="159">
        <f t="shared" si="92"/>
        <v>0</v>
      </c>
      <c r="BY119" s="159">
        <f t="shared" si="92"/>
        <v>0</v>
      </c>
      <c r="BZ119" s="159">
        <f t="shared" si="92"/>
        <v>0</v>
      </c>
      <c r="CA119" s="159">
        <f t="shared" si="92"/>
        <v>0</v>
      </c>
      <c r="CB119" s="159">
        <f t="shared" si="92"/>
        <v>0</v>
      </c>
      <c r="CC119" s="159">
        <f t="shared" si="92"/>
        <v>0</v>
      </c>
      <c r="CD119" s="159">
        <f t="shared" si="92"/>
        <v>0</v>
      </c>
      <c r="CE119" s="159">
        <f t="shared" si="92"/>
        <v>0</v>
      </c>
      <c r="CF119" s="159">
        <f t="shared" si="92"/>
        <v>0</v>
      </c>
      <c r="CG119" s="159">
        <f t="shared" si="92"/>
        <v>0</v>
      </c>
      <c r="CH119" s="159">
        <f t="shared" si="92"/>
        <v>0</v>
      </c>
      <c r="CI119" s="159">
        <f t="shared" si="92"/>
        <v>0</v>
      </c>
      <c r="CJ119" s="159">
        <f t="shared" si="92"/>
        <v>0</v>
      </c>
      <c r="CK119" s="159">
        <f t="shared" si="92"/>
        <v>0</v>
      </c>
    </row>
    <row r="120" spans="2:89" ht="15.75" thickTop="1">
      <c r="B120" s="161" t="str">
        <f t="shared" si="90"/>
        <v>Реализация пчелопакетов</v>
      </c>
      <c r="C120" s="161" t="s">
        <v>46</v>
      </c>
      <c r="D120" s="161"/>
      <c r="E120" s="164">
        <v>1</v>
      </c>
      <c r="F120" s="165">
        <f>IF(AND(E120=0,F119&gt;0),F119,E120*(1+F119))</f>
        <v>1</v>
      </c>
      <c r="G120" s="165">
        <f t="shared" ref="G120:BR120" si="93">IF(AND(F120=0,G119&gt;0),G119,F120*(1+G119))</f>
        <v>1</v>
      </c>
      <c r="H120" s="165">
        <f t="shared" si="93"/>
        <v>1</v>
      </c>
      <c r="I120" s="165">
        <f t="shared" si="93"/>
        <v>1</v>
      </c>
      <c r="J120" s="165">
        <f t="shared" si="93"/>
        <v>1</v>
      </c>
      <c r="K120" s="165">
        <f t="shared" si="93"/>
        <v>1</v>
      </c>
      <c r="L120" s="165">
        <f t="shared" si="93"/>
        <v>1</v>
      </c>
      <c r="M120" s="165">
        <f t="shared" si="93"/>
        <v>1</v>
      </c>
      <c r="N120" s="165">
        <f t="shared" si="93"/>
        <v>1</v>
      </c>
      <c r="O120" s="165">
        <f t="shared" si="93"/>
        <v>1</v>
      </c>
      <c r="P120" s="165">
        <f t="shared" si="93"/>
        <v>1</v>
      </c>
      <c r="Q120" s="165">
        <f t="shared" si="93"/>
        <v>1</v>
      </c>
      <c r="R120" s="165">
        <f t="shared" si="93"/>
        <v>1</v>
      </c>
      <c r="S120" s="165">
        <f t="shared" si="93"/>
        <v>1</v>
      </c>
      <c r="T120" s="165">
        <f t="shared" si="93"/>
        <v>1</v>
      </c>
      <c r="U120" s="165">
        <f t="shared" si="93"/>
        <v>1</v>
      </c>
      <c r="V120" s="165">
        <f t="shared" si="93"/>
        <v>1</v>
      </c>
      <c r="W120" s="165">
        <f t="shared" si="93"/>
        <v>1</v>
      </c>
      <c r="X120" s="165">
        <f t="shared" si="93"/>
        <v>1</v>
      </c>
      <c r="Y120" s="165">
        <f t="shared" si="93"/>
        <v>1</v>
      </c>
      <c r="Z120" s="165">
        <f t="shared" si="93"/>
        <v>1</v>
      </c>
      <c r="AA120" s="165">
        <f t="shared" si="93"/>
        <v>1</v>
      </c>
      <c r="AB120" s="165">
        <f t="shared" si="93"/>
        <v>1</v>
      </c>
      <c r="AC120" s="165">
        <f t="shared" si="93"/>
        <v>1</v>
      </c>
      <c r="AD120" s="165">
        <f t="shared" si="93"/>
        <v>1.0237162259491639</v>
      </c>
      <c r="AE120" s="165">
        <f t="shared" si="93"/>
        <v>1.0488140424072945</v>
      </c>
      <c r="AF120" s="165">
        <f t="shared" si="93"/>
        <v>1.0736879532156818</v>
      </c>
      <c r="AG120" s="165">
        <f t="shared" si="93"/>
        <v>1.1000108955507302</v>
      </c>
      <c r="AH120" s="165">
        <f t="shared" si="93"/>
        <v>1.1269791811543688</v>
      </c>
      <c r="AI120" s="165">
        <f t="shared" si="93"/>
        <v>1.1537068740546295</v>
      </c>
      <c r="AJ120" s="165">
        <f t="shared" si="93"/>
        <v>1.1819915906953762</v>
      </c>
      <c r="AK120" s="165">
        <f t="shared" si="93"/>
        <v>1.2100239703303193</v>
      </c>
      <c r="AL120" s="165">
        <f t="shared" si="93"/>
        <v>1.2396893783286458</v>
      </c>
      <c r="AM120" s="165">
        <f t="shared" si="93"/>
        <v>1.2700820747553716</v>
      </c>
      <c r="AN120" s="165">
        <f t="shared" si="93"/>
        <v>1.2981734849652682</v>
      </c>
      <c r="AO120" s="165">
        <f t="shared" si="93"/>
        <v>1.33</v>
      </c>
      <c r="AP120" s="165">
        <f t="shared" si="93"/>
        <v>1.33</v>
      </c>
      <c r="AQ120" s="165">
        <f t="shared" si="93"/>
        <v>1.33</v>
      </c>
      <c r="AR120" s="165">
        <f t="shared" si="93"/>
        <v>1.33</v>
      </c>
      <c r="AS120" s="165">
        <f t="shared" si="93"/>
        <v>1.33</v>
      </c>
      <c r="AT120" s="165">
        <f t="shared" si="93"/>
        <v>1.33</v>
      </c>
      <c r="AU120" s="165">
        <f t="shared" si="93"/>
        <v>1.33</v>
      </c>
      <c r="AV120" s="165">
        <f t="shared" si="93"/>
        <v>1.33</v>
      </c>
      <c r="AW120" s="165">
        <f t="shared" si="93"/>
        <v>1.33</v>
      </c>
      <c r="AX120" s="165">
        <f t="shared" si="93"/>
        <v>1.33</v>
      </c>
      <c r="AY120" s="165">
        <f t="shared" si="93"/>
        <v>1.33</v>
      </c>
      <c r="AZ120" s="165">
        <f t="shared" si="93"/>
        <v>1.33</v>
      </c>
      <c r="BA120" s="165">
        <f t="shared" si="93"/>
        <v>1.33</v>
      </c>
      <c r="BB120" s="165">
        <f t="shared" si="93"/>
        <v>1.33</v>
      </c>
      <c r="BC120" s="165">
        <f t="shared" si="93"/>
        <v>1.33</v>
      </c>
      <c r="BD120" s="165">
        <f t="shared" si="93"/>
        <v>1.33</v>
      </c>
      <c r="BE120" s="165">
        <f t="shared" si="93"/>
        <v>1.33</v>
      </c>
      <c r="BF120" s="165">
        <f t="shared" si="93"/>
        <v>1.33</v>
      </c>
      <c r="BG120" s="165">
        <f t="shared" si="93"/>
        <v>1.33</v>
      </c>
      <c r="BH120" s="165">
        <f t="shared" si="93"/>
        <v>1.33</v>
      </c>
      <c r="BI120" s="165">
        <f t="shared" si="93"/>
        <v>1.33</v>
      </c>
      <c r="BJ120" s="165">
        <f t="shared" si="93"/>
        <v>1.33</v>
      </c>
      <c r="BK120" s="165">
        <f t="shared" si="93"/>
        <v>1.33</v>
      </c>
      <c r="BL120" s="165">
        <f t="shared" si="93"/>
        <v>1.33</v>
      </c>
      <c r="BM120" s="165">
        <f t="shared" si="93"/>
        <v>1.33</v>
      </c>
      <c r="BN120" s="165">
        <f t="shared" si="93"/>
        <v>1.33</v>
      </c>
      <c r="BO120" s="165">
        <f t="shared" si="93"/>
        <v>1.33</v>
      </c>
      <c r="BP120" s="165">
        <f t="shared" si="93"/>
        <v>1.33</v>
      </c>
      <c r="BQ120" s="165">
        <f t="shared" si="93"/>
        <v>1.33</v>
      </c>
      <c r="BR120" s="165">
        <f t="shared" si="93"/>
        <v>1.33</v>
      </c>
      <c r="BS120" s="165">
        <f t="shared" ref="BS120:CK120" si="94">IF(AND(BR120=0,BS119&gt;0),BS119,BR120*(1+BS119))</f>
        <v>1.33</v>
      </c>
      <c r="BT120" s="165">
        <f t="shared" si="94"/>
        <v>1.33</v>
      </c>
      <c r="BU120" s="165">
        <f t="shared" si="94"/>
        <v>1.33</v>
      </c>
      <c r="BV120" s="165">
        <f t="shared" si="94"/>
        <v>1.33</v>
      </c>
      <c r="BW120" s="165">
        <f t="shared" si="94"/>
        <v>1.33</v>
      </c>
      <c r="BX120" s="165">
        <f t="shared" si="94"/>
        <v>1.33</v>
      </c>
      <c r="BY120" s="165">
        <f t="shared" si="94"/>
        <v>1.33</v>
      </c>
      <c r="BZ120" s="165">
        <f t="shared" si="94"/>
        <v>1.33</v>
      </c>
      <c r="CA120" s="165">
        <f t="shared" si="94"/>
        <v>1.33</v>
      </c>
      <c r="CB120" s="165">
        <f t="shared" si="94"/>
        <v>1.33</v>
      </c>
      <c r="CC120" s="165">
        <f t="shared" si="94"/>
        <v>1.33</v>
      </c>
      <c r="CD120" s="165">
        <f t="shared" si="94"/>
        <v>1.33</v>
      </c>
      <c r="CE120" s="165">
        <f t="shared" si="94"/>
        <v>1.33</v>
      </c>
      <c r="CF120" s="165">
        <f t="shared" si="94"/>
        <v>1.33</v>
      </c>
      <c r="CG120" s="165">
        <f t="shared" si="94"/>
        <v>1.33</v>
      </c>
      <c r="CH120" s="165">
        <f t="shared" si="94"/>
        <v>1.33</v>
      </c>
      <c r="CI120" s="165">
        <f t="shared" si="94"/>
        <v>1.33</v>
      </c>
      <c r="CJ120" s="165">
        <f t="shared" si="94"/>
        <v>1.33</v>
      </c>
      <c r="CK120" s="165">
        <f t="shared" si="94"/>
        <v>1.33</v>
      </c>
    </row>
    <row r="121" spans="2:89">
      <c r="B121" s="14"/>
      <c r="C121" s="14"/>
      <c r="D121" s="14"/>
      <c r="E121" s="1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</row>
    <row r="122" spans="2:89">
      <c r="B122" s="187" t="str">
        <f>$B$83</f>
        <v>Реализация пчеломаток</v>
      </c>
      <c r="C122" s="155" t="s">
        <v>44</v>
      </c>
      <c r="D122" s="155"/>
      <c r="E122" s="158"/>
      <c r="F122" s="159">
        <f t="shared" ref="F122:AK122" si="95">IFERROR(LOOKUP(F$29,Продажи_год_прироста,Продажи_уровень_прироста_продукт9),0)</f>
        <v>0</v>
      </c>
      <c r="G122" s="159">
        <f t="shared" si="95"/>
        <v>0</v>
      </c>
      <c r="H122" s="159">
        <f t="shared" si="95"/>
        <v>0</v>
      </c>
      <c r="I122" s="159">
        <f t="shared" si="95"/>
        <v>0</v>
      </c>
      <c r="J122" s="159">
        <f t="shared" si="95"/>
        <v>0</v>
      </c>
      <c r="K122" s="159">
        <f t="shared" si="95"/>
        <v>0</v>
      </c>
      <c r="L122" s="159">
        <f t="shared" si="95"/>
        <v>0</v>
      </c>
      <c r="M122" s="159">
        <f t="shared" si="95"/>
        <v>0</v>
      </c>
      <c r="N122" s="159">
        <f t="shared" si="95"/>
        <v>0</v>
      </c>
      <c r="O122" s="159">
        <f t="shared" si="95"/>
        <v>0</v>
      </c>
      <c r="P122" s="159">
        <f t="shared" si="95"/>
        <v>0</v>
      </c>
      <c r="Q122" s="159">
        <f t="shared" si="95"/>
        <v>0</v>
      </c>
      <c r="R122" s="159">
        <f t="shared" si="95"/>
        <v>0</v>
      </c>
      <c r="S122" s="159">
        <f t="shared" si="95"/>
        <v>0</v>
      </c>
      <c r="T122" s="159">
        <f t="shared" si="95"/>
        <v>0</v>
      </c>
      <c r="U122" s="159">
        <f t="shared" si="95"/>
        <v>0</v>
      </c>
      <c r="V122" s="159">
        <f t="shared" si="95"/>
        <v>0</v>
      </c>
      <c r="W122" s="159">
        <f t="shared" si="95"/>
        <v>0</v>
      </c>
      <c r="X122" s="159">
        <f t="shared" si="95"/>
        <v>0</v>
      </c>
      <c r="Y122" s="159">
        <f t="shared" si="95"/>
        <v>0</v>
      </c>
      <c r="Z122" s="159">
        <f t="shared" si="95"/>
        <v>0</v>
      </c>
      <c r="AA122" s="159">
        <f t="shared" si="95"/>
        <v>0</v>
      </c>
      <c r="AB122" s="159">
        <f t="shared" si="95"/>
        <v>0</v>
      </c>
      <c r="AC122" s="159">
        <f t="shared" si="95"/>
        <v>0</v>
      </c>
      <c r="AD122" s="159">
        <f t="shared" si="95"/>
        <v>1</v>
      </c>
      <c r="AE122" s="159">
        <f t="shared" si="95"/>
        <v>1</v>
      </c>
      <c r="AF122" s="159">
        <f t="shared" si="95"/>
        <v>1</v>
      </c>
      <c r="AG122" s="159">
        <f t="shared" si="95"/>
        <v>1</v>
      </c>
      <c r="AH122" s="159">
        <f t="shared" si="95"/>
        <v>1</v>
      </c>
      <c r="AI122" s="159">
        <f t="shared" si="95"/>
        <v>1</v>
      </c>
      <c r="AJ122" s="159">
        <f t="shared" si="95"/>
        <v>1</v>
      </c>
      <c r="AK122" s="159">
        <f t="shared" si="95"/>
        <v>1</v>
      </c>
      <c r="AL122" s="159">
        <f t="shared" ref="AL122:BQ122" si="96">IFERROR(LOOKUP(AL$29,Продажи_год_прироста,Продажи_уровень_прироста_продукт9),0)</f>
        <v>1</v>
      </c>
      <c r="AM122" s="159">
        <f t="shared" si="96"/>
        <v>1</v>
      </c>
      <c r="AN122" s="159">
        <f t="shared" si="96"/>
        <v>1</v>
      </c>
      <c r="AO122" s="159">
        <f t="shared" si="96"/>
        <v>1</v>
      </c>
      <c r="AP122" s="159">
        <f t="shared" si="96"/>
        <v>0</v>
      </c>
      <c r="AQ122" s="159">
        <f t="shared" si="96"/>
        <v>0</v>
      </c>
      <c r="AR122" s="159">
        <f t="shared" si="96"/>
        <v>0</v>
      </c>
      <c r="AS122" s="159">
        <f t="shared" si="96"/>
        <v>0</v>
      </c>
      <c r="AT122" s="159">
        <f t="shared" si="96"/>
        <v>0</v>
      </c>
      <c r="AU122" s="159">
        <f t="shared" si="96"/>
        <v>0</v>
      </c>
      <c r="AV122" s="159">
        <f t="shared" si="96"/>
        <v>0</v>
      </c>
      <c r="AW122" s="159">
        <f t="shared" si="96"/>
        <v>0</v>
      </c>
      <c r="AX122" s="159">
        <f t="shared" si="96"/>
        <v>0</v>
      </c>
      <c r="AY122" s="159">
        <f t="shared" si="96"/>
        <v>0</v>
      </c>
      <c r="AZ122" s="159">
        <f t="shared" si="96"/>
        <v>0</v>
      </c>
      <c r="BA122" s="159">
        <f t="shared" si="96"/>
        <v>0</v>
      </c>
      <c r="BB122" s="159">
        <f t="shared" si="96"/>
        <v>0</v>
      </c>
      <c r="BC122" s="159">
        <f t="shared" si="96"/>
        <v>0</v>
      </c>
      <c r="BD122" s="159">
        <f t="shared" si="96"/>
        <v>0</v>
      </c>
      <c r="BE122" s="159">
        <f t="shared" si="96"/>
        <v>0</v>
      </c>
      <c r="BF122" s="159">
        <f t="shared" si="96"/>
        <v>0</v>
      </c>
      <c r="BG122" s="159">
        <f t="shared" si="96"/>
        <v>0</v>
      </c>
      <c r="BH122" s="159">
        <f t="shared" si="96"/>
        <v>0</v>
      </c>
      <c r="BI122" s="159">
        <f t="shared" si="96"/>
        <v>0</v>
      </c>
      <c r="BJ122" s="159">
        <f t="shared" si="96"/>
        <v>0</v>
      </c>
      <c r="BK122" s="159">
        <f t="shared" si="96"/>
        <v>0</v>
      </c>
      <c r="BL122" s="159">
        <f t="shared" si="96"/>
        <v>0</v>
      </c>
      <c r="BM122" s="159">
        <f t="shared" si="96"/>
        <v>0</v>
      </c>
      <c r="BN122" s="159">
        <f t="shared" si="96"/>
        <v>0</v>
      </c>
      <c r="BO122" s="159">
        <f t="shared" si="96"/>
        <v>0</v>
      </c>
      <c r="BP122" s="159">
        <f t="shared" si="96"/>
        <v>0</v>
      </c>
      <c r="BQ122" s="159">
        <f t="shared" si="96"/>
        <v>0</v>
      </c>
      <c r="BR122" s="159">
        <f t="shared" ref="BR122:CK122" si="97">IFERROR(LOOKUP(BR$29,Продажи_год_прироста,Продажи_уровень_прироста_продукт9),0)</f>
        <v>0</v>
      </c>
      <c r="BS122" s="159">
        <f t="shared" si="97"/>
        <v>0</v>
      </c>
      <c r="BT122" s="159">
        <f t="shared" si="97"/>
        <v>0</v>
      </c>
      <c r="BU122" s="159">
        <f t="shared" si="97"/>
        <v>0</v>
      </c>
      <c r="BV122" s="159">
        <f t="shared" si="97"/>
        <v>0</v>
      </c>
      <c r="BW122" s="159">
        <f t="shared" si="97"/>
        <v>0</v>
      </c>
      <c r="BX122" s="159">
        <f t="shared" si="97"/>
        <v>0</v>
      </c>
      <c r="BY122" s="159">
        <f t="shared" si="97"/>
        <v>0</v>
      </c>
      <c r="BZ122" s="159">
        <f t="shared" si="97"/>
        <v>0</v>
      </c>
      <c r="CA122" s="159">
        <f t="shared" si="97"/>
        <v>0</v>
      </c>
      <c r="CB122" s="159">
        <f t="shared" si="97"/>
        <v>0</v>
      </c>
      <c r="CC122" s="159">
        <f t="shared" si="97"/>
        <v>0</v>
      </c>
      <c r="CD122" s="159">
        <f t="shared" si="97"/>
        <v>0</v>
      </c>
      <c r="CE122" s="159">
        <f t="shared" si="97"/>
        <v>0</v>
      </c>
      <c r="CF122" s="159">
        <f t="shared" si="97"/>
        <v>0</v>
      </c>
      <c r="CG122" s="159">
        <f t="shared" si="97"/>
        <v>0</v>
      </c>
      <c r="CH122" s="159">
        <f t="shared" si="97"/>
        <v>0</v>
      </c>
      <c r="CI122" s="159">
        <f t="shared" si="97"/>
        <v>0</v>
      </c>
      <c r="CJ122" s="159">
        <f t="shared" si="97"/>
        <v>0</v>
      </c>
      <c r="CK122" s="159">
        <f t="shared" si="97"/>
        <v>0</v>
      </c>
    </row>
    <row r="123" spans="2:89" ht="15.75" thickBot="1">
      <c r="B123" s="187" t="str">
        <f t="shared" ref="B123:B124" si="98">$B$83</f>
        <v>Реализация пчеломаток</v>
      </c>
      <c r="C123" s="155" t="s">
        <v>45</v>
      </c>
      <c r="D123" s="155"/>
      <c r="E123" s="158"/>
      <c r="F123" s="159">
        <f>(1+F122)^(F$26/F$20)-1</f>
        <v>0</v>
      </c>
      <c r="G123" s="159">
        <f t="shared" ref="G123:BR123" si="99">(1+G122)^(G$26/G$20)-1</f>
        <v>0</v>
      </c>
      <c r="H123" s="159">
        <f t="shared" si="99"/>
        <v>0</v>
      </c>
      <c r="I123" s="159">
        <f t="shared" si="99"/>
        <v>0</v>
      </c>
      <c r="J123" s="159">
        <f t="shared" si="99"/>
        <v>0</v>
      </c>
      <c r="K123" s="159">
        <f t="shared" si="99"/>
        <v>0</v>
      </c>
      <c r="L123" s="159">
        <f t="shared" si="99"/>
        <v>0</v>
      </c>
      <c r="M123" s="159">
        <f t="shared" si="99"/>
        <v>0</v>
      </c>
      <c r="N123" s="159">
        <f t="shared" si="99"/>
        <v>0</v>
      </c>
      <c r="O123" s="159">
        <f t="shared" si="99"/>
        <v>0</v>
      </c>
      <c r="P123" s="159">
        <f t="shared" si="99"/>
        <v>0</v>
      </c>
      <c r="Q123" s="159">
        <f t="shared" si="99"/>
        <v>0</v>
      </c>
      <c r="R123" s="159">
        <f t="shared" si="99"/>
        <v>0</v>
      </c>
      <c r="S123" s="159">
        <f t="shared" si="99"/>
        <v>0</v>
      </c>
      <c r="T123" s="159">
        <f t="shared" si="99"/>
        <v>0</v>
      </c>
      <c r="U123" s="159">
        <f t="shared" si="99"/>
        <v>0</v>
      </c>
      <c r="V123" s="159">
        <f t="shared" si="99"/>
        <v>0</v>
      </c>
      <c r="W123" s="159">
        <f t="shared" si="99"/>
        <v>0</v>
      </c>
      <c r="X123" s="159">
        <f t="shared" si="99"/>
        <v>0</v>
      </c>
      <c r="Y123" s="159">
        <f t="shared" si="99"/>
        <v>0</v>
      </c>
      <c r="Z123" s="159">
        <f t="shared" si="99"/>
        <v>0</v>
      </c>
      <c r="AA123" s="159">
        <f t="shared" si="99"/>
        <v>0</v>
      </c>
      <c r="AB123" s="159">
        <f t="shared" si="99"/>
        <v>0</v>
      </c>
      <c r="AC123" s="159">
        <f t="shared" si="99"/>
        <v>0</v>
      </c>
      <c r="AD123" s="159">
        <f t="shared" si="99"/>
        <v>5.8625111031017196E-2</v>
      </c>
      <c r="AE123" s="159">
        <f t="shared" si="99"/>
        <v>6.0637385528131915E-2</v>
      </c>
      <c r="AF123" s="159">
        <f t="shared" si="99"/>
        <v>5.8625111031017196E-2</v>
      </c>
      <c r="AG123" s="159">
        <f t="shared" si="99"/>
        <v>6.0637385528131915E-2</v>
      </c>
      <c r="AH123" s="159">
        <f t="shared" si="99"/>
        <v>6.0637385528131915E-2</v>
      </c>
      <c r="AI123" s="159">
        <f t="shared" si="99"/>
        <v>5.8625111031017196E-2</v>
      </c>
      <c r="AJ123" s="159">
        <f t="shared" si="99"/>
        <v>6.0637385528131915E-2</v>
      </c>
      <c r="AK123" s="159">
        <f t="shared" si="99"/>
        <v>5.8625111031017196E-2</v>
      </c>
      <c r="AL123" s="159">
        <f t="shared" si="99"/>
        <v>6.0637385528131915E-2</v>
      </c>
      <c r="AM123" s="159">
        <f t="shared" si="99"/>
        <v>6.0637385528131915E-2</v>
      </c>
      <c r="AN123" s="159">
        <f t="shared" si="99"/>
        <v>5.4612008044405025E-2</v>
      </c>
      <c r="AO123" s="159">
        <f t="shared" si="99"/>
        <v>6.0637385528131915E-2</v>
      </c>
      <c r="AP123" s="159">
        <f t="shared" si="99"/>
        <v>0</v>
      </c>
      <c r="AQ123" s="159">
        <f t="shared" si="99"/>
        <v>0</v>
      </c>
      <c r="AR123" s="159">
        <f t="shared" si="99"/>
        <v>0</v>
      </c>
      <c r="AS123" s="159">
        <f t="shared" si="99"/>
        <v>0</v>
      </c>
      <c r="AT123" s="159">
        <f t="shared" si="99"/>
        <v>0</v>
      </c>
      <c r="AU123" s="159">
        <f t="shared" si="99"/>
        <v>0</v>
      </c>
      <c r="AV123" s="159">
        <f t="shared" si="99"/>
        <v>0</v>
      </c>
      <c r="AW123" s="159">
        <f t="shared" si="99"/>
        <v>0</v>
      </c>
      <c r="AX123" s="159">
        <f t="shared" si="99"/>
        <v>0</v>
      </c>
      <c r="AY123" s="159">
        <f t="shared" si="99"/>
        <v>0</v>
      </c>
      <c r="AZ123" s="159">
        <f t="shared" si="99"/>
        <v>0</v>
      </c>
      <c r="BA123" s="159">
        <f t="shared" si="99"/>
        <v>0</v>
      </c>
      <c r="BB123" s="159">
        <f t="shared" si="99"/>
        <v>0</v>
      </c>
      <c r="BC123" s="159">
        <f t="shared" si="99"/>
        <v>0</v>
      </c>
      <c r="BD123" s="159">
        <f t="shared" si="99"/>
        <v>0</v>
      </c>
      <c r="BE123" s="159">
        <f t="shared" si="99"/>
        <v>0</v>
      </c>
      <c r="BF123" s="159">
        <f t="shared" si="99"/>
        <v>0</v>
      </c>
      <c r="BG123" s="159">
        <f t="shared" si="99"/>
        <v>0</v>
      </c>
      <c r="BH123" s="159">
        <f t="shared" si="99"/>
        <v>0</v>
      </c>
      <c r="BI123" s="159">
        <f t="shared" si="99"/>
        <v>0</v>
      </c>
      <c r="BJ123" s="159">
        <f t="shared" si="99"/>
        <v>0</v>
      </c>
      <c r="BK123" s="159">
        <f t="shared" si="99"/>
        <v>0</v>
      </c>
      <c r="BL123" s="159">
        <f t="shared" si="99"/>
        <v>0</v>
      </c>
      <c r="BM123" s="159">
        <f t="shared" si="99"/>
        <v>0</v>
      </c>
      <c r="BN123" s="159">
        <f t="shared" si="99"/>
        <v>0</v>
      </c>
      <c r="BO123" s="159">
        <f t="shared" si="99"/>
        <v>0</v>
      </c>
      <c r="BP123" s="159">
        <f t="shared" si="99"/>
        <v>0</v>
      </c>
      <c r="BQ123" s="159">
        <f t="shared" si="99"/>
        <v>0</v>
      </c>
      <c r="BR123" s="159">
        <f t="shared" si="99"/>
        <v>0</v>
      </c>
      <c r="BS123" s="159">
        <f t="shared" ref="BS123:CK123" si="100">(1+BS122)^(BS$26/BS$20)-1</f>
        <v>0</v>
      </c>
      <c r="BT123" s="159">
        <f t="shared" si="100"/>
        <v>0</v>
      </c>
      <c r="BU123" s="159">
        <f t="shared" si="100"/>
        <v>0</v>
      </c>
      <c r="BV123" s="159">
        <f t="shared" si="100"/>
        <v>0</v>
      </c>
      <c r="BW123" s="159">
        <f t="shared" si="100"/>
        <v>0</v>
      </c>
      <c r="BX123" s="159">
        <f t="shared" si="100"/>
        <v>0</v>
      </c>
      <c r="BY123" s="159">
        <f t="shared" si="100"/>
        <v>0</v>
      </c>
      <c r="BZ123" s="159">
        <f t="shared" si="100"/>
        <v>0</v>
      </c>
      <c r="CA123" s="159">
        <f t="shared" si="100"/>
        <v>0</v>
      </c>
      <c r="CB123" s="159">
        <f t="shared" si="100"/>
        <v>0</v>
      </c>
      <c r="CC123" s="159">
        <f t="shared" si="100"/>
        <v>0</v>
      </c>
      <c r="CD123" s="159">
        <f t="shared" si="100"/>
        <v>0</v>
      </c>
      <c r="CE123" s="159">
        <f t="shared" si="100"/>
        <v>0</v>
      </c>
      <c r="CF123" s="159">
        <f t="shared" si="100"/>
        <v>0</v>
      </c>
      <c r="CG123" s="159">
        <f t="shared" si="100"/>
        <v>0</v>
      </c>
      <c r="CH123" s="159">
        <f t="shared" si="100"/>
        <v>0</v>
      </c>
      <c r="CI123" s="159">
        <f t="shared" si="100"/>
        <v>0</v>
      </c>
      <c r="CJ123" s="159">
        <f t="shared" si="100"/>
        <v>0</v>
      </c>
      <c r="CK123" s="159">
        <f t="shared" si="100"/>
        <v>0</v>
      </c>
    </row>
    <row r="124" spans="2:89" ht="15.75" thickTop="1">
      <c r="B124" s="161" t="str">
        <f t="shared" si="98"/>
        <v>Реализация пчеломаток</v>
      </c>
      <c r="C124" s="161" t="s">
        <v>46</v>
      </c>
      <c r="D124" s="161"/>
      <c r="E124" s="164">
        <v>1</v>
      </c>
      <c r="F124" s="165">
        <f>IF(AND(E124=0,F123&gt;0),F123,E124*(1+F123))</f>
        <v>1</v>
      </c>
      <c r="G124" s="165">
        <f t="shared" ref="G124:BR124" si="101">IF(AND(F124=0,G123&gt;0),G123,F124*(1+G123))</f>
        <v>1</v>
      </c>
      <c r="H124" s="165">
        <f t="shared" si="101"/>
        <v>1</v>
      </c>
      <c r="I124" s="165">
        <f t="shared" si="101"/>
        <v>1</v>
      </c>
      <c r="J124" s="165">
        <f t="shared" si="101"/>
        <v>1</v>
      </c>
      <c r="K124" s="165">
        <f t="shared" si="101"/>
        <v>1</v>
      </c>
      <c r="L124" s="165">
        <f t="shared" si="101"/>
        <v>1</v>
      </c>
      <c r="M124" s="165">
        <f t="shared" si="101"/>
        <v>1</v>
      </c>
      <c r="N124" s="165">
        <f t="shared" si="101"/>
        <v>1</v>
      </c>
      <c r="O124" s="165">
        <f t="shared" si="101"/>
        <v>1</v>
      </c>
      <c r="P124" s="165">
        <f t="shared" si="101"/>
        <v>1</v>
      </c>
      <c r="Q124" s="165">
        <f t="shared" si="101"/>
        <v>1</v>
      </c>
      <c r="R124" s="165">
        <f t="shared" si="101"/>
        <v>1</v>
      </c>
      <c r="S124" s="165">
        <f t="shared" si="101"/>
        <v>1</v>
      </c>
      <c r="T124" s="165">
        <f t="shared" si="101"/>
        <v>1</v>
      </c>
      <c r="U124" s="165">
        <f t="shared" si="101"/>
        <v>1</v>
      </c>
      <c r="V124" s="165">
        <f t="shared" si="101"/>
        <v>1</v>
      </c>
      <c r="W124" s="165">
        <f t="shared" si="101"/>
        <v>1</v>
      </c>
      <c r="X124" s="165">
        <f t="shared" si="101"/>
        <v>1</v>
      </c>
      <c r="Y124" s="165">
        <f t="shared" si="101"/>
        <v>1</v>
      </c>
      <c r="Z124" s="165">
        <f t="shared" si="101"/>
        <v>1</v>
      </c>
      <c r="AA124" s="165">
        <f t="shared" si="101"/>
        <v>1</v>
      </c>
      <c r="AB124" s="165">
        <f t="shared" si="101"/>
        <v>1</v>
      </c>
      <c r="AC124" s="165">
        <f t="shared" si="101"/>
        <v>1</v>
      </c>
      <c r="AD124" s="165">
        <f t="shared" si="101"/>
        <v>1.0586251110310172</v>
      </c>
      <c r="AE124" s="165">
        <f t="shared" si="101"/>
        <v>1.1228173700183663</v>
      </c>
      <c r="AF124" s="165">
        <f t="shared" si="101"/>
        <v>1.1886426630032478</v>
      </c>
      <c r="AG124" s="165">
        <f t="shared" si="101"/>
        <v>1.2607188464149612</v>
      </c>
      <c r="AH124" s="165">
        <f t="shared" si="101"/>
        <v>1.3371655411476069</v>
      </c>
      <c r="AI124" s="165">
        <f t="shared" si="101"/>
        <v>1.4155570194642355</v>
      </c>
      <c r="AJ124" s="165">
        <f t="shared" si="101"/>
        <v>1.5013926961905417</v>
      </c>
      <c r="AK124" s="165">
        <f t="shared" si="101"/>
        <v>1.5894120097058706</v>
      </c>
      <c r="AL124" s="165">
        <f t="shared" si="101"/>
        <v>1.6857897985014485</v>
      </c>
      <c r="AM124" s="165">
        <f t="shared" si="101"/>
        <v>1.7880116844325726</v>
      </c>
      <c r="AN124" s="165">
        <f t="shared" si="101"/>
        <v>1.8856585929262946</v>
      </c>
      <c r="AO124" s="165">
        <f t="shared" si="101"/>
        <v>2.0000000000000009</v>
      </c>
      <c r="AP124" s="165">
        <f t="shared" si="101"/>
        <v>2.0000000000000009</v>
      </c>
      <c r="AQ124" s="165">
        <f t="shared" si="101"/>
        <v>2.0000000000000009</v>
      </c>
      <c r="AR124" s="165">
        <f t="shared" si="101"/>
        <v>2.0000000000000009</v>
      </c>
      <c r="AS124" s="165">
        <f t="shared" si="101"/>
        <v>2.0000000000000009</v>
      </c>
      <c r="AT124" s="165">
        <f t="shared" si="101"/>
        <v>2.0000000000000009</v>
      </c>
      <c r="AU124" s="165">
        <f t="shared" si="101"/>
        <v>2.0000000000000009</v>
      </c>
      <c r="AV124" s="165">
        <f t="shared" si="101"/>
        <v>2.0000000000000009</v>
      </c>
      <c r="AW124" s="165">
        <f t="shared" si="101"/>
        <v>2.0000000000000009</v>
      </c>
      <c r="AX124" s="165">
        <f t="shared" si="101"/>
        <v>2.0000000000000009</v>
      </c>
      <c r="AY124" s="165">
        <f t="shared" si="101"/>
        <v>2.0000000000000009</v>
      </c>
      <c r="AZ124" s="165">
        <f t="shared" si="101"/>
        <v>2.0000000000000009</v>
      </c>
      <c r="BA124" s="165">
        <f t="shared" si="101"/>
        <v>2.0000000000000009</v>
      </c>
      <c r="BB124" s="165">
        <f t="shared" si="101"/>
        <v>2.0000000000000009</v>
      </c>
      <c r="BC124" s="165">
        <f t="shared" si="101"/>
        <v>2.0000000000000009</v>
      </c>
      <c r="BD124" s="165">
        <f t="shared" si="101"/>
        <v>2.0000000000000009</v>
      </c>
      <c r="BE124" s="165">
        <f t="shared" si="101"/>
        <v>2.0000000000000009</v>
      </c>
      <c r="BF124" s="165">
        <f t="shared" si="101"/>
        <v>2.0000000000000009</v>
      </c>
      <c r="BG124" s="165">
        <f t="shared" si="101"/>
        <v>2.0000000000000009</v>
      </c>
      <c r="BH124" s="165">
        <f t="shared" si="101"/>
        <v>2.0000000000000009</v>
      </c>
      <c r="BI124" s="165">
        <f t="shared" si="101"/>
        <v>2.0000000000000009</v>
      </c>
      <c r="BJ124" s="165">
        <f t="shared" si="101"/>
        <v>2.0000000000000009</v>
      </c>
      <c r="BK124" s="165">
        <f t="shared" si="101"/>
        <v>2.0000000000000009</v>
      </c>
      <c r="BL124" s="165">
        <f t="shared" si="101"/>
        <v>2.0000000000000009</v>
      </c>
      <c r="BM124" s="165">
        <f t="shared" si="101"/>
        <v>2.0000000000000009</v>
      </c>
      <c r="BN124" s="165">
        <f t="shared" si="101"/>
        <v>2.0000000000000009</v>
      </c>
      <c r="BO124" s="165">
        <f t="shared" si="101"/>
        <v>2.0000000000000009</v>
      </c>
      <c r="BP124" s="165">
        <f t="shared" si="101"/>
        <v>2.0000000000000009</v>
      </c>
      <c r="BQ124" s="165">
        <f t="shared" si="101"/>
        <v>2.0000000000000009</v>
      </c>
      <c r="BR124" s="165">
        <f t="shared" si="101"/>
        <v>2.0000000000000009</v>
      </c>
      <c r="BS124" s="165">
        <f t="shared" ref="BS124:CK124" si="102">IF(AND(BR124=0,BS123&gt;0),BS123,BR124*(1+BS123))</f>
        <v>2.0000000000000009</v>
      </c>
      <c r="BT124" s="165">
        <f t="shared" si="102"/>
        <v>2.0000000000000009</v>
      </c>
      <c r="BU124" s="165">
        <f t="shared" si="102"/>
        <v>2.0000000000000009</v>
      </c>
      <c r="BV124" s="165">
        <f t="shared" si="102"/>
        <v>2.0000000000000009</v>
      </c>
      <c r="BW124" s="165">
        <f t="shared" si="102"/>
        <v>2.0000000000000009</v>
      </c>
      <c r="BX124" s="165">
        <f t="shared" si="102"/>
        <v>2.0000000000000009</v>
      </c>
      <c r="BY124" s="165">
        <f t="shared" si="102"/>
        <v>2.0000000000000009</v>
      </c>
      <c r="BZ124" s="165">
        <f t="shared" si="102"/>
        <v>2.0000000000000009</v>
      </c>
      <c r="CA124" s="165">
        <f t="shared" si="102"/>
        <v>2.0000000000000009</v>
      </c>
      <c r="CB124" s="165">
        <f t="shared" si="102"/>
        <v>2.0000000000000009</v>
      </c>
      <c r="CC124" s="165">
        <f t="shared" si="102"/>
        <v>2.0000000000000009</v>
      </c>
      <c r="CD124" s="165">
        <f t="shared" si="102"/>
        <v>2.0000000000000009</v>
      </c>
      <c r="CE124" s="165">
        <f t="shared" si="102"/>
        <v>2.0000000000000009</v>
      </c>
      <c r="CF124" s="165">
        <f t="shared" si="102"/>
        <v>2.0000000000000009</v>
      </c>
      <c r="CG124" s="165">
        <f t="shared" si="102"/>
        <v>2.0000000000000009</v>
      </c>
      <c r="CH124" s="165">
        <f t="shared" si="102"/>
        <v>2.0000000000000009</v>
      </c>
      <c r="CI124" s="165">
        <f t="shared" si="102"/>
        <v>2.0000000000000009</v>
      </c>
      <c r="CJ124" s="165">
        <f t="shared" si="102"/>
        <v>2.0000000000000009</v>
      </c>
      <c r="CK124" s="165">
        <f t="shared" si="102"/>
        <v>2.0000000000000009</v>
      </c>
    </row>
    <row r="125" spans="2:89">
      <c r="B125" s="14"/>
      <c r="C125" s="14"/>
      <c r="D125" s="14"/>
      <c r="E125" s="1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</row>
    <row r="126" spans="2:89">
      <c r="B126" s="187" t="str">
        <f>$B$84</f>
        <v>Реализация с/х продукции</v>
      </c>
      <c r="C126" s="155" t="s">
        <v>44</v>
      </c>
      <c r="D126" s="155"/>
      <c r="E126" s="158"/>
      <c r="F126" s="159">
        <f t="shared" ref="F126:AK126" si="103">IFERROR(LOOKUP(F$29,Продажи_год_прироста,Продажи_уровень_прироста_продукт10),0)</f>
        <v>0</v>
      </c>
      <c r="G126" s="159">
        <f t="shared" si="103"/>
        <v>0</v>
      </c>
      <c r="H126" s="159">
        <f t="shared" si="103"/>
        <v>0</v>
      </c>
      <c r="I126" s="159">
        <f t="shared" si="103"/>
        <v>0</v>
      </c>
      <c r="J126" s="159">
        <f t="shared" si="103"/>
        <v>0</v>
      </c>
      <c r="K126" s="159">
        <f t="shared" si="103"/>
        <v>0</v>
      </c>
      <c r="L126" s="159">
        <f t="shared" si="103"/>
        <v>0</v>
      </c>
      <c r="M126" s="159">
        <f t="shared" si="103"/>
        <v>0</v>
      </c>
      <c r="N126" s="159">
        <f t="shared" si="103"/>
        <v>0</v>
      </c>
      <c r="O126" s="159">
        <f t="shared" si="103"/>
        <v>0</v>
      </c>
      <c r="P126" s="159">
        <f t="shared" si="103"/>
        <v>0</v>
      </c>
      <c r="Q126" s="159">
        <f t="shared" si="103"/>
        <v>0</v>
      </c>
      <c r="R126" s="159">
        <f t="shared" si="103"/>
        <v>0</v>
      </c>
      <c r="S126" s="159">
        <f t="shared" si="103"/>
        <v>0</v>
      </c>
      <c r="T126" s="159">
        <f t="shared" si="103"/>
        <v>0</v>
      </c>
      <c r="U126" s="159">
        <f t="shared" si="103"/>
        <v>0</v>
      </c>
      <c r="V126" s="159">
        <f t="shared" si="103"/>
        <v>0</v>
      </c>
      <c r="W126" s="159">
        <f t="shared" si="103"/>
        <v>0</v>
      </c>
      <c r="X126" s="159">
        <f t="shared" si="103"/>
        <v>0</v>
      </c>
      <c r="Y126" s="159">
        <f t="shared" si="103"/>
        <v>0</v>
      </c>
      <c r="Z126" s="159">
        <f t="shared" si="103"/>
        <v>0</v>
      </c>
      <c r="AA126" s="159">
        <f t="shared" si="103"/>
        <v>0</v>
      </c>
      <c r="AB126" s="159">
        <f t="shared" si="103"/>
        <v>0</v>
      </c>
      <c r="AC126" s="159">
        <f t="shared" si="103"/>
        <v>0</v>
      </c>
      <c r="AD126" s="159">
        <f t="shared" si="103"/>
        <v>0.33</v>
      </c>
      <c r="AE126" s="159">
        <f t="shared" si="103"/>
        <v>0.33</v>
      </c>
      <c r="AF126" s="159">
        <f t="shared" si="103"/>
        <v>0.33</v>
      </c>
      <c r="AG126" s="159">
        <f t="shared" si="103"/>
        <v>0.33</v>
      </c>
      <c r="AH126" s="159">
        <f t="shared" si="103"/>
        <v>0.33</v>
      </c>
      <c r="AI126" s="159">
        <f t="shared" si="103"/>
        <v>0.33</v>
      </c>
      <c r="AJ126" s="159">
        <f t="shared" si="103"/>
        <v>0.33</v>
      </c>
      <c r="AK126" s="159">
        <f t="shared" si="103"/>
        <v>0.33</v>
      </c>
      <c r="AL126" s="159">
        <f t="shared" ref="AL126:BQ126" si="104">IFERROR(LOOKUP(AL$29,Продажи_год_прироста,Продажи_уровень_прироста_продукт10),0)</f>
        <v>0.33</v>
      </c>
      <c r="AM126" s="159">
        <f t="shared" si="104"/>
        <v>0.33</v>
      </c>
      <c r="AN126" s="159">
        <f t="shared" si="104"/>
        <v>0.33</v>
      </c>
      <c r="AO126" s="159">
        <f t="shared" si="104"/>
        <v>0.33</v>
      </c>
      <c r="AP126" s="159">
        <f t="shared" si="104"/>
        <v>0</v>
      </c>
      <c r="AQ126" s="159">
        <f t="shared" si="104"/>
        <v>0</v>
      </c>
      <c r="AR126" s="159">
        <f t="shared" si="104"/>
        <v>0</v>
      </c>
      <c r="AS126" s="159">
        <f t="shared" si="104"/>
        <v>0</v>
      </c>
      <c r="AT126" s="159">
        <f t="shared" si="104"/>
        <v>0</v>
      </c>
      <c r="AU126" s="159">
        <f t="shared" si="104"/>
        <v>0</v>
      </c>
      <c r="AV126" s="159">
        <f t="shared" si="104"/>
        <v>0</v>
      </c>
      <c r="AW126" s="159">
        <f t="shared" si="104"/>
        <v>0</v>
      </c>
      <c r="AX126" s="159">
        <f t="shared" si="104"/>
        <v>0</v>
      </c>
      <c r="AY126" s="159">
        <f t="shared" si="104"/>
        <v>0</v>
      </c>
      <c r="AZ126" s="159">
        <f t="shared" si="104"/>
        <v>0</v>
      </c>
      <c r="BA126" s="159">
        <f t="shared" si="104"/>
        <v>0</v>
      </c>
      <c r="BB126" s="159">
        <f t="shared" si="104"/>
        <v>0</v>
      </c>
      <c r="BC126" s="159">
        <f t="shared" si="104"/>
        <v>0</v>
      </c>
      <c r="BD126" s="159">
        <f t="shared" si="104"/>
        <v>0</v>
      </c>
      <c r="BE126" s="159">
        <f t="shared" si="104"/>
        <v>0</v>
      </c>
      <c r="BF126" s="159">
        <f t="shared" si="104"/>
        <v>0</v>
      </c>
      <c r="BG126" s="159">
        <f t="shared" si="104"/>
        <v>0</v>
      </c>
      <c r="BH126" s="159">
        <f t="shared" si="104"/>
        <v>0</v>
      </c>
      <c r="BI126" s="159">
        <f t="shared" si="104"/>
        <v>0</v>
      </c>
      <c r="BJ126" s="159">
        <f t="shared" si="104"/>
        <v>0</v>
      </c>
      <c r="BK126" s="159">
        <f t="shared" si="104"/>
        <v>0</v>
      </c>
      <c r="BL126" s="159">
        <f t="shared" si="104"/>
        <v>0</v>
      </c>
      <c r="BM126" s="159">
        <f t="shared" si="104"/>
        <v>0</v>
      </c>
      <c r="BN126" s="159">
        <f t="shared" si="104"/>
        <v>0</v>
      </c>
      <c r="BO126" s="159">
        <f t="shared" si="104"/>
        <v>0</v>
      </c>
      <c r="BP126" s="159">
        <f t="shared" si="104"/>
        <v>0</v>
      </c>
      <c r="BQ126" s="159">
        <f t="shared" si="104"/>
        <v>0</v>
      </c>
      <c r="BR126" s="159">
        <f t="shared" ref="BR126:CK126" si="105">IFERROR(LOOKUP(BR$29,Продажи_год_прироста,Продажи_уровень_прироста_продукт10),0)</f>
        <v>0</v>
      </c>
      <c r="BS126" s="159">
        <f t="shared" si="105"/>
        <v>0</v>
      </c>
      <c r="BT126" s="159">
        <f t="shared" si="105"/>
        <v>0</v>
      </c>
      <c r="BU126" s="159">
        <f t="shared" si="105"/>
        <v>0</v>
      </c>
      <c r="BV126" s="159">
        <f t="shared" si="105"/>
        <v>0</v>
      </c>
      <c r="BW126" s="159">
        <f t="shared" si="105"/>
        <v>0</v>
      </c>
      <c r="BX126" s="159">
        <f t="shared" si="105"/>
        <v>0</v>
      </c>
      <c r="BY126" s="159">
        <f t="shared" si="105"/>
        <v>0</v>
      </c>
      <c r="BZ126" s="159">
        <f t="shared" si="105"/>
        <v>0</v>
      </c>
      <c r="CA126" s="159">
        <f t="shared" si="105"/>
        <v>0</v>
      </c>
      <c r="CB126" s="159">
        <f t="shared" si="105"/>
        <v>0</v>
      </c>
      <c r="CC126" s="159">
        <f t="shared" si="105"/>
        <v>0</v>
      </c>
      <c r="CD126" s="159">
        <f t="shared" si="105"/>
        <v>0</v>
      </c>
      <c r="CE126" s="159">
        <f t="shared" si="105"/>
        <v>0</v>
      </c>
      <c r="CF126" s="159">
        <f t="shared" si="105"/>
        <v>0</v>
      </c>
      <c r="CG126" s="159">
        <f t="shared" si="105"/>
        <v>0</v>
      </c>
      <c r="CH126" s="159">
        <f t="shared" si="105"/>
        <v>0</v>
      </c>
      <c r="CI126" s="159">
        <f t="shared" si="105"/>
        <v>0</v>
      </c>
      <c r="CJ126" s="159">
        <f t="shared" si="105"/>
        <v>0</v>
      </c>
      <c r="CK126" s="159">
        <f t="shared" si="105"/>
        <v>0</v>
      </c>
    </row>
    <row r="127" spans="2:89" ht="15.75" thickBot="1">
      <c r="B127" s="187" t="str">
        <f t="shared" ref="B127:B128" si="106">$B$84</f>
        <v>Реализация с/х продукции</v>
      </c>
      <c r="C127" s="155" t="s">
        <v>45</v>
      </c>
      <c r="D127" s="155"/>
      <c r="E127" s="158"/>
      <c r="F127" s="159">
        <f>(1+F126)^(F$26/F$20)-1</f>
        <v>0</v>
      </c>
      <c r="G127" s="159">
        <f t="shared" ref="G127:BR127" si="107">(1+G126)^(G$26/G$20)-1</f>
        <v>0</v>
      </c>
      <c r="H127" s="159">
        <f t="shared" si="107"/>
        <v>0</v>
      </c>
      <c r="I127" s="159">
        <f t="shared" si="107"/>
        <v>0</v>
      </c>
      <c r="J127" s="159">
        <f t="shared" si="107"/>
        <v>0</v>
      </c>
      <c r="K127" s="159">
        <f t="shared" si="107"/>
        <v>0</v>
      </c>
      <c r="L127" s="159">
        <f t="shared" si="107"/>
        <v>0</v>
      </c>
      <c r="M127" s="159">
        <f t="shared" si="107"/>
        <v>0</v>
      </c>
      <c r="N127" s="159">
        <f t="shared" si="107"/>
        <v>0</v>
      </c>
      <c r="O127" s="159">
        <f t="shared" si="107"/>
        <v>0</v>
      </c>
      <c r="P127" s="159">
        <f t="shared" si="107"/>
        <v>0</v>
      </c>
      <c r="Q127" s="159">
        <f t="shared" si="107"/>
        <v>0</v>
      </c>
      <c r="R127" s="159">
        <f t="shared" si="107"/>
        <v>0</v>
      </c>
      <c r="S127" s="159">
        <f t="shared" si="107"/>
        <v>0</v>
      </c>
      <c r="T127" s="159">
        <f t="shared" si="107"/>
        <v>0</v>
      </c>
      <c r="U127" s="159">
        <f t="shared" si="107"/>
        <v>0</v>
      </c>
      <c r="V127" s="159">
        <f t="shared" si="107"/>
        <v>0</v>
      </c>
      <c r="W127" s="159">
        <f t="shared" si="107"/>
        <v>0</v>
      </c>
      <c r="X127" s="159">
        <f t="shared" si="107"/>
        <v>0</v>
      </c>
      <c r="Y127" s="159">
        <f t="shared" si="107"/>
        <v>0</v>
      </c>
      <c r="Z127" s="159">
        <f t="shared" si="107"/>
        <v>0</v>
      </c>
      <c r="AA127" s="159">
        <f t="shared" si="107"/>
        <v>0</v>
      </c>
      <c r="AB127" s="159">
        <f t="shared" si="107"/>
        <v>0</v>
      </c>
      <c r="AC127" s="159">
        <f t="shared" si="107"/>
        <v>0</v>
      </c>
      <c r="AD127" s="159">
        <f t="shared" si="107"/>
        <v>2.3716225949163894E-2</v>
      </c>
      <c r="AE127" s="159">
        <f t="shared" si="107"/>
        <v>2.4516380440156249E-2</v>
      </c>
      <c r="AF127" s="159">
        <f t="shared" si="107"/>
        <v>2.3716225949163894E-2</v>
      </c>
      <c r="AG127" s="159">
        <f t="shared" si="107"/>
        <v>2.4516380440156249E-2</v>
      </c>
      <c r="AH127" s="159">
        <f t="shared" si="107"/>
        <v>2.4516380440156249E-2</v>
      </c>
      <c r="AI127" s="159">
        <f t="shared" si="107"/>
        <v>2.3716225949163894E-2</v>
      </c>
      <c r="AJ127" s="159">
        <f t="shared" si="107"/>
        <v>2.4516380440156249E-2</v>
      </c>
      <c r="AK127" s="159">
        <f t="shared" si="107"/>
        <v>2.3716225949163894E-2</v>
      </c>
      <c r="AL127" s="159">
        <f t="shared" si="107"/>
        <v>2.4516380440156249E-2</v>
      </c>
      <c r="AM127" s="159">
        <f t="shared" si="107"/>
        <v>2.4516380440156249E-2</v>
      </c>
      <c r="AN127" s="159">
        <f t="shared" si="107"/>
        <v>2.2117791257944663E-2</v>
      </c>
      <c r="AO127" s="159">
        <f t="shared" si="107"/>
        <v>2.4516380440156249E-2</v>
      </c>
      <c r="AP127" s="159">
        <f t="shared" si="107"/>
        <v>0</v>
      </c>
      <c r="AQ127" s="159">
        <f t="shared" si="107"/>
        <v>0</v>
      </c>
      <c r="AR127" s="159">
        <f t="shared" si="107"/>
        <v>0</v>
      </c>
      <c r="AS127" s="159">
        <f t="shared" si="107"/>
        <v>0</v>
      </c>
      <c r="AT127" s="159">
        <f t="shared" si="107"/>
        <v>0</v>
      </c>
      <c r="AU127" s="159">
        <f t="shared" si="107"/>
        <v>0</v>
      </c>
      <c r="AV127" s="159">
        <f t="shared" si="107"/>
        <v>0</v>
      </c>
      <c r="AW127" s="159">
        <f t="shared" si="107"/>
        <v>0</v>
      </c>
      <c r="AX127" s="159">
        <f t="shared" si="107"/>
        <v>0</v>
      </c>
      <c r="AY127" s="159">
        <f t="shared" si="107"/>
        <v>0</v>
      </c>
      <c r="AZ127" s="159">
        <f t="shared" si="107"/>
        <v>0</v>
      </c>
      <c r="BA127" s="159">
        <f t="shared" si="107"/>
        <v>0</v>
      </c>
      <c r="BB127" s="159">
        <f t="shared" si="107"/>
        <v>0</v>
      </c>
      <c r="BC127" s="159">
        <f t="shared" si="107"/>
        <v>0</v>
      </c>
      <c r="BD127" s="159">
        <f t="shared" si="107"/>
        <v>0</v>
      </c>
      <c r="BE127" s="159">
        <f t="shared" si="107"/>
        <v>0</v>
      </c>
      <c r="BF127" s="159">
        <f t="shared" si="107"/>
        <v>0</v>
      </c>
      <c r="BG127" s="159">
        <f t="shared" si="107"/>
        <v>0</v>
      </c>
      <c r="BH127" s="159">
        <f t="shared" si="107"/>
        <v>0</v>
      </c>
      <c r="BI127" s="159">
        <f t="shared" si="107"/>
        <v>0</v>
      </c>
      <c r="BJ127" s="159">
        <f t="shared" si="107"/>
        <v>0</v>
      </c>
      <c r="BK127" s="159">
        <f t="shared" si="107"/>
        <v>0</v>
      </c>
      <c r="BL127" s="159">
        <f t="shared" si="107"/>
        <v>0</v>
      </c>
      <c r="BM127" s="159">
        <f t="shared" si="107"/>
        <v>0</v>
      </c>
      <c r="BN127" s="159">
        <f t="shared" si="107"/>
        <v>0</v>
      </c>
      <c r="BO127" s="159">
        <f t="shared" si="107"/>
        <v>0</v>
      </c>
      <c r="BP127" s="159">
        <f t="shared" si="107"/>
        <v>0</v>
      </c>
      <c r="BQ127" s="159">
        <f t="shared" si="107"/>
        <v>0</v>
      </c>
      <c r="BR127" s="159">
        <f t="shared" si="107"/>
        <v>0</v>
      </c>
      <c r="BS127" s="159">
        <f t="shared" ref="BS127:CK127" si="108">(1+BS126)^(BS$26/BS$20)-1</f>
        <v>0</v>
      </c>
      <c r="BT127" s="159">
        <f t="shared" si="108"/>
        <v>0</v>
      </c>
      <c r="BU127" s="159">
        <f t="shared" si="108"/>
        <v>0</v>
      </c>
      <c r="BV127" s="159">
        <f t="shared" si="108"/>
        <v>0</v>
      </c>
      <c r="BW127" s="159">
        <f t="shared" si="108"/>
        <v>0</v>
      </c>
      <c r="BX127" s="159">
        <f t="shared" si="108"/>
        <v>0</v>
      </c>
      <c r="BY127" s="159">
        <f t="shared" si="108"/>
        <v>0</v>
      </c>
      <c r="BZ127" s="159">
        <f t="shared" si="108"/>
        <v>0</v>
      </c>
      <c r="CA127" s="159">
        <f t="shared" si="108"/>
        <v>0</v>
      </c>
      <c r="CB127" s="159">
        <f t="shared" si="108"/>
        <v>0</v>
      </c>
      <c r="CC127" s="159">
        <f t="shared" si="108"/>
        <v>0</v>
      </c>
      <c r="CD127" s="159">
        <f t="shared" si="108"/>
        <v>0</v>
      </c>
      <c r="CE127" s="159">
        <f t="shared" si="108"/>
        <v>0</v>
      </c>
      <c r="CF127" s="159">
        <f t="shared" si="108"/>
        <v>0</v>
      </c>
      <c r="CG127" s="159">
        <f t="shared" si="108"/>
        <v>0</v>
      </c>
      <c r="CH127" s="159">
        <f t="shared" si="108"/>
        <v>0</v>
      </c>
      <c r="CI127" s="159">
        <f t="shared" si="108"/>
        <v>0</v>
      </c>
      <c r="CJ127" s="159">
        <f t="shared" si="108"/>
        <v>0</v>
      </c>
      <c r="CK127" s="159">
        <f t="shared" si="108"/>
        <v>0</v>
      </c>
    </row>
    <row r="128" spans="2:89" ht="15.75" thickTop="1">
      <c r="B128" s="161" t="str">
        <f t="shared" si="106"/>
        <v>Реализация с/х продукции</v>
      </c>
      <c r="C128" s="161" t="s">
        <v>46</v>
      </c>
      <c r="D128" s="161"/>
      <c r="E128" s="164">
        <v>1</v>
      </c>
      <c r="F128" s="165">
        <f>IF(AND(E128=0,F127&gt;0),F127,E128*(1+F127))</f>
        <v>1</v>
      </c>
      <c r="G128" s="165">
        <f t="shared" ref="G128:BR128" si="109">IF(AND(F128=0,G127&gt;0),G127,F128*(1+G127))</f>
        <v>1</v>
      </c>
      <c r="H128" s="165">
        <f t="shared" si="109"/>
        <v>1</v>
      </c>
      <c r="I128" s="165">
        <f t="shared" si="109"/>
        <v>1</v>
      </c>
      <c r="J128" s="165">
        <f t="shared" si="109"/>
        <v>1</v>
      </c>
      <c r="K128" s="165">
        <f t="shared" si="109"/>
        <v>1</v>
      </c>
      <c r="L128" s="165">
        <f t="shared" si="109"/>
        <v>1</v>
      </c>
      <c r="M128" s="165">
        <f t="shared" si="109"/>
        <v>1</v>
      </c>
      <c r="N128" s="165">
        <f t="shared" si="109"/>
        <v>1</v>
      </c>
      <c r="O128" s="165">
        <f t="shared" si="109"/>
        <v>1</v>
      </c>
      <c r="P128" s="165">
        <f t="shared" si="109"/>
        <v>1</v>
      </c>
      <c r="Q128" s="165">
        <f t="shared" si="109"/>
        <v>1</v>
      </c>
      <c r="R128" s="165">
        <f t="shared" si="109"/>
        <v>1</v>
      </c>
      <c r="S128" s="165">
        <f t="shared" si="109"/>
        <v>1</v>
      </c>
      <c r="T128" s="165">
        <f t="shared" si="109"/>
        <v>1</v>
      </c>
      <c r="U128" s="165">
        <f t="shared" si="109"/>
        <v>1</v>
      </c>
      <c r="V128" s="165">
        <f t="shared" si="109"/>
        <v>1</v>
      </c>
      <c r="W128" s="165">
        <f t="shared" si="109"/>
        <v>1</v>
      </c>
      <c r="X128" s="165">
        <f t="shared" si="109"/>
        <v>1</v>
      </c>
      <c r="Y128" s="165">
        <f t="shared" si="109"/>
        <v>1</v>
      </c>
      <c r="Z128" s="165">
        <f t="shared" si="109"/>
        <v>1</v>
      </c>
      <c r="AA128" s="165">
        <f t="shared" si="109"/>
        <v>1</v>
      </c>
      <c r="AB128" s="165">
        <f t="shared" si="109"/>
        <v>1</v>
      </c>
      <c r="AC128" s="165">
        <f t="shared" si="109"/>
        <v>1</v>
      </c>
      <c r="AD128" s="165">
        <f t="shared" si="109"/>
        <v>1.0237162259491639</v>
      </c>
      <c r="AE128" s="165">
        <f t="shared" si="109"/>
        <v>1.0488140424072945</v>
      </c>
      <c r="AF128" s="165">
        <f t="shared" si="109"/>
        <v>1.0736879532156818</v>
      </c>
      <c r="AG128" s="165">
        <f t="shared" si="109"/>
        <v>1.1000108955507302</v>
      </c>
      <c r="AH128" s="165">
        <f t="shared" si="109"/>
        <v>1.1269791811543688</v>
      </c>
      <c r="AI128" s="165">
        <f t="shared" si="109"/>
        <v>1.1537068740546295</v>
      </c>
      <c r="AJ128" s="165">
        <f t="shared" si="109"/>
        <v>1.1819915906953762</v>
      </c>
      <c r="AK128" s="165">
        <f t="shared" si="109"/>
        <v>1.2100239703303193</v>
      </c>
      <c r="AL128" s="165">
        <f t="shared" si="109"/>
        <v>1.2396893783286458</v>
      </c>
      <c r="AM128" s="165">
        <f t="shared" si="109"/>
        <v>1.2700820747553716</v>
      </c>
      <c r="AN128" s="165">
        <f t="shared" si="109"/>
        <v>1.2981734849652682</v>
      </c>
      <c r="AO128" s="165">
        <f t="shared" si="109"/>
        <v>1.33</v>
      </c>
      <c r="AP128" s="165">
        <f t="shared" si="109"/>
        <v>1.33</v>
      </c>
      <c r="AQ128" s="165">
        <f t="shared" si="109"/>
        <v>1.33</v>
      </c>
      <c r="AR128" s="165">
        <f t="shared" si="109"/>
        <v>1.33</v>
      </c>
      <c r="AS128" s="165">
        <f t="shared" si="109"/>
        <v>1.33</v>
      </c>
      <c r="AT128" s="165">
        <f t="shared" si="109"/>
        <v>1.33</v>
      </c>
      <c r="AU128" s="165">
        <f t="shared" si="109"/>
        <v>1.33</v>
      </c>
      <c r="AV128" s="165">
        <f t="shared" si="109"/>
        <v>1.33</v>
      </c>
      <c r="AW128" s="165">
        <f t="shared" si="109"/>
        <v>1.33</v>
      </c>
      <c r="AX128" s="165">
        <f t="shared" si="109"/>
        <v>1.33</v>
      </c>
      <c r="AY128" s="165">
        <f t="shared" si="109"/>
        <v>1.33</v>
      </c>
      <c r="AZ128" s="165">
        <f t="shared" si="109"/>
        <v>1.33</v>
      </c>
      <c r="BA128" s="165">
        <f t="shared" si="109"/>
        <v>1.33</v>
      </c>
      <c r="BB128" s="165">
        <f t="shared" si="109"/>
        <v>1.33</v>
      </c>
      <c r="BC128" s="165">
        <f t="shared" si="109"/>
        <v>1.33</v>
      </c>
      <c r="BD128" s="165">
        <f t="shared" si="109"/>
        <v>1.33</v>
      </c>
      <c r="BE128" s="165">
        <f t="shared" si="109"/>
        <v>1.33</v>
      </c>
      <c r="BF128" s="165">
        <f t="shared" si="109"/>
        <v>1.33</v>
      </c>
      <c r="BG128" s="165">
        <f t="shared" si="109"/>
        <v>1.33</v>
      </c>
      <c r="BH128" s="165">
        <f t="shared" si="109"/>
        <v>1.33</v>
      </c>
      <c r="BI128" s="165">
        <f t="shared" si="109"/>
        <v>1.33</v>
      </c>
      <c r="BJ128" s="165">
        <f t="shared" si="109"/>
        <v>1.33</v>
      </c>
      <c r="BK128" s="165">
        <f t="shared" si="109"/>
        <v>1.33</v>
      </c>
      <c r="BL128" s="165">
        <f t="shared" si="109"/>
        <v>1.33</v>
      </c>
      <c r="BM128" s="165">
        <f t="shared" si="109"/>
        <v>1.33</v>
      </c>
      <c r="BN128" s="165">
        <f t="shared" si="109"/>
        <v>1.33</v>
      </c>
      <c r="BO128" s="165">
        <f t="shared" si="109"/>
        <v>1.33</v>
      </c>
      <c r="BP128" s="165">
        <f t="shared" si="109"/>
        <v>1.33</v>
      </c>
      <c r="BQ128" s="165">
        <f t="shared" si="109"/>
        <v>1.33</v>
      </c>
      <c r="BR128" s="165">
        <f t="shared" si="109"/>
        <v>1.33</v>
      </c>
      <c r="BS128" s="165">
        <f t="shared" ref="BS128:CK128" si="110">IF(AND(BR128=0,BS127&gt;0),BS127,BR128*(1+BS127))</f>
        <v>1.33</v>
      </c>
      <c r="BT128" s="165">
        <f t="shared" si="110"/>
        <v>1.33</v>
      </c>
      <c r="BU128" s="165">
        <f t="shared" si="110"/>
        <v>1.33</v>
      </c>
      <c r="BV128" s="165">
        <f t="shared" si="110"/>
        <v>1.33</v>
      </c>
      <c r="BW128" s="165">
        <f t="shared" si="110"/>
        <v>1.33</v>
      </c>
      <c r="BX128" s="165">
        <f t="shared" si="110"/>
        <v>1.33</v>
      </c>
      <c r="BY128" s="165">
        <f t="shared" si="110"/>
        <v>1.33</v>
      </c>
      <c r="BZ128" s="165">
        <f t="shared" si="110"/>
        <v>1.33</v>
      </c>
      <c r="CA128" s="165">
        <f t="shared" si="110"/>
        <v>1.33</v>
      </c>
      <c r="CB128" s="165">
        <f t="shared" si="110"/>
        <v>1.33</v>
      </c>
      <c r="CC128" s="165">
        <f t="shared" si="110"/>
        <v>1.33</v>
      </c>
      <c r="CD128" s="165">
        <f t="shared" si="110"/>
        <v>1.33</v>
      </c>
      <c r="CE128" s="165">
        <f t="shared" si="110"/>
        <v>1.33</v>
      </c>
      <c r="CF128" s="165">
        <f t="shared" si="110"/>
        <v>1.33</v>
      </c>
      <c r="CG128" s="165">
        <f t="shared" si="110"/>
        <v>1.33</v>
      </c>
      <c r="CH128" s="165">
        <f t="shared" si="110"/>
        <v>1.33</v>
      </c>
      <c r="CI128" s="165">
        <f t="shared" si="110"/>
        <v>1.33</v>
      </c>
      <c r="CJ128" s="165">
        <f t="shared" si="110"/>
        <v>1.33</v>
      </c>
      <c r="CK128" s="165">
        <f t="shared" si="110"/>
        <v>1.33</v>
      </c>
    </row>
    <row r="129" spans="2:89">
      <c r="B129" s="14"/>
      <c r="C129" s="14"/>
      <c r="D129" s="14"/>
      <c r="E129" s="1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</row>
    <row r="130" spans="2:89">
      <c r="B130" s="187" t="str">
        <f>$B$85</f>
        <v>Форель</v>
      </c>
      <c r="C130" s="155" t="s">
        <v>44</v>
      </c>
      <c r="D130" s="155"/>
      <c r="E130" s="158"/>
      <c r="F130" s="159">
        <f t="shared" ref="F130:AK130" si="111">IFERROR(LOOKUP(F$29,Продажи_год_прироста,Продажи_уровень_прироста_продукт11),0)</f>
        <v>0</v>
      </c>
      <c r="G130" s="159">
        <f t="shared" si="111"/>
        <v>0</v>
      </c>
      <c r="H130" s="159">
        <f t="shared" si="111"/>
        <v>0</v>
      </c>
      <c r="I130" s="159">
        <f t="shared" si="111"/>
        <v>0</v>
      </c>
      <c r="J130" s="159">
        <f t="shared" si="111"/>
        <v>0</v>
      </c>
      <c r="K130" s="159">
        <f t="shared" si="111"/>
        <v>0</v>
      </c>
      <c r="L130" s="159">
        <f t="shared" si="111"/>
        <v>0</v>
      </c>
      <c r="M130" s="159">
        <f t="shared" si="111"/>
        <v>0</v>
      </c>
      <c r="N130" s="159">
        <f t="shared" si="111"/>
        <v>0</v>
      </c>
      <c r="O130" s="159">
        <f t="shared" si="111"/>
        <v>0</v>
      </c>
      <c r="P130" s="159">
        <f t="shared" si="111"/>
        <v>0</v>
      </c>
      <c r="Q130" s="159">
        <f t="shared" si="111"/>
        <v>0</v>
      </c>
      <c r="R130" s="159">
        <f t="shared" si="111"/>
        <v>-1</v>
      </c>
      <c r="S130" s="159">
        <f t="shared" si="111"/>
        <v>-1</v>
      </c>
      <c r="T130" s="159">
        <f t="shared" si="111"/>
        <v>-1</v>
      </c>
      <c r="U130" s="159">
        <f t="shared" si="111"/>
        <v>-1</v>
      </c>
      <c r="V130" s="159">
        <f t="shared" si="111"/>
        <v>-1</v>
      </c>
      <c r="W130" s="159">
        <f t="shared" si="111"/>
        <v>-1</v>
      </c>
      <c r="X130" s="159">
        <f t="shared" si="111"/>
        <v>-1</v>
      </c>
      <c r="Y130" s="159">
        <f t="shared" si="111"/>
        <v>-1</v>
      </c>
      <c r="Z130" s="159">
        <f t="shared" si="111"/>
        <v>-1</v>
      </c>
      <c r="AA130" s="159">
        <f t="shared" si="111"/>
        <v>-1</v>
      </c>
      <c r="AB130" s="159">
        <f t="shared" si="111"/>
        <v>-1</v>
      </c>
      <c r="AC130" s="159">
        <f t="shared" si="111"/>
        <v>-1</v>
      </c>
      <c r="AD130" s="159">
        <f t="shared" si="111"/>
        <v>5.84</v>
      </c>
      <c r="AE130" s="159">
        <f t="shared" si="111"/>
        <v>5.84</v>
      </c>
      <c r="AF130" s="159">
        <f t="shared" si="111"/>
        <v>5.84</v>
      </c>
      <c r="AG130" s="159">
        <f t="shared" si="111"/>
        <v>5.84</v>
      </c>
      <c r="AH130" s="159">
        <f t="shared" si="111"/>
        <v>5.84</v>
      </c>
      <c r="AI130" s="159">
        <f t="shared" si="111"/>
        <v>5.84</v>
      </c>
      <c r="AJ130" s="159">
        <f t="shared" si="111"/>
        <v>5.84</v>
      </c>
      <c r="AK130" s="159">
        <f t="shared" si="111"/>
        <v>5.84</v>
      </c>
      <c r="AL130" s="159">
        <f t="shared" ref="AL130:BQ130" si="112">IFERROR(LOOKUP(AL$29,Продажи_год_прироста,Продажи_уровень_прироста_продукт11),0)</f>
        <v>5.84</v>
      </c>
      <c r="AM130" s="159">
        <f t="shared" si="112"/>
        <v>5.84</v>
      </c>
      <c r="AN130" s="159">
        <f t="shared" si="112"/>
        <v>5.84</v>
      </c>
      <c r="AO130" s="159">
        <f t="shared" si="112"/>
        <v>5.84</v>
      </c>
      <c r="AP130" s="159">
        <f t="shared" si="112"/>
        <v>1</v>
      </c>
      <c r="AQ130" s="159">
        <f t="shared" si="112"/>
        <v>1</v>
      </c>
      <c r="AR130" s="159">
        <f t="shared" si="112"/>
        <v>1</v>
      </c>
      <c r="AS130" s="159">
        <f t="shared" si="112"/>
        <v>1</v>
      </c>
      <c r="AT130" s="159">
        <f t="shared" si="112"/>
        <v>1</v>
      </c>
      <c r="AU130" s="159">
        <f t="shared" si="112"/>
        <v>1</v>
      </c>
      <c r="AV130" s="159">
        <f t="shared" si="112"/>
        <v>1</v>
      </c>
      <c r="AW130" s="159">
        <f t="shared" si="112"/>
        <v>1</v>
      </c>
      <c r="AX130" s="159">
        <f t="shared" si="112"/>
        <v>1</v>
      </c>
      <c r="AY130" s="159">
        <f t="shared" si="112"/>
        <v>1</v>
      </c>
      <c r="AZ130" s="159">
        <f t="shared" si="112"/>
        <v>1</v>
      </c>
      <c r="BA130" s="159">
        <f t="shared" si="112"/>
        <v>1</v>
      </c>
      <c r="BB130" s="159">
        <f t="shared" si="112"/>
        <v>0</v>
      </c>
      <c r="BC130" s="159">
        <f t="shared" si="112"/>
        <v>0</v>
      </c>
      <c r="BD130" s="159">
        <f t="shared" si="112"/>
        <v>0</v>
      </c>
      <c r="BE130" s="159">
        <f t="shared" si="112"/>
        <v>0</v>
      </c>
      <c r="BF130" s="159">
        <f t="shared" si="112"/>
        <v>0</v>
      </c>
      <c r="BG130" s="159">
        <f t="shared" si="112"/>
        <v>0</v>
      </c>
      <c r="BH130" s="159">
        <f t="shared" si="112"/>
        <v>0</v>
      </c>
      <c r="BI130" s="159">
        <f t="shared" si="112"/>
        <v>0</v>
      </c>
      <c r="BJ130" s="159">
        <f t="shared" si="112"/>
        <v>0</v>
      </c>
      <c r="BK130" s="159">
        <f t="shared" si="112"/>
        <v>0</v>
      </c>
      <c r="BL130" s="159">
        <f t="shared" si="112"/>
        <v>0</v>
      </c>
      <c r="BM130" s="159">
        <f t="shared" si="112"/>
        <v>0</v>
      </c>
      <c r="BN130" s="159">
        <f t="shared" si="112"/>
        <v>0</v>
      </c>
      <c r="BO130" s="159">
        <f t="shared" si="112"/>
        <v>0</v>
      </c>
      <c r="BP130" s="159">
        <f t="shared" si="112"/>
        <v>0</v>
      </c>
      <c r="BQ130" s="159">
        <f t="shared" si="112"/>
        <v>0</v>
      </c>
      <c r="BR130" s="159">
        <f t="shared" ref="BR130:CK130" si="113">IFERROR(LOOKUP(BR$29,Продажи_год_прироста,Продажи_уровень_прироста_продукт11),0)</f>
        <v>0</v>
      </c>
      <c r="BS130" s="159">
        <f t="shared" si="113"/>
        <v>0</v>
      </c>
      <c r="BT130" s="159">
        <f t="shared" si="113"/>
        <v>0</v>
      </c>
      <c r="BU130" s="159">
        <f t="shared" si="113"/>
        <v>0</v>
      </c>
      <c r="BV130" s="159">
        <f t="shared" si="113"/>
        <v>0</v>
      </c>
      <c r="BW130" s="159">
        <f t="shared" si="113"/>
        <v>0</v>
      </c>
      <c r="BX130" s="159">
        <f t="shared" si="113"/>
        <v>0</v>
      </c>
      <c r="BY130" s="159">
        <f t="shared" si="113"/>
        <v>0</v>
      </c>
      <c r="BZ130" s="159">
        <f t="shared" si="113"/>
        <v>0</v>
      </c>
      <c r="CA130" s="159">
        <f t="shared" si="113"/>
        <v>0</v>
      </c>
      <c r="CB130" s="159">
        <f t="shared" si="113"/>
        <v>0</v>
      </c>
      <c r="CC130" s="159">
        <f t="shared" si="113"/>
        <v>0</v>
      </c>
      <c r="CD130" s="159">
        <f t="shared" si="113"/>
        <v>0</v>
      </c>
      <c r="CE130" s="159">
        <f t="shared" si="113"/>
        <v>0</v>
      </c>
      <c r="CF130" s="159">
        <f t="shared" si="113"/>
        <v>0</v>
      </c>
      <c r="CG130" s="159">
        <f t="shared" si="113"/>
        <v>0</v>
      </c>
      <c r="CH130" s="159">
        <f t="shared" si="113"/>
        <v>0</v>
      </c>
      <c r="CI130" s="159">
        <f t="shared" si="113"/>
        <v>0</v>
      </c>
      <c r="CJ130" s="159">
        <f t="shared" si="113"/>
        <v>0</v>
      </c>
      <c r="CK130" s="159">
        <f t="shared" si="113"/>
        <v>0</v>
      </c>
    </row>
    <row r="131" spans="2:89" ht="15.75" thickBot="1">
      <c r="B131" s="187" t="str">
        <f t="shared" ref="B131:B132" si="114">$B$85</f>
        <v>Форель</v>
      </c>
      <c r="C131" s="155" t="s">
        <v>45</v>
      </c>
      <c r="D131" s="155"/>
      <c r="E131" s="158"/>
      <c r="F131" s="159">
        <f>(1+F130)^(F$26/F$20)-1</f>
        <v>0</v>
      </c>
      <c r="G131" s="159">
        <f t="shared" ref="G131:BR131" si="115">(1+G130)^(G$26/G$20)-1</f>
        <v>0</v>
      </c>
      <c r="H131" s="159">
        <f t="shared" si="115"/>
        <v>0</v>
      </c>
      <c r="I131" s="159">
        <f t="shared" si="115"/>
        <v>0</v>
      </c>
      <c r="J131" s="159">
        <f t="shared" si="115"/>
        <v>0</v>
      </c>
      <c r="K131" s="159">
        <f t="shared" si="115"/>
        <v>0</v>
      </c>
      <c r="L131" s="159">
        <f t="shared" si="115"/>
        <v>0</v>
      </c>
      <c r="M131" s="159">
        <f t="shared" si="115"/>
        <v>0</v>
      </c>
      <c r="N131" s="159">
        <f t="shared" si="115"/>
        <v>0</v>
      </c>
      <c r="O131" s="159">
        <f t="shared" si="115"/>
        <v>0</v>
      </c>
      <c r="P131" s="159">
        <f t="shared" si="115"/>
        <v>0</v>
      </c>
      <c r="Q131" s="159">
        <f t="shared" si="115"/>
        <v>0</v>
      </c>
      <c r="R131" s="159">
        <f t="shared" si="115"/>
        <v>-1</v>
      </c>
      <c r="S131" s="159">
        <f t="shared" si="115"/>
        <v>-1</v>
      </c>
      <c r="T131" s="159">
        <f t="shared" si="115"/>
        <v>-1</v>
      </c>
      <c r="U131" s="159">
        <f t="shared" si="115"/>
        <v>-1</v>
      </c>
      <c r="V131" s="159">
        <f t="shared" si="115"/>
        <v>-1</v>
      </c>
      <c r="W131" s="159">
        <f t="shared" si="115"/>
        <v>-1</v>
      </c>
      <c r="X131" s="159">
        <f t="shared" si="115"/>
        <v>-1</v>
      </c>
      <c r="Y131" s="159">
        <f t="shared" si="115"/>
        <v>-1</v>
      </c>
      <c r="Z131" s="159">
        <f t="shared" si="115"/>
        <v>-1</v>
      </c>
      <c r="AA131" s="159">
        <f t="shared" si="115"/>
        <v>-1</v>
      </c>
      <c r="AB131" s="159">
        <f t="shared" si="115"/>
        <v>-1</v>
      </c>
      <c r="AC131" s="159">
        <f t="shared" si="115"/>
        <v>-1</v>
      </c>
      <c r="AD131" s="159">
        <f t="shared" si="115"/>
        <v>0.17120993601181755</v>
      </c>
      <c r="AE131" s="159">
        <f t="shared" si="115"/>
        <v>0.17739604604673187</v>
      </c>
      <c r="AF131" s="159">
        <f t="shared" si="115"/>
        <v>0.17120993601181755</v>
      </c>
      <c r="AG131" s="159">
        <f t="shared" si="115"/>
        <v>0.17739604604673187</v>
      </c>
      <c r="AH131" s="159">
        <f t="shared" si="115"/>
        <v>0.17739604604673187</v>
      </c>
      <c r="AI131" s="159">
        <f t="shared" si="115"/>
        <v>0.17120993601181755</v>
      </c>
      <c r="AJ131" s="159">
        <f t="shared" si="115"/>
        <v>0.17739604604673187</v>
      </c>
      <c r="AK131" s="159">
        <f t="shared" si="115"/>
        <v>0.17120993601181755</v>
      </c>
      <c r="AL131" s="159">
        <f t="shared" si="115"/>
        <v>0.17739604604673187</v>
      </c>
      <c r="AM131" s="159">
        <f t="shared" si="115"/>
        <v>0.17739604604673187</v>
      </c>
      <c r="AN131" s="159">
        <f t="shared" si="115"/>
        <v>0.15893505176226341</v>
      </c>
      <c r="AO131" s="159">
        <f t="shared" si="115"/>
        <v>0.17739604604673187</v>
      </c>
      <c r="AP131" s="159">
        <f t="shared" si="115"/>
        <v>5.8625111031017196E-2</v>
      </c>
      <c r="AQ131" s="159">
        <f t="shared" si="115"/>
        <v>6.0637385528131915E-2</v>
      </c>
      <c r="AR131" s="159">
        <f t="shared" si="115"/>
        <v>5.8625111031017196E-2</v>
      </c>
      <c r="AS131" s="159">
        <f t="shared" si="115"/>
        <v>6.0637385528131915E-2</v>
      </c>
      <c r="AT131" s="159">
        <f t="shared" si="115"/>
        <v>6.0637385528131915E-2</v>
      </c>
      <c r="AU131" s="159">
        <f t="shared" si="115"/>
        <v>5.8625111031017196E-2</v>
      </c>
      <c r="AV131" s="159">
        <f t="shared" si="115"/>
        <v>6.0637385528131915E-2</v>
      </c>
      <c r="AW131" s="159">
        <f t="shared" si="115"/>
        <v>5.8625111031017196E-2</v>
      </c>
      <c r="AX131" s="159">
        <f t="shared" si="115"/>
        <v>6.0637385528131915E-2</v>
      </c>
      <c r="AY131" s="159">
        <f t="shared" si="115"/>
        <v>6.0637385528131915E-2</v>
      </c>
      <c r="AZ131" s="159">
        <f t="shared" si="115"/>
        <v>5.4612008044405025E-2</v>
      </c>
      <c r="BA131" s="159">
        <f t="shared" si="115"/>
        <v>6.0637385528131915E-2</v>
      </c>
      <c r="BB131" s="159">
        <f t="shared" si="115"/>
        <v>0</v>
      </c>
      <c r="BC131" s="159">
        <f t="shared" si="115"/>
        <v>0</v>
      </c>
      <c r="BD131" s="159">
        <f t="shared" si="115"/>
        <v>0</v>
      </c>
      <c r="BE131" s="159">
        <f t="shared" si="115"/>
        <v>0</v>
      </c>
      <c r="BF131" s="159">
        <f t="shared" si="115"/>
        <v>0</v>
      </c>
      <c r="BG131" s="159">
        <f t="shared" si="115"/>
        <v>0</v>
      </c>
      <c r="BH131" s="159">
        <f t="shared" si="115"/>
        <v>0</v>
      </c>
      <c r="BI131" s="159">
        <f t="shared" si="115"/>
        <v>0</v>
      </c>
      <c r="BJ131" s="159">
        <f t="shared" si="115"/>
        <v>0</v>
      </c>
      <c r="BK131" s="159">
        <f t="shared" si="115"/>
        <v>0</v>
      </c>
      <c r="BL131" s="159">
        <f t="shared" si="115"/>
        <v>0</v>
      </c>
      <c r="BM131" s="159">
        <f t="shared" si="115"/>
        <v>0</v>
      </c>
      <c r="BN131" s="159">
        <f t="shared" si="115"/>
        <v>0</v>
      </c>
      <c r="BO131" s="159">
        <f t="shared" si="115"/>
        <v>0</v>
      </c>
      <c r="BP131" s="159">
        <f t="shared" si="115"/>
        <v>0</v>
      </c>
      <c r="BQ131" s="159">
        <f t="shared" si="115"/>
        <v>0</v>
      </c>
      <c r="BR131" s="159">
        <f t="shared" si="115"/>
        <v>0</v>
      </c>
      <c r="BS131" s="159">
        <f t="shared" ref="BS131:CK131" si="116">(1+BS130)^(BS$26/BS$20)-1</f>
        <v>0</v>
      </c>
      <c r="BT131" s="159">
        <f t="shared" si="116"/>
        <v>0</v>
      </c>
      <c r="BU131" s="159">
        <f t="shared" si="116"/>
        <v>0</v>
      </c>
      <c r="BV131" s="159">
        <f t="shared" si="116"/>
        <v>0</v>
      </c>
      <c r="BW131" s="159">
        <f t="shared" si="116"/>
        <v>0</v>
      </c>
      <c r="BX131" s="159">
        <f t="shared" si="116"/>
        <v>0</v>
      </c>
      <c r="BY131" s="159">
        <f t="shared" si="116"/>
        <v>0</v>
      </c>
      <c r="BZ131" s="159">
        <f t="shared" si="116"/>
        <v>0</v>
      </c>
      <c r="CA131" s="159">
        <f t="shared" si="116"/>
        <v>0</v>
      </c>
      <c r="CB131" s="159">
        <f t="shared" si="116"/>
        <v>0</v>
      </c>
      <c r="CC131" s="159">
        <f t="shared" si="116"/>
        <v>0</v>
      </c>
      <c r="CD131" s="159">
        <f t="shared" si="116"/>
        <v>0</v>
      </c>
      <c r="CE131" s="159">
        <f t="shared" si="116"/>
        <v>0</v>
      </c>
      <c r="CF131" s="159">
        <f t="shared" si="116"/>
        <v>0</v>
      </c>
      <c r="CG131" s="159">
        <f t="shared" si="116"/>
        <v>0</v>
      </c>
      <c r="CH131" s="159">
        <f t="shared" si="116"/>
        <v>0</v>
      </c>
      <c r="CI131" s="159">
        <f t="shared" si="116"/>
        <v>0</v>
      </c>
      <c r="CJ131" s="159">
        <f t="shared" si="116"/>
        <v>0</v>
      </c>
      <c r="CK131" s="159">
        <f t="shared" si="116"/>
        <v>0</v>
      </c>
    </row>
    <row r="132" spans="2:89" ht="15.75" thickTop="1">
      <c r="B132" s="161" t="str">
        <f t="shared" si="114"/>
        <v>Форель</v>
      </c>
      <c r="C132" s="161" t="s">
        <v>46</v>
      </c>
      <c r="D132" s="161"/>
      <c r="E132" s="164">
        <v>1</v>
      </c>
      <c r="F132" s="165">
        <f>IF(AND(E132=0,F131&gt;0),F131,E132*(1+F131))</f>
        <v>1</v>
      </c>
      <c r="G132" s="165">
        <f t="shared" ref="G132:S132" si="117">IF(AND(F132=0,G131&gt;0),G131,F132*(1+G131))</f>
        <v>1</v>
      </c>
      <c r="H132" s="165">
        <f t="shared" si="117"/>
        <v>1</v>
      </c>
      <c r="I132" s="165">
        <f t="shared" si="117"/>
        <v>1</v>
      </c>
      <c r="J132" s="165">
        <f t="shared" si="117"/>
        <v>1</v>
      </c>
      <c r="K132" s="165">
        <f t="shared" si="117"/>
        <v>1</v>
      </c>
      <c r="L132" s="165">
        <f t="shared" si="117"/>
        <v>1</v>
      </c>
      <c r="M132" s="165">
        <f t="shared" si="117"/>
        <v>1</v>
      </c>
      <c r="N132" s="165">
        <f t="shared" si="117"/>
        <v>1</v>
      </c>
      <c r="O132" s="165">
        <f t="shared" si="117"/>
        <v>1</v>
      </c>
      <c r="P132" s="165">
        <f t="shared" si="117"/>
        <v>1</v>
      </c>
      <c r="Q132" s="165">
        <f t="shared" si="117"/>
        <v>1</v>
      </c>
      <c r="R132" s="165">
        <f t="shared" si="117"/>
        <v>0</v>
      </c>
      <c r="S132" s="165">
        <f t="shared" si="117"/>
        <v>0</v>
      </c>
      <c r="T132" s="165">
        <f>IF(AND(S132=0,T131&gt;0),T131,S132*(1+T131))</f>
        <v>0</v>
      </c>
      <c r="U132" s="165">
        <f t="shared" ref="U132" si="118">IF(AND(T132=0,U131&gt;0),U131,T132*(1+U131))</f>
        <v>0</v>
      </c>
      <c r="V132" s="165">
        <f t="shared" ref="V132" si="119">IF(AND(U132=0,V131&gt;0),V131,U132*(1+V131))</f>
        <v>0</v>
      </c>
      <c r="W132" s="165">
        <f t="shared" ref="W132" si="120">IF(AND(V132=0,W131&gt;0),W131,V132*(1+W131))</f>
        <v>0</v>
      </c>
      <c r="X132" s="165">
        <f t="shared" ref="X132" si="121">IF(AND(W132=0,X131&gt;0),X131,W132*(1+X131))</f>
        <v>0</v>
      </c>
      <c r="Y132" s="165">
        <f t="shared" ref="Y132" si="122">IF(AND(X132=0,Y131&gt;0),Y131,X132*(1+Y131))</f>
        <v>0</v>
      </c>
      <c r="Z132" s="165">
        <f t="shared" ref="Z132" si="123">IF(AND(Y132=0,Z131&gt;0),Z131,Y132*(1+Z131))</f>
        <v>0</v>
      </c>
      <c r="AA132" s="165">
        <f t="shared" ref="AA132" si="124">IF(AND(Z132=0,AA131&gt;0),AA131,Z132*(1+AA131))</f>
        <v>0</v>
      </c>
      <c r="AB132" s="165">
        <f t="shared" ref="AB132" si="125">IF(AND(AA132=0,AB131&gt;0),AB131,AA132*(1+AB131))</f>
        <v>0</v>
      </c>
      <c r="AC132" s="165">
        <f t="shared" ref="AC132" si="126">IF(AND(AB132=0,AC131&gt;0),AC131,AB132*(1+AC131))</f>
        <v>0</v>
      </c>
      <c r="AD132" s="165">
        <f t="shared" ref="AD132" si="127">IF(AND(AC132=0,AD131&gt;0),AD131,AC132*(1+AD131))</f>
        <v>0.17120993601181755</v>
      </c>
      <c r="AE132" s="165">
        <f t="shared" ref="AE132" si="128">IF(AND(AD132=0,AE131&gt;0),AE131,AD132*(1+AE131))</f>
        <v>0.20158190170422796</v>
      </c>
      <c r="AF132" s="165">
        <f t="shared" ref="AF132:AG132" si="129">IF(AND(AE132=0,AF131&gt;0),AF131,AE132*(1+AF131))</f>
        <v>0.23609472619614932</v>
      </c>
      <c r="AG132" s="165">
        <f t="shared" si="129"/>
        <v>0.27797699711583196</v>
      </c>
      <c r="AH132" s="165">
        <f t="shared" ref="AH132" si="130">IF(AND(AG132=0,AH131&gt;0),AH131,AG132*(1+AH131))</f>
        <v>0.32728901729612436</v>
      </c>
      <c r="AI132" s="165">
        <f t="shared" ref="AI132" si="131">IF(AND(AH132=0,AI131&gt;0),AI131,AH132*(1+AI131))</f>
        <v>0.38332414900476447</v>
      </c>
      <c r="AJ132" s="165">
        <f t="shared" ref="AJ132" si="132">IF(AND(AI132=0,AJ131&gt;0),AJ131,AI132*(1+AJ131))</f>
        <v>0.45132433739243799</v>
      </c>
      <c r="AK132" s="165">
        <f t="shared" ref="AK132" si="133">IF(AND(AJ132=0,AK131&gt;0),AK131,AJ132*(1+AK131))</f>
        <v>0.52859554831797329</v>
      </c>
      <c r="AL132" s="165">
        <f t="shared" ref="AL132" si="134">IF(AND(AK132=0,AL131&gt;0),AL131,AK132*(1+AL131))</f>
        <v>0.62236630854748598</v>
      </c>
      <c r="AM132" s="165">
        <f t="shared" ref="AM132" si="135">IF(AND(AL132=0,AM131&gt;0),AM131,AL132*(1+AM131))</f>
        <v>0.73277163087651032</v>
      </c>
      <c r="AN132" s="165">
        <f t="shared" ref="AN132" si="136">IF(AND(AM132=0,AN131&gt;0),AN131,AM132*(1+AN131))</f>
        <v>0.84923472795978672</v>
      </c>
      <c r="AO132" s="165">
        <f t="shared" ref="AO132" si="137">IF(AND(AN132=0,AO131&gt;0),AO131,AN132*(1+AO131))</f>
        <v>0.99988561086542482</v>
      </c>
      <c r="AP132" s="165">
        <f t="shared" ref="AP132" si="138">IF(AND(AO132=0,AP131&gt;0),AP131,AO132*(1+AP131))</f>
        <v>1.0585040158207268</v>
      </c>
      <c r="AQ132" s="165">
        <f t="shared" ref="AQ132" si="139">IF(AND(AP132=0,AQ131&gt;0),AQ131,AP132*(1+AQ131))</f>
        <v>1.1226889319111242</v>
      </c>
      <c r="AR132" s="165">
        <f t="shared" ref="AR132" si="140">IF(AND(AQ132=0,AR131&gt;0),AR131,AQ132*(1+AR131))</f>
        <v>1.1885066951977079</v>
      </c>
      <c r="AS132" s="165">
        <f t="shared" ref="AS132" si="141">IF(AND(AR132=0,AS131&gt;0),AS131,AR132*(1+AS131))</f>
        <v>1.2605746338771773</v>
      </c>
      <c r="AT132" s="165">
        <f t="shared" ref="AT132:AU132" si="142">IF(AND(AS132=0,AT131&gt;0),AT131,AS132*(1+AT131))</f>
        <v>1.3370125839385714</v>
      </c>
      <c r="AU132" s="165">
        <f t="shared" si="142"/>
        <v>1.4153950951218373</v>
      </c>
      <c r="AV132" s="165">
        <f t="shared" ref="AV132" si="143">IF(AND(AU132=0,AV131&gt;0),AV131,AU132*(1+AV131))</f>
        <v>1.501220953179367</v>
      </c>
      <c r="AW132" s="165">
        <f t="shared" ref="AW132" si="144">IF(AND(AV132=0,AW131&gt;0),AW131,AV132*(1+AW131))</f>
        <v>1.5892301982415968</v>
      </c>
      <c r="AX132" s="165">
        <f t="shared" ref="AX132" si="145">IF(AND(AW132=0,AX131&gt;0),AX131,AW132*(1+AX131))</f>
        <v>1.685596962465322</v>
      </c>
      <c r="AY132" s="165">
        <f t="shared" ref="AY132" si="146">IF(AND(AX132=0,AY131&gt;0),AY131,AX132*(1+AY131))</f>
        <v>1.7878071553233799</v>
      </c>
      <c r="AZ132" s="165">
        <f t="shared" ref="AZ132" si="147">IF(AND(AY132=0,AZ131&gt;0),AZ131,AY132*(1+AZ131))</f>
        <v>1.8854428940717451</v>
      </c>
      <c r="BA132" s="165">
        <f t="shared" ref="BA132" si="148">IF(AND(AZ132=0,BA131&gt;0),BA131,AZ132*(1+BA131))</f>
        <v>1.9997712217308503</v>
      </c>
      <c r="BB132" s="165">
        <f t="shared" ref="BB132" si="149">IF(AND(BA132=0,BB131&gt;0),BB131,BA132*(1+BB131))</f>
        <v>1.9997712217308503</v>
      </c>
      <c r="BC132" s="165">
        <f t="shared" ref="BC132" si="150">IF(AND(BB132=0,BC131&gt;0),BC131,BB132*(1+BC131))</f>
        <v>1.9997712217308503</v>
      </c>
      <c r="BD132" s="165">
        <f t="shared" ref="BD132" si="151">IF(AND(BC132=0,BD131&gt;0),BD131,BC132*(1+BD131))</f>
        <v>1.9997712217308503</v>
      </c>
      <c r="BE132" s="165">
        <f t="shared" ref="BE132" si="152">IF(AND(BD132=0,BE131&gt;0),BE131,BD132*(1+BE131))</f>
        <v>1.9997712217308503</v>
      </c>
      <c r="BF132" s="165">
        <f t="shared" ref="BF132" si="153">IF(AND(BE132=0,BF131&gt;0),BF131,BE132*(1+BF131))</f>
        <v>1.9997712217308503</v>
      </c>
      <c r="BG132" s="165">
        <f t="shared" ref="BG132:BH132" si="154">IF(AND(BF132=0,BG131&gt;0),BG131,BF132*(1+BG131))</f>
        <v>1.9997712217308503</v>
      </c>
      <c r="BH132" s="165">
        <f t="shared" si="154"/>
        <v>1.9997712217308503</v>
      </c>
      <c r="BI132" s="165">
        <f t="shared" ref="BI132" si="155">IF(AND(BH132=0,BI131&gt;0),BI131,BH132*(1+BI131))</f>
        <v>1.9997712217308503</v>
      </c>
      <c r="BJ132" s="165">
        <f t="shared" ref="BJ132" si="156">IF(AND(BI132=0,BJ131&gt;0),BJ131,BI132*(1+BJ131))</f>
        <v>1.9997712217308503</v>
      </c>
      <c r="BK132" s="165">
        <f t="shared" ref="BK132" si="157">IF(AND(BJ132=0,BK131&gt;0),BK131,BJ132*(1+BK131))</f>
        <v>1.9997712217308503</v>
      </c>
      <c r="BL132" s="165">
        <f t="shared" ref="BL132" si="158">IF(AND(BK132=0,BL131&gt;0),BL131,BK132*(1+BL131))</f>
        <v>1.9997712217308503</v>
      </c>
      <c r="BM132" s="165">
        <f t="shared" ref="BM132" si="159">IF(AND(BL132=0,BM131&gt;0),BM131,BL132*(1+BM131))</f>
        <v>1.9997712217308503</v>
      </c>
      <c r="BN132" s="165">
        <f t="shared" ref="BN132" si="160">IF(AND(BM132=0,BN131&gt;0),BN131,BM132*(1+BN131))</f>
        <v>1.9997712217308503</v>
      </c>
      <c r="BO132" s="165">
        <f t="shared" ref="BO132" si="161">IF(AND(BN132=0,BO131&gt;0),BO131,BN132*(1+BO131))</f>
        <v>1.9997712217308503</v>
      </c>
      <c r="BP132" s="165">
        <f t="shared" ref="BP132" si="162">IF(AND(BO132=0,BP131&gt;0),BP131,BO132*(1+BP131))</f>
        <v>1.9997712217308503</v>
      </c>
      <c r="BQ132" s="165">
        <f t="shared" ref="BQ132" si="163">IF(AND(BP132=0,BQ131&gt;0),BQ131,BP132*(1+BQ131))</f>
        <v>1.9997712217308503</v>
      </c>
      <c r="BR132" s="165">
        <f t="shared" ref="BR132" si="164">IF(AND(BQ132=0,BR131&gt;0),BR131,BQ132*(1+BR131))</f>
        <v>1.9997712217308503</v>
      </c>
      <c r="BS132" s="165">
        <f t="shared" ref="BS132" si="165">IF(AND(BR132=0,BS131&gt;0),BS131,BR132*(1+BS131))</f>
        <v>1.9997712217308503</v>
      </c>
      <c r="BT132" s="165">
        <f t="shared" ref="BT132" si="166">IF(AND(BS132=0,BT131&gt;0),BT131,BS132*(1+BT131))</f>
        <v>1.9997712217308503</v>
      </c>
      <c r="BU132" s="165">
        <f t="shared" ref="BU132:BV132" si="167">IF(AND(BT132=0,BU131&gt;0),BU131,BT132*(1+BU131))</f>
        <v>1.9997712217308503</v>
      </c>
      <c r="BV132" s="165">
        <f t="shared" si="167"/>
        <v>1.9997712217308503</v>
      </c>
      <c r="BW132" s="165">
        <f t="shared" ref="BW132" si="168">IF(AND(BV132=0,BW131&gt;0),BW131,BV132*(1+BW131))</f>
        <v>1.9997712217308503</v>
      </c>
      <c r="BX132" s="165">
        <f t="shared" ref="BX132" si="169">IF(AND(BW132=0,BX131&gt;0),BX131,BW132*(1+BX131))</f>
        <v>1.9997712217308503</v>
      </c>
      <c r="BY132" s="165">
        <f t="shared" ref="BY132" si="170">IF(AND(BX132=0,BY131&gt;0),BY131,BX132*(1+BY131))</f>
        <v>1.9997712217308503</v>
      </c>
      <c r="BZ132" s="165">
        <f t="shared" ref="BZ132" si="171">IF(AND(BY132=0,BZ131&gt;0),BZ131,BY132*(1+BZ131))</f>
        <v>1.9997712217308503</v>
      </c>
      <c r="CA132" s="165">
        <f t="shared" ref="CA132" si="172">IF(AND(BZ132=0,CA131&gt;0),CA131,BZ132*(1+CA131))</f>
        <v>1.9997712217308503</v>
      </c>
      <c r="CB132" s="165">
        <f t="shared" ref="CB132" si="173">IF(AND(CA132=0,CB131&gt;0),CB131,CA132*(1+CB131))</f>
        <v>1.9997712217308503</v>
      </c>
      <c r="CC132" s="165">
        <f t="shared" ref="CC132" si="174">IF(AND(CB132=0,CC131&gt;0),CC131,CB132*(1+CC131))</f>
        <v>1.9997712217308503</v>
      </c>
      <c r="CD132" s="165">
        <f t="shared" ref="CD132" si="175">IF(AND(CC132=0,CD131&gt;0),CD131,CC132*(1+CD131))</f>
        <v>1.9997712217308503</v>
      </c>
      <c r="CE132" s="165">
        <f t="shared" ref="CE132" si="176">IF(AND(CD132=0,CE131&gt;0),CE131,CD132*(1+CE131))</f>
        <v>1.9997712217308503</v>
      </c>
      <c r="CF132" s="165">
        <f t="shared" ref="CF132" si="177">IF(AND(CE132=0,CF131&gt;0),CF131,CE132*(1+CF131))</f>
        <v>1.9997712217308503</v>
      </c>
      <c r="CG132" s="165">
        <f t="shared" ref="CG132" si="178">IF(AND(CF132=0,CG131&gt;0),CG131,CF132*(1+CG131))</f>
        <v>1.9997712217308503</v>
      </c>
      <c r="CH132" s="165">
        <f t="shared" ref="CH132:CI132" si="179">IF(AND(CG132=0,CH131&gt;0),CH131,CG132*(1+CH131))</f>
        <v>1.9997712217308503</v>
      </c>
      <c r="CI132" s="165">
        <f t="shared" si="179"/>
        <v>1.9997712217308503</v>
      </c>
      <c r="CJ132" s="165">
        <f t="shared" ref="CJ132" si="180">IF(AND(CI132=0,CJ131&gt;0),CJ131,CI132*(1+CJ131))</f>
        <v>1.9997712217308503</v>
      </c>
      <c r="CK132" s="165">
        <f t="shared" ref="CK132" si="181">IF(AND(CJ132=0,CK131&gt;0),CK131,CJ132*(1+CK131))</f>
        <v>1.9997712217308503</v>
      </c>
    </row>
    <row r="133" spans="2:89">
      <c r="B133" s="14"/>
      <c r="C133" s="14"/>
      <c r="D133" s="14"/>
      <c r="E133" s="1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</row>
    <row r="134" spans="2:89" ht="15.75" thickBot="1">
      <c r="B134" s="96" t="str">
        <f>"Продажи с учетом графика нарастания производства, в "&amp;Ед_измерения_продукции</f>
        <v>Продажи с учетом графика нарастания производства, в шт.(т, пч/семьи, пч/пакеты)</v>
      </c>
      <c r="C134" s="97"/>
      <c r="D134" s="97"/>
      <c r="E134" s="97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</row>
    <row r="135" spans="2:89">
      <c r="B135" s="14"/>
      <c r="C135" s="14"/>
      <c r="D135" s="14"/>
      <c r="E135" s="1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</row>
    <row r="136" spans="2:89">
      <c r="B136" s="45" t="str">
        <f t="array" ref="B136:B146">Продажи_наименования</f>
        <v>БЛК</v>
      </c>
      <c r="C136" s="46"/>
      <c r="D136" s="47">
        <f>SUM(F136:CK136)</f>
        <v>11304.586576562346</v>
      </c>
      <c r="E136" s="48"/>
      <c r="F136" s="49">
        <f>F75*F92</f>
        <v>0</v>
      </c>
      <c r="G136" s="49">
        <f t="shared" ref="G136:BR136" si="182">G75*G92</f>
        <v>0</v>
      </c>
      <c r="H136" s="49">
        <f t="shared" si="182"/>
        <v>0</v>
      </c>
      <c r="I136" s="49">
        <f t="shared" si="182"/>
        <v>0</v>
      </c>
      <c r="J136" s="49">
        <f t="shared" si="182"/>
        <v>0</v>
      </c>
      <c r="K136" s="49">
        <f t="shared" si="182"/>
        <v>0</v>
      </c>
      <c r="L136" s="49">
        <f t="shared" si="182"/>
        <v>0</v>
      </c>
      <c r="M136" s="49">
        <f t="shared" si="182"/>
        <v>0</v>
      </c>
      <c r="N136" s="49">
        <f t="shared" si="182"/>
        <v>0</v>
      </c>
      <c r="O136" s="49">
        <f t="shared" si="182"/>
        <v>0</v>
      </c>
      <c r="P136" s="49">
        <f t="shared" si="182"/>
        <v>0</v>
      </c>
      <c r="Q136" s="49">
        <f t="shared" si="182"/>
        <v>0</v>
      </c>
      <c r="R136" s="49">
        <f t="shared" si="182"/>
        <v>125</v>
      </c>
      <c r="S136" s="49">
        <f t="shared" si="182"/>
        <v>125</v>
      </c>
      <c r="T136" s="49">
        <f t="shared" si="182"/>
        <v>125</v>
      </c>
      <c r="U136" s="49">
        <f t="shared" si="182"/>
        <v>125</v>
      </c>
      <c r="V136" s="49">
        <f t="shared" si="182"/>
        <v>125</v>
      </c>
      <c r="W136" s="49">
        <f t="shared" si="182"/>
        <v>125</v>
      </c>
      <c r="X136" s="49">
        <f t="shared" si="182"/>
        <v>125</v>
      </c>
      <c r="Y136" s="49">
        <f t="shared" si="182"/>
        <v>125</v>
      </c>
      <c r="Z136" s="49">
        <f t="shared" si="182"/>
        <v>125</v>
      </c>
      <c r="AA136" s="49">
        <f t="shared" si="182"/>
        <v>125</v>
      </c>
      <c r="AB136" s="49">
        <f t="shared" si="182"/>
        <v>125</v>
      </c>
      <c r="AC136" s="49">
        <f t="shared" si="182"/>
        <v>125</v>
      </c>
      <c r="AD136" s="49">
        <f t="shared" si="182"/>
        <v>128.04333663331542</v>
      </c>
      <c r="AE136" s="49">
        <f t="shared" si="182"/>
        <v>131.26597986187829</v>
      </c>
      <c r="AF136" s="49">
        <f t="shared" si="182"/>
        <v>134.46187238365187</v>
      </c>
      <c r="AG136" s="49">
        <f t="shared" si="182"/>
        <v>137.84605975279229</v>
      </c>
      <c r="AH136" s="49">
        <f t="shared" si="182"/>
        <v>141.31542163234539</v>
      </c>
      <c r="AI136" s="49">
        <f t="shared" si="182"/>
        <v>144.75598482839445</v>
      </c>
      <c r="AJ136" s="49">
        <f t="shared" si="182"/>
        <v>148.39925832131433</v>
      </c>
      <c r="AK136" s="49">
        <f t="shared" si="182"/>
        <v>152.01228951496307</v>
      </c>
      <c r="AL136" s="49">
        <f t="shared" si="182"/>
        <v>155.83819243458657</v>
      </c>
      <c r="AM136" s="49">
        <f t="shared" si="182"/>
        <v>159.76038712902044</v>
      </c>
      <c r="AN136" s="49">
        <f t="shared" si="182"/>
        <v>163.38779407008369</v>
      </c>
      <c r="AO136" s="49">
        <f t="shared" si="182"/>
        <v>167.49999999999994</v>
      </c>
      <c r="AP136" s="49">
        <f t="shared" si="182"/>
        <v>167.49999999999994</v>
      </c>
      <c r="AQ136" s="49">
        <f t="shared" si="182"/>
        <v>167.49999999999994</v>
      </c>
      <c r="AR136" s="49">
        <f t="shared" si="182"/>
        <v>167.49999999999994</v>
      </c>
      <c r="AS136" s="49">
        <f t="shared" si="182"/>
        <v>167.49999999999994</v>
      </c>
      <c r="AT136" s="49">
        <f t="shared" si="182"/>
        <v>167.49999999999994</v>
      </c>
      <c r="AU136" s="49">
        <f t="shared" si="182"/>
        <v>167.49999999999994</v>
      </c>
      <c r="AV136" s="49">
        <f t="shared" si="182"/>
        <v>167.49999999999994</v>
      </c>
      <c r="AW136" s="49">
        <f t="shared" si="182"/>
        <v>167.49999999999994</v>
      </c>
      <c r="AX136" s="49">
        <f t="shared" si="182"/>
        <v>167.49999999999994</v>
      </c>
      <c r="AY136" s="49">
        <f t="shared" si="182"/>
        <v>167.49999999999994</v>
      </c>
      <c r="AZ136" s="49">
        <f t="shared" si="182"/>
        <v>167.49999999999994</v>
      </c>
      <c r="BA136" s="49">
        <f t="shared" si="182"/>
        <v>167.49999999999994</v>
      </c>
      <c r="BB136" s="49">
        <f t="shared" si="182"/>
        <v>167.49999999999994</v>
      </c>
      <c r="BC136" s="49">
        <f t="shared" si="182"/>
        <v>167.49999999999994</v>
      </c>
      <c r="BD136" s="49">
        <f t="shared" si="182"/>
        <v>167.49999999999994</v>
      </c>
      <c r="BE136" s="49">
        <f t="shared" si="182"/>
        <v>167.49999999999994</v>
      </c>
      <c r="BF136" s="49">
        <f t="shared" si="182"/>
        <v>167.49999999999994</v>
      </c>
      <c r="BG136" s="49">
        <f t="shared" si="182"/>
        <v>167.49999999999994</v>
      </c>
      <c r="BH136" s="49">
        <f t="shared" si="182"/>
        <v>167.49999999999994</v>
      </c>
      <c r="BI136" s="49">
        <f t="shared" si="182"/>
        <v>167.49999999999994</v>
      </c>
      <c r="BJ136" s="49">
        <f t="shared" si="182"/>
        <v>167.49999999999994</v>
      </c>
      <c r="BK136" s="49">
        <f t="shared" si="182"/>
        <v>167.49999999999994</v>
      </c>
      <c r="BL136" s="49">
        <f t="shared" si="182"/>
        <v>167.49999999999994</v>
      </c>
      <c r="BM136" s="49">
        <f t="shared" si="182"/>
        <v>167.49999999999994</v>
      </c>
      <c r="BN136" s="49">
        <f t="shared" si="182"/>
        <v>167.49999999999994</v>
      </c>
      <c r="BO136" s="49">
        <f t="shared" si="182"/>
        <v>167.49999999999994</v>
      </c>
      <c r="BP136" s="49">
        <f t="shared" si="182"/>
        <v>167.49999999999994</v>
      </c>
      <c r="BQ136" s="49">
        <f t="shared" si="182"/>
        <v>167.49999999999994</v>
      </c>
      <c r="BR136" s="49">
        <f t="shared" si="182"/>
        <v>167.49999999999994</v>
      </c>
      <c r="BS136" s="49">
        <f t="shared" ref="BS136:CK136" si="183">BS75*BS92</f>
        <v>167.49999999999994</v>
      </c>
      <c r="BT136" s="49">
        <f t="shared" si="183"/>
        <v>167.49999999999994</v>
      </c>
      <c r="BU136" s="49">
        <f t="shared" si="183"/>
        <v>167.49999999999994</v>
      </c>
      <c r="BV136" s="49">
        <f t="shared" si="183"/>
        <v>167.49999999999994</v>
      </c>
      <c r="BW136" s="49">
        <f t="shared" si="183"/>
        <v>167.49999999999994</v>
      </c>
      <c r="BX136" s="49">
        <f t="shared" si="183"/>
        <v>167.49999999999994</v>
      </c>
      <c r="BY136" s="49">
        <f t="shared" si="183"/>
        <v>167.49999999999994</v>
      </c>
      <c r="BZ136" s="49">
        <f t="shared" si="183"/>
        <v>167.49999999999994</v>
      </c>
      <c r="CA136" s="49">
        <f t="shared" si="183"/>
        <v>167.49999999999994</v>
      </c>
      <c r="CB136" s="49">
        <f t="shared" si="183"/>
        <v>167.49999999999994</v>
      </c>
      <c r="CC136" s="49">
        <f t="shared" si="183"/>
        <v>167.49999999999994</v>
      </c>
      <c r="CD136" s="49">
        <f t="shared" si="183"/>
        <v>167.49999999999994</v>
      </c>
      <c r="CE136" s="49">
        <f t="shared" si="183"/>
        <v>167.49999999999994</v>
      </c>
      <c r="CF136" s="49">
        <f t="shared" si="183"/>
        <v>167.49999999999994</v>
      </c>
      <c r="CG136" s="49">
        <f t="shared" si="183"/>
        <v>167.49999999999994</v>
      </c>
      <c r="CH136" s="49">
        <f t="shared" si="183"/>
        <v>167.49999999999994</v>
      </c>
      <c r="CI136" s="49">
        <f t="shared" si="183"/>
        <v>167.49999999999994</v>
      </c>
      <c r="CJ136" s="49">
        <f t="shared" si="183"/>
        <v>167.49999999999994</v>
      </c>
      <c r="CK136" s="49">
        <f t="shared" si="183"/>
        <v>167.49999999999994</v>
      </c>
    </row>
    <row r="137" spans="2:89">
      <c r="B137" s="86" t="str">
        <v>Зоогумус</v>
      </c>
      <c r="C137" s="46"/>
      <c r="D137" s="47">
        <f t="shared" ref="D137:D146" si="184">SUM(F137:CK137)</f>
        <v>43220.698982769922</v>
      </c>
      <c r="E137" s="48"/>
      <c r="F137" s="176">
        <f>F76*F96</f>
        <v>0</v>
      </c>
      <c r="G137" s="176">
        <f t="shared" ref="G137:BR137" si="185">G76*G96</f>
        <v>0</v>
      </c>
      <c r="H137" s="176">
        <f t="shared" si="185"/>
        <v>0</v>
      </c>
      <c r="I137" s="176">
        <f t="shared" si="185"/>
        <v>0</v>
      </c>
      <c r="J137" s="176">
        <f t="shared" si="185"/>
        <v>0</v>
      </c>
      <c r="K137" s="176">
        <f t="shared" si="185"/>
        <v>0</v>
      </c>
      <c r="L137" s="176">
        <f t="shared" si="185"/>
        <v>0</v>
      </c>
      <c r="M137" s="176">
        <f t="shared" si="185"/>
        <v>0</v>
      </c>
      <c r="N137" s="176">
        <f t="shared" si="185"/>
        <v>0</v>
      </c>
      <c r="O137" s="176">
        <f t="shared" si="185"/>
        <v>0</v>
      </c>
      <c r="P137" s="176">
        <f t="shared" si="185"/>
        <v>0</v>
      </c>
      <c r="Q137" s="176">
        <f t="shared" si="185"/>
        <v>0</v>
      </c>
      <c r="R137" s="176">
        <f t="shared" si="185"/>
        <v>525</v>
      </c>
      <c r="S137" s="176">
        <f t="shared" si="185"/>
        <v>525</v>
      </c>
      <c r="T137" s="176">
        <f t="shared" si="185"/>
        <v>525</v>
      </c>
      <c r="U137" s="176">
        <f t="shared" si="185"/>
        <v>525</v>
      </c>
      <c r="V137" s="176">
        <f t="shared" si="185"/>
        <v>525</v>
      </c>
      <c r="W137" s="176">
        <f t="shared" si="185"/>
        <v>525</v>
      </c>
      <c r="X137" s="176">
        <f t="shared" si="185"/>
        <v>525</v>
      </c>
      <c r="Y137" s="176">
        <f t="shared" si="185"/>
        <v>525</v>
      </c>
      <c r="Z137" s="176">
        <f t="shared" si="185"/>
        <v>525</v>
      </c>
      <c r="AA137" s="176">
        <f t="shared" si="185"/>
        <v>525</v>
      </c>
      <c r="AB137" s="176">
        <f t="shared" si="185"/>
        <v>525</v>
      </c>
      <c r="AC137" s="176">
        <f t="shared" si="185"/>
        <v>525</v>
      </c>
      <c r="AD137" s="176">
        <f t="shared" si="185"/>
        <v>532.56012109963785</v>
      </c>
      <c r="AE137" s="176">
        <f t="shared" si="185"/>
        <v>540.48663581633275</v>
      </c>
      <c r="AF137" s="176">
        <f t="shared" si="185"/>
        <v>548.26976804396588</v>
      </c>
      <c r="AG137" s="176">
        <f t="shared" si="185"/>
        <v>556.43010189725169</v>
      </c>
      <c r="AH137" s="176">
        <f t="shared" si="185"/>
        <v>564.71189247217046</v>
      </c>
      <c r="AI137" s="176">
        <f t="shared" si="185"/>
        <v>572.84387398359002</v>
      </c>
      <c r="AJ137" s="176">
        <f t="shared" si="185"/>
        <v>581.36996374811054</v>
      </c>
      <c r="AK137" s="176">
        <f t="shared" si="185"/>
        <v>589.74182532835403</v>
      </c>
      <c r="AL137" s="176">
        <f t="shared" si="185"/>
        <v>598.51942070643736</v>
      </c>
      <c r="AM137" s="176">
        <f t="shared" si="185"/>
        <v>607.42765999904793</v>
      </c>
      <c r="AN137" s="176">
        <f t="shared" si="185"/>
        <v>615.58771967501934</v>
      </c>
      <c r="AO137" s="176">
        <f t="shared" si="185"/>
        <v>624.75000000000034</v>
      </c>
      <c r="AP137" s="176">
        <f t="shared" si="185"/>
        <v>624.75000000000034</v>
      </c>
      <c r="AQ137" s="176">
        <f t="shared" si="185"/>
        <v>624.75000000000034</v>
      </c>
      <c r="AR137" s="176">
        <f t="shared" si="185"/>
        <v>624.75000000000034</v>
      </c>
      <c r="AS137" s="176">
        <f t="shared" si="185"/>
        <v>624.75000000000034</v>
      </c>
      <c r="AT137" s="176">
        <f t="shared" si="185"/>
        <v>624.75000000000034</v>
      </c>
      <c r="AU137" s="176">
        <f t="shared" si="185"/>
        <v>624.75000000000034</v>
      </c>
      <c r="AV137" s="176">
        <f t="shared" si="185"/>
        <v>624.75000000000034</v>
      </c>
      <c r="AW137" s="176">
        <f t="shared" si="185"/>
        <v>624.75000000000034</v>
      </c>
      <c r="AX137" s="176">
        <f t="shared" si="185"/>
        <v>624.75000000000034</v>
      </c>
      <c r="AY137" s="176">
        <f t="shared" si="185"/>
        <v>624.75000000000034</v>
      </c>
      <c r="AZ137" s="176">
        <f t="shared" si="185"/>
        <v>624.75000000000034</v>
      </c>
      <c r="BA137" s="176">
        <f t="shared" si="185"/>
        <v>624.75000000000034</v>
      </c>
      <c r="BB137" s="176">
        <f t="shared" si="185"/>
        <v>624.75000000000034</v>
      </c>
      <c r="BC137" s="176">
        <f t="shared" si="185"/>
        <v>624.75000000000034</v>
      </c>
      <c r="BD137" s="176">
        <f t="shared" si="185"/>
        <v>624.75000000000034</v>
      </c>
      <c r="BE137" s="176">
        <f t="shared" si="185"/>
        <v>624.75000000000034</v>
      </c>
      <c r="BF137" s="176">
        <f t="shared" si="185"/>
        <v>624.75000000000034</v>
      </c>
      <c r="BG137" s="176">
        <f t="shared" si="185"/>
        <v>624.75000000000034</v>
      </c>
      <c r="BH137" s="176">
        <f t="shared" si="185"/>
        <v>624.75000000000034</v>
      </c>
      <c r="BI137" s="176">
        <f t="shared" si="185"/>
        <v>624.75000000000034</v>
      </c>
      <c r="BJ137" s="176">
        <f t="shared" si="185"/>
        <v>624.75000000000034</v>
      </c>
      <c r="BK137" s="176">
        <f t="shared" si="185"/>
        <v>624.75000000000034</v>
      </c>
      <c r="BL137" s="176">
        <f t="shared" si="185"/>
        <v>624.75000000000034</v>
      </c>
      <c r="BM137" s="176">
        <f t="shared" si="185"/>
        <v>624.75000000000034</v>
      </c>
      <c r="BN137" s="176">
        <f t="shared" si="185"/>
        <v>624.75000000000034</v>
      </c>
      <c r="BO137" s="176">
        <f t="shared" si="185"/>
        <v>624.75000000000034</v>
      </c>
      <c r="BP137" s="176">
        <f t="shared" si="185"/>
        <v>624.75000000000034</v>
      </c>
      <c r="BQ137" s="176">
        <f t="shared" si="185"/>
        <v>624.75000000000034</v>
      </c>
      <c r="BR137" s="176">
        <f t="shared" si="185"/>
        <v>624.75000000000034</v>
      </c>
      <c r="BS137" s="176">
        <f t="shared" ref="BS137:CK137" si="186">BS76*BS96</f>
        <v>624.75000000000034</v>
      </c>
      <c r="BT137" s="176">
        <f t="shared" si="186"/>
        <v>624.75000000000034</v>
      </c>
      <c r="BU137" s="176">
        <f t="shared" si="186"/>
        <v>624.75000000000034</v>
      </c>
      <c r="BV137" s="176">
        <f t="shared" si="186"/>
        <v>624.75000000000034</v>
      </c>
      <c r="BW137" s="176">
        <f t="shared" si="186"/>
        <v>624.75000000000034</v>
      </c>
      <c r="BX137" s="176">
        <f t="shared" si="186"/>
        <v>624.75000000000034</v>
      </c>
      <c r="BY137" s="176">
        <f t="shared" si="186"/>
        <v>624.75000000000034</v>
      </c>
      <c r="BZ137" s="176">
        <f t="shared" si="186"/>
        <v>624.75000000000034</v>
      </c>
      <c r="CA137" s="176">
        <f t="shared" si="186"/>
        <v>624.75000000000034</v>
      </c>
      <c r="CB137" s="176">
        <f t="shared" si="186"/>
        <v>624.75000000000034</v>
      </c>
      <c r="CC137" s="176">
        <f t="shared" si="186"/>
        <v>624.75000000000034</v>
      </c>
      <c r="CD137" s="176">
        <f t="shared" si="186"/>
        <v>624.75000000000034</v>
      </c>
      <c r="CE137" s="176">
        <f t="shared" si="186"/>
        <v>624.75000000000034</v>
      </c>
      <c r="CF137" s="176">
        <f t="shared" si="186"/>
        <v>624.75000000000034</v>
      </c>
      <c r="CG137" s="176">
        <f t="shared" si="186"/>
        <v>624.75000000000034</v>
      </c>
      <c r="CH137" s="176">
        <f t="shared" si="186"/>
        <v>624.75000000000034</v>
      </c>
      <c r="CI137" s="176">
        <f t="shared" si="186"/>
        <v>624.75000000000034</v>
      </c>
      <c r="CJ137" s="176">
        <f t="shared" si="186"/>
        <v>624.75000000000034</v>
      </c>
      <c r="CK137" s="176">
        <f t="shared" si="186"/>
        <v>624.75000000000034</v>
      </c>
    </row>
    <row r="138" spans="2:89">
      <c r="B138" s="86" t="str">
        <v>Протеиновая мука</v>
      </c>
      <c r="C138" s="46"/>
      <c r="D138" s="47">
        <f t="shared" si="184"/>
        <v>1800</v>
      </c>
      <c r="E138" s="48"/>
      <c r="F138" s="176">
        <f>F77*F100</f>
        <v>0</v>
      </c>
      <c r="G138" s="176">
        <f t="shared" ref="G138:BR138" si="187">G77*G100</f>
        <v>0</v>
      </c>
      <c r="H138" s="176">
        <f t="shared" si="187"/>
        <v>0</v>
      </c>
      <c r="I138" s="176">
        <f t="shared" si="187"/>
        <v>0</v>
      </c>
      <c r="J138" s="176">
        <f t="shared" si="187"/>
        <v>0</v>
      </c>
      <c r="K138" s="176">
        <f t="shared" si="187"/>
        <v>0</v>
      </c>
      <c r="L138" s="176">
        <f t="shared" si="187"/>
        <v>0</v>
      </c>
      <c r="M138" s="176">
        <f t="shared" si="187"/>
        <v>0</v>
      </c>
      <c r="N138" s="176">
        <f t="shared" si="187"/>
        <v>0</v>
      </c>
      <c r="O138" s="176">
        <f t="shared" si="187"/>
        <v>0</v>
      </c>
      <c r="P138" s="176">
        <f t="shared" si="187"/>
        <v>0</v>
      </c>
      <c r="Q138" s="176">
        <f t="shared" si="187"/>
        <v>0</v>
      </c>
      <c r="R138" s="176">
        <f t="shared" si="187"/>
        <v>25</v>
      </c>
      <c r="S138" s="176">
        <f t="shared" si="187"/>
        <v>25</v>
      </c>
      <c r="T138" s="176">
        <f t="shared" si="187"/>
        <v>25</v>
      </c>
      <c r="U138" s="176">
        <f t="shared" si="187"/>
        <v>25</v>
      </c>
      <c r="V138" s="176">
        <f t="shared" si="187"/>
        <v>25</v>
      </c>
      <c r="W138" s="176">
        <f t="shared" si="187"/>
        <v>25</v>
      </c>
      <c r="X138" s="176">
        <f t="shared" si="187"/>
        <v>25</v>
      </c>
      <c r="Y138" s="176">
        <f t="shared" si="187"/>
        <v>25</v>
      </c>
      <c r="Z138" s="176">
        <f t="shared" si="187"/>
        <v>25</v>
      </c>
      <c r="AA138" s="176">
        <f t="shared" si="187"/>
        <v>25</v>
      </c>
      <c r="AB138" s="176">
        <f t="shared" si="187"/>
        <v>25</v>
      </c>
      <c r="AC138" s="176">
        <f t="shared" si="187"/>
        <v>25</v>
      </c>
      <c r="AD138" s="176">
        <f t="shared" si="187"/>
        <v>25</v>
      </c>
      <c r="AE138" s="176">
        <f t="shared" si="187"/>
        <v>25</v>
      </c>
      <c r="AF138" s="176">
        <f t="shared" si="187"/>
        <v>25</v>
      </c>
      <c r="AG138" s="176">
        <f t="shared" si="187"/>
        <v>25</v>
      </c>
      <c r="AH138" s="176">
        <f t="shared" si="187"/>
        <v>25</v>
      </c>
      <c r="AI138" s="176">
        <f t="shared" si="187"/>
        <v>25</v>
      </c>
      <c r="AJ138" s="176">
        <f t="shared" si="187"/>
        <v>25</v>
      </c>
      <c r="AK138" s="176">
        <f t="shared" si="187"/>
        <v>25</v>
      </c>
      <c r="AL138" s="176">
        <f t="shared" si="187"/>
        <v>25</v>
      </c>
      <c r="AM138" s="176">
        <f t="shared" si="187"/>
        <v>25</v>
      </c>
      <c r="AN138" s="176">
        <f t="shared" si="187"/>
        <v>25</v>
      </c>
      <c r="AO138" s="176">
        <f t="shared" si="187"/>
        <v>25</v>
      </c>
      <c r="AP138" s="176">
        <f t="shared" si="187"/>
        <v>25</v>
      </c>
      <c r="AQ138" s="176">
        <f t="shared" si="187"/>
        <v>25</v>
      </c>
      <c r="AR138" s="176">
        <f t="shared" si="187"/>
        <v>25</v>
      </c>
      <c r="AS138" s="176">
        <f t="shared" si="187"/>
        <v>25</v>
      </c>
      <c r="AT138" s="176">
        <f t="shared" si="187"/>
        <v>25</v>
      </c>
      <c r="AU138" s="176">
        <f t="shared" si="187"/>
        <v>25</v>
      </c>
      <c r="AV138" s="176">
        <f t="shared" si="187"/>
        <v>25</v>
      </c>
      <c r="AW138" s="176">
        <f t="shared" si="187"/>
        <v>25</v>
      </c>
      <c r="AX138" s="176">
        <f t="shared" si="187"/>
        <v>25</v>
      </c>
      <c r="AY138" s="176">
        <f t="shared" si="187"/>
        <v>25</v>
      </c>
      <c r="AZ138" s="176">
        <f t="shared" si="187"/>
        <v>25</v>
      </c>
      <c r="BA138" s="176">
        <f t="shared" si="187"/>
        <v>25</v>
      </c>
      <c r="BB138" s="176">
        <f t="shared" si="187"/>
        <v>25</v>
      </c>
      <c r="BC138" s="176">
        <f t="shared" si="187"/>
        <v>25</v>
      </c>
      <c r="BD138" s="176">
        <f t="shared" si="187"/>
        <v>25</v>
      </c>
      <c r="BE138" s="176">
        <f t="shared" si="187"/>
        <v>25</v>
      </c>
      <c r="BF138" s="176">
        <f t="shared" si="187"/>
        <v>25</v>
      </c>
      <c r="BG138" s="176">
        <f t="shared" si="187"/>
        <v>25</v>
      </c>
      <c r="BH138" s="176">
        <f t="shared" si="187"/>
        <v>25</v>
      </c>
      <c r="BI138" s="176">
        <f t="shared" si="187"/>
        <v>25</v>
      </c>
      <c r="BJ138" s="176">
        <f t="shared" si="187"/>
        <v>25</v>
      </c>
      <c r="BK138" s="176">
        <f t="shared" si="187"/>
        <v>25</v>
      </c>
      <c r="BL138" s="176">
        <f t="shared" si="187"/>
        <v>25</v>
      </c>
      <c r="BM138" s="176">
        <f t="shared" si="187"/>
        <v>25</v>
      </c>
      <c r="BN138" s="176">
        <f t="shared" si="187"/>
        <v>25</v>
      </c>
      <c r="BO138" s="176">
        <f t="shared" si="187"/>
        <v>25</v>
      </c>
      <c r="BP138" s="176">
        <f t="shared" si="187"/>
        <v>25</v>
      </c>
      <c r="BQ138" s="176">
        <f t="shared" si="187"/>
        <v>25</v>
      </c>
      <c r="BR138" s="176">
        <f t="shared" si="187"/>
        <v>25</v>
      </c>
      <c r="BS138" s="176">
        <f t="shared" ref="BS138:CK138" si="188">BS77*BS100</f>
        <v>25</v>
      </c>
      <c r="BT138" s="176">
        <f t="shared" si="188"/>
        <v>25</v>
      </c>
      <c r="BU138" s="176">
        <f t="shared" si="188"/>
        <v>25</v>
      </c>
      <c r="BV138" s="176">
        <f t="shared" si="188"/>
        <v>25</v>
      </c>
      <c r="BW138" s="176">
        <f t="shared" si="188"/>
        <v>25</v>
      </c>
      <c r="BX138" s="176">
        <f t="shared" si="188"/>
        <v>25</v>
      </c>
      <c r="BY138" s="176">
        <f t="shared" si="188"/>
        <v>25</v>
      </c>
      <c r="BZ138" s="176">
        <f t="shared" si="188"/>
        <v>25</v>
      </c>
      <c r="CA138" s="176">
        <f t="shared" si="188"/>
        <v>25</v>
      </c>
      <c r="CB138" s="176">
        <f t="shared" si="188"/>
        <v>25</v>
      </c>
      <c r="CC138" s="176">
        <f t="shared" si="188"/>
        <v>25</v>
      </c>
      <c r="CD138" s="176">
        <f t="shared" si="188"/>
        <v>25</v>
      </c>
      <c r="CE138" s="176">
        <f t="shared" si="188"/>
        <v>25</v>
      </c>
      <c r="CF138" s="176">
        <f t="shared" si="188"/>
        <v>25</v>
      </c>
      <c r="CG138" s="176">
        <f t="shared" si="188"/>
        <v>25</v>
      </c>
      <c r="CH138" s="176">
        <f t="shared" si="188"/>
        <v>25</v>
      </c>
      <c r="CI138" s="176">
        <f t="shared" si="188"/>
        <v>25</v>
      </c>
      <c r="CJ138" s="176">
        <f t="shared" si="188"/>
        <v>25</v>
      </c>
      <c r="CK138" s="176">
        <f t="shared" si="188"/>
        <v>25</v>
      </c>
    </row>
    <row r="139" spans="2:89">
      <c r="B139" s="86" t="str">
        <v>Жир светлый из предкуколки ЧЛ</v>
      </c>
      <c r="C139" s="46"/>
      <c r="D139" s="47">
        <f t="shared" si="184"/>
        <v>576</v>
      </c>
      <c r="E139" s="48"/>
      <c r="F139" s="176">
        <f>F78*F104</f>
        <v>0</v>
      </c>
      <c r="G139" s="176">
        <f t="shared" ref="G139:BR139" si="189">G78*G104</f>
        <v>0</v>
      </c>
      <c r="H139" s="176">
        <f t="shared" si="189"/>
        <v>0</v>
      </c>
      <c r="I139" s="176">
        <f t="shared" si="189"/>
        <v>0</v>
      </c>
      <c r="J139" s="176">
        <f t="shared" si="189"/>
        <v>0</v>
      </c>
      <c r="K139" s="176">
        <f t="shared" si="189"/>
        <v>0</v>
      </c>
      <c r="L139" s="176">
        <f t="shared" si="189"/>
        <v>0</v>
      </c>
      <c r="M139" s="176">
        <f t="shared" si="189"/>
        <v>0</v>
      </c>
      <c r="N139" s="176">
        <f t="shared" si="189"/>
        <v>0</v>
      </c>
      <c r="O139" s="176">
        <f t="shared" si="189"/>
        <v>0</v>
      </c>
      <c r="P139" s="176">
        <f t="shared" si="189"/>
        <v>0</v>
      </c>
      <c r="Q139" s="176">
        <f t="shared" si="189"/>
        <v>0</v>
      </c>
      <c r="R139" s="176">
        <f t="shared" si="189"/>
        <v>8</v>
      </c>
      <c r="S139" s="176">
        <f t="shared" si="189"/>
        <v>8</v>
      </c>
      <c r="T139" s="176">
        <f t="shared" si="189"/>
        <v>8</v>
      </c>
      <c r="U139" s="176">
        <f t="shared" si="189"/>
        <v>8</v>
      </c>
      <c r="V139" s="176">
        <f t="shared" si="189"/>
        <v>8</v>
      </c>
      <c r="W139" s="176">
        <f t="shared" si="189"/>
        <v>8</v>
      </c>
      <c r="X139" s="176">
        <f t="shared" si="189"/>
        <v>8</v>
      </c>
      <c r="Y139" s="176">
        <f t="shared" si="189"/>
        <v>8</v>
      </c>
      <c r="Z139" s="176">
        <f t="shared" si="189"/>
        <v>8</v>
      </c>
      <c r="AA139" s="176">
        <f t="shared" si="189"/>
        <v>8</v>
      </c>
      <c r="AB139" s="176">
        <f t="shared" si="189"/>
        <v>8</v>
      </c>
      <c r="AC139" s="176">
        <f t="shared" si="189"/>
        <v>8</v>
      </c>
      <c r="AD139" s="176">
        <f t="shared" si="189"/>
        <v>8</v>
      </c>
      <c r="AE139" s="176">
        <f t="shared" si="189"/>
        <v>8</v>
      </c>
      <c r="AF139" s="176">
        <f t="shared" si="189"/>
        <v>8</v>
      </c>
      <c r="AG139" s="176">
        <f t="shared" si="189"/>
        <v>8</v>
      </c>
      <c r="AH139" s="176">
        <f t="shared" si="189"/>
        <v>8</v>
      </c>
      <c r="AI139" s="176">
        <f t="shared" si="189"/>
        <v>8</v>
      </c>
      <c r="AJ139" s="176">
        <f t="shared" si="189"/>
        <v>8</v>
      </c>
      <c r="AK139" s="176">
        <f t="shared" si="189"/>
        <v>8</v>
      </c>
      <c r="AL139" s="176">
        <f t="shared" si="189"/>
        <v>8</v>
      </c>
      <c r="AM139" s="176">
        <f t="shared" si="189"/>
        <v>8</v>
      </c>
      <c r="AN139" s="176">
        <f t="shared" si="189"/>
        <v>8</v>
      </c>
      <c r="AO139" s="176">
        <f t="shared" si="189"/>
        <v>8</v>
      </c>
      <c r="AP139" s="176">
        <f t="shared" si="189"/>
        <v>8</v>
      </c>
      <c r="AQ139" s="176">
        <f t="shared" si="189"/>
        <v>8</v>
      </c>
      <c r="AR139" s="176">
        <f t="shared" si="189"/>
        <v>8</v>
      </c>
      <c r="AS139" s="176">
        <f t="shared" si="189"/>
        <v>8</v>
      </c>
      <c r="AT139" s="176">
        <f t="shared" si="189"/>
        <v>8</v>
      </c>
      <c r="AU139" s="176">
        <f t="shared" si="189"/>
        <v>8</v>
      </c>
      <c r="AV139" s="176">
        <f t="shared" si="189"/>
        <v>8</v>
      </c>
      <c r="AW139" s="176">
        <f t="shared" si="189"/>
        <v>8</v>
      </c>
      <c r="AX139" s="176">
        <f t="shared" si="189"/>
        <v>8</v>
      </c>
      <c r="AY139" s="176">
        <f t="shared" si="189"/>
        <v>8</v>
      </c>
      <c r="AZ139" s="176">
        <f t="shared" si="189"/>
        <v>8</v>
      </c>
      <c r="BA139" s="176">
        <f t="shared" si="189"/>
        <v>8</v>
      </c>
      <c r="BB139" s="176">
        <f t="shared" si="189"/>
        <v>8</v>
      </c>
      <c r="BC139" s="176">
        <f t="shared" si="189"/>
        <v>8</v>
      </c>
      <c r="BD139" s="176">
        <f t="shared" si="189"/>
        <v>8</v>
      </c>
      <c r="BE139" s="176">
        <f t="shared" si="189"/>
        <v>8</v>
      </c>
      <c r="BF139" s="176">
        <f t="shared" si="189"/>
        <v>8</v>
      </c>
      <c r="BG139" s="176">
        <f t="shared" si="189"/>
        <v>8</v>
      </c>
      <c r="BH139" s="176">
        <f t="shared" si="189"/>
        <v>8</v>
      </c>
      <c r="BI139" s="176">
        <f t="shared" si="189"/>
        <v>8</v>
      </c>
      <c r="BJ139" s="176">
        <f t="shared" si="189"/>
        <v>8</v>
      </c>
      <c r="BK139" s="176">
        <f t="shared" si="189"/>
        <v>8</v>
      </c>
      <c r="BL139" s="176">
        <f t="shared" si="189"/>
        <v>8</v>
      </c>
      <c r="BM139" s="176">
        <f t="shared" si="189"/>
        <v>8</v>
      </c>
      <c r="BN139" s="176">
        <f t="shared" si="189"/>
        <v>8</v>
      </c>
      <c r="BO139" s="176">
        <f t="shared" si="189"/>
        <v>8</v>
      </c>
      <c r="BP139" s="176">
        <f t="shared" si="189"/>
        <v>8</v>
      </c>
      <c r="BQ139" s="176">
        <f t="shared" si="189"/>
        <v>8</v>
      </c>
      <c r="BR139" s="176">
        <f t="shared" si="189"/>
        <v>8</v>
      </c>
      <c r="BS139" s="176">
        <f t="shared" ref="BS139:CK139" si="190">BS78*BS104</f>
        <v>8</v>
      </c>
      <c r="BT139" s="176">
        <f t="shared" si="190"/>
        <v>8</v>
      </c>
      <c r="BU139" s="176">
        <f t="shared" si="190"/>
        <v>8</v>
      </c>
      <c r="BV139" s="176">
        <f t="shared" si="190"/>
        <v>8</v>
      </c>
      <c r="BW139" s="176">
        <f t="shared" si="190"/>
        <v>8</v>
      </c>
      <c r="BX139" s="176">
        <f t="shared" si="190"/>
        <v>8</v>
      </c>
      <c r="BY139" s="176">
        <f t="shared" si="190"/>
        <v>8</v>
      </c>
      <c r="BZ139" s="176">
        <f t="shared" si="190"/>
        <v>8</v>
      </c>
      <c r="CA139" s="176">
        <f t="shared" si="190"/>
        <v>8</v>
      </c>
      <c r="CB139" s="176">
        <f t="shared" si="190"/>
        <v>8</v>
      </c>
      <c r="CC139" s="176">
        <f t="shared" si="190"/>
        <v>8</v>
      </c>
      <c r="CD139" s="176">
        <f t="shared" si="190"/>
        <v>8</v>
      </c>
      <c r="CE139" s="176">
        <f t="shared" si="190"/>
        <v>8</v>
      </c>
      <c r="CF139" s="176">
        <f t="shared" si="190"/>
        <v>8</v>
      </c>
      <c r="CG139" s="176">
        <f t="shared" si="190"/>
        <v>8</v>
      </c>
      <c r="CH139" s="176">
        <f t="shared" si="190"/>
        <v>8</v>
      </c>
      <c r="CI139" s="176">
        <f t="shared" si="190"/>
        <v>8</v>
      </c>
      <c r="CJ139" s="176">
        <f t="shared" si="190"/>
        <v>8</v>
      </c>
      <c r="CK139" s="176">
        <f t="shared" si="190"/>
        <v>8</v>
      </c>
    </row>
    <row r="140" spans="2:89">
      <c r="B140" s="86" t="str">
        <v>Крем-мыло из светлого жира предкуколки ЧЛ</v>
      </c>
      <c r="C140" s="46"/>
      <c r="D140" s="47">
        <f t="shared" si="184"/>
        <v>215.10465685131595</v>
      </c>
      <c r="E140" s="48"/>
      <c r="F140" s="176">
        <f>F79*F108</f>
        <v>0</v>
      </c>
      <c r="G140" s="176">
        <f t="shared" ref="G140:BR140" si="191">G79*G108</f>
        <v>0</v>
      </c>
      <c r="H140" s="176">
        <f t="shared" si="191"/>
        <v>0</v>
      </c>
      <c r="I140" s="176">
        <f t="shared" si="191"/>
        <v>0</v>
      </c>
      <c r="J140" s="176">
        <f t="shared" si="191"/>
        <v>0</v>
      </c>
      <c r="K140" s="176">
        <f t="shared" si="191"/>
        <v>0</v>
      </c>
      <c r="L140" s="176">
        <f t="shared" si="191"/>
        <v>0</v>
      </c>
      <c r="M140" s="176">
        <f t="shared" si="191"/>
        <v>0</v>
      </c>
      <c r="N140" s="176">
        <f t="shared" si="191"/>
        <v>0</v>
      </c>
      <c r="O140" s="176">
        <f t="shared" si="191"/>
        <v>0</v>
      </c>
      <c r="P140" s="176">
        <f t="shared" si="191"/>
        <v>0</v>
      </c>
      <c r="Q140" s="176">
        <f t="shared" si="191"/>
        <v>0</v>
      </c>
      <c r="R140" s="176">
        <f t="shared" si="191"/>
        <v>0</v>
      </c>
      <c r="S140" s="176">
        <f t="shared" si="191"/>
        <v>0</v>
      </c>
      <c r="T140" s="176">
        <f t="shared" si="191"/>
        <v>0</v>
      </c>
      <c r="U140" s="176">
        <f t="shared" si="191"/>
        <v>0</v>
      </c>
      <c r="V140" s="176">
        <f t="shared" si="191"/>
        <v>0</v>
      </c>
      <c r="W140" s="176">
        <f t="shared" si="191"/>
        <v>0</v>
      </c>
      <c r="X140" s="176">
        <f t="shared" si="191"/>
        <v>0</v>
      </c>
      <c r="Y140" s="176">
        <f t="shared" si="191"/>
        <v>0</v>
      </c>
      <c r="Z140" s="176">
        <f t="shared" si="191"/>
        <v>0</v>
      </c>
      <c r="AA140" s="176">
        <f t="shared" si="191"/>
        <v>0</v>
      </c>
      <c r="AB140" s="176">
        <f t="shared" si="191"/>
        <v>0</v>
      </c>
      <c r="AC140" s="176">
        <f t="shared" si="191"/>
        <v>0</v>
      </c>
      <c r="AD140" s="176">
        <f t="shared" si="191"/>
        <v>0.68483974404727022</v>
      </c>
      <c r="AE140" s="176">
        <f t="shared" si="191"/>
        <v>0.80632760681691185</v>
      </c>
      <c r="AF140" s="176">
        <f t="shared" si="191"/>
        <v>0.9443789047845973</v>
      </c>
      <c r="AG140" s="176">
        <f t="shared" si="191"/>
        <v>1.1119079884633278</v>
      </c>
      <c r="AH140" s="176">
        <f t="shared" si="191"/>
        <v>1.3091560691844975</v>
      </c>
      <c r="AI140" s="176">
        <f t="shared" si="191"/>
        <v>1.5332965960190579</v>
      </c>
      <c r="AJ140" s="176">
        <f t="shared" si="191"/>
        <v>1.805297349569752</v>
      </c>
      <c r="AK140" s="176">
        <f t="shared" si="191"/>
        <v>2.1143821932718931</v>
      </c>
      <c r="AL140" s="176">
        <f t="shared" si="191"/>
        <v>2.4894652341899439</v>
      </c>
      <c r="AM140" s="176">
        <f t="shared" si="191"/>
        <v>2.9310865235060413</v>
      </c>
      <c r="AN140" s="176">
        <f t="shared" si="191"/>
        <v>3.3969389118391469</v>
      </c>
      <c r="AO140" s="176">
        <f t="shared" si="191"/>
        <v>3.9995424434616993</v>
      </c>
      <c r="AP140" s="176">
        <f t="shared" si="191"/>
        <v>3.9995424434616993</v>
      </c>
      <c r="AQ140" s="176">
        <f t="shared" si="191"/>
        <v>3.9995424434616993</v>
      </c>
      <c r="AR140" s="176">
        <f t="shared" si="191"/>
        <v>3.9995424434616993</v>
      </c>
      <c r="AS140" s="176">
        <f t="shared" si="191"/>
        <v>3.9995424434616993</v>
      </c>
      <c r="AT140" s="176">
        <f t="shared" si="191"/>
        <v>3.9995424434616993</v>
      </c>
      <c r="AU140" s="176">
        <f t="shared" si="191"/>
        <v>3.9995424434616993</v>
      </c>
      <c r="AV140" s="176">
        <f t="shared" si="191"/>
        <v>3.9995424434616993</v>
      </c>
      <c r="AW140" s="176">
        <f t="shared" si="191"/>
        <v>3.9995424434616993</v>
      </c>
      <c r="AX140" s="176">
        <f t="shared" si="191"/>
        <v>3.9995424434616993</v>
      </c>
      <c r="AY140" s="176">
        <f t="shared" si="191"/>
        <v>3.9995424434616993</v>
      </c>
      <c r="AZ140" s="176">
        <f t="shared" si="191"/>
        <v>3.9995424434616993</v>
      </c>
      <c r="BA140" s="176">
        <f t="shared" si="191"/>
        <v>3.9995424434616993</v>
      </c>
      <c r="BB140" s="176">
        <f t="shared" si="191"/>
        <v>3.9995424434616993</v>
      </c>
      <c r="BC140" s="176">
        <f t="shared" si="191"/>
        <v>3.9995424434616993</v>
      </c>
      <c r="BD140" s="176">
        <f t="shared" si="191"/>
        <v>3.9995424434616993</v>
      </c>
      <c r="BE140" s="176">
        <f t="shared" si="191"/>
        <v>3.9995424434616993</v>
      </c>
      <c r="BF140" s="176">
        <f t="shared" si="191"/>
        <v>3.9995424434616993</v>
      </c>
      <c r="BG140" s="176">
        <f t="shared" si="191"/>
        <v>3.9995424434616993</v>
      </c>
      <c r="BH140" s="176">
        <f t="shared" si="191"/>
        <v>3.9995424434616993</v>
      </c>
      <c r="BI140" s="176">
        <f t="shared" si="191"/>
        <v>3.9995424434616993</v>
      </c>
      <c r="BJ140" s="176">
        <f t="shared" si="191"/>
        <v>3.9995424434616993</v>
      </c>
      <c r="BK140" s="176">
        <f t="shared" si="191"/>
        <v>3.9995424434616993</v>
      </c>
      <c r="BL140" s="176">
        <f t="shared" si="191"/>
        <v>3.9995424434616993</v>
      </c>
      <c r="BM140" s="176">
        <f t="shared" si="191"/>
        <v>3.9995424434616993</v>
      </c>
      <c r="BN140" s="176">
        <f t="shared" si="191"/>
        <v>3.9995424434616993</v>
      </c>
      <c r="BO140" s="176">
        <f t="shared" si="191"/>
        <v>3.9995424434616993</v>
      </c>
      <c r="BP140" s="176">
        <f t="shared" si="191"/>
        <v>3.9995424434616993</v>
      </c>
      <c r="BQ140" s="176">
        <f t="shared" si="191"/>
        <v>3.9995424434616993</v>
      </c>
      <c r="BR140" s="176">
        <f t="shared" si="191"/>
        <v>3.9995424434616993</v>
      </c>
      <c r="BS140" s="176">
        <f t="shared" ref="BS140:CK140" si="192">BS79*BS108</f>
        <v>3.9995424434616993</v>
      </c>
      <c r="BT140" s="176">
        <f t="shared" si="192"/>
        <v>3.9995424434616993</v>
      </c>
      <c r="BU140" s="176">
        <f t="shared" si="192"/>
        <v>3.9995424434616993</v>
      </c>
      <c r="BV140" s="176">
        <f t="shared" si="192"/>
        <v>3.9995424434616993</v>
      </c>
      <c r="BW140" s="176">
        <f t="shared" si="192"/>
        <v>3.9995424434616993</v>
      </c>
      <c r="BX140" s="176">
        <f t="shared" si="192"/>
        <v>3.9995424434616993</v>
      </c>
      <c r="BY140" s="176">
        <f t="shared" si="192"/>
        <v>3.9995424434616993</v>
      </c>
      <c r="BZ140" s="176">
        <f t="shared" si="192"/>
        <v>3.9995424434616993</v>
      </c>
      <c r="CA140" s="176">
        <f t="shared" si="192"/>
        <v>3.9995424434616993</v>
      </c>
      <c r="CB140" s="176">
        <f t="shared" si="192"/>
        <v>3.9995424434616993</v>
      </c>
      <c r="CC140" s="176">
        <f t="shared" si="192"/>
        <v>3.9995424434616993</v>
      </c>
      <c r="CD140" s="176">
        <f t="shared" si="192"/>
        <v>3.9995424434616993</v>
      </c>
      <c r="CE140" s="176">
        <f t="shared" si="192"/>
        <v>3.9995424434616993</v>
      </c>
      <c r="CF140" s="176">
        <f t="shared" si="192"/>
        <v>3.9995424434616993</v>
      </c>
      <c r="CG140" s="176">
        <f t="shared" si="192"/>
        <v>3.9995424434616993</v>
      </c>
      <c r="CH140" s="176">
        <f t="shared" si="192"/>
        <v>3.9995424434616993</v>
      </c>
      <c r="CI140" s="176">
        <f t="shared" si="192"/>
        <v>3.9995424434616993</v>
      </c>
      <c r="CJ140" s="176">
        <f t="shared" si="192"/>
        <v>3.9995424434616993</v>
      </c>
      <c r="CK140" s="176">
        <f t="shared" si="192"/>
        <v>3.9995424434616993</v>
      </c>
    </row>
    <row r="141" spans="2:89">
      <c r="B141" s="86" t="str">
        <v>Продукты пчеловодства</v>
      </c>
      <c r="C141" s="46"/>
      <c r="D141" s="47">
        <f t="shared" si="184"/>
        <v>554.32950432810662</v>
      </c>
      <c r="E141" s="48"/>
      <c r="F141" s="176">
        <f>F80*F112</f>
        <v>0</v>
      </c>
      <c r="G141" s="176">
        <f t="shared" ref="G141:BR141" si="193">G80*G112</f>
        <v>0</v>
      </c>
      <c r="H141" s="176">
        <f t="shared" si="193"/>
        <v>0</v>
      </c>
      <c r="I141" s="176">
        <f t="shared" si="193"/>
        <v>0</v>
      </c>
      <c r="J141" s="176">
        <f t="shared" si="193"/>
        <v>0</v>
      </c>
      <c r="K141" s="176">
        <f t="shared" si="193"/>
        <v>0</v>
      </c>
      <c r="L141" s="176">
        <f t="shared" si="193"/>
        <v>0</v>
      </c>
      <c r="M141" s="176">
        <f t="shared" si="193"/>
        <v>0</v>
      </c>
      <c r="N141" s="176">
        <f t="shared" si="193"/>
        <v>0</v>
      </c>
      <c r="O141" s="176">
        <f t="shared" si="193"/>
        <v>0</v>
      </c>
      <c r="P141" s="176">
        <f t="shared" si="193"/>
        <v>0</v>
      </c>
      <c r="Q141" s="176">
        <f t="shared" si="193"/>
        <v>0</v>
      </c>
      <c r="R141" s="176">
        <f t="shared" si="193"/>
        <v>5</v>
      </c>
      <c r="S141" s="176">
        <f t="shared" si="193"/>
        <v>5</v>
      </c>
      <c r="T141" s="176">
        <f t="shared" si="193"/>
        <v>5</v>
      </c>
      <c r="U141" s="176">
        <f t="shared" si="193"/>
        <v>5</v>
      </c>
      <c r="V141" s="176">
        <f t="shared" si="193"/>
        <v>5</v>
      </c>
      <c r="W141" s="176">
        <f t="shared" si="193"/>
        <v>5</v>
      </c>
      <c r="X141" s="176">
        <f t="shared" si="193"/>
        <v>5</v>
      </c>
      <c r="Y141" s="176">
        <f t="shared" si="193"/>
        <v>5</v>
      </c>
      <c r="Z141" s="176">
        <f t="shared" si="193"/>
        <v>5</v>
      </c>
      <c r="AA141" s="176">
        <f t="shared" si="193"/>
        <v>5</v>
      </c>
      <c r="AB141" s="176">
        <f t="shared" si="193"/>
        <v>5</v>
      </c>
      <c r="AC141" s="176">
        <f t="shared" si="193"/>
        <v>5</v>
      </c>
      <c r="AD141" s="176">
        <f t="shared" si="193"/>
        <v>5.227914867512693</v>
      </c>
      <c r="AE141" s="176">
        <f t="shared" si="193"/>
        <v>5.4743466261995231</v>
      </c>
      <c r="AF141" s="176">
        <f t="shared" si="193"/>
        <v>5.7238836234052881</v>
      </c>
      <c r="AG141" s="176">
        <f t="shared" si="193"/>
        <v>5.9936941967564206</v>
      </c>
      <c r="AH141" s="176">
        <f t="shared" si="193"/>
        <v>6.2762230135732997</v>
      </c>
      <c r="AI141" s="176">
        <f t="shared" si="193"/>
        <v>6.5623119208970344</v>
      </c>
      <c r="AJ141" s="176">
        <f t="shared" si="193"/>
        <v>6.8716440559261596</v>
      </c>
      <c r="AK141" s="176">
        <f t="shared" si="193"/>
        <v>7.1848740248463185</v>
      </c>
      <c r="AL141" s="176">
        <f t="shared" si="193"/>
        <v>7.5235522908006747</v>
      </c>
      <c r="AM141" s="176">
        <f t="shared" si="193"/>
        <v>7.8781950632214208</v>
      </c>
      <c r="AN141" s="176">
        <f t="shared" si="193"/>
        <v>8.2128646449671265</v>
      </c>
      <c r="AO141" s="176">
        <f t="shared" si="193"/>
        <v>8.5999999999999961</v>
      </c>
      <c r="AP141" s="176">
        <f t="shared" si="193"/>
        <v>8.5999999999999961</v>
      </c>
      <c r="AQ141" s="176">
        <f t="shared" si="193"/>
        <v>8.5999999999999961</v>
      </c>
      <c r="AR141" s="176">
        <f t="shared" si="193"/>
        <v>8.5999999999999961</v>
      </c>
      <c r="AS141" s="176">
        <f t="shared" si="193"/>
        <v>8.5999999999999961</v>
      </c>
      <c r="AT141" s="176">
        <f t="shared" si="193"/>
        <v>8.5999999999999961</v>
      </c>
      <c r="AU141" s="176">
        <f t="shared" si="193"/>
        <v>8.5999999999999961</v>
      </c>
      <c r="AV141" s="176">
        <f t="shared" si="193"/>
        <v>8.5999999999999961</v>
      </c>
      <c r="AW141" s="176">
        <f t="shared" si="193"/>
        <v>8.5999999999999961</v>
      </c>
      <c r="AX141" s="176">
        <f t="shared" si="193"/>
        <v>8.5999999999999961</v>
      </c>
      <c r="AY141" s="176">
        <f t="shared" si="193"/>
        <v>8.5999999999999961</v>
      </c>
      <c r="AZ141" s="176">
        <f t="shared" si="193"/>
        <v>8.5999999999999961</v>
      </c>
      <c r="BA141" s="176">
        <f t="shared" si="193"/>
        <v>8.5999999999999961</v>
      </c>
      <c r="BB141" s="176">
        <f t="shared" si="193"/>
        <v>8.5999999999999961</v>
      </c>
      <c r="BC141" s="176">
        <f t="shared" si="193"/>
        <v>8.5999999999999961</v>
      </c>
      <c r="BD141" s="176">
        <f t="shared" si="193"/>
        <v>8.5999999999999961</v>
      </c>
      <c r="BE141" s="176">
        <f t="shared" si="193"/>
        <v>8.5999999999999961</v>
      </c>
      <c r="BF141" s="176">
        <f t="shared" si="193"/>
        <v>8.5999999999999961</v>
      </c>
      <c r="BG141" s="176">
        <f t="shared" si="193"/>
        <v>8.5999999999999961</v>
      </c>
      <c r="BH141" s="176">
        <f t="shared" si="193"/>
        <v>8.5999999999999961</v>
      </c>
      <c r="BI141" s="176">
        <f t="shared" si="193"/>
        <v>8.5999999999999961</v>
      </c>
      <c r="BJ141" s="176">
        <f t="shared" si="193"/>
        <v>8.5999999999999961</v>
      </c>
      <c r="BK141" s="176">
        <f t="shared" si="193"/>
        <v>8.5999999999999961</v>
      </c>
      <c r="BL141" s="176">
        <f t="shared" si="193"/>
        <v>8.5999999999999961</v>
      </c>
      <c r="BM141" s="176">
        <f t="shared" si="193"/>
        <v>8.5999999999999961</v>
      </c>
      <c r="BN141" s="176">
        <f t="shared" si="193"/>
        <v>8.5999999999999961</v>
      </c>
      <c r="BO141" s="176">
        <f t="shared" si="193"/>
        <v>8.5999999999999961</v>
      </c>
      <c r="BP141" s="176">
        <f t="shared" si="193"/>
        <v>8.5999999999999961</v>
      </c>
      <c r="BQ141" s="176">
        <f t="shared" si="193"/>
        <v>8.5999999999999961</v>
      </c>
      <c r="BR141" s="176">
        <f t="shared" si="193"/>
        <v>8.5999999999999961</v>
      </c>
      <c r="BS141" s="176">
        <f t="shared" ref="BS141:CK141" si="194">BS80*BS112</f>
        <v>8.5999999999999961</v>
      </c>
      <c r="BT141" s="176">
        <f t="shared" si="194"/>
        <v>8.5999999999999961</v>
      </c>
      <c r="BU141" s="176">
        <f t="shared" si="194"/>
        <v>8.5999999999999961</v>
      </c>
      <c r="BV141" s="176">
        <f t="shared" si="194"/>
        <v>8.5999999999999961</v>
      </c>
      <c r="BW141" s="176">
        <f t="shared" si="194"/>
        <v>8.5999999999999961</v>
      </c>
      <c r="BX141" s="176">
        <f t="shared" si="194"/>
        <v>8.5999999999999961</v>
      </c>
      <c r="BY141" s="176">
        <f t="shared" si="194"/>
        <v>8.5999999999999961</v>
      </c>
      <c r="BZ141" s="176">
        <f t="shared" si="194"/>
        <v>8.5999999999999961</v>
      </c>
      <c r="CA141" s="176">
        <f t="shared" si="194"/>
        <v>8.5999999999999961</v>
      </c>
      <c r="CB141" s="176">
        <f t="shared" si="194"/>
        <v>8.5999999999999961</v>
      </c>
      <c r="CC141" s="176">
        <f t="shared" si="194"/>
        <v>8.5999999999999961</v>
      </c>
      <c r="CD141" s="176">
        <f t="shared" si="194"/>
        <v>8.5999999999999961</v>
      </c>
      <c r="CE141" s="176">
        <f t="shared" si="194"/>
        <v>8.5999999999999961</v>
      </c>
      <c r="CF141" s="176">
        <f t="shared" si="194"/>
        <v>8.5999999999999961</v>
      </c>
      <c r="CG141" s="176">
        <f t="shared" si="194"/>
        <v>8.5999999999999961</v>
      </c>
      <c r="CH141" s="176">
        <f t="shared" si="194"/>
        <v>8.5999999999999961</v>
      </c>
      <c r="CI141" s="176">
        <f t="shared" si="194"/>
        <v>8.5999999999999961</v>
      </c>
      <c r="CJ141" s="176">
        <f t="shared" si="194"/>
        <v>8.5999999999999961</v>
      </c>
      <c r="CK141" s="176">
        <f t="shared" si="194"/>
        <v>8.5999999999999961</v>
      </c>
    </row>
    <row r="142" spans="2:89">
      <c r="B142" s="86" t="str">
        <v>Опылительная деятельность</v>
      </c>
      <c r="C142" s="46"/>
      <c r="D142" s="47">
        <f t="shared" si="184"/>
        <v>4022.7759787452305</v>
      </c>
      <c r="E142" s="48"/>
      <c r="F142" s="176">
        <f>F81*F116</f>
        <v>0</v>
      </c>
      <c r="G142" s="176">
        <f t="shared" ref="G142:BR142" si="195">G81*G116</f>
        <v>0</v>
      </c>
      <c r="H142" s="176">
        <f t="shared" si="195"/>
        <v>0</v>
      </c>
      <c r="I142" s="176">
        <f t="shared" si="195"/>
        <v>0</v>
      </c>
      <c r="J142" s="176">
        <f t="shared" si="195"/>
        <v>0</v>
      </c>
      <c r="K142" s="176">
        <f t="shared" si="195"/>
        <v>0</v>
      </c>
      <c r="L142" s="176">
        <f t="shared" si="195"/>
        <v>0</v>
      </c>
      <c r="M142" s="176">
        <f t="shared" si="195"/>
        <v>0</v>
      </c>
      <c r="N142" s="176">
        <f t="shared" si="195"/>
        <v>0</v>
      </c>
      <c r="O142" s="176">
        <f t="shared" si="195"/>
        <v>0</v>
      </c>
      <c r="P142" s="176">
        <f t="shared" si="195"/>
        <v>0</v>
      </c>
      <c r="Q142" s="176">
        <f t="shared" si="195"/>
        <v>0</v>
      </c>
      <c r="R142" s="176">
        <f t="shared" si="195"/>
        <v>25</v>
      </c>
      <c r="S142" s="176">
        <f t="shared" si="195"/>
        <v>25</v>
      </c>
      <c r="T142" s="176">
        <f t="shared" si="195"/>
        <v>25</v>
      </c>
      <c r="U142" s="176">
        <f t="shared" si="195"/>
        <v>25</v>
      </c>
      <c r="V142" s="176">
        <f t="shared" si="195"/>
        <v>25</v>
      </c>
      <c r="W142" s="176">
        <f t="shared" si="195"/>
        <v>25</v>
      </c>
      <c r="X142" s="176">
        <f t="shared" si="195"/>
        <v>25</v>
      </c>
      <c r="Y142" s="176">
        <f t="shared" si="195"/>
        <v>25</v>
      </c>
      <c r="Z142" s="176">
        <f t="shared" si="195"/>
        <v>25</v>
      </c>
      <c r="AA142" s="176">
        <f t="shared" si="195"/>
        <v>25</v>
      </c>
      <c r="AB142" s="176">
        <f t="shared" si="195"/>
        <v>25</v>
      </c>
      <c r="AC142" s="176">
        <f t="shared" si="195"/>
        <v>25</v>
      </c>
      <c r="AD142" s="176">
        <f t="shared" si="195"/>
        <v>27.093292583992191</v>
      </c>
      <c r="AE142" s="176">
        <f t="shared" si="195"/>
        <v>29.440665618352252</v>
      </c>
      <c r="AF142" s="176">
        <f t="shared" si="195"/>
        <v>31.905782698619877</v>
      </c>
      <c r="AG142" s="176">
        <f t="shared" si="195"/>
        <v>34.670111682065134</v>
      </c>
      <c r="AH142" s="176">
        <f t="shared" si="195"/>
        <v>37.673943165759226</v>
      </c>
      <c r="AI142" s="176">
        <f t="shared" si="195"/>
        <v>40.828446599304307</v>
      </c>
      <c r="AJ142" s="176">
        <f t="shared" si="195"/>
        <v>44.365838530716971</v>
      </c>
      <c r="AK142" s="176">
        <f t="shared" si="195"/>
        <v>48.080665761874762</v>
      </c>
      <c r="AL142" s="176">
        <f t="shared" si="195"/>
        <v>52.246392682425871</v>
      </c>
      <c r="AM142" s="176">
        <f t="shared" si="195"/>
        <v>56.773039746274243</v>
      </c>
      <c r="AN142" s="176">
        <f t="shared" si="195"/>
        <v>61.197799675845808</v>
      </c>
      <c r="AO142" s="176">
        <f t="shared" si="195"/>
        <v>66.500000000000057</v>
      </c>
      <c r="AP142" s="176">
        <f t="shared" si="195"/>
        <v>66.500000000000057</v>
      </c>
      <c r="AQ142" s="176">
        <f t="shared" si="195"/>
        <v>66.500000000000057</v>
      </c>
      <c r="AR142" s="176">
        <f t="shared" si="195"/>
        <v>66.500000000000057</v>
      </c>
      <c r="AS142" s="176">
        <f t="shared" si="195"/>
        <v>66.500000000000057</v>
      </c>
      <c r="AT142" s="176">
        <f t="shared" si="195"/>
        <v>66.500000000000057</v>
      </c>
      <c r="AU142" s="176">
        <f t="shared" si="195"/>
        <v>66.500000000000057</v>
      </c>
      <c r="AV142" s="176">
        <f t="shared" si="195"/>
        <v>66.500000000000057</v>
      </c>
      <c r="AW142" s="176">
        <f t="shared" si="195"/>
        <v>66.500000000000057</v>
      </c>
      <c r="AX142" s="176">
        <f t="shared" si="195"/>
        <v>66.500000000000057</v>
      </c>
      <c r="AY142" s="176">
        <f t="shared" si="195"/>
        <v>66.500000000000057</v>
      </c>
      <c r="AZ142" s="176">
        <f t="shared" si="195"/>
        <v>66.500000000000057</v>
      </c>
      <c r="BA142" s="176">
        <f t="shared" si="195"/>
        <v>66.500000000000057</v>
      </c>
      <c r="BB142" s="176">
        <f t="shared" si="195"/>
        <v>66.500000000000057</v>
      </c>
      <c r="BC142" s="176">
        <f t="shared" si="195"/>
        <v>66.500000000000057</v>
      </c>
      <c r="BD142" s="176">
        <f t="shared" si="195"/>
        <v>66.500000000000057</v>
      </c>
      <c r="BE142" s="176">
        <f t="shared" si="195"/>
        <v>66.500000000000057</v>
      </c>
      <c r="BF142" s="176">
        <f t="shared" si="195"/>
        <v>66.500000000000057</v>
      </c>
      <c r="BG142" s="176">
        <f t="shared" si="195"/>
        <v>66.500000000000057</v>
      </c>
      <c r="BH142" s="176">
        <f t="shared" si="195"/>
        <v>66.500000000000057</v>
      </c>
      <c r="BI142" s="176">
        <f t="shared" si="195"/>
        <v>66.500000000000057</v>
      </c>
      <c r="BJ142" s="176">
        <f t="shared" si="195"/>
        <v>66.500000000000057</v>
      </c>
      <c r="BK142" s="176">
        <f t="shared" si="195"/>
        <v>66.500000000000057</v>
      </c>
      <c r="BL142" s="176">
        <f t="shared" si="195"/>
        <v>66.500000000000057</v>
      </c>
      <c r="BM142" s="176">
        <f t="shared" si="195"/>
        <v>66.500000000000057</v>
      </c>
      <c r="BN142" s="176">
        <f t="shared" si="195"/>
        <v>66.500000000000057</v>
      </c>
      <c r="BO142" s="176">
        <f t="shared" si="195"/>
        <v>66.500000000000057</v>
      </c>
      <c r="BP142" s="176">
        <f t="shared" si="195"/>
        <v>66.500000000000057</v>
      </c>
      <c r="BQ142" s="176">
        <f t="shared" si="195"/>
        <v>66.500000000000057</v>
      </c>
      <c r="BR142" s="176">
        <f t="shared" si="195"/>
        <v>66.500000000000057</v>
      </c>
      <c r="BS142" s="176">
        <f t="shared" ref="BS142:CK142" si="196">BS81*BS116</f>
        <v>66.500000000000057</v>
      </c>
      <c r="BT142" s="176">
        <f t="shared" si="196"/>
        <v>66.500000000000057</v>
      </c>
      <c r="BU142" s="176">
        <f t="shared" si="196"/>
        <v>66.500000000000057</v>
      </c>
      <c r="BV142" s="176">
        <f t="shared" si="196"/>
        <v>66.500000000000057</v>
      </c>
      <c r="BW142" s="176">
        <f t="shared" si="196"/>
        <v>66.500000000000057</v>
      </c>
      <c r="BX142" s="176">
        <f t="shared" si="196"/>
        <v>66.500000000000057</v>
      </c>
      <c r="BY142" s="176">
        <f t="shared" si="196"/>
        <v>66.500000000000057</v>
      </c>
      <c r="BZ142" s="176">
        <f t="shared" si="196"/>
        <v>66.500000000000057</v>
      </c>
      <c r="CA142" s="176">
        <f t="shared" si="196"/>
        <v>66.500000000000057</v>
      </c>
      <c r="CB142" s="176">
        <f t="shared" si="196"/>
        <v>66.500000000000057</v>
      </c>
      <c r="CC142" s="176">
        <f t="shared" si="196"/>
        <v>66.500000000000057</v>
      </c>
      <c r="CD142" s="176">
        <f t="shared" si="196"/>
        <v>66.500000000000057</v>
      </c>
      <c r="CE142" s="176">
        <f t="shared" si="196"/>
        <v>66.500000000000057</v>
      </c>
      <c r="CF142" s="176">
        <f t="shared" si="196"/>
        <v>66.500000000000057</v>
      </c>
      <c r="CG142" s="176">
        <f t="shared" si="196"/>
        <v>66.500000000000057</v>
      </c>
      <c r="CH142" s="176">
        <f t="shared" si="196"/>
        <v>66.500000000000057</v>
      </c>
      <c r="CI142" s="176">
        <f t="shared" si="196"/>
        <v>66.500000000000057</v>
      </c>
      <c r="CJ142" s="176">
        <f t="shared" si="196"/>
        <v>66.500000000000057</v>
      </c>
      <c r="CK142" s="176">
        <f t="shared" si="196"/>
        <v>66.500000000000057</v>
      </c>
    </row>
    <row r="143" spans="2:89">
      <c r="B143" s="86" t="str">
        <v>Реализация пчелопакетов</v>
      </c>
      <c r="C143" s="46"/>
      <c r="D143" s="47">
        <f t="shared" si="184"/>
        <v>11237.109458925856</v>
      </c>
      <c r="E143" s="48"/>
      <c r="F143" s="176">
        <f>F82*F120</f>
        <v>0</v>
      </c>
      <c r="G143" s="176">
        <f t="shared" ref="G143:BR143" si="197">G82*G120</f>
        <v>0</v>
      </c>
      <c r="H143" s="176">
        <f t="shared" si="197"/>
        <v>0</v>
      </c>
      <c r="I143" s="176">
        <f t="shared" si="197"/>
        <v>0</v>
      </c>
      <c r="J143" s="176">
        <f t="shared" si="197"/>
        <v>0</v>
      </c>
      <c r="K143" s="176">
        <f t="shared" si="197"/>
        <v>0</v>
      </c>
      <c r="L143" s="176">
        <f t="shared" si="197"/>
        <v>0</v>
      </c>
      <c r="M143" s="176">
        <f t="shared" si="197"/>
        <v>0</v>
      </c>
      <c r="N143" s="176">
        <f t="shared" si="197"/>
        <v>0</v>
      </c>
      <c r="O143" s="176">
        <f t="shared" si="197"/>
        <v>0</v>
      </c>
      <c r="P143" s="176">
        <f t="shared" si="197"/>
        <v>0</v>
      </c>
      <c r="Q143" s="176">
        <f t="shared" si="197"/>
        <v>0</v>
      </c>
      <c r="R143" s="176">
        <f t="shared" si="197"/>
        <v>125</v>
      </c>
      <c r="S143" s="176">
        <f t="shared" si="197"/>
        <v>125</v>
      </c>
      <c r="T143" s="176">
        <f t="shared" si="197"/>
        <v>125</v>
      </c>
      <c r="U143" s="176">
        <f t="shared" si="197"/>
        <v>125</v>
      </c>
      <c r="V143" s="176">
        <f t="shared" si="197"/>
        <v>125</v>
      </c>
      <c r="W143" s="176">
        <f t="shared" si="197"/>
        <v>125</v>
      </c>
      <c r="X143" s="176">
        <f t="shared" si="197"/>
        <v>125</v>
      </c>
      <c r="Y143" s="176">
        <f t="shared" si="197"/>
        <v>125</v>
      </c>
      <c r="Z143" s="176">
        <f t="shared" si="197"/>
        <v>125</v>
      </c>
      <c r="AA143" s="176">
        <f t="shared" si="197"/>
        <v>125</v>
      </c>
      <c r="AB143" s="176">
        <f t="shared" si="197"/>
        <v>125</v>
      </c>
      <c r="AC143" s="176">
        <f t="shared" si="197"/>
        <v>125</v>
      </c>
      <c r="AD143" s="176">
        <f t="shared" si="197"/>
        <v>127.96452824364549</v>
      </c>
      <c r="AE143" s="176">
        <f t="shared" si="197"/>
        <v>131.1017553009118</v>
      </c>
      <c r="AF143" s="176">
        <f t="shared" si="197"/>
        <v>134.21099415196022</v>
      </c>
      <c r="AG143" s="176">
        <f t="shared" si="197"/>
        <v>137.50136194384126</v>
      </c>
      <c r="AH143" s="176">
        <f t="shared" si="197"/>
        <v>140.87239764429609</v>
      </c>
      <c r="AI143" s="176">
        <f t="shared" si="197"/>
        <v>144.21335925682868</v>
      </c>
      <c r="AJ143" s="176">
        <f t="shared" si="197"/>
        <v>147.74894883692201</v>
      </c>
      <c r="AK143" s="176">
        <f t="shared" si="197"/>
        <v>151.25299629128992</v>
      </c>
      <c r="AL143" s="176">
        <f t="shared" si="197"/>
        <v>154.96117229108071</v>
      </c>
      <c r="AM143" s="176">
        <f t="shared" si="197"/>
        <v>158.76025934442146</v>
      </c>
      <c r="AN143" s="176">
        <f t="shared" si="197"/>
        <v>162.27168562065853</v>
      </c>
      <c r="AO143" s="176">
        <f t="shared" si="197"/>
        <v>166.25</v>
      </c>
      <c r="AP143" s="176">
        <f t="shared" si="197"/>
        <v>166.25</v>
      </c>
      <c r="AQ143" s="176">
        <f t="shared" si="197"/>
        <v>166.25</v>
      </c>
      <c r="AR143" s="176">
        <f t="shared" si="197"/>
        <v>166.25</v>
      </c>
      <c r="AS143" s="176">
        <f t="shared" si="197"/>
        <v>166.25</v>
      </c>
      <c r="AT143" s="176">
        <f t="shared" si="197"/>
        <v>166.25</v>
      </c>
      <c r="AU143" s="176">
        <f t="shared" si="197"/>
        <v>166.25</v>
      </c>
      <c r="AV143" s="176">
        <f t="shared" si="197"/>
        <v>166.25</v>
      </c>
      <c r="AW143" s="176">
        <f t="shared" si="197"/>
        <v>166.25</v>
      </c>
      <c r="AX143" s="176">
        <f t="shared" si="197"/>
        <v>166.25</v>
      </c>
      <c r="AY143" s="176">
        <f t="shared" si="197"/>
        <v>166.25</v>
      </c>
      <c r="AZ143" s="176">
        <f t="shared" si="197"/>
        <v>166.25</v>
      </c>
      <c r="BA143" s="176">
        <f t="shared" si="197"/>
        <v>166.25</v>
      </c>
      <c r="BB143" s="176">
        <f t="shared" si="197"/>
        <v>166.25</v>
      </c>
      <c r="BC143" s="176">
        <f t="shared" si="197"/>
        <v>166.25</v>
      </c>
      <c r="BD143" s="176">
        <f t="shared" si="197"/>
        <v>166.25</v>
      </c>
      <c r="BE143" s="176">
        <f t="shared" si="197"/>
        <v>166.25</v>
      </c>
      <c r="BF143" s="176">
        <f t="shared" si="197"/>
        <v>166.25</v>
      </c>
      <c r="BG143" s="176">
        <f t="shared" si="197"/>
        <v>166.25</v>
      </c>
      <c r="BH143" s="176">
        <f t="shared" si="197"/>
        <v>166.25</v>
      </c>
      <c r="BI143" s="176">
        <f t="shared" si="197"/>
        <v>166.25</v>
      </c>
      <c r="BJ143" s="176">
        <f t="shared" si="197"/>
        <v>166.25</v>
      </c>
      <c r="BK143" s="176">
        <f t="shared" si="197"/>
        <v>166.25</v>
      </c>
      <c r="BL143" s="176">
        <f t="shared" si="197"/>
        <v>166.25</v>
      </c>
      <c r="BM143" s="176">
        <f t="shared" si="197"/>
        <v>166.25</v>
      </c>
      <c r="BN143" s="176">
        <f t="shared" si="197"/>
        <v>166.25</v>
      </c>
      <c r="BO143" s="176">
        <f t="shared" si="197"/>
        <v>166.25</v>
      </c>
      <c r="BP143" s="176">
        <f t="shared" si="197"/>
        <v>166.25</v>
      </c>
      <c r="BQ143" s="176">
        <f t="shared" si="197"/>
        <v>166.25</v>
      </c>
      <c r="BR143" s="176">
        <f t="shared" si="197"/>
        <v>166.25</v>
      </c>
      <c r="BS143" s="176">
        <f t="shared" ref="BS143:CK143" si="198">BS82*BS120</f>
        <v>166.25</v>
      </c>
      <c r="BT143" s="176">
        <f t="shared" si="198"/>
        <v>166.25</v>
      </c>
      <c r="BU143" s="176">
        <f t="shared" si="198"/>
        <v>166.25</v>
      </c>
      <c r="BV143" s="176">
        <f t="shared" si="198"/>
        <v>166.25</v>
      </c>
      <c r="BW143" s="176">
        <f t="shared" si="198"/>
        <v>166.25</v>
      </c>
      <c r="BX143" s="176">
        <f t="shared" si="198"/>
        <v>166.25</v>
      </c>
      <c r="BY143" s="176">
        <f t="shared" si="198"/>
        <v>166.25</v>
      </c>
      <c r="BZ143" s="176">
        <f t="shared" si="198"/>
        <v>166.25</v>
      </c>
      <c r="CA143" s="176">
        <f t="shared" si="198"/>
        <v>166.25</v>
      </c>
      <c r="CB143" s="176">
        <f t="shared" si="198"/>
        <v>166.25</v>
      </c>
      <c r="CC143" s="176">
        <f t="shared" si="198"/>
        <v>166.25</v>
      </c>
      <c r="CD143" s="176">
        <f t="shared" si="198"/>
        <v>166.25</v>
      </c>
      <c r="CE143" s="176">
        <f t="shared" si="198"/>
        <v>166.25</v>
      </c>
      <c r="CF143" s="176">
        <f t="shared" si="198"/>
        <v>166.25</v>
      </c>
      <c r="CG143" s="176">
        <f t="shared" si="198"/>
        <v>166.25</v>
      </c>
      <c r="CH143" s="176">
        <f t="shared" si="198"/>
        <v>166.25</v>
      </c>
      <c r="CI143" s="176">
        <f t="shared" si="198"/>
        <v>166.25</v>
      </c>
      <c r="CJ143" s="176">
        <f t="shared" si="198"/>
        <v>166.25</v>
      </c>
      <c r="CK143" s="176">
        <f t="shared" si="198"/>
        <v>166.25</v>
      </c>
    </row>
    <row r="144" spans="2:89">
      <c r="B144" s="86" t="str">
        <v>Реализация пчеломаток</v>
      </c>
      <c r="C144" s="46"/>
      <c r="D144" s="47">
        <f t="shared" si="184"/>
        <v>15729.22391660452</v>
      </c>
      <c r="E144" s="48"/>
      <c r="F144" s="176">
        <f>F83*F124</f>
        <v>0</v>
      </c>
      <c r="G144" s="176">
        <f t="shared" ref="G144:BR144" si="199">G83*G124</f>
        <v>0</v>
      </c>
      <c r="H144" s="176">
        <f t="shared" si="199"/>
        <v>0</v>
      </c>
      <c r="I144" s="176">
        <f t="shared" si="199"/>
        <v>0</v>
      </c>
      <c r="J144" s="176">
        <f t="shared" si="199"/>
        <v>0</v>
      </c>
      <c r="K144" s="176">
        <f t="shared" si="199"/>
        <v>0</v>
      </c>
      <c r="L144" s="176">
        <f t="shared" si="199"/>
        <v>0</v>
      </c>
      <c r="M144" s="176">
        <f t="shared" si="199"/>
        <v>0</v>
      </c>
      <c r="N144" s="176">
        <f t="shared" si="199"/>
        <v>0</v>
      </c>
      <c r="O144" s="176">
        <f t="shared" si="199"/>
        <v>0</v>
      </c>
      <c r="P144" s="176">
        <f t="shared" si="199"/>
        <v>0</v>
      </c>
      <c r="Q144" s="176">
        <f t="shared" si="199"/>
        <v>0</v>
      </c>
      <c r="R144" s="176">
        <f t="shared" si="199"/>
        <v>125</v>
      </c>
      <c r="S144" s="176">
        <f t="shared" si="199"/>
        <v>125</v>
      </c>
      <c r="T144" s="176">
        <f t="shared" si="199"/>
        <v>125</v>
      </c>
      <c r="U144" s="176">
        <f t="shared" si="199"/>
        <v>125</v>
      </c>
      <c r="V144" s="176">
        <f t="shared" si="199"/>
        <v>125</v>
      </c>
      <c r="W144" s="176">
        <f t="shared" si="199"/>
        <v>125</v>
      </c>
      <c r="X144" s="176">
        <f t="shared" si="199"/>
        <v>125</v>
      </c>
      <c r="Y144" s="176">
        <f t="shared" si="199"/>
        <v>125</v>
      </c>
      <c r="Z144" s="176">
        <f t="shared" si="199"/>
        <v>125</v>
      </c>
      <c r="AA144" s="176">
        <f t="shared" si="199"/>
        <v>125</v>
      </c>
      <c r="AB144" s="176">
        <f t="shared" si="199"/>
        <v>125</v>
      </c>
      <c r="AC144" s="176">
        <f t="shared" si="199"/>
        <v>125</v>
      </c>
      <c r="AD144" s="176">
        <f t="shared" si="199"/>
        <v>132.32813887887716</v>
      </c>
      <c r="AE144" s="176">
        <f t="shared" si="199"/>
        <v>140.35217125229579</v>
      </c>
      <c r="AF144" s="176">
        <f t="shared" si="199"/>
        <v>148.58033287540599</v>
      </c>
      <c r="AG144" s="176">
        <f t="shared" si="199"/>
        <v>157.58985580187016</v>
      </c>
      <c r="AH144" s="176">
        <f t="shared" si="199"/>
        <v>167.14569264345087</v>
      </c>
      <c r="AI144" s="176">
        <f t="shared" si="199"/>
        <v>176.94462743302944</v>
      </c>
      <c r="AJ144" s="176">
        <f t="shared" si="199"/>
        <v>187.67408702381772</v>
      </c>
      <c r="AK144" s="176">
        <f t="shared" si="199"/>
        <v>198.67650121323382</v>
      </c>
      <c r="AL144" s="176">
        <f t="shared" si="199"/>
        <v>210.72372481268107</v>
      </c>
      <c r="AM144" s="176">
        <f t="shared" si="199"/>
        <v>223.50146055407157</v>
      </c>
      <c r="AN144" s="176">
        <f t="shared" si="199"/>
        <v>235.70732411578683</v>
      </c>
      <c r="AO144" s="176">
        <f t="shared" si="199"/>
        <v>250.00000000000011</v>
      </c>
      <c r="AP144" s="176">
        <f t="shared" si="199"/>
        <v>250.00000000000011</v>
      </c>
      <c r="AQ144" s="176">
        <f t="shared" si="199"/>
        <v>250.00000000000011</v>
      </c>
      <c r="AR144" s="176">
        <f t="shared" si="199"/>
        <v>250.00000000000011</v>
      </c>
      <c r="AS144" s="176">
        <f t="shared" si="199"/>
        <v>250.00000000000011</v>
      </c>
      <c r="AT144" s="176">
        <f t="shared" si="199"/>
        <v>250.00000000000011</v>
      </c>
      <c r="AU144" s="176">
        <f t="shared" si="199"/>
        <v>250.00000000000011</v>
      </c>
      <c r="AV144" s="176">
        <f t="shared" si="199"/>
        <v>250.00000000000011</v>
      </c>
      <c r="AW144" s="176">
        <f t="shared" si="199"/>
        <v>250.00000000000011</v>
      </c>
      <c r="AX144" s="176">
        <f t="shared" si="199"/>
        <v>250.00000000000011</v>
      </c>
      <c r="AY144" s="176">
        <f t="shared" si="199"/>
        <v>250.00000000000011</v>
      </c>
      <c r="AZ144" s="176">
        <f t="shared" si="199"/>
        <v>250.00000000000011</v>
      </c>
      <c r="BA144" s="176">
        <f t="shared" si="199"/>
        <v>250.00000000000011</v>
      </c>
      <c r="BB144" s="176">
        <f t="shared" si="199"/>
        <v>250.00000000000011</v>
      </c>
      <c r="BC144" s="176">
        <f t="shared" si="199"/>
        <v>250.00000000000011</v>
      </c>
      <c r="BD144" s="176">
        <f t="shared" si="199"/>
        <v>250.00000000000011</v>
      </c>
      <c r="BE144" s="176">
        <f t="shared" si="199"/>
        <v>250.00000000000011</v>
      </c>
      <c r="BF144" s="176">
        <f t="shared" si="199"/>
        <v>250.00000000000011</v>
      </c>
      <c r="BG144" s="176">
        <f t="shared" si="199"/>
        <v>250.00000000000011</v>
      </c>
      <c r="BH144" s="176">
        <f t="shared" si="199"/>
        <v>250.00000000000011</v>
      </c>
      <c r="BI144" s="176">
        <f t="shared" si="199"/>
        <v>250.00000000000011</v>
      </c>
      <c r="BJ144" s="176">
        <f t="shared" si="199"/>
        <v>250.00000000000011</v>
      </c>
      <c r="BK144" s="176">
        <f t="shared" si="199"/>
        <v>250.00000000000011</v>
      </c>
      <c r="BL144" s="176">
        <f t="shared" si="199"/>
        <v>250.00000000000011</v>
      </c>
      <c r="BM144" s="176">
        <f t="shared" si="199"/>
        <v>250.00000000000011</v>
      </c>
      <c r="BN144" s="176">
        <f t="shared" si="199"/>
        <v>250.00000000000011</v>
      </c>
      <c r="BO144" s="176">
        <f t="shared" si="199"/>
        <v>250.00000000000011</v>
      </c>
      <c r="BP144" s="176">
        <f t="shared" si="199"/>
        <v>250.00000000000011</v>
      </c>
      <c r="BQ144" s="176">
        <f t="shared" si="199"/>
        <v>250.00000000000011</v>
      </c>
      <c r="BR144" s="176">
        <f t="shared" si="199"/>
        <v>250.00000000000011</v>
      </c>
      <c r="BS144" s="176">
        <f t="shared" ref="BS144:CK144" si="200">BS83*BS124</f>
        <v>250.00000000000011</v>
      </c>
      <c r="BT144" s="176">
        <f t="shared" si="200"/>
        <v>250.00000000000011</v>
      </c>
      <c r="BU144" s="176">
        <f t="shared" si="200"/>
        <v>250.00000000000011</v>
      </c>
      <c r="BV144" s="176">
        <f t="shared" si="200"/>
        <v>250.00000000000011</v>
      </c>
      <c r="BW144" s="176">
        <f t="shared" si="200"/>
        <v>250.00000000000011</v>
      </c>
      <c r="BX144" s="176">
        <f t="shared" si="200"/>
        <v>250.00000000000011</v>
      </c>
      <c r="BY144" s="176">
        <f t="shared" si="200"/>
        <v>250.00000000000011</v>
      </c>
      <c r="BZ144" s="176">
        <f t="shared" si="200"/>
        <v>250.00000000000011</v>
      </c>
      <c r="CA144" s="176">
        <f t="shared" si="200"/>
        <v>250.00000000000011</v>
      </c>
      <c r="CB144" s="176">
        <f t="shared" si="200"/>
        <v>250.00000000000011</v>
      </c>
      <c r="CC144" s="176">
        <f t="shared" si="200"/>
        <v>250.00000000000011</v>
      </c>
      <c r="CD144" s="176">
        <f t="shared" si="200"/>
        <v>250.00000000000011</v>
      </c>
      <c r="CE144" s="176">
        <f t="shared" si="200"/>
        <v>250.00000000000011</v>
      </c>
      <c r="CF144" s="176">
        <f t="shared" si="200"/>
        <v>250.00000000000011</v>
      </c>
      <c r="CG144" s="176">
        <f t="shared" si="200"/>
        <v>250.00000000000011</v>
      </c>
      <c r="CH144" s="176">
        <f t="shared" si="200"/>
        <v>250.00000000000011</v>
      </c>
      <c r="CI144" s="176">
        <f t="shared" si="200"/>
        <v>250.00000000000011</v>
      </c>
      <c r="CJ144" s="176">
        <f t="shared" si="200"/>
        <v>250.00000000000011</v>
      </c>
      <c r="CK144" s="176">
        <f t="shared" si="200"/>
        <v>250.00000000000011</v>
      </c>
    </row>
    <row r="145" spans="2:89">
      <c r="B145" s="86" t="str">
        <v>Реализация с/х продукции</v>
      </c>
      <c r="C145" s="46"/>
      <c r="D145" s="47">
        <f t="shared" si="184"/>
        <v>269.69062701422075</v>
      </c>
      <c r="E145" s="48"/>
      <c r="F145" s="176">
        <f>F84*F128</f>
        <v>0</v>
      </c>
      <c r="G145" s="176">
        <f t="shared" ref="G145:BR145" si="201">G84*G128</f>
        <v>0</v>
      </c>
      <c r="H145" s="176">
        <f t="shared" si="201"/>
        <v>0</v>
      </c>
      <c r="I145" s="176">
        <f t="shared" si="201"/>
        <v>0</v>
      </c>
      <c r="J145" s="176">
        <f t="shared" si="201"/>
        <v>0</v>
      </c>
      <c r="K145" s="176">
        <f t="shared" si="201"/>
        <v>0</v>
      </c>
      <c r="L145" s="176">
        <f t="shared" si="201"/>
        <v>0</v>
      </c>
      <c r="M145" s="176">
        <f t="shared" si="201"/>
        <v>0</v>
      </c>
      <c r="N145" s="176">
        <f t="shared" si="201"/>
        <v>0</v>
      </c>
      <c r="O145" s="176">
        <f t="shared" si="201"/>
        <v>0</v>
      </c>
      <c r="P145" s="176">
        <f t="shared" si="201"/>
        <v>0</v>
      </c>
      <c r="Q145" s="176">
        <f t="shared" si="201"/>
        <v>0</v>
      </c>
      <c r="R145" s="176">
        <f t="shared" si="201"/>
        <v>3</v>
      </c>
      <c r="S145" s="176">
        <f t="shared" si="201"/>
        <v>3</v>
      </c>
      <c r="T145" s="176">
        <f t="shared" si="201"/>
        <v>3</v>
      </c>
      <c r="U145" s="176">
        <f t="shared" si="201"/>
        <v>3</v>
      </c>
      <c r="V145" s="176">
        <f t="shared" si="201"/>
        <v>3</v>
      </c>
      <c r="W145" s="176">
        <f t="shared" si="201"/>
        <v>3</v>
      </c>
      <c r="X145" s="176">
        <f t="shared" si="201"/>
        <v>3</v>
      </c>
      <c r="Y145" s="176">
        <f t="shared" si="201"/>
        <v>3</v>
      </c>
      <c r="Z145" s="176">
        <f t="shared" si="201"/>
        <v>3</v>
      </c>
      <c r="AA145" s="176">
        <f t="shared" si="201"/>
        <v>3</v>
      </c>
      <c r="AB145" s="176">
        <f t="shared" si="201"/>
        <v>3</v>
      </c>
      <c r="AC145" s="176">
        <f t="shared" si="201"/>
        <v>3</v>
      </c>
      <c r="AD145" s="176">
        <f t="shared" si="201"/>
        <v>3.0711486778474919</v>
      </c>
      <c r="AE145" s="176">
        <f t="shared" si="201"/>
        <v>3.1464421272218832</v>
      </c>
      <c r="AF145" s="176">
        <f t="shared" si="201"/>
        <v>3.2210638596470451</v>
      </c>
      <c r="AG145" s="176">
        <f t="shared" si="201"/>
        <v>3.3000326866521905</v>
      </c>
      <c r="AH145" s="176">
        <f t="shared" si="201"/>
        <v>3.3809375434631064</v>
      </c>
      <c r="AI145" s="176">
        <f t="shared" si="201"/>
        <v>3.4611206221638886</v>
      </c>
      <c r="AJ145" s="176">
        <f t="shared" si="201"/>
        <v>3.5459747720861285</v>
      </c>
      <c r="AK145" s="176">
        <f t="shared" si="201"/>
        <v>3.6300719109909578</v>
      </c>
      <c r="AL145" s="176">
        <f t="shared" si="201"/>
        <v>3.7190681349859371</v>
      </c>
      <c r="AM145" s="176">
        <f t="shared" si="201"/>
        <v>3.8102462242661148</v>
      </c>
      <c r="AN145" s="176">
        <f t="shared" si="201"/>
        <v>3.8945204548958046</v>
      </c>
      <c r="AO145" s="176">
        <f t="shared" si="201"/>
        <v>3.99</v>
      </c>
      <c r="AP145" s="176">
        <f t="shared" si="201"/>
        <v>3.99</v>
      </c>
      <c r="AQ145" s="176">
        <f t="shared" si="201"/>
        <v>3.99</v>
      </c>
      <c r="AR145" s="176">
        <f t="shared" si="201"/>
        <v>3.99</v>
      </c>
      <c r="AS145" s="176">
        <f t="shared" si="201"/>
        <v>3.99</v>
      </c>
      <c r="AT145" s="176">
        <f t="shared" si="201"/>
        <v>3.99</v>
      </c>
      <c r="AU145" s="176">
        <f t="shared" si="201"/>
        <v>3.99</v>
      </c>
      <c r="AV145" s="176">
        <f t="shared" si="201"/>
        <v>3.99</v>
      </c>
      <c r="AW145" s="176">
        <f t="shared" si="201"/>
        <v>3.99</v>
      </c>
      <c r="AX145" s="176">
        <f t="shared" si="201"/>
        <v>3.99</v>
      </c>
      <c r="AY145" s="176">
        <f t="shared" si="201"/>
        <v>3.99</v>
      </c>
      <c r="AZ145" s="176">
        <f t="shared" si="201"/>
        <v>3.99</v>
      </c>
      <c r="BA145" s="176">
        <f t="shared" si="201"/>
        <v>3.99</v>
      </c>
      <c r="BB145" s="176">
        <f t="shared" si="201"/>
        <v>3.99</v>
      </c>
      <c r="BC145" s="176">
        <f t="shared" si="201"/>
        <v>3.99</v>
      </c>
      <c r="BD145" s="176">
        <f t="shared" si="201"/>
        <v>3.99</v>
      </c>
      <c r="BE145" s="176">
        <f t="shared" si="201"/>
        <v>3.99</v>
      </c>
      <c r="BF145" s="176">
        <f t="shared" si="201"/>
        <v>3.99</v>
      </c>
      <c r="BG145" s="176">
        <f t="shared" si="201"/>
        <v>3.99</v>
      </c>
      <c r="BH145" s="176">
        <f t="shared" si="201"/>
        <v>3.99</v>
      </c>
      <c r="BI145" s="176">
        <f t="shared" si="201"/>
        <v>3.99</v>
      </c>
      <c r="BJ145" s="176">
        <f t="shared" si="201"/>
        <v>3.99</v>
      </c>
      <c r="BK145" s="176">
        <f t="shared" si="201"/>
        <v>3.99</v>
      </c>
      <c r="BL145" s="176">
        <f t="shared" si="201"/>
        <v>3.99</v>
      </c>
      <c r="BM145" s="176">
        <f t="shared" si="201"/>
        <v>3.99</v>
      </c>
      <c r="BN145" s="176">
        <f t="shared" si="201"/>
        <v>3.99</v>
      </c>
      <c r="BO145" s="176">
        <f t="shared" si="201"/>
        <v>3.99</v>
      </c>
      <c r="BP145" s="176">
        <f t="shared" si="201"/>
        <v>3.99</v>
      </c>
      <c r="BQ145" s="176">
        <f t="shared" si="201"/>
        <v>3.99</v>
      </c>
      <c r="BR145" s="176">
        <f t="shared" si="201"/>
        <v>3.99</v>
      </c>
      <c r="BS145" s="176">
        <f t="shared" ref="BS145:CK145" si="202">BS84*BS128</f>
        <v>3.99</v>
      </c>
      <c r="BT145" s="176">
        <f t="shared" si="202"/>
        <v>3.99</v>
      </c>
      <c r="BU145" s="176">
        <f t="shared" si="202"/>
        <v>3.99</v>
      </c>
      <c r="BV145" s="176">
        <f t="shared" si="202"/>
        <v>3.99</v>
      </c>
      <c r="BW145" s="176">
        <f t="shared" si="202"/>
        <v>3.99</v>
      </c>
      <c r="BX145" s="176">
        <f t="shared" si="202"/>
        <v>3.99</v>
      </c>
      <c r="BY145" s="176">
        <f t="shared" si="202"/>
        <v>3.99</v>
      </c>
      <c r="BZ145" s="176">
        <f t="shared" si="202"/>
        <v>3.99</v>
      </c>
      <c r="CA145" s="176">
        <f t="shared" si="202"/>
        <v>3.99</v>
      </c>
      <c r="CB145" s="176">
        <f t="shared" si="202"/>
        <v>3.99</v>
      </c>
      <c r="CC145" s="176">
        <f t="shared" si="202"/>
        <v>3.99</v>
      </c>
      <c r="CD145" s="176">
        <f t="shared" si="202"/>
        <v>3.99</v>
      </c>
      <c r="CE145" s="176">
        <f t="shared" si="202"/>
        <v>3.99</v>
      </c>
      <c r="CF145" s="176">
        <f t="shared" si="202"/>
        <v>3.99</v>
      </c>
      <c r="CG145" s="176">
        <f t="shared" si="202"/>
        <v>3.99</v>
      </c>
      <c r="CH145" s="176">
        <f t="shared" si="202"/>
        <v>3.99</v>
      </c>
      <c r="CI145" s="176">
        <f t="shared" si="202"/>
        <v>3.99</v>
      </c>
      <c r="CJ145" s="176">
        <f t="shared" si="202"/>
        <v>3.99</v>
      </c>
      <c r="CK145" s="176">
        <f t="shared" si="202"/>
        <v>3.99</v>
      </c>
    </row>
    <row r="146" spans="2:89" ht="15.75" thickBot="1">
      <c r="B146" s="86" t="str">
        <v>Форель</v>
      </c>
      <c r="C146" s="46"/>
      <c r="D146" s="47">
        <f t="shared" si="184"/>
        <v>4015.4171490081039</v>
      </c>
      <c r="E146" s="48"/>
      <c r="F146" s="176">
        <f>F85*F132</f>
        <v>0</v>
      </c>
      <c r="G146" s="176">
        <f t="shared" ref="G146:BR146" si="203">G85*G132</f>
        <v>0</v>
      </c>
      <c r="H146" s="176">
        <f t="shared" si="203"/>
        <v>0</v>
      </c>
      <c r="I146" s="176">
        <f t="shared" si="203"/>
        <v>0</v>
      </c>
      <c r="J146" s="176">
        <f t="shared" si="203"/>
        <v>0</v>
      </c>
      <c r="K146" s="176">
        <f t="shared" si="203"/>
        <v>0</v>
      </c>
      <c r="L146" s="176">
        <f t="shared" si="203"/>
        <v>0</v>
      </c>
      <c r="M146" s="176">
        <f t="shared" si="203"/>
        <v>0</v>
      </c>
      <c r="N146" s="176">
        <f t="shared" si="203"/>
        <v>0</v>
      </c>
      <c r="O146" s="176">
        <f t="shared" si="203"/>
        <v>0</v>
      </c>
      <c r="P146" s="176">
        <f t="shared" si="203"/>
        <v>0</v>
      </c>
      <c r="Q146" s="176">
        <f t="shared" si="203"/>
        <v>0</v>
      </c>
      <c r="R146" s="176">
        <f t="shared" si="203"/>
        <v>0</v>
      </c>
      <c r="S146" s="176">
        <f t="shared" si="203"/>
        <v>0</v>
      </c>
      <c r="T146" s="176">
        <f t="shared" si="203"/>
        <v>0</v>
      </c>
      <c r="U146" s="176">
        <f t="shared" si="203"/>
        <v>0</v>
      </c>
      <c r="V146" s="176">
        <f t="shared" si="203"/>
        <v>0</v>
      </c>
      <c r="W146" s="176">
        <f t="shared" si="203"/>
        <v>0</v>
      </c>
      <c r="X146" s="176">
        <f t="shared" si="203"/>
        <v>0</v>
      </c>
      <c r="Y146" s="176">
        <f t="shared" si="203"/>
        <v>0</v>
      </c>
      <c r="Z146" s="176">
        <f t="shared" si="203"/>
        <v>0</v>
      </c>
      <c r="AA146" s="176">
        <f t="shared" si="203"/>
        <v>0</v>
      </c>
      <c r="AB146" s="176">
        <f t="shared" si="203"/>
        <v>0</v>
      </c>
      <c r="AC146" s="176">
        <f t="shared" si="203"/>
        <v>0</v>
      </c>
      <c r="AD146" s="176">
        <f t="shared" si="203"/>
        <v>7.1908173124963373</v>
      </c>
      <c r="AE146" s="176">
        <f t="shared" si="203"/>
        <v>8.4664398715775739</v>
      </c>
      <c r="AF146" s="176">
        <f t="shared" si="203"/>
        <v>9.9159785002382712</v>
      </c>
      <c r="AG146" s="176">
        <f t="shared" si="203"/>
        <v>11.675033878864943</v>
      </c>
      <c r="AH146" s="176">
        <f t="shared" si="203"/>
        <v>13.746138726437223</v>
      </c>
      <c r="AI146" s="176">
        <f t="shared" si="203"/>
        <v>16.099614258200109</v>
      </c>
      <c r="AJ146" s="176">
        <f t="shared" si="203"/>
        <v>18.955622170482396</v>
      </c>
      <c r="AK146" s="176">
        <f t="shared" si="203"/>
        <v>22.201013029354879</v>
      </c>
      <c r="AL146" s="176">
        <f t="shared" si="203"/>
        <v>26.139384958994413</v>
      </c>
      <c r="AM146" s="176">
        <f t="shared" si="203"/>
        <v>30.776408496813435</v>
      </c>
      <c r="AN146" s="176">
        <f t="shared" si="203"/>
        <v>35.66785857431104</v>
      </c>
      <c r="AO146" s="176">
        <f t="shared" si="203"/>
        <v>41.995195656347846</v>
      </c>
      <c r="AP146" s="176">
        <f t="shared" si="203"/>
        <v>44.45716866447053</v>
      </c>
      <c r="AQ146" s="176">
        <f t="shared" si="203"/>
        <v>47.152935140267218</v>
      </c>
      <c r="AR146" s="176">
        <f t="shared" si="203"/>
        <v>49.917281198303733</v>
      </c>
      <c r="AS146" s="176">
        <f t="shared" si="203"/>
        <v>52.944134622841446</v>
      </c>
      <c r="AT146" s="176">
        <f t="shared" si="203"/>
        <v>56.154528525419998</v>
      </c>
      <c r="AU146" s="176">
        <f t="shared" si="203"/>
        <v>59.446593995117162</v>
      </c>
      <c r="AV146" s="176">
        <f t="shared" si="203"/>
        <v>63.051280033533416</v>
      </c>
      <c r="AW146" s="176">
        <f t="shared" si="203"/>
        <v>66.747668326147064</v>
      </c>
      <c r="AX146" s="176">
        <f t="shared" si="203"/>
        <v>70.79507242354353</v>
      </c>
      <c r="AY146" s="176">
        <f t="shared" si="203"/>
        <v>75.087900523581951</v>
      </c>
      <c r="AZ146" s="176">
        <f t="shared" si="203"/>
        <v>79.188601551013292</v>
      </c>
      <c r="BA146" s="176">
        <f t="shared" si="203"/>
        <v>83.990391312695706</v>
      </c>
      <c r="BB146" s="176">
        <f t="shared" si="203"/>
        <v>83.990391312695706</v>
      </c>
      <c r="BC146" s="176">
        <f t="shared" si="203"/>
        <v>83.990391312695706</v>
      </c>
      <c r="BD146" s="176">
        <f t="shared" si="203"/>
        <v>83.990391312695706</v>
      </c>
      <c r="BE146" s="176">
        <f t="shared" si="203"/>
        <v>83.990391312695706</v>
      </c>
      <c r="BF146" s="176">
        <f t="shared" si="203"/>
        <v>83.990391312695706</v>
      </c>
      <c r="BG146" s="176">
        <f t="shared" si="203"/>
        <v>83.990391312695706</v>
      </c>
      <c r="BH146" s="176">
        <f t="shared" si="203"/>
        <v>83.990391312695706</v>
      </c>
      <c r="BI146" s="176">
        <f t="shared" si="203"/>
        <v>83.990391312695706</v>
      </c>
      <c r="BJ146" s="176">
        <f t="shared" si="203"/>
        <v>83.990391312695706</v>
      </c>
      <c r="BK146" s="176">
        <f t="shared" si="203"/>
        <v>83.990391312695706</v>
      </c>
      <c r="BL146" s="176">
        <f t="shared" si="203"/>
        <v>83.990391312695706</v>
      </c>
      <c r="BM146" s="176">
        <f t="shared" si="203"/>
        <v>83.990391312695706</v>
      </c>
      <c r="BN146" s="176">
        <f t="shared" si="203"/>
        <v>83.990391312695706</v>
      </c>
      <c r="BO146" s="176">
        <f t="shared" si="203"/>
        <v>83.990391312695706</v>
      </c>
      <c r="BP146" s="176">
        <f t="shared" si="203"/>
        <v>83.990391312695706</v>
      </c>
      <c r="BQ146" s="176">
        <f t="shared" si="203"/>
        <v>83.990391312695706</v>
      </c>
      <c r="BR146" s="176">
        <f t="shared" si="203"/>
        <v>83.990391312695706</v>
      </c>
      <c r="BS146" s="176">
        <f t="shared" ref="BS146:CK146" si="204">BS85*BS132</f>
        <v>83.990391312695706</v>
      </c>
      <c r="BT146" s="176">
        <f t="shared" si="204"/>
        <v>83.990391312695706</v>
      </c>
      <c r="BU146" s="176">
        <f t="shared" si="204"/>
        <v>83.990391312695706</v>
      </c>
      <c r="BV146" s="176">
        <f t="shared" si="204"/>
        <v>83.990391312695706</v>
      </c>
      <c r="BW146" s="176">
        <f t="shared" si="204"/>
        <v>83.990391312695706</v>
      </c>
      <c r="BX146" s="176">
        <f t="shared" si="204"/>
        <v>83.990391312695706</v>
      </c>
      <c r="BY146" s="176">
        <f t="shared" si="204"/>
        <v>83.990391312695706</v>
      </c>
      <c r="BZ146" s="176">
        <f t="shared" si="204"/>
        <v>83.990391312695706</v>
      </c>
      <c r="CA146" s="176">
        <f t="shared" si="204"/>
        <v>83.990391312695706</v>
      </c>
      <c r="CB146" s="176">
        <f t="shared" si="204"/>
        <v>83.990391312695706</v>
      </c>
      <c r="CC146" s="176">
        <f t="shared" si="204"/>
        <v>83.990391312695706</v>
      </c>
      <c r="CD146" s="176">
        <f t="shared" si="204"/>
        <v>83.990391312695706</v>
      </c>
      <c r="CE146" s="176">
        <f t="shared" si="204"/>
        <v>83.990391312695706</v>
      </c>
      <c r="CF146" s="176">
        <f t="shared" si="204"/>
        <v>83.990391312695706</v>
      </c>
      <c r="CG146" s="176">
        <f t="shared" si="204"/>
        <v>83.990391312695706</v>
      </c>
      <c r="CH146" s="176">
        <f t="shared" si="204"/>
        <v>83.990391312695706</v>
      </c>
      <c r="CI146" s="176">
        <f t="shared" si="204"/>
        <v>83.990391312695706</v>
      </c>
      <c r="CJ146" s="176">
        <f t="shared" si="204"/>
        <v>83.990391312695706</v>
      </c>
      <c r="CK146" s="176">
        <f t="shared" si="204"/>
        <v>83.990391312695706</v>
      </c>
    </row>
    <row r="147" spans="2:89" ht="15.75" thickTop="1">
      <c r="B147" s="50" t="s">
        <v>50</v>
      </c>
      <c r="C147" s="51"/>
      <c r="D147" s="52">
        <f>SUM(D136:D146)</f>
        <v>92944.936850809623</v>
      </c>
      <c r="E147" s="53"/>
      <c r="F147" s="54">
        <f>SUM(F136:F146)</f>
        <v>0</v>
      </c>
      <c r="G147" s="54">
        <f t="shared" ref="G147:BM147" si="205">SUM(G136:G146)</f>
        <v>0</v>
      </c>
      <c r="H147" s="54">
        <f t="shared" si="205"/>
        <v>0</v>
      </c>
      <c r="I147" s="54">
        <f t="shared" si="205"/>
        <v>0</v>
      </c>
      <c r="J147" s="54">
        <f t="shared" si="205"/>
        <v>0</v>
      </c>
      <c r="K147" s="54">
        <f t="shared" si="205"/>
        <v>0</v>
      </c>
      <c r="L147" s="54">
        <f t="shared" si="205"/>
        <v>0</v>
      </c>
      <c r="M147" s="54">
        <f t="shared" si="205"/>
        <v>0</v>
      </c>
      <c r="N147" s="54">
        <f t="shared" si="205"/>
        <v>0</v>
      </c>
      <c r="O147" s="54">
        <f t="shared" si="205"/>
        <v>0</v>
      </c>
      <c r="P147" s="54">
        <f t="shared" si="205"/>
        <v>0</v>
      </c>
      <c r="Q147" s="54">
        <f t="shared" si="205"/>
        <v>0</v>
      </c>
      <c r="R147" s="54">
        <f t="shared" si="205"/>
        <v>966</v>
      </c>
      <c r="S147" s="54">
        <f t="shared" si="205"/>
        <v>966</v>
      </c>
      <c r="T147" s="54">
        <f t="shared" si="205"/>
        <v>966</v>
      </c>
      <c r="U147" s="54">
        <f t="shared" si="205"/>
        <v>966</v>
      </c>
      <c r="V147" s="54">
        <f t="shared" si="205"/>
        <v>966</v>
      </c>
      <c r="W147" s="54">
        <f t="shared" si="205"/>
        <v>966</v>
      </c>
      <c r="X147" s="54">
        <f t="shared" si="205"/>
        <v>966</v>
      </c>
      <c r="Y147" s="54">
        <f t="shared" si="205"/>
        <v>966</v>
      </c>
      <c r="Z147" s="54">
        <f t="shared" si="205"/>
        <v>966</v>
      </c>
      <c r="AA147" s="54">
        <f t="shared" si="205"/>
        <v>966</v>
      </c>
      <c r="AB147" s="54">
        <f t="shared" si="205"/>
        <v>966</v>
      </c>
      <c r="AC147" s="54">
        <f t="shared" si="205"/>
        <v>966</v>
      </c>
      <c r="AD147" s="54">
        <f t="shared" si="205"/>
        <v>997.1641380413721</v>
      </c>
      <c r="AE147" s="54">
        <f t="shared" si="205"/>
        <v>1023.5407640815868</v>
      </c>
      <c r="AF147" s="54">
        <f t="shared" si="205"/>
        <v>1050.2340550416791</v>
      </c>
      <c r="AG147" s="54">
        <f t="shared" si="205"/>
        <v>1079.1181598285575</v>
      </c>
      <c r="AH147" s="54">
        <f t="shared" si="205"/>
        <v>1109.4318029106803</v>
      </c>
      <c r="AI147" s="54">
        <f t="shared" si="205"/>
        <v>1140.242635498427</v>
      </c>
      <c r="AJ147" s="54">
        <f t="shared" si="205"/>
        <v>1173.7366348089458</v>
      </c>
      <c r="AK147" s="54">
        <f t="shared" si="205"/>
        <v>1207.8946192681797</v>
      </c>
      <c r="AL147" s="54">
        <f t="shared" si="205"/>
        <v>1245.1603735461827</v>
      </c>
      <c r="AM147" s="54">
        <f t="shared" si="205"/>
        <v>1284.6187430806426</v>
      </c>
      <c r="AN147" s="54">
        <f t="shared" si="205"/>
        <v>1322.3245057434074</v>
      </c>
      <c r="AO147" s="54">
        <f t="shared" si="205"/>
        <v>1366.5847380998102</v>
      </c>
      <c r="AP147" s="54">
        <f t="shared" si="205"/>
        <v>1369.0467111079329</v>
      </c>
      <c r="AQ147" s="54">
        <f t="shared" si="205"/>
        <v>1371.7424775837294</v>
      </c>
      <c r="AR147" s="54">
        <f t="shared" si="205"/>
        <v>1374.506823641766</v>
      </c>
      <c r="AS147" s="54">
        <f t="shared" si="205"/>
        <v>1377.5336770663037</v>
      </c>
      <c r="AT147" s="54">
        <f t="shared" si="205"/>
        <v>1380.7440709688822</v>
      </c>
      <c r="AU147" s="54">
        <f t="shared" si="205"/>
        <v>1384.0361364385794</v>
      </c>
      <c r="AV147" s="54">
        <f t="shared" si="205"/>
        <v>1387.6408224769957</v>
      </c>
      <c r="AW147" s="54">
        <f t="shared" si="205"/>
        <v>1391.3372107696093</v>
      </c>
      <c r="AX147" s="54">
        <f t="shared" si="205"/>
        <v>1395.3846148670059</v>
      </c>
      <c r="AY147" s="54">
        <f t="shared" si="205"/>
        <v>1399.6774429670443</v>
      </c>
      <c r="AZ147" s="54">
        <f t="shared" si="205"/>
        <v>1403.7781439944756</v>
      </c>
      <c r="BA147" s="54">
        <f t="shared" si="205"/>
        <v>1408.579933756158</v>
      </c>
      <c r="BB147" s="54">
        <f t="shared" si="205"/>
        <v>1408.579933756158</v>
      </c>
      <c r="BC147" s="54">
        <f t="shared" si="205"/>
        <v>1408.579933756158</v>
      </c>
      <c r="BD147" s="54">
        <f t="shared" si="205"/>
        <v>1408.579933756158</v>
      </c>
      <c r="BE147" s="54">
        <f t="shared" si="205"/>
        <v>1408.579933756158</v>
      </c>
      <c r="BF147" s="54">
        <f t="shared" si="205"/>
        <v>1408.579933756158</v>
      </c>
      <c r="BG147" s="54">
        <f t="shared" si="205"/>
        <v>1408.579933756158</v>
      </c>
      <c r="BH147" s="54">
        <f t="shared" si="205"/>
        <v>1408.579933756158</v>
      </c>
      <c r="BI147" s="54">
        <f t="shared" si="205"/>
        <v>1408.579933756158</v>
      </c>
      <c r="BJ147" s="54">
        <f t="shared" si="205"/>
        <v>1408.579933756158</v>
      </c>
      <c r="BK147" s="54">
        <f t="shared" si="205"/>
        <v>1408.579933756158</v>
      </c>
      <c r="BL147" s="54">
        <f t="shared" si="205"/>
        <v>1408.579933756158</v>
      </c>
      <c r="BM147" s="54">
        <f t="shared" si="205"/>
        <v>1408.579933756158</v>
      </c>
      <c r="BN147" s="54">
        <f t="shared" ref="BN147:CK147" si="206">SUM(BN136:BN146)</f>
        <v>1408.579933756158</v>
      </c>
      <c r="BO147" s="54">
        <f t="shared" si="206"/>
        <v>1408.579933756158</v>
      </c>
      <c r="BP147" s="54">
        <f t="shared" si="206"/>
        <v>1408.579933756158</v>
      </c>
      <c r="BQ147" s="54">
        <f t="shared" si="206"/>
        <v>1408.579933756158</v>
      </c>
      <c r="BR147" s="54">
        <f t="shared" si="206"/>
        <v>1408.579933756158</v>
      </c>
      <c r="BS147" s="54">
        <f t="shared" si="206"/>
        <v>1408.579933756158</v>
      </c>
      <c r="BT147" s="54">
        <f t="shared" si="206"/>
        <v>1408.579933756158</v>
      </c>
      <c r="BU147" s="54">
        <f t="shared" si="206"/>
        <v>1408.579933756158</v>
      </c>
      <c r="BV147" s="54">
        <f t="shared" si="206"/>
        <v>1408.579933756158</v>
      </c>
      <c r="BW147" s="54">
        <f t="shared" si="206"/>
        <v>1408.579933756158</v>
      </c>
      <c r="BX147" s="54">
        <f t="shared" si="206"/>
        <v>1408.579933756158</v>
      </c>
      <c r="BY147" s="54">
        <f t="shared" si="206"/>
        <v>1408.579933756158</v>
      </c>
      <c r="BZ147" s="54">
        <f t="shared" si="206"/>
        <v>1408.579933756158</v>
      </c>
      <c r="CA147" s="54">
        <f t="shared" si="206"/>
        <v>1408.579933756158</v>
      </c>
      <c r="CB147" s="54">
        <f t="shared" si="206"/>
        <v>1408.579933756158</v>
      </c>
      <c r="CC147" s="54">
        <f t="shared" si="206"/>
        <v>1408.579933756158</v>
      </c>
      <c r="CD147" s="54">
        <f t="shared" si="206"/>
        <v>1408.579933756158</v>
      </c>
      <c r="CE147" s="54">
        <f t="shared" si="206"/>
        <v>1408.579933756158</v>
      </c>
      <c r="CF147" s="54">
        <f t="shared" si="206"/>
        <v>1408.579933756158</v>
      </c>
      <c r="CG147" s="54">
        <f t="shared" si="206"/>
        <v>1408.579933756158</v>
      </c>
      <c r="CH147" s="54">
        <f t="shared" si="206"/>
        <v>1408.579933756158</v>
      </c>
      <c r="CI147" s="54">
        <f t="shared" si="206"/>
        <v>1408.579933756158</v>
      </c>
      <c r="CJ147" s="54">
        <f t="shared" si="206"/>
        <v>1408.579933756158</v>
      </c>
      <c r="CK147" s="54">
        <f t="shared" si="206"/>
        <v>1408.579933756158</v>
      </c>
    </row>
    <row r="148" spans="2:89">
      <c r="B148" s="14"/>
      <c r="C148" s="14"/>
      <c r="D148" s="14"/>
      <c r="E148" s="1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</row>
    <row r="149" spans="2:89" ht="18" thickBot="1">
      <c r="B149" s="100" t="str">
        <f>"Выручка от продаж, в "&amp;Ед_измерения_денег&amp;" в т.ч. НДС"</f>
        <v>Выручка от продаж, в  руб. в т.ч. НДС</v>
      </c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4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</row>
    <row r="150" spans="2:89" ht="15.75" thickTop="1">
      <c r="B150" s="14"/>
      <c r="C150" s="14"/>
      <c r="D150" s="14"/>
      <c r="E150" s="1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</row>
    <row r="151" spans="2:89">
      <c r="B151" s="45" t="str">
        <f t="array" ref="B151:B161">Продажи_наименования</f>
        <v>БЛК</v>
      </c>
      <c r="C151" s="46"/>
      <c r="D151" s="47">
        <f>SUM(F151:CK151)</f>
        <v>3131325631.415998</v>
      </c>
      <c r="E151" s="48"/>
      <c r="F151" s="49">
        <f t="array" ref="F151:CK161">F136:CK146*F59:CK69</f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49">
        <v>0</v>
      </c>
      <c r="O151" s="49">
        <v>0</v>
      </c>
      <c r="P151" s="49">
        <v>0</v>
      </c>
      <c r="Q151" s="49">
        <v>0</v>
      </c>
      <c r="R151" s="49">
        <v>29652565.707957372</v>
      </c>
      <c r="S151" s="49">
        <v>29775358.488824967</v>
      </c>
      <c r="T151" s="49">
        <v>29894674.342006724</v>
      </c>
      <c r="U151" s="49">
        <v>30018469.707026388</v>
      </c>
      <c r="V151" s="49">
        <v>30142777.714941077</v>
      </c>
      <c r="W151" s="49">
        <v>30263565.890897918</v>
      </c>
      <c r="X151" s="49">
        <v>30388888.854560249</v>
      </c>
      <c r="Y151" s="49">
        <v>30510663.247378666</v>
      </c>
      <c r="Z151" s="49">
        <v>30637009.453746062</v>
      </c>
      <c r="AA151" s="49">
        <v>30764227.174272373</v>
      </c>
      <c r="AB151" s="49">
        <v>30879587.493650559</v>
      </c>
      <c r="AC151" s="49">
        <v>31007812.500000015</v>
      </c>
      <c r="AD151" s="49">
        <v>31890379.336524077</v>
      </c>
      <c r="AE151" s="49">
        <v>32828763.582413338</v>
      </c>
      <c r="AF151" s="49">
        <v>33763159.64862816</v>
      </c>
      <c r="AG151" s="49">
        <v>34756651.032703057</v>
      </c>
      <c r="AH151" s="49">
        <v>35779376.207113422</v>
      </c>
      <c r="AI151" s="49">
        <v>36797754.748712137</v>
      </c>
      <c r="AJ151" s="49">
        <v>37880540.029373266</v>
      </c>
      <c r="AK151" s="49">
        <v>38958723.418786734</v>
      </c>
      <c r="AL151" s="49">
        <v>40105095.868934289</v>
      </c>
      <c r="AM151" s="49">
        <v>41285200.681929864</v>
      </c>
      <c r="AN151" s="49">
        <v>42380920.532006383</v>
      </c>
      <c r="AO151" s="49">
        <v>43627992.187500037</v>
      </c>
      <c r="AP151" s="49">
        <v>43803298.26825092</v>
      </c>
      <c r="AQ151" s="49">
        <v>43985187.945362978</v>
      </c>
      <c r="AR151" s="49">
        <v>44161929.310783915</v>
      </c>
      <c r="AS151" s="49">
        <v>44345308.174489394</v>
      </c>
      <c r="AT151" s="49">
        <v>44529448.504194632</v>
      </c>
      <c r="AU151" s="49">
        <v>44708376.818422794</v>
      </c>
      <c r="AV151" s="49">
        <v>44894024.761504769</v>
      </c>
      <c r="AW151" s="49">
        <v>45074418.016739823</v>
      </c>
      <c r="AX151" s="49">
        <v>45261585.916491814</v>
      </c>
      <c r="AY151" s="49">
        <v>45449531.015911356</v>
      </c>
      <c r="AZ151" s="49">
        <v>45619958.58374472</v>
      </c>
      <c r="BA151" s="49">
        <v>45809391.796875089</v>
      </c>
      <c r="BB151" s="49">
        <v>45993463.181663521</v>
      </c>
      <c r="BC151" s="49">
        <v>46184447.342631184</v>
      </c>
      <c r="BD151" s="49">
        <v>46370025.776323169</v>
      </c>
      <c r="BE151" s="49">
        <v>46562573.583213925</v>
      </c>
      <c r="BF151" s="49">
        <v>46755920.929404423</v>
      </c>
      <c r="BG151" s="49">
        <v>46943795.65934398</v>
      </c>
      <c r="BH151" s="49">
        <v>47138725.999580055</v>
      </c>
      <c r="BI151" s="49">
        <v>47328138.917576857</v>
      </c>
      <c r="BJ151" s="49">
        <v>47524665.212316446</v>
      </c>
      <c r="BK151" s="49">
        <v>47721467.26508639</v>
      </c>
      <c r="BL151" s="49">
        <v>47906310.141170368</v>
      </c>
      <c r="BM151" s="49">
        <v>48104692.60497725</v>
      </c>
      <c r="BN151" s="49">
        <v>48297457.788387649</v>
      </c>
      <c r="BO151" s="49">
        <v>48497460.014470905</v>
      </c>
      <c r="BP151" s="49">
        <v>48691799.095928028</v>
      </c>
      <c r="BQ151" s="49">
        <v>48893434.309397295</v>
      </c>
      <c r="BR151" s="49">
        <v>49095904.504528061</v>
      </c>
      <c r="BS151" s="49">
        <v>49292641.673482262</v>
      </c>
      <c r="BT151" s="49">
        <v>49496765.006586373</v>
      </c>
      <c r="BU151" s="49">
        <v>49695108.504237778</v>
      </c>
      <c r="BV151" s="49">
        <v>49900898.472932279</v>
      </c>
      <c r="BW151" s="49">
        <v>50108107.945042327</v>
      </c>
      <c r="BX151" s="49">
        <v>50296004.338578612</v>
      </c>
      <c r="BY151" s="49">
        <v>50504854.456054851</v>
      </c>
      <c r="BZ151" s="49">
        <v>50707793.157784097</v>
      </c>
      <c r="CA151" s="49">
        <v>50918353.195250943</v>
      </c>
      <c r="CB151" s="49">
        <v>51122953.418396346</v>
      </c>
      <c r="CC151" s="49">
        <v>51335237.3754934</v>
      </c>
      <c r="CD151" s="49">
        <v>51548402.824668422</v>
      </c>
      <c r="CE151" s="49">
        <v>51755534.714426801</v>
      </c>
      <c r="CF151" s="49">
        <v>51970445.414537072</v>
      </c>
      <c r="CG151" s="49">
        <v>52179273.156628542</v>
      </c>
      <c r="CH151" s="49">
        <v>52395943.396578945</v>
      </c>
      <c r="CI151" s="49">
        <v>52613513.342294499</v>
      </c>
      <c r="CJ151" s="49">
        <v>52810804.5555076</v>
      </c>
      <c r="CK151" s="49">
        <v>53030097.178857639</v>
      </c>
    </row>
    <row r="152" spans="2:89">
      <c r="B152" s="86" t="str">
        <v>Зоогумус</v>
      </c>
      <c r="C152" s="46"/>
      <c r="D152" s="47">
        <f t="shared" ref="D152:D161" si="207">SUM(F152:CK152)</f>
        <v>1233714234.1672449</v>
      </c>
      <c r="E152" s="48"/>
      <c r="F152" s="176">
        <v>0</v>
      </c>
      <c r="G152" s="176">
        <v>0</v>
      </c>
      <c r="H152" s="176">
        <v>0</v>
      </c>
      <c r="I152" s="176">
        <v>0</v>
      </c>
      <c r="J152" s="176">
        <v>0</v>
      </c>
      <c r="K152" s="176">
        <v>0</v>
      </c>
      <c r="L152" s="176">
        <v>0</v>
      </c>
      <c r="M152" s="176">
        <v>0</v>
      </c>
      <c r="N152" s="176">
        <v>0</v>
      </c>
      <c r="O152" s="176">
        <v>0</v>
      </c>
      <c r="P152" s="176">
        <v>0</v>
      </c>
      <c r="Q152" s="176">
        <v>0</v>
      </c>
      <c r="R152" s="176">
        <v>12869213.517253498</v>
      </c>
      <c r="S152" s="176">
        <v>12922505.584150037</v>
      </c>
      <c r="T152" s="176">
        <v>12974288.66443092</v>
      </c>
      <c r="U152" s="176">
        <v>13028015.852849454</v>
      </c>
      <c r="V152" s="176">
        <v>13081965.528284429</v>
      </c>
      <c r="W152" s="176">
        <v>13134387.596649697</v>
      </c>
      <c r="X152" s="176">
        <v>13188777.762879146</v>
      </c>
      <c r="Y152" s="176">
        <v>13241627.849362342</v>
      </c>
      <c r="Z152" s="176">
        <v>13296462.10292579</v>
      </c>
      <c r="AA152" s="176">
        <v>13351674.593634209</v>
      </c>
      <c r="AB152" s="176">
        <v>13401740.972244343</v>
      </c>
      <c r="AC152" s="176">
        <v>13457390.625000006</v>
      </c>
      <c r="AD152" s="176">
        <v>13706033.352085305</v>
      </c>
      <c r="AE152" s="176">
        <v>13967791.40504124</v>
      </c>
      <c r="AF152" s="176">
        <v>14225864.447809003</v>
      </c>
      <c r="AG152" s="176">
        <v>14497550.243678382</v>
      </c>
      <c r="AH152" s="176">
        <v>14774424.699396724</v>
      </c>
      <c r="AI152" s="176">
        <v>15047401.33734539</v>
      </c>
      <c r="AJ152" s="176">
        <v>15334776.858397277</v>
      </c>
      <c r="AK152" s="176">
        <v>15618106.728471288</v>
      </c>
      <c r="AL152" s="176">
        <v>15916381.590576494</v>
      </c>
      <c r="AM152" s="176">
        <v>16220352.910959944</v>
      </c>
      <c r="AN152" s="176">
        <v>16499894.329558354</v>
      </c>
      <c r="AO152" s="176">
        <v>16815009.58593753</v>
      </c>
      <c r="AP152" s="176">
        <v>16882575.689269323</v>
      </c>
      <c r="AQ152" s="176">
        <v>16952679.228553869</v>
      </c>
      <c r="AR152" s="176">
        <v>17020798.516304087</v>
      </c>
      <c r="AS152" s="176">
        <v>17091476.014773738</v>
      </c>
      <c r="AT152" s="176">
        <v>17162446.995877896</v>
      </c>
      <c r="AU152" s="176">
        <v>17231409.172867652</v>
      </c>
      <c r="AV152" s="176">
        <v>17302961.215169232</v>
      </c>
      <c r="AW152" s="176">
        <v>17372488.006660797</v>
      </c>
      <c r="AX152" s="176">
        <v>17444625.867486104</v>
      </c>
      <c r="AY152" s="176">
        <v>17517063.274983283</v>
      </c>
      <c r="AZ152" s="176">
        <v>17582749.112060312</v>
      </c>
      <c r="BA152" s="176">
        <v>17655760.065234426</v>
      </c>
      <c r="BB152" s="176">
        <v>17726704.47373281</v>
      </c>
      <c r="BC152" s="176">
        <v>17800313.189981584</v>
      </c>
      <c r="BD152" s="176">
        <v>17871838.442119319</v>
      </c>
      <c r="BE152" s="176">
        <v>17946049.815512449</v>
      </c>
      <c r="BF152" s="176">
        <v>18020569.345671814</v>
      </c>
      <c r="BG152" s="176">
        <v>18092979.631511055</v>
      </c>
      <c r="BH152" s="176">
        <v>18168109.275927715</v>
      </c>
      <c r="BI152" s="176">
        <v>18241112.406993855</v>
      </c>
      <c r="BJ152" s="176">
        <v>18316857.16086043</v>
      </c>
      <c r="BK152" s="176">
        <v>18392708.196810853</v>
      </c>
      <c r="BL152" s="176">
        <v>18463949.951872293</v>
      </c>
      <c r="BM152" s="176">
        <v>18540410.106542215</v>
      </c>
      <c r="BN152" s="176">
        <v>18614705.260739334</v>
      </c>
      <c r="BO152" s="176">
        <v>18691789.700801246</v>
      </c>
      <c r="BP152" s="176">
        <v>18766691.463494785</v>
      </c>
      <c r="BQ152" s="176">
        <v>18844405.286142796</v>
      </c>
      <c r="BR152" s="176">
        <v>18922440.925678048</v>
      </c>
      <c r="BS152" s="176">
        <v>18998266.954243787</v>
      </c>
      <c r="BT152" s="176">
        <v>19076939.742762402</v>
      </c>
      <c r="BU152" s="176">
        <v>19153384.879178107</v>
      </c>
      <c r="BV152" s="176">
        <v>19232700.018903453</v>
      </c>
      <c r="BW152" s="176">
        <v>19312562.26066909</v>
      </c>
      <c r="BX152" s="176">
        <v>19384980.896046519</v>
      </c>
      <c r="BY152" s="176">
        <v>19465475.471920975</v>
      </c>
      <c r="BZ152" s="176">
        <v>19543691.682290442</v>
      </c>
      <c r="CA152" s="176">
        <v>19624845.291954719</v>
      </c>
      <c r="CB152" s="176">
        <v>19703701.882436566</v>
      </c>
      <c r="CC152" s="176">
        <v>19785519.921602499</v>
      </c>
      <c r="CD152" s="176">
        <v>19867677.703603193</v>
      </c>
      <c r="CE152" s="176">
        <v>19947510.043740962</v>
      </c>
      <c r="CF152" s="176">
        <v>20030340.476710327</v>
      </c>
      <c r="CG152" s="176">
        <v>20110826.428710748</v>
      </c>
      <c r="CH152" s="176">
        <v>20194335.019848645</v>
      </c>
      <c r="CI152" s="176">
        <v>20278190.373702567</v>
      </c>
      <c r="CJ152" s="176">
        <v>20354229.940848865</v>
      </c>
      <c r="CK152" s="176">
        <v>20438749.245517045</v>
      </c>
    </row>
    <row r="153" spans="2:89">
      <c r="B153" s="86" t="str">
        <v>Протеиновая мука</v>
      </c>
      <c r="C153" s="46"/>
      <c r="D153" s="47">
        <f t="shared" si="207"/>
        <v>2805464849.0041175</v>
      </c>
      <c r="E153" s="48"/>
      <c r="F153" s="176">
        <v>0</v>
      </c>
      <c r="G153" s="176">
        <v>0</v>
      </c>
      <c r="H153" s="176">
        <v>0</v>
      </c>
      <c r="I153" s="176">
        <v>0</v>
      </c>
      <c r="J153" s="176">
        <v>0</v>
      </c>
      <c r="K153" s="176">
        <v>0</v>
      </c>
      <c r="L153" s="176">
        <v>0</v>
      </c>
      <c r="M153" s="176">
        <v>0</v>
      </c>
      <c r="N153" s="176">
        <v>0</v>
      </c>
      <c r="O153" s="176">
        <v>0</v>
      </c>
      <c r="P153" s="176">
        <v>0</v>
      </c>
      <c r="Q153" s="176">
        <v>0</v>
      </c>
      <c r="R153" s="176">
        <v>33606241.135685027</v>
      </c>
      <c r="S153" s="176">
        <v>33745406.287334964</v>
      </c>
      <c r="T153" s="176">
        <v>33880630.920940958</v>
      </c>
      <c r="U153" s="176">
        <v>34020932.334629908</v>
      </c>
      <c r="V153" s="176">
        <v>34161814.743599892</v>
      </c>
      <c r="W153" s="176">
        <v>34298708.009684309</v>
      </c>
      <c r="X153" s="176">
        <v>34440740.701834947</v>
      </c>
      <c r="Y153" s="176">
        <v>34578751.680362493</v>
      </c>
      <c r="Z153" s="176">
        <v>34721944.047578871</v>
      </c>
      <c r="AA153" s="176">
        <v>34866124.130842023</v>
      </c>
      <c r="AB153" s="176">
        <v>34996865.826137297</v>
      </c>
      <c r="AC153" s="176">
        <v>35142187.500000015</v>
      </c>
      <c r="AD153" s="176">
        <v>35283395.904300652</v>
      </c>
      <c r="AE153" s="176">
        <v>35429907.371294491</v>
      </c>
      <c r="AF153" s="176">
        <v>35572271.892126329</v>
      </c>
      <c r="AG153" s="176">
        <v>35719982.893452704</v>
      </c>
      <c r="AH153" s="176">
        <v>35868307.25284569</v>
      </c>
      <c r="AI153" s="176">
        <v>36012433.35291101</v>
      </c>
      <c r="AJ153" s="176">
        <v>36161972.089342833</v>
      </c>
      <c r="AK153" s="176">
        <v>36307278.194009781</v>
      </c>
      <c r="AL153" s="176">
        <v>36458041.249957837</v>
      </c>
      <c r="AM153" s="176">
        <v>36609430.337384142</v>
      </c>
      <c r="AN153" s="176">
        <v>36746709.117444195</v>
      </c>
      <c r="AO153" s="176">
        <v>36899296.875000045</v>
      </c>
      <c r="AP153" s="176">
        <v>37047565.699515715</v>
      </c>
      <c r="AQ153" s="176">
        <v>37201402.739859253</v>
      </c>
      <c r="AR153" s="176">
        <v>37350885.486732677</v>
      </c>
      <c r="AS153" s="176">
        <v>37505982.038125366</v>
      </c>
      <c r="AT153" s="176">
        <v>37661722.615488008</v>
      </c>
      <c r="AU153" s="176">
        <v>37813055.020556599</v>
      </c>
      <c r="AV153" s="176">
        <v>37970070.693810016</v>
      </c>
      <c r="AW153" s="176">
        <v>38122642.103710309</v>
      </c>
      <c r="AX153" s="176">
        <v>38280943.312455773</v>
      </c>
      <c r="AY153" s="176">
        <v>38439901.854253396</v>
      </c>
      <c r="AZ153" s="176">
        <v>38584044.57331644</v>
      </c>
      <c r="BA153" s="176">
        <v>38744261.718750089</v>
      </c>
      <c r="BB153" s="176">
        <v>38899943.984491549</v>
      </c>
      <c r="BC153" s="176">
        <v>39061472.876852259</v>
      </c>
      <c r="BD153" s="176">
        <v>39218429.761069357</v>
      </c>
      <c r="BE153" s="176">
        <v>39381281.140031688</v>
      </c>
      <c r="BF153" s="176">
        <v>39544808.746262461</v>
      </c>
      <c r="BG153" s="176">
        <v>39703707.771584481</v>
      </c>
      <c r="BH153" s="176">
        <v>39868574.22850056</v>
      </c>
      <c r="BI153" s="176">
        <v>40028774.208895862</v>
      </c>
      <c r="BJ153" s="176">
        <v>40194990.478078604</v>
      </c>
      <c r="BK153" s="176">
        <v>40361439.975446217</v>
      </c>
      <c r="BL153" s="176">
        <v>40517774.746263511</v>
      </c>
      <c r="BM153" s="176">
        <v>40685560.909682259</v>
      </c>
      <c r="BN153" s="176">
        <v>40848596.139432356</v>
      </c>
      <c r="BO153" s="176">
        <v>41017752.251045063</v>
      </c>
      <c r="BP153" s="176">
        <v>41182118.638347104</v>
      </c>
      <c r="BQ153" s="176">
        <v>41352655.883569866</v>
      </c>
      <c r="BR153" s="176">
        <v>41523899.332187921</v>
      </c>
      <c r="BS153" s="176">
        <v>41690293.952696458</v>
      </c>
      <c r="BT153" s="176">
        <v>41862935.577709883</v>
      </c>
      <c r="BU153" s="176">
        <v>42030688.784678727</v>
      </c>
      <c r="BV153" s="176">
        <v>42204740.00198254</v>
      </c>
      <c r="BW153" s="176">
        <v>42379991.794314414</v>
      </c>
      <c r="BX153" s="176">
        <v>42538909.142081425</v>
      </c>
      <c r="BY153" s="176">
        <v>42715548.544922024</v>
      </c>
      <c r="BZ153" s="176">
        <v>42887188.242901981</v>
      </c>
      <c r="CA153" s="176">
        <v>43065273.846729666</v>
      </c>
      <c r="CB153" s="176">
        <v>43238318.811579011</v>
      </c>
      <c r="CC153" s="176">
        <v>43417862.45688498</v>
      </c>
      <c r="CD153" s="176">
        <v>43598151.642754398</v>
      </c>
      <c r="CE153" s="176">
        <v>43773337.818171933</v>
      </c>
      <c r="CF153" s="176">
        <v>43955103.086921908</v>
      </c>
      <c r="CG153" s="176">
        <v>44131723.565307736</v>
      </c>
      <c r="CH153" s="176">
        <v>44314977.002081715</v>
      </c>
      <c r="CI153" s="176">
        <v>44498991.384030186</v>
      </c>
      <c r="CJ153" s="176">
        <v>44665854.599185541</v>
      </c>
      <c r="CK153" s="176">
        <v>44851325.972168162</v>
      </c>
    </row>
    <row r="154" spans="2:89">
      <c r="B154" s="86" t="str">
        <v>Жир светлый из предкуколки ЧЛ</v>
      </c>
      <c r="C154" s="46"/>
      <c r="D154" s="47">
        <f t="shared" si="207"/>
        <v>528087500.98901039</v>
      </c>
      <c r="E154" s="48"/>
      <c r="F154" s="176">
        <v>0</v>
      </c>
      <c r="G154" s="176">
        <v>0</v>
      </c>
      <c r="H154" s="176">
        <v>0</v>
      </c>
      <c r="I154" s="176">
        <v>0</v>
      </c>
      <c r="J154" s="176">
        <v>0</v>
      </c>
      <c r="K154" s="176">
        <v>0</v>
      </c>
      <c r="L154" s="176">
        <v>0</v>
      </c>
      <c r="M154" s="176">
        <v>0</v>
      </c>
      <c r="N154" s="176">
        <v>0</v>
      </c>
      <c r="O154" s="176">
        <v>0</v>
      </c>
      <c r="P154" s="176">
        <v>0</v>
      </c>
      <c r="Q154" s="176">
        <v>0</v>
      </c>
      <c r="R154" s="176">
        <v>6325880.6843642397</v>
      </c>
      <c r="S154" s="176">
        <v>6352076.4776159935</v>
      </c>
      <c r="T154" s="176">
        <v>6377530.5262947688</v>
      </c>
      <c r="U154" s="176">
        <v>6403940.20416563</v>
      </c>
      <c r="V154" s="176">
        <v>6430459.2458540965</v>
      </c>
      <c r="W154" s="176">
        <v>6456227.3900582232</v>
      </c>
      <c r="X154" s="176">
        <v>6482962.9556395197</v>
      </c>
      <c r="Y154" s="176">
        <v>6508941.4927741159</v>
      </c>
      <c r="Z154" s="176">
        <v>6535895.3501324933</v>
      </c>
      <c r="AA154" s="176">
        <v>6563035.1305114394</v>
      </c>
      <c r="AB154" s="176">
        <v>6587645.3319787858</v>
      </c>
      <c r="AC154" s="176">
        <v>6615000.0000000028</v>
      </c>
      <c r="AD154" s="176">
        <v>6641580.4055154175</v>
      </c>
      <c r="AE154" s="176">
        <v>6669159.0345966099</v>
      </c>
      <c r="AF154" s="176">
        <v>6695957.0620473083</v>
      </c>
      <c r="AG154" s="176">
        <v>6723761.4858263908</v>
      </c>
      <c r="AH154" s="176">
        <v>6751681.3652415415</v>
      </c>
      <c r="AI154" s="176">
        <v>6778810.984077367</v>
      </c>
      <c r="AJ154" s="176">
        <v>6806959.4521115925</v>
      </c>
      <c r="AK154" s="176">
        <v>6834311.1894606641</v>
      </c>
      <c r="AL154" s="176">
        <v>6862690.1176391225</v>
      </c>
      <c r="AM154" s="176">
        <v>6891186.8870370155</v>
      </c>
      <c r="AN154" s="176">
        <v>6917027.5985777304</v>
      </c>
      <c r="AO154" s="176">
        <v>6945750.0000000084</v>
      </c>
      <c r="AP154" s="176">
        <v>6973659.4257911937</v>
      </c>
      <c r="AQ154" s="176">
        <v>7002616.9863264468</v>
      </c>
      <c r="AR154" s="176">
        <v>7030754.9151496803</v>
      </c>
      <c r="AS154" s="176">
        <v>7059949.560117716</v>
      </c>
      <c r="AT154" s="176">
        <v>7089265.433503625</v>
      </c>
      <c r="AU154" s="176">
        <v>7117751.5332812425</v>
      </c>
      <c r="AV154" s="176">
        <v>7147307.4247171795</v>
      </c>
      <c r="AW154" s="176">
        <v>7176026.7489337055</v>
      </c>
      <c r="AX154" s="176">
        <v>7205824.6235210868</v>
      </c>
      <c r="AY154" s="176">
        <v>7235746.2313888753</v>
      </c>
      <c r="AZ154" s="176">
        <v>7262878.9785066247</v>
      </c>
      <c r="BA154" s="176">
        <v>7293037.5000000177</v>
      </c>
      <c r="BB154" s="176">
        <v>7322342.3970807623</v>
      </c>
      <c r="BC154" s="176">
        <v>7352747.8356427783</v>
      </c>
      <c r="BD154" s="176">
        <v>7382292.6609071735</v>
      </c>
      <c r="BE154" s="176">
        <v>7412947.0381236114</v>
      </c>
      <c r="BF154" s="176">
        <v>7443728.7051788159</v>
      </c>
      <c r="BG154" s="176">
        <v>7473639.1099453131</v>
      </c>
      <c r="BH154" s="176">
        <v>7504672.7959530465</v>
      </c>
      <c r="BI154" s="176">
        <v>7534828.0863803979</v>
      </c>
      <c r="BJ154" s="176">
        <v>7566115.8546971483</v>
      </c>
      <c r="BK154" s="176">
        <v>7597447.5247898763</v>
      </c>
      <c r="BL154" s="176">
        <v>7626875.2463554842</v>
      </c>
      <c r="BM154" s="176">
        <v>7658458.5241754847</v>
      </c>
      <c r="BN154" s="176">
        <v>7689147.5085990317</v>
      </c>
      <c r="BO154" s="176">
        <v>7720988.6590202469</v>
      </c>
      <c r="BP154" s="176">
        <v>7751928.2142771026</v>
      </c>
      <c r="BQ154" s="176">
        <v>7784029.3427896211</v>
      </c>
      <c r="BR154" s="176">
        <v>7816263.4037059629</v>
      </c>
      <c r="BS154" s="176">
        <v>7847584.744036979</v>
      </c>
      <c r="BT154" s="176">
        <v>7880081.9910983304</v>
      </c>
      <c r="BU154" s="176">
        <v>7911659.0653512897</v>
      </c>
      <c r="BV154" s="176">
        <v>7944421.6474320069</v>
      </c>
      <c r="BW154" s="176">
        <v>7977410.2201062432</v>
      </c>
      <c r="BX154" s="176">
        <v>8007324.0738035636</v>
      </c>
      <c r="BY154" s="176">
        <v>8040573.8437500279</v>
      </c>
      <c r="BZ154" s="176">
        <v>8072882.4927815497</v>
      </c>
      <c r="CA154" s="176">
        <v>8106404.4887961717</v>
      </c>
      <c r="CB154" s="176">
        <v>8138977.6586501673</v>
      </c>
      <c r="CC154" s="176">
        <v>8172774.1095312899</v>
      </c>
      <c r="CD154" s="176">
        <v>8206710.8974596523</v>
      </c>
      <c r="CE154" s="176">
        <v>8239687.1187147163</v>
      </c>
      <c r="CF154" s="176">
        <v>8273901.7575382423</v>
      </c>
      <c r="CG154" s="176">
        <v>8307147.965234397</v>
      </c>
      <c r="CH154" s="176">
        <v>8341642.7298036162</v>
      </c>
      <c r="CI154" s="176">
        <v>8376280.7311115647</v>
      </c>
      <c r="CJ154" s="176">
        <v>8407690.2774937507</v>
      </c>
      <c r="CK154" s="176">
        <v>8442602.5359375365</v>
      </c>
    </row>
    <row r="155" spans="2:89">
      <c r="B155" s="86" t="str">
        <v>Крем-мыло из светлого жира предкуколки ЧЛ</v>
      </c>
      <c r="C155" s="46"/>
      <c r="D155" s="47">
        <f t="shared" si="207"/>
        <v>571831570.22048783</v>
      </c>
      <c r="E155" s="48"/>
      <c r="F155" s="176">
        <v>0</v>
      </c>
      <c r="G155" s="176">
        <v>0</v>
      </c>
      <c r="H155" s="176">
        <v>0</v>
      </c>
      <c r="I155" s="176">
        <v>0</v>
      </c>
      <c r="J155" s="176">
        <v>0</v>
      </c>
      <c r="K155" s="176">
        <v>0</v>
      </c>
      <c r="L155" s="176">
        <v>0</v>
      </c>
      <c r="M155" s="176">
        <v>0</v>
      </c>
      <c r="N155" s="176">
        <v>0</v>
      </c>
      <c r="O155" s="176">
        <v>0</v>
      </c>
      <c r="P155" s="176">
        <v>0</v>
      </c>
      <c r="Q155" s="176">
        <v>0</v>
      </c>
      <c r="R155" s="176">
        <v>0</v>
      </c>
      <c r="S155" s="176">
        <v>0</v>
      </c>
      <c r="T155" s="176">
        <v>0</v>
      </c>
      <c r="U155" s="176">
        <v>0</v>
      </c>
      <c r="V155" s="176">
        <v>0</v>
      </c>
      <c r="W155" s="176">
        <v>0</v>
      </c>
      <c r="X155" s="176">
        <v>0</v>
      </c>
      <c r="Y155" s="176">
        <v>0</v>
      </c>
      <c r="Z155" s="176">
        <v>0</v>
      </c>
      <c r="AA155" s="176">
        <v>0</v>
      </c>
      <c r="AB155" s="176">
        <v>0</v>
      </c>
      <c r="AC155" s="176">
        <v>0</v>
      </c>
      <c r="AD155" s="176">
        <v>1591946.3787438904</v>
      </c>
      <c r="AE155" s="176">
        <v>1882134.4653466847</v>
      </c>
      <c r="AF155" s="176">
        <v>2213232.2088593245</v>
      </c>
      <c r="AG155" s="176">
        <v>2616671.4380143466</v>
      </c>
      <c r="AH155" s="176">
        <v>3093651.6227770434</v>
      </c>
      <c r="AI155" s="176">
        <v>3637874.7324298494</v>
      </c>
      <c r="AJ155" s="176">
        <v>4301005.0501340395</v>
      </c>
      <c r="AK155" s="176">
        <v>5057621.0587960677</v>
      </c>
      <c r="AL155" s="176">
        <v>5979549.9613085221</v>
      </c>
      <c r="AM155" s="176">
        <v>7069532.7554445108</v>
      </c>
      <c r="AN155" s="176">
        <v>8223852.0713558933</v>
      </c>
      <c r="AO155" s="176">
        <v>9722937.6743359473</v>
      </c>
      <c r="AP155" s="176">
        <v>9762006.4008945171</v>
      </c>
      <c r="AQ155" s="176">
        <v>9802542.3482414689</v>
      </c>
      <c r="AR155" s="176">
        <v>9841930.9424513374</v>
      </c>
      <c r="AS155" s="176">
        <v>9882798.7700363453</v>
      </c>
      <c r="AT155" s="176">
        <v>9923836.2979922779</v>
      </c>
      <c r="AU155" s="176">
        <v>9963712.2757805213</v>
      </c>
      <c r="AV155" s="176">
        <v>10005085.790568853</v>
      </c>
      <c r="AW155" s="176">
        <v>10045288.245221889</v>
      </c>
      <c r="AX155" s="176">
        <v>10087000.497669902</v>
      </c>
      <c r="AY155" s="176">
        <v>10128885.956895245</v>
      </c>
      <c r="AZ155" s="176">
        <v>10166867.457692049</v>
      </c>
      <c r="BA155" s="176">
        <v>10209084.558052756</v>
      </c>
      <c r="BB155" s="176">
        <v>10250106.720939256</v>
      </c>
      <c r="BC155" s="176">
        <v>10292669.465653554</v>
      </c>
      <c r="BD155" s="176">
        <v>10334027.489573916</v>
      </c>
      <c r="BE155" s="176">
        <v>10376938.708538176</v>
      </c>
      <c r="BF155" s="176">
        <v>10420028.112891905</v>
      </c>
      <c r="BG155" s="176">
        <v>10461897.889569558</v>
      </c>
      <c r="BH155" s="176">
        <v>10505340.080097307</v>
      </c>
      <c r="BI155" s="176">
        <v>10547552.657482993</v>
      </c>
      <c r="BJ155" s="176">
        <v>10591350.522553409</v>
      </c>
      <c r="BK155" s="176">
        <v>10635209.84307955</v>
      </c>
      <c r="BL155" s="176">
        <v>10676403.940575158</v>
      </c>
      <c r="BM155" s="176">
        <v>10720615.471625814</v>
      </c>
      <c r="BN155" s="176">
        <v>10763575.135137863</v>
      </c>
      <c r="BO155" s="176">
        <v>10808147.646533268</v>
      </c>
      <c r="BP155" s="176">
        <v>10851458.069084335</v>
      </c>
      <c r="BQ155" s="176">
        <v>10896394.50817343</v>
      </c>
      <c r="BR155" s="176">
        <v>10941517.03133944</v>
      </c>
      <c r="BS155" s="176">
        <v>10985361.891853446</v>
      </c>
      <c r="BT155" s="176">
        <v>11030852.833474582</v>
      </c>
      <c r="BU155" s="176">
        <v>11075055.68052485</v>
      </c>
      <c r="BV155" s="176">
        <v>11120918.04868108</v>
      </c>
      <c r="BW155" s="176">
        <v>11167096.767477019</v>
      </c>
      <c r="BX155" s="176">
        <v>11208971.372105498</v>
      </c>
      <c r="BY155" s="176">
        <v>11255515.725253174</v>
      </c>
      <c r="BZ155" s="176">
        <v>11300742.659835542</v>
      </c>
      <c r="CA155" s="176">
        <v>11347668.085883055</v>
      </c>
      <c r="CB155" s="176">
        <v>11393265.307255255</v>
      </c>
      <c r="CC155" s="176">
        <v>11440574.926163351</v>
      </c>
      <c r="CD155" s="176">
        <v>11488080.994463338</v>
      </c>
      <c r="CE155" s="176">
        <v>11534242.423250452</v>
      </c>
      <c r="CF155" s="176">
        <v>11582137.438307293</v>
      </c>
      <c r="CG155" s="176">
        <v>11628676.804875012</v>
      </c>
      <c r="CH155" s="176">
        <v>11676963.951115146</v>
      </c>
      <c r="CI155" s="176">
        <v>11725451.605850883</v>
      </c>
      <c r="CJ155" s="176">
        <v>11769419.940710785</v>
      </c>
      <c r="CK155" s="176">
        <v>11818291.511515845</v>
      </c>
    </row>
    <row r="156" spans="2:89">
      <c r="B156" s="86" t="str">
        <v>Продукты пчеловодства</v>
      </c>
      <c r="C156" s="46"/>
      <c r="D156" s="47">
        <f t="shared" si="207"/>
        <v>205802398.65048581</v>
      </c>
      <c r="E156" s="48"/>
      <c r="F156" s="176">
        <v>0</v>
      </c>
      <c r="G156" s="176">
        <v>0</v>
      </c>
      <c r="H156" s="176">
        <v>0</v>
      </c>
      <c r="I156" s="176">
        <v>0</v>
      </c>
      <c r="J156" s="176">
        <v>0</v>
      </c>
      <c r="K156" s="176">
        <v>0</v>
      </c>
      <c r="L156" s="176">
        <v>0</v>
      </c>
      <c r="M156" s="176">
        <v>0</v>
      </c>
      <c r="N156" s="176">
        <v>0</v>
      </c>
      <c r="O156" s="176">
        <v>0</v>
      </c>
      <c r="P156" s="176">
        <v>0</v>
      </c>
      <c r="Q156" s="176">
        <v>0</v>
      </c>
      <c r="R156" s="176">
        <v>1581470.1710910597</v>
      </c>
      <c r="S156" s="176">
        <v>1588019.1194039981</v>
      </c>
      <c r="T156" s="176">
        <v>1594382.6315736922</v>
      </c>
      <c r="U156" s="176">
        <v>1600985.0510414075</v>
      </c>
      <c r="V156" s="176">
        <v>1607614.8114635241</v>
      </c>
      <c r="W156" s="176">
        <v>1614056.8475145558</v>
      </c>
      <c r="X156" s="176">
        <v>1620740.7389098799</v>
      </c>
      <c r="Y156" s="176">
        <v>1627235.373193529</v>
      </c>
      <c r="Z156" s="176">
        <v>1633973.8375331233</v>
      </c>
      <c r="AA156" s="176">
        <v>1640758.7826278599</v>
      </c>
      <c r="AB156" s="176">
        <v>1646911.3329946967</v>
      </c>
      <c r="AC156" s="176">
        <v>1653750.0000000005</v>
      </c>
      <c r="AD156" s="176">
        <v>1736080.8472887515</v>
      </c>
      <c r="AE156" s="176">
        <v>1825464.4130316011</v>
      </c>
      <c r="AF156" s="176">
        <v>1916343.9485238788</v>
      </c>
      <c r="AG156" s="176">
        <v>2015008.5098985985</v>
      </c>
      <c r="AH156" s="176">
        <v>2118752.8982421476</v>
      </c>
      <c r="AI156" s="176">
        <v>2224233.6065159333</v>
      </c>
      <c r="AJ156" s="176">
        <v>2338750.1229016506</v>
      </c>
      <c r="AK156" s="176">
        <v>2455183.2471436234</v>
      </c>
      <c r="AL156" s="176">
        <v>2581590.3977809488</v>
      </c>
      <c r="AM156" s="176">
        <v>2714505.7256595604</v>
      </c>
      <c r="AN156" s="176">
        <v>2840430.5706310449</v>
      </c>
      <c r="AO156" s="176">
        <v>2986672.5000000028</v>
      </c>
      <c r="AP156" s="176">
        <v>2998673.5530902119</v>
      </c>
      <c r="AQ156" s="176">
        <v>3011125.3041203711</v>
      </c>
      <c r="AR156" s="176">
        <v>3023224.613514361</v>
      </c>
      <c r="AS156" s="176">
        <v>3035778.3108506165</v>
      </c>
      <c r="AT156" s="176">
        <v>3048384.1364065572</v>
      </c>
      <c r="AU156" s="176">
        <v>3060633.1593109327</v>
      </c>
      <c r="AV156" s="176">
        <v>3073342.1926283855</v>
      </c>
      <c r="AW156" s="176">
        <v>3085691.5020414917</v>
      </c>
      <c r="AX156" s="176">
        <v>3098504.588114066</v>
      </c>
      <c r="AY156" s="176">
        <v>3111370.8794972147</v>
      </c>
      <c r="AZ156" s="176">
        <v>3123037.9607578474</v>
      </c>
      <c r="BA156" s="176">
        <v>3136006.1250000061</v>
      </c>
      <c r="BB156" s="176">
        <v>3148607.2307447265</v>
      </c>
      <c r="BC156" s="176">
        <v>3161681.5693263933</v>
      </c>
      <c r="BD156" s="176">
        <v>3174385.8441900834</v>
      </c>
      <c r="BE156" s="176">
        <v>3187567.226393152</v>
      </c>
      <c r="BF156" s="176">
        <v>3200803.3432268891</v>
      </c>
      <c r="BG156" s="176">
        <v>3213664.8172764834</v>
      </c>
      <c r="BH156" s="176">
        <v>3227009.3022598084</v>
      </c>
      <c r="BI156" s="176">
        <v>3239976.0771435695</v>
      </c>
      <c r="BJ156" s="176">
        <v>3253429.8175197723</v>
      </c>
      <c r="BK156" s="176">
        <v>3266902.4356596456</v>
      </c>
      <c r="BL156" s="176">
        <v>3279556.3559328569</v>
      </c>
      <c r="BM156" s="176">
        <v>3293137.1653954568</v>
      </c>
      <c r="BN156" s="176">
        <v>3306333.4286975823</v>
      </c>
      <c r="BO156" s="176">
        <v>3320025.1233787048</v>
      </c>
      <c r="BP156" s="176">
        <v>3333329.1321391524</v>
      </c>
      <c r="BQ156" s="176">
        <v>3347132.6173995361</v>
      </c>
      <c r="BR156" s="176">
        <v>3360993.2635935624</v>
      </c>
      <c r="BS156" s="176">
        <v>3374461.4399358998</v>
      </c>
      <c r="BT156" s="176">
        <v>3388435.2561722803</v>
      </c>
      <c r="BU156" s="176">
        <v>3402013.3981010527</v>
      </c>
      <c r="BV156" s="176">
        <v>3416101.3083957615</v>
      </c>
      <c r="BW156" s="176">
        <v>3430286.394645683</v>
      </c>
      <c r="BX156" s="176">
        <v>3443149.3517355309</v>
      </c>
      <c r="BY156" s="176">
        <v>3457446.7528125104</v>
      </c>
      <c r="BZ156" s="176">
        <v>3471339.4718960645</v>
      </c>
      <c r="CA156" s="176">
        <v>3485753.9301823522</v>
      </c>
      <c r="CB156" s="176">
        <v>3499760.3932195702</v>
      </c>
      <c r="CC156" s="176">
        <v>3514292.8670984535</v>
      </c>
      <c r="CD156" s="176">
        <v>3528885.6859076489</v>
      </c>
      <c r="CE156" s="176">
        <v>3543065.4610473267</v>
      </c>
      <c r="CF156" s="176">
        <v>3557777.7557414426</v>
      </c>
      <c r="CG156" s="176">
        <v>3572073.6250507892</v>
      </c>
      <c r="CH156" s="176">
        <v>3586906.3738155533</v>
      </c>
      <c r="CI156" s="176">
        <v>3601800.7143779714</v>
      </c>
      <c r="CJ156" s="176">
        <v>3615306.8193223109</v>
      </c>
      <c r="CK156" s="176">
        <v>3630319.0904531395</v>
      </c>
    </row>
    <row r="157" spans="2:89">
      <c r="B157" s="86" t="str">
        <v>Опылительная деятельность</v>
      </c>
      <c r="C157" s="46"/>
      <c r="D157" s="47">
        <f t="shared" si="207"/>
        <v>1730434.8788983582</v>
      </c>
      <c r="E157" s="48"/>
      <c r="F157" s="176">
        <v>0</v>
      </c>
      <c r="G157" s="176">
        <v>0</v>
      </c>
      <c r="H157" s="176">
        <v>0</v>
      </c>
      <c r="I157" s="176">
        <v>0</v>
      </c>
      <c r="J157" s="176">
        <v>0</v>
      </c>
      <c r="K157" s="176">
        <v>0</v>
      </c>
      <c r="L157" s="176">
        <v>0</v>
      </c>
      <c r="M157" s="176">
        <v>0</v>
      </c>
      <c r="N157" s="176">
        <v>0</v>
      </c>
      <c r="O157" s="176">
        <v>0</v>
      </c>
      <c r="P157" s="176">
        <v>0</v>
      </c>
      <c r="Q157" s="176">
        <v>0</v>
      </c>
      <c r="R157" s="176">
        <v>9093.4534837735937</v>
      </c>
      <c r="S157" s="176">
        <v>9131.1099365729897</v>
      </c>
      <c r="T157" s="176">
        <v>9167.7001315487287</v>
      </c>
      <c r="U157" s="176">
        <v>9205.6640434880937</v>
      </c>
      <c r="V157" s="176">
        <v>9243.7851659152639</v>
      </c>
      <c r="W157" s="176">
        <v>9280.8268732086963</v>
      </c>
      <c r="X157" s="176">
        <v>9319.2592487318088</v>
      </c>
      <c r="Y157" s="176">
        <v>9356.6033958627904</v>
      </c>
      <c r="Z157" s="176">
        <v>9395.3495658154588</v>
      </c>
      <c r="AA157" s="176">
        <v>9434.3630001101938</v>
      </c>
      <c r="AB157" s="176">
        <v>9469.7401647195056</v>
      </c>
      <c r="AC157" s="176">
        <v>9509.0625000000036</v>
      </c>
      <c r="AD157" s="176">
        <v>10346.681165937476</v>
      </c>
      <c r="AE157" s="176">
        <v>11289.807662857374</v>
      </c>
      <c r="AF157" s="176">
        <v>12284.28568140581</v>
      </c>
      <c r="AG157" s="176">
        <v>13404.029794137228</v>
      </c>
      <c r="AH157" s="176">
        <v>14625.841451576965</v>
      </c>
      <c r="AI157" s="176">
        <v>15914.178530535366</v>
      </c>
      <c r="AJ157" s="176">
        <v>17364.79667640743</v>
      </c>
      <c r="AK157" s="176">
        <v>18894.398340753189</v>
      </c>
      <c r="AL157" s="176">
        <v>20616.671157778677</v>
      </c>
      <c r="AM157" s="176">
        <v>22495.933554613493</v>
      </c>
      <c r="AN157" s="176">
        <v>24340.144986478263</v>
      </c>
      <c r="AO157" s="176">
        <v>26558.811562500057</v>
      </c>
      <c r="AP157" s="176">
        <v>26665.530229369098</v>
      </c>
      <c r="AQ157" s="176">
        <v>26776.256701465772</v>
      </c>
      <c r="AR157" s="176">
        <v>26883.849106803609</v>
      </c>
      <c r="AS157" s="176">
        <v>26995.482130500142</v>
      </c>
      <c r="AT157" s="176">
        <v>27107.578701359511</v>
      </c>
      <c r="AU157" s="176">
        <v>27216.502425384173</v>
      </c>
      <c r="AV157" s="176">
        <v>27329.516765262335</v>
      </c>
      <c r="AW157" s="176">
        <v>27439.332281235278</v>
      </c>
      <c r="AX157" s="176">
        <v>27553.271904188779</v>
      </c>
      <c r="AY157" s="176">
        <v>27667.684652273234</v>
      </c>
      <c r="AZ157" s="176">
        <v>27771.433494064728</v>
      </c>
      <c r="BA157" s="176">
        <v>27886.752140625089</v>
      </c>
      <c r="BB157" s="176">
        <v>27998.80674083759</v>
      </c>
      <c r="BC157" s="176">
        <v>28115.069536539097</v>
      </c>
      <c r="BD157" s="176">
        <v>28228.04156214383</v>
      </c>
      <c r="BE157" s="176">
        <v>28345.256237025187</v>
      </c>
      <c r="BF157" s="176">
        <v>28462.95763642752</v>
      </c>
      <c r="BG157" s="176">
        <v>28577.327546653414</v>
      </c>
      <c r="BH157" s="176">
        <v>28695.992603525487</v>
      </c>
      <c r="BI157" s="176">
        <v>28811.29889529707</v>
      </c>
      <c r="BJ157" s="176">
        <v>28930.935499398245</v>
      </c>
      <c r="BK157" s="176">
        <v>29050.739972915319</v>
      </c>
      <c r="BL157" s="176">
        <v>29163.264223251808</v>
      </c>
      <c r="BM157" s="176">
        <v>29284.030781816033</v>
      </c>
      <c r="BN157" s="176">
        <v>29401.377786005574</v>
      </c>
      <c r="BO157" s="176">
        <v>29523.130384928692</v>
      </c>
      <c r="BP157" s="176">
        <v>29641.435509342093</v>
      </c>
      <c r="BQ157" s="176">
        <v>29764.182199491839</v>
      </c>
      <c r="BR157" s="176">
        <v>29887.4371899207</v>
      </c>
      <c r="BS157" s="176">
        <v>30007.202165011426</v>
      </c>
      <c r="BT157" s="176">
        <v>30131.463513462266</v>
      </c>
      <c r="BU157" s="176">
        <v>30252.206351137022</v>
      </c>
      <c r="BV157" s="176">
        <v>30377.482274368162</v>
      </c>
      <c r="BW157" s="176">
        <v>30503.622329131274</v>
      </c>
      <c r="BX157" s="176">
        <v>30618.005427206401</v>
      </c>
      <c r="BY157" s="176">
        <v>30745.144235039195</v>
      </c>
      <c r="BZ157" s="176">
        <v>30868.684431773476</v>
      </c>
      <c r="CA157" s="176">
        <v>30996.864164034389</v>
      </c>
      <c r="CB157" s="176">
        <v>31121.415822263603</v>
      </c>
      <c r="CC157" s="176">
        <v>31250.645001320299</v>
      </c>
      <c r="CD157" s="176">
        <v>31380.410794161373</v>
      </c>
      <c r="CE157" s="176">
        <v>31506.503620185424</v>
      </c>
      <c r="CF157" s="176">
        <v>31637.331845386881</v>
      </c>
      <c r="CG157" s="176">
        <v>31764.457032065056</v>
      </c>
      <c r="CH157" s="176">
        <v>31896.356388086602</v>
      </c>
      <c r="CI157" s="176">
        <v>32028.803445587873</v>
      </c>
      <c r="CJ157" s="176">
        <v>32148.905698566756</v>
      </c>
      <c r="CK157" s="176">
        <v>32282.401446791187</v>
      </c>
    </row>
    <row r="158" spans="2:89">
      <c r="B158" s="86" t="str">
        <v>Реализация пчелопакетов</v>
      </c>
      <c r="C158" s="46"/>
      <c r="D158" s="47">
        <f t="shared" si="207"/>
        <v>41494820.423474073</v>
      </c>
      <c r="E158" s="48"/>
      <c r="F158" s="176">
        <v>0</v>
      </c>
      <c r="G158" s="176">
        <v>0</v>
      </c>
      <c r="H158" s="176">
        <v>0</v>
      </c>
      <c r="I158" s="176">
        <v>0</v>
      </c>
      <c r="J158" s="176">
        <v>0</v>
      </c>
      <c r="K158" s="176">
        <v>0</v>
      </c>
      <c r="L158" s="176">
        <v>0</v>
      </c>
      <c r="M158" s="176">
        <v>0</v>
      </c>
      <c r="N158" s="176">
        <v>0</v>
      </c>
      <c r="O158" s="176">
        <v>0</v>
      </c>
      <c r="P158" s="176">
        <v>0</v>
      </c>
      <c r="Q158" s="176">
        <v>0</v>
      </c>
      <c r="R158" s="176">
        <v>395367.54277276498</v>
      </c>
      <c r="S158" s="176">
        <v>397004.77985099959</v>
      </c>
      <c r="T158" s="176">
        <v>398595.65789342305</v>
      </c>
      <c r="U158" s="176">
        <v>400246.26276035188</v>
      </c>
      <c r="V158" s="176">
        <v>401903.70286588103</v>
      </c>
      <c r="W158" s="176">
        <v>403514.21187863895</v>
      </c>
      <c r="X158" s="176">
        <v>405185.18472746998</v>
      </c>
      <c r="Y158" s="176">
        <v>406808.84329838224</v>
      </c>
      <c r="Z158" s="176">
        <v>408493.45938328083</v>
      </c>
      <c r="AA158" s="176">
        <v>410189.69565696496</v>
      </c>
      <c r="AB158" s="176">
        <v>411727.83324867411</v>
      </c>
      <c r="AC158" s="176">
        <v>413437.50000000017</v>
      </c>
      <c r="AD158" s="176">
        <v>424943.35169201001</v>
      </c>
      <c r="AE158" s="176">
        <v>437169.22790827497</v>
      </c>
      <c r="AF158" s="176">
        <v>449335.52704810404</v>
      </c>
      <c r="AG158" s="176">
        <v>462263.18084333726</v>
      </c>
      <c r="AH158" s="176">
        <v>475562.77102594514</v>
      </c>
      <c r="AI158" s="176">
        <v>488797.55189044285</v>
      </c>
      <c r="AJ158" s="176">
        <v>502860.55191251915</v>
      </c>
      <c r="AK158" s="176">
        <v>516855.02249650744</v>
      </c>
      <c r="AL158" s="176">
        <v>531725.25284988654</v>
      </c>
      <c r="AM158" s="176">
        <v>547023.30868843652</v>
      </c>
      <c r="AN158" s="176">
        <v>561218.86395291204</v>
      </c>
      <c r="AO158" s="176">
        <v>577365.4687500007</v>
      </c>
      <c r="AP158" s="176">
        <v>579685.43976889295</v>
      </c>
      <c r="AQ158" s="176">
        <v>582092.53698838584</v>
      </c>
      <c r="AR158" s="176">
        <v>584431.5023218171</v>
      </c>
      <c r="AS158" s="176">
        <v>586858.30718478514</v>
      </c>
      <c r="AT158" s="176">
        <v>589295.18915998877</v>
      </c>
      <c r="AU158" s="176">
        <v>591663.09620400332</v>
      </c>
      <c r="AV158" s="176">
        <v>594119.92967961554</v>
      </c>
      <c r="AW158" s="176">
        <v>596507.22350511421</v>
      </c>
      <c r="AX158" s="176">
        <v>598984.17183019035</v>
      </c>
      <c r="AY158" s="176">
        <v>601471.40548420022</v>
      </c>
      <c r="AZ158" s="176">
        <v>603726.81508836313</v>
      </c>
      <c r="BA158" s="176">
        <v>606233.74218750151</v>
      </c>
      <c r="BB158" s="176">
        <v>608669.71175733837</v>
      </c>
      <c r="BC158" s="176">
        <v>611197.16383780597</v>
      </c>
      <c r="BD158" s="176">
        <v>613653.07743790885</v>
      </c>
      <c r="BE158" s="176">
        <v>616201.22254402516</v>
      </c>
      <c r="BF158" s="176">
        <v>618759.94861798896</v>
      </c>
      <c r="BG158" s="176">
        <v>621246.25101420411</v>
      </c>
      <c r="BH158" s="176">
        <v>623825.92616359692</v>
      </c>
      <c r="BI158" s="176">
        <v>626332.58468037052</v>
      </c>
      <c r="BJ158" s="176">
        <v>628933.38042170042</v>
      </c>
      <c r="BK158" s="176">
        <v>631537.82549815846</v>
      </c>
      <c r="BL158" s="176">
        <v>633984.0048532997</v>
      </c>
      <c r="BM158" s="176">
        <v>636609.36482208711</v>
      </c>
      <c r="BN158" s="176">
        <v>639160.38665229455</v>
      </c>
      <c r="BO158" s="176">
        <v>641807.18228105805</v>
      </c>
      <c r="BP158" s="176">
        <v>644379.03281178419</v>
      </c>
      <c r="BQ158" s="176">
        <v>647047.4391193873</v>
      </c>
      <c r="BR158" s="176">
        <v>649726.89543305815</v>
      </c>
      <c r="BS158" s="176">
        <v>652330.48184807389</v>
      </c>
      <c r="BT158" s="176">
        <v>655031.81551004865</v>
      </c>
      <c r="BU158" s="176">
        <v>657656.65980732604</v>
      </c>
      <c r="BV158" s="176">
        <v>660380.04944278556</v>
      </c>
      <c r="BW158" s="176">
        <v>663122.22454633145</v>
      </c>
      <c r="BX158" s="176">
        <v>665608.81363492121</v>
      </c>
      <c r="BY158" s="176">
        <v>668372.700761721</v>
      </c>
      <c r="BZ158" s="176">
        <v>671058.3572124663</v>
      </c>
      <c r="CA158" s="176">
        <v>673844.87313118181</v>
      </c>
      <c r="CB158" s="176">
        <v>676552.51787529513</v>
      </c>
      <c r="CC158" s="176">
        <v>679361.84785478853</v>
      </c>
      <c r="CD158" s="176">
        <v>682182.84335133363</v>
      </c>
      <c r="CE158" s="176">
        <v>684923.99174316088</v>
      </c>
      <c r="CF158" s="176">
        <v>687768.08359536633</v>
      </c>
      <c r="CG158" s="176">
        <v>690531.67461010918</v>
      </c>
      <c r="CH158" s="176">
        <v>693399.05191492557</v>
      </c>
      <c r="CI158" s="176">
        <v>696278.33577364881</v>
      </c>
      <c r="CJ158" s="176">
        <v>698889.25431666791</v>
      </c>
      <c r="CK158" s="176">
        <v>701791.3357998078</v>
      </c>
    </row>
    <row r="159" spans="2:89">
      <c r="B159" s="86" t="str">
        <v>Реализация пчеломаток</v>
      </c>
      <c r="C159" s="46"/>
      <c r="D159" s="47">
        <f t="shared" si="207"/>
        <v>14640379.895350019</v>
      </c>
      <c r="E159" s="48"/>
      <c r="F159" s="176">
        <v>0</v>
      </c>
      <c r="G159" s="176">
        <v>0</v>
      </c>
      <c r="H159" s="176">
        <v>0</v>
      </c>
      <c r="I159" s="176">
        <v>0</v>
      </c>
      <c r="J159" s="176">
        <v>0</v>
      </c>
      <c r="K159" s="176">
        <v>0</v>
      </c>
      <c r="L159" s="176">
        <v>0</v>
      </c>
      <c r="M159" s="176">
        <v>0</v>
      </c>
      <c r="N159" s="176">
        <v>0</v>
      </c>
      <c r="O159" s="176">
        <v>0</v>
      </c>
      <c r="P159" s="176">
        <v>0</v>
      </c>
      <c r="Q159" s="176">
        <v>0</v>
      </c>
      <c r="R159" s="176">
        <v>98841.885693191245</v>
      </c>
      <c r="S159" s="176">
        <v>99251.194962749898</v>
      </c>
      <c r="T159" s="176">
        <v>99648.914473355762</v>
      </c>
      <c r="U159" s="176">
        <v>100061.56569008797</v>
      </c>
      <c r="V159" s="176">
        <v>100475.92571647026</v>
      </c>
      <c r="W159" s="176">
        <v>100878.55296965974</v>
      </c>
      <c r="X159" s="176">
        <v>101296.2961818675</v>
      </c>
      <c r="Y159" s="176">
        <v>101702.21082459556</v>
      </c>
      <c r="Z159" s="176">
        <v>102123.36484582021</v>
      </c>
      <c r="AA159" s="176">
        <v>102547.42391424124</v>
      </c>
      <c r="AB159" s="176">
        <v>102931.95831216853</v>
      </c>
      <c r="AC159" s="176">
        <v>103359.37500000004</v>
      </c>
      <c r="AD159" s="176">
        <v>109858.49678453416</v>
      </c>
      <c r="AE159" s="176">
        <v>117003.86886656238</v>
      </c>
      <c r="AF159" s="176">
        <v>124360.94114980183</v>
      </c>
      <c r="AG159" s="176">
        <v>132449.57537469367</v>
      </c>
      <c r="AH159" s="176">
        <v>141064.30728764719</v>
      </c>
      <c r="AI159" s="176">
        <v>149934.27300206217</v>
      </c>
      <c r="AJ159" s="176">
        <v>159686.23757289868</v>
      </c>
      <c r="AK159" s="176">
        <v>169727.12941556238</v>
      </c>
      <c r="AL159" s="176">
        <v>180766.45297801154</v>
      </c>
      <c r="AM159" s="176">
        <v>192523.79177547985</v>
      </c>
      <c r="AN159" s="176">
        <v>203799.25826197545</v>
      </c>
      <c r="AO159" s="176">
        <v>217054.68750000038</v>
      </c>
      <c r="AP159" s="176">
        <v>217926.85705597492</v>
      </c>
      <c r="AQ159" s="176">
        <v>218831.78082270155</v>
      </c>
      <c r="AR159" s="176">
        <v>219711.0910984276</v>
      </c>
      <c r="AS159" s="176">
        <v>220623.42375367871</v>
      </c>
      <c r="AT159" s="176">
        <v>221539.54479698837</v>
      </c>
      <c r="AU159" s="176">
        <v>222429.73541503894</v>
      </c>
      <c r="AV159" s="176">
        <v>223353.35702241195</v>
      </c>
      <c r="AW159" s="176">
        <v>224250.83590417838</v>
      </c>
      <c r="AX159" s="176">
        <v>225182.01948503405</v>
      </c>
      <c r="AY159" s="176">
        <v>226117.06973090244</v>
      </c>
      <c r="AZ159" s="176">
        <v>226964.96807833214</v>
      </c>
      <c r="BA159" s="176">
        <v>227907.42187500067</v>
      </c>
      <c r="BB159" s="176">
        <v>228823.19990877394</v>
      </c>
      <c r="BC159" s="176">
        <v>229773.36986383691</v>
      </c>
      <c r="BD159" s="176">
        <v>230696.64565334929</v>
      </c>
      <c r="BE159" s="176">
        <v>231654.59494136297</v>
      </c>
      <c r="BF159" s="176">
        <v>232616.52203683808</v>
      </c>
      <c r="BG159" s="176">
        <v>233551.22218579115</v>
      </c>
      <c r="BH159" s="176">
        <v>234521.02487353279</v>
      </c>
      <c r="BI159" s="176">
        <v>235463.37769938752</v>
      </c>
      <c r="BJ159" s="176">
        <v>236441.120459286</v>
      </c>
      <c r="BK159" s="176">
        <v>237420.23514968375</v>
      </c>
      <c r="BL159" s="176">
        <v>238339.851448609</v>
      </c>
      <c r="BM159" s="176">
        <v>239326.82888048398</v>
      </c>
      <c r="BN159" s="176">
        <v>240285.85964371986</v>
      </c>
      <c r="BO159" s="176">
        <v>241280.89559438283</v>
      </c>
      <c r="BP159" s="176">
        <v>242247.75669615957</v>
      </c>
      <c r="BQ159" s="176">
        <v>243250.91696217578</v>
      </c>
      <c r="BR159" s="176">
        <v>244258.23136581143</v>
      </c>
      <c r="BS159" s="176">
        <v>245237.02325115574</v>
      </c>
      <c r="BT159" s="176">
        <v>246252.56222182294</v>
      </c>
      <c r="BU159" s="176">
        <v>247239.34579222795</v>
      </c>
      <c r="BV159" s="176">
        <v>248263.17648225033</v>
      </c>
      <c r="BW159" s="176">
        <v>249294.06937832022</v>
      </c>
      <c r="BX159" s="176">
        <v>250228.87730636148</v>
      </c>
      <c r="BY159" s="176">
        <v>251267.93261718849</v>
      </c>
      <c r="BZ159" s="176">
        <v>252277.57789942354</v>
      </c>
      <c r="CA159" s="176">
        <v>253325.14027488048</v>
      </c>
      <c r="CB159" s="176">
        <v>254343.05183281784</v>
      </c>
      <c r="CC159" s="176">
        <v>255399.19092285295</v>
      </c>
      <c r="CD159" s="176">
        <v>256459.71554561425</v>
      </c>
      <c r="CE159" s="176">
        <v>257490.22245983503</v>
      </c>
      <c r="CF159" s="176">
        <v>258559.42992307019</v>
      </c>
      <c r="CG159" s="176">
        <v>259598.37391357502</v>
      </c>
      <c r="CH159" s="176">
        <v>260676.33530636312</v>
      </c>
      <c r="CI159" s="176">
        <v>261758.77284723651</v>
      </c>
      <c r="CJ159" s="176">
        <v>262740.32117167983</v>
      </c>
      <c r="CK159" s="176">
        <v>263831.32924804819</v>
      </c>
    </row>
    <row r="160" spans="2:89">
      <c r="B160" s="86" t="str">
        <v>Реализация с/х продукции</v>
      </c>
      <c r="C160" s="46"/>
      <c r="D160" s="47">
        <f t="shared" si="207"/>
        <v>5726285.2184394225</v>
      </c>
      <c r="E160" s="48"/>
      <c r="F160" s="176">
        <v>0</v>
      </c>
      <c r="G160" s="176">
        <v>0</v>
      </c>
      <c r="H160" s="176">
        <v>0</v>
      </c>
      <c r="I160" s="176">
        <v>0</v>
      </c>
      <c r="J160" s="176">
        <v>0</v>
      </c>
      <c r="K160" s="176">
        <v>0</v>
      </c>
      <c r="L160" s="176">
        <v>0</v>
      </c>
      <c r="M160" s="176">
        <v>0</v>
      </c>
      <c r="N160" s="176">
        <v>0</v>
      </c>
      <c r="O160" s="176">
        <v>0</v>
      </c>
      <c r="P160" s="176">
        <v>0</v>
      </c>
      <c r="Q160" s="176">
        <v>0</v>
      </c>
      <c r="R160" s="176">
        <v>54560.720902641566</v>
      </c>
      <c r="S160" s="176">
        <v>54786.659619437938</v>
      </c>
      <c r="T160" s="176">
        <v>55006.200789292372</v>
      </c>
      <c r="U160" s="176">
        <v>55233.984260928562</v>
      </c>
      <c r="V160" s="176">
        <v>55462.71099549158</v>
      </c>
      <c r="W160" s="176">
        <v>55684.961239252181</v>
      </c>
      <c r="X160" s="176">
        <v>55915.555492390849</v>
      </c>
      <c r="Y160" s="176">
        <v>56139.620375176753</v>
      </c>
      <c r="Z160" s="176">
        <v>56372.097394892757</v>
      </c>
      <c r="AA160" s="176">
        <v>56606.178000661166</v>
      </c>
      <c r="AB160" s="176">
        <v>56818.44098831703</v>
      </c>
      <c r="AC160" s="176">
        <v>57054.375000000022</v>
      </c>
      <c r="AD160" s="176">
        <v>58642.182533497391</v>
      </c>
      <c r="AE160" s="176">
        <v>60329.353451341951</v>
      </c>
      <c r="AF160" s="176">
        <v>62008.30273263836</v>
      </c>
      <c r="AG160" s="176">
        <v>63792.318956380543</v>
      </c>
      <c r="AH160" s="176">
        <v>65627.662401580441</v>
      </c>
      <c r="AI160" s="176">
        <v>67454.06216088112</v>
      </c>
      <c r="AJ160" s="176">
        <v>69394.756163927639</v>
      </c>
      <c r="AK160" s="176">
        <v>71325.993104518027</v>
      </c>
      <c r="AL160" s="176">
        <v>73378.084893284336</v>
      </c>
      <c r="AM160" s="176">
        <v>75489.216599004227</v>
      </c>
      <c r="AN160" s="176">
        <v>77448.203225501857</v>
      </c>
      <c r="AO160" s="176">
        <v>79676.434687500107</v>
      </c>
      <c r="AP160" s="176">
        <v>79996.59068810723</v>
      </c>
      <c r="AQ160" s="176">
        <v>80328.770104397263</v>
      </c>
      <c r="AR160" s="176">
        <v>80651.547320410769</v>
      </c>
      <c r="AS160" s="176">
        <v>80986.446391500358</v>
      </c>
      <c r="AT160" s="176">
        <v>81322.73610407846</v>
      </c>
      <c r="AU160" s="176">
        <v>81649.507276152464</v>
      </c>
      <c r="AV160" s="176">
        <v>81988.550295786947</v>
      </c>
      <c r="AW160" s="176">
        <v>82317.996843705769</v>
      </c>
      <c r="AX160" s="176">
        <v>82659.815712566269</v>
      </c>
      <c r="AY160" s="176">
        <v>83003.05395681964</v>
      </c>
      <c r="AZ160" s="176">
        <v>83314.300482194129</v>
      </c>
      <c r="BA160" s="176">
        <v>83660.256421875209</v>
      </c>
      <c r="BB160" s="176">
        <v>83996.420222512694</v>
      </c>
      <c r="BC160" s="176">
        <v>84345.208609617228</v>
      </c>
      <c r="BD160" s="176">
        <v>84684.124686431431</v>
      </c>
      <c r="BE160" s="176">
        <v>85035.768711075492</v>
      </c>
      <c r="BF160" s="176">
        <v>85388.872909282494</v>
      </c>
      <c r="BG160" s="176">
        <v>85731.982639960173</v>
      </c>
      <c r="BH160" s="176">
        <v>86087.977810576398</v>
      </c>
      <c r="BI160" s="176">
        <v>86433.896685891144</v>
      </c>
      <c r="BJ160" s="176">
        <v>86792.806498194681</v>
      </c>
      <c r="BK160" s="176">
        <v>87152.219918745875</v>
      </c>
      <c r="BL160" s="176">
        <v>87489.792669755363</v>
      </c>
      <c r="BM160" s="176">
        <v>87852.092345448036</v>
      </c>
      <c r="BN160" s="176">
        <v>88204.133358016654</v>
      </c>
      <c r="BO160" s="176">
        <v>88569.391154786019</v>
      </c>
      <c r="BP160" s="176">
        <v>88924.306528026224</v>
      </c>
      <c r="BQ160" s="176">
        <v>89292.546598475456</v>
      </c>
      <c r="BR160" s="176">
        <v>89662.311569762038</v>
      </c>
      <c r="BS160" s="176">
        <v>90021.606495034212</v>
      </c>
      <c r="BT160" s="176">
        <v>90394.390540386725</v>
      </c>
      <c r="BU160" s="176">
        <v>90756.619053410992</v>
      </c>
      <c r="BV160" s="176">
        <v>91132.446823104416</v>
      </c>
      <c r="BW160" s="176">
        <v>91510.866987393747</v>
      </c>
      <c r="BX160" s="176">
        <v>91854.01628161913</v>
      </c>
      <c r="BY160" s="176">
        <v>92235.432705117521</v>
      </c>
      <c r="BZ160" s="176">
        <v>92606.053295320351</v>
      </c>
      <c r="CA160" s="176">
        <v>92990.592492103096</v>
      </c>
      <c r="CB160" s="176">
        <v>93364.247466790737</v>
      </c>
      <c r="CC160" s="176">
        <v>93751.935003960811</v>
      </c>
      <c r="CD160" s="176">
        <v>94141.232382484042</v>
      </c>
      <c r="CE160" s="176">
        <v>94519.510860556198</v>
      </c>
      <c r="CF160" s="176">
        <v>94911.995536160568</v>
      </c>
      <c r="CG160" s="176">
        <v>95293.371096195086</v>
      </c>
      <c r="CH160" s="176">
        <v>95689.069164259738</v>
      </c>
      <c r="CI160" s="176">
        <v>96086.41033676354</v>
      </c>
      <c r="CJ160" s="176">
        <v>96446.71709570018</v>
      </c>
      <c r="CK160" s="176">
        <v>96847.204340373471</v>
      </c>
    </row>
    <row r="161" spans="2:89" ht="15.75" thickBot="1">
      <c r="B161" s="86" t="str">
        <v>Форель</v>
      </c>
      <c r="C161" s="46"/>
      <c r="D161" s="47">
        <f t="shared" si="207"/>
        <v>4148604040.0295272</v>
      </c>
      <c r="E161" s="48"/>
      <c r="F161" s="176">
        <v>0</v>
      </c>
      <c r="G161" s="176">
        <v>0</v>
      </c>
      <c r="H161" s="176">
        <v>0</v>
      </c>
      <c r="I161" s="176">
        <v>0</v>
      </c>
      <c r="J161" s="176">
        <v>0</v>
      </c>
      <c r="K161" s="176">
        <v>0</v>
      </c>
      <c r="L161" s="176">
        <v>0</v>
      </c>
      <c r="M161" s="176">
        <v>0</v>
      </c>
      <c r="N161" s="176">
        <v>0</v>
      </c>
      <c r="O161" s="176">
        <v>0</v>
      </c>
      <c r="P161" s="176">
        <v>0</v>
      </c>
      <c r="Q161" s="176">
        <v>0</v>
      </c>
      <c r="R161" s="176">
        <v>0</v>
      </c>
      <c r="S161" s="176">
        <v>0</v>
      </c>
      <c r="T161" s="176">
        <v>0</v>
      </c>
      <c r="U161" s="176">
        <v>0</v>
      </c>
      <c r="V161" s="176">
        <v>0</v>
      </c>
      <c r="W161" s="176">
        <v>0</v>
      </c>
      <c r="X161" s="176">
        <v>0</v>
      </c>
      <c r="Y161" s="176">
        <v>0</v>
      </c>
      <c r="Z161" s="176">
        <v>0</v>
      </c>
      <c r="AA161" s="176">
        <v>0</v>
      </c>
      <c r="AB161" s="176">
        <v>0</v>
      </c>
      <c r="AC161" s="176">
        <v>0</v>
      </c>
      <c r="AD161" s="176">
        <v>6429473.4371518865</v>
      </c>
      <c r="AE161" s="176">
        <v>7601470.5719189225</v>
      </c>
      <c r="AF161" s="176">
        <v>8938691.5835305974</v>
      </c>
      <c r="AG161" s="176">
        <v>10568081.770280443</v>
      </c>
      <c r="AH161" s="176">
        <v>12494485.491490783</v>
      </c>
      <c r="AI161" s="176">
        <v>14692466.575601056</v>
      </c>
      <c r="AJ161" s="176">
        <v>17370684.146228854</v>
      </c>
      <c r="AK161" s="176">
        <v>20426467.05121262</v>
      </c>
      <c r="AL161" s="176">
        <v>24149907.406234797</v>
      </c>
      <c r="AM161" s="176">
        <v>28552075.416051522</v>
      </c>
      <c r="AN161" s="176">
        <v>33214082.553188611</v>
      </c>
      <c r="AO161" s="176">
        <v>39268514.532224305</v>
      </c>
      <c r="AP161" s="176">
        <v>41737674.763143599</v>
      </c>
      <c r="AQ161" s="176">
        <v>44452359.787518755</v>
      </c>
      <c r="AR161" s="176">
        <v>47247474.404543206</v>
      </c>
      <c r="AS161" s="176">
        <v>50320525.597103246</v>
      </c>
      <c r="AT161" s="176">
        <v>53593452.947089955</v>
      </c>
      <c r="AU161" s="176">
        <v>56963349.268123597</v>
      </c>
      <c r="AV161" s="176">
        <v>60668336.478694782</v>
      </c>
      <c r="AW161" s="176">
        <v>64483093.555545636</v>
      </c>
      <c r="AX161" s="176">
        <v>68677176.94409129</v>
      </c>
      <c r="AY161" s="176">
        <v>73144050.214451805</v>
      </c>
      <c r="AZ161" s="176">
        <v>77427849.527117535</v>
      </c>
      <c r="BA161" s="176">
        <v>82463880.517671153</v>
      </c>
      <c r="BB161" s="176">
        <v>82795237.038386852</v>
      </c>
      <c r="BC161" s="176">
        <v>83139037.608816594</v>
      </c>
      <c r="BD161" s="176">
        <v>83473107.04703334</v>
      </c>
      <c r="BE161" s="176">
        <v>83819722.418217137</v>
      </c>
      <c r="BF161" s="176">
        <v>84167777.081884384</v>
      </c>
      <c r="BG161" s="176">
        <v>84505980.202998132</v>
      </c>
      <c r="BH161" s="176">
        <v>84856884.496986017</v>
      </c>
      <c r="BI161" s="176">
        <v>85197856.590818912</v>
      </c>
      <c r="BJ161" s="176">
        <v>85551633.845925182</v>
      </c>
      <c r="BK161" s="176">
        <v>85905907.507475078</v>
      </c>
      <c r="BL161" s="176">
        <v>86238652.829995856</v>
      </c>
      <c r="BM161" s="176">
        <v>86595771.472057536</v>
      </c>
      <c r="BN161" s="176">
        <v>86942778.154076114</v>
      </c>
      <c r="BO161" s="176">
        <v>87302812.614872485</v>
      </c>
      <c r="BP161" s="176">
        <v>87652652.553028733</v>
      </c>
      <c r="BQ161" s="176">
        <v>88015626.639770895</v>
      </c>
      <c r="BR161" s="176">
        <v>88380103.820644349</v>
      </c>
      <c r="BS161" s="176">
        <v>88734260.681446224</v>
      </c>
      <c r="BT161" s="176">
        <v>89101713.762390956</v>
      </c>
      <c r="BU161" s="176">
        <v>89458762.259439498</v>
      </c>
      <c r="BV161" s="176">
        <v>89829215.538221449</v>
      </c>
      <c r="BW161" s="176">
        <v>90202224.139295653</v>
      </c>
      <c r="BX161" s="176">
        <v>90540466.258182183</v>
      </c>
      <c r="BY161" s="176">
        <v>90916428.270732537</v>
      </c>
      <c r="BZ161" s="176">
        <v>91281748.834821612</v>
      </c>
      <c r="CA161" s="176">
        <v>91660788.963720396</v>
      </c>
      <c r="CB161" s="176">
        <v>92029100.519354343</v>
      </c>
      <c r="CC161" s="176">
        <v>92411243.966084495</v>
      </c>
      <c r="CD161" s="176">
        <v>92794974.232777625</v>
      </c>
      <c r="CE161" s="176">
        <v>93167843.17380555</v>
      </c>
      <c r="CF161" s="176">
        <v>93554715.157927185</v>
      </c>
      <c r="CG161" s="176">
        <v>93930636.891377941</v>
      </c>
      <c r="CH161" s="176">
        <v>94320676.315132603</v>
      </c>
      <c r="CI161" s="176">
        <v>94712335.346260533</v>
      </c>
      <c r="CJ161" s="176">
        <v>95067489.571091384</v>
      </c>
      <c r="CK161" s="176">
        <v>95462249.684269249</v>
      </c>
    </row>
    <row r="162" spans="2:89" ht="15.75" thickTop="1">
      <c r="B162" s="50" t="s">
        <v>50</v>
      </c>
      <c r="C162" s="51"/>
      <c r="D162" s="52">
        <f>SUM(D151:D161)</f>
        <v>12688422144.893034</v>
      </c>
      <c r="E162" s="53"/>
      <c r="F162" s="54">
        <f>SUM(F151:F161)</f>
        <v>0</v>
      </c>
      <c r="G162" s="54">
        <f t="shared" ref="G162:AG162" si="208">SUM(G151:G161)</f>
        <v>0</v>
      </c>
      <c r="H162" s="54">
        <f t="shared" si="208"/>
        <v>0</v>
      </c>
      <c r="I162" s="54">
        <f t="shared" si="208"/>
        <v>0</v>
      </c>
      <c r="J162" s="54">
        <f t="shared" si="208"/>
        <v>0</v>
      </c>
      <c r="K162" s="54">
        <f t="shared" si="208"/>
        <v>0</v>
      </c>
      <c r="L162" s="54">
        <f t="shared" si="208"/>
        <v>0</v>
      </c>
      <c r="M162" s="54">
        <f t="shared" si="208"/>
        <v>0</v>
      </c>
      <c r="N162" s="54">
        <f t="shared" si="208"/>
        <v>0</v>
      </c>
      <c r="O162" s="54">
        <f t="shared" si="208"/>
        <v>0</v>
      </c>
      <c r="P162" s="54">
        <f t="shared" si="208"/>
        <v>0</v>
      </c>
      <c r="Q162" s="54">
        <f t="shared" si="208"/>
        <v>0</v>
      </c>
      <c r="R162" s="54">
        <f t="shared" si="208"/>
        <v>84593234.819203585</v>
      </c>
      <c r="S162" s="54">
        <f t="shared" si="208"/>
        <v>84943539.701699734</v>
      </c>
      <c r="T162" s="54">
        <f t="shared" si="208"/>
        <v>85283925.558534667</v>
      </c>
      <c r="U162" s="54">
        <f t="shared" si="208"/>
        <v>85637090.626467645</v>
      </c>
      <c r="V162" s="54">
        <f t="shared" si="208"/>
        <v>85991718.168886796</v>
      </c>
      <c r="W162" s="54">
        <f t="shared" si="208"/>
        <v>86336304.287765473</v>
      </c>
      <c r="X162" s="54">
        <f t="shared" si="208"/>
        <v>86693827.309474215</v>
      </c>
      <c r="Y162" s="54">
        <f t="shared" si="208"/>
        <v>87041226.92096515</v>
      </c>
      <c r="Z162" s="54">
        <f t="shared" si="208"/>
        <v>87401669.063106164</v>
      </c>
      <c r="AA162" s="54">
        <f t="shared" si="208"/>
        <v>87764597.472459882</v>
      </c>
      <c r="AB162" s="54">
        <f t="shared" si="208"/>
        <v>88093698.929719552</v>
      </c>
      <c r="AC162" s="54">
        <f t="shared" si="208"/>
        <v>88459500.93750003</v>
      </c>
      <c r="AD162" s="54">
        <f t="shared" si="208"/>
        <v>97882680.373785973</v>
      </c>
      <c r="AE162" s="54">
        <f t="shared" si="208"/>
        <v>100830483.10153191</v>
      </c>
      <c r="AF162" s="54">
        <f t="shared" si="208"/>
        <v>103973509.84813654</v>
      </c>
      <c r="AG162" s="54">
        <f t="shared" si="208"/>
        <v>107569616.47882247</v>
      </c>
      <c r="AH162" s="54">
        <f t="shared" ref="AH162:BM162" si="209">SUM(AH151:AH161)</f>
        <v>111577560.11927409</v>
      </c>
      <c r="AI162" s="54">
        <f t="shared" si="209"/>
        <v>115913075.40317665</v>
      </c>
      <c r="AJ162" s="54">
        <f t="shared" si="209"/>
        <v>120943994.09081523</v>
      </c>
      <c r="AK162" s="54">
        <f t="shared" si="209"/>
        <v>126434493.4312381</v>
      </c>
      <c r="AL162" s="54">
        <f t="shared" si="209"/>
        <v>132859743.05431099</v>
      </c>
      <c r="AM162" s="54">
        <f t="shared" si="209"/>
        <v>140179816.96508408</v>
      </c>
      <c r="AN162" s="54">
        <f t="shared" si="209"/>
        <v>147689723.2431891</v>
      </c>
      <c r="AO162" s="54">
        <f t="shared" si="209"/>
        <v>157166828.75749788</v>
      </c>
      <c r="AP162" s="54">
        <f t="shared" si="209"/>
        <v>160109728.21769786</v>
      </c>
      <c r="AQ162" s="54">
        <f t="shared" si="209"/>
        <v>163315943.68460009</v>
      </c>
      <c r="AR162" s="54">
        <f t="shared" si="209"/>
        <v>166588676.17932671</v>
      </c>
      <c r="AS162" s="54">
        <f t="shared" si="209"/>
        <v>170157282.12495688</v>
      </c>
      <c r="AT162" s="54">
        <f t="shared" si="209"/>
        <v>173927821.97931534</v>
      </c>
      <c r="AU162" s="54">
        <f t="shared" si="209"/>
        <v>177781246.08966392</v>
      </c>
      <c r="AV162" s="54">
        <f t="shared" si="209"/>
        <v>181987919.91085631</v>
      </c>
      <c r="AW162" s="54">
        <f t="shared" si="209"/>
        <v>186290163.56738788</v>
      </c>
      <c r="AX162" s="54">
        <f t="shared" si="209"/>
        <v>190990041.02876204</v>
      </c>
      <c r="AY162" s="54">
        <f t="shared" si="209"/>
        <v>195964808.64120537</v>
      </c>
      <c r="AZ162" s="54">
        <f t="shared" si="209"/>
        <v>200709163.71033847</v>
      </c>
      <c r="BA162" s="54">
        <f t="shared" si="209"/>
        <v>206257110.45420855</v>
      </c>
      <c r="BB162" s="54">
        <f t="shared" si="209"/>
        <v>207085893.1656689</v>
      </c>
      <c r="BC162" s="54">
        <f t="shared" si="209"/>
        <v>207945800.70075214</v>
      </c>
      <c r="BD162" s="54">
        <f t="shared" si="209"/>
        <v>208781368.9105562</v>
      </c>
      <c r="BE162" s="54">
        <f t="shared" si="209"/>
        <v>209648316.77246362</v>
      </c>
      <c r="BF162" s="54">
        <f t="shared" si="209"/>
        <v>210518864.56572121</v>
      </c>
      <c r="BG162" s="54">
        <f t="shared" si="209"/>
        <v>211364771.86561561</v>
      </c>
      <c r="BH162" s="54">
        <f t="shared" si="209"/>
        <v>212242447.10075575</v>
      </c>
      <c r="BI162" s="54">
        <f t="shared" si="209"/>
        <v>213095280.10325339</v>
      </c>
      <c r="BJ162" s="54">
        <f t="shared" si="209"/>
        <v>213980141.13482958</v>
      </c>
      <c r="BK162" s="54">
        <f t="shared" si="209"/>
        <v>214866243.7688871</v>
      </c>
      <c r="BL162" s="54">
        <f t="shared" si="209"/>
        <v>215698500.12536043</v>
      </c>
      <c r="BM162" s="54">
        <f t="shared" si="209"/>
        <v>216591718.57128584</v>
      </c>
      <c r="BN162" s="54">
        <f t="shared" ref="BN162:CK162" si="210">SUM(BN151:BN161)</f>
        <v>217459645.17250997</v>
      </c>
      <c r="BO162" s="54">
        <f t="shared" si="210"/>
        <v>218360156.60953707</v>
      </c>
      <c r="BP162" s="54">
        <f t="shared" si="210"/>
        <v>219235169.69784456</v>
      </c>
      <c r="BQ162" s="54">
        <f t="shared" si="210"/>
        <v>220143033.67212296</v>
      </c>
      <c r="BR162" s="54">
        <f t="shared" si="210"/>
        <v>221054657.15723592</v>
      </c>
      <c r="BS162" s="54">
        <f t="shared" si="210"/>
        <v>221940467.65145433</v>
      </c>
      <c r="BT162" s="54">
        <f t="shared" si="210"/>
        <v>222859534.40198052</v>
      </c>
      <c r="BU162" s="54">
        <f t="shared" si="210"/>
        <v>223752577.40251541</v>
      </c>
      <c r="BV162" s="54">
        <f t="shared" si="210"/>
        <v>224679148.19157109</v>
      </c>
      <c r="BW162" s="54">
        <f t="shared" si="210"/>
        <v>225612110.30479163</v>
      </c>
      <c r="BX162" s="54">
        <f t="shared" si="210"/>
        <v>226458115.14518344</v>
      </c>
      <c r="BY162" s="54">
        <f t="shared" si="210"/>
        <v>227398464.27576518</v>
      </c>
      <c r="BZ162" s="54">
        <f t="shared" si="210"/>
        <v>228312197.21515024</v>
      </c>
      <c r="CA162" s="54">
        <f t="shared" si="210"/>
        <v>229260245.27257949</v>
      </c>
      <c r="CB162" s="54">
        <f t="shared" si="210"/>
        <v>230181459.22388843</v>
      </c>
      <c r="CC162" s="54">
        <f t="shared" si="210"/>
        <v>231137269.2416414</v>
      </c>
      <c r="CD162" s="54">
        <f t="shared" si="210"/>
        <v>232097048.18370789</v>
      </c>
      <c r="CE162" s="54">
        <f t="shared" si="210"/>
        <v>233029660.98184144</v>
      </c>
      <c r="CF162" s="54">
        <f t="shared" si="210"/>
        <v>233997297.92858341</v>
      </c>
      <c r="CG162" s="54">
        <f t="shared" si="210"/>
        <v>234937546.31383711</v>
      </c>
      <c r="CH162" s="54">
        <f t="shared" si="210"/>
        <v>235913105.60114986</v>
      </c>
      <c r="CI162" s="54">
        <f t="shared" si="210"/>
        <v>236892715.82003146</v>
      </c>
      <c r="CJ162" s="54">
        <f t="shared" si="210"/>
        <v>237781020.90244284</v>
      </c>
      <c r="CK162" s="54">
        <f t="shared" si="210"/>
        <v>238768387.48955363</v>
      </c>
    </row>
    <row r="163" spans="2:89">
      <c r="B163" s="14"/>
      <c r="C163" s="14"/>
      <c r="D163" s="14"/>
      <c r="E163" s="1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  <c r="BH163" s="154"/>
      <c r="BI163" s="154"/>
      <c r="BJ163" s="154"/>
      <c r="BK163" s="154"/>
      <c r="BL163" s="154"/>
      <c r="BM163" s="15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</row>
    <row r="164" spans="2:89" ht="20.25" thickBot="1">
      <c r="B164" s="26" t="s">
        <v>49</v>
      </c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</row>
    <row r="165" spans="2:89" ht="15.75" thickTop="1">
      <c r="B165" s="14"/>
      <c r="C165" s="14"/>
      <c r="D165" s="14"/>
      <c r="E165" s="1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</row>
    <row r="166" spans="2:89" ht="18" thickBot="1">
      <c r="B166" s="100" t="s">
        <v>232</v>
      </c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</row>
    <row r="167" spans="2:89" ht="15.75" thickTop="1">
      <c r="B167" s="14"/>
      <c r="C167" s="186"/>
      <c r="D167" s="14"/>
      <c r="E167" s="1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</row>
    <row r="168" spans="2:89" ht="15.75" thickBot="1">
      <c r="B168" s="96" t="str">
        <f>"Ставка затрат в текущих ценах, в "&amp;Ед_измерения_денег&amp;" в т.ч. НДС"</f>
        <v>Ставка затрат в текущих ценах, в  руб. в т.ч. НДС</v>
      </c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</row>
    <row r="169" spans="2:89">
      <c r="B169" s="14"/>
      <c r="C169" s="14"/>
      <c r="D169" s="14"/>
      <c r="E169" s="1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  <c r="BI169" s="154"/>
      <c r="BJ169" s="154"/>
      <c r="BK169" s="154"/>
      <c r="BL169" s="154"/>
      <c r="BM169" s="15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</row>
    <row r="170" spans="2:89">
      <c r="B170" s="45" t="str">
        <f t="array" ref="B170:B179">ПМЗ_наименования</f>
        <v>Отходы</v>
      </c>
      <c r="C170" s="118"/>
      <c r="D170" s="118"/>
      <c r="E170" s="46"/>
      <c r="F170" s="49">
        <f t="array" ref="F170:CK179">ПМЗ_ставки*F14:CK14</f>
        <v>0</v>
      </c>
      <c r="G170" s="49">
        <v>0</v>
      </c>
      <c r="H170" s="49">
        <v>0</v>
      </c>
      <c r="I170" s="49">
        <v>0</v>
      </c>
      <c r="J170" s="49">
        <v>0</v>
      </c>
      <c r="K170" s="49">
        <v>0</v>
      </c>
      <c r="L170" s="49">
        <v>0</v>
      </c>
      <c r="M170" s="49">
        <v>0</v>
      </c>
      <c r="N170" s="49">
        <v>0</v>
      </c>
      <c r="O170" s="49">
        <v>0</v>
      </c>
      <c r="P170" s="49">
        <v>0</v>
      </c>
      <c r="Q170" s="49">
        <v>0</v>
      </c>
      <c r="R170" s="49">
        <v>270</v>
      </c>
      <c r="S170" s="49">
        <v>270</v>
      </c>
      <c r="T170" s="49">
        <v>270</v>
      </c>
      <c r="U170" s="49">
        <v>270</v>
      </c>
      <c r="V170" s="49">
        <v>270</v>
      </c>
      <c r="W170" s="49">
        <v>270</v>
      </c>
      <c r="X170" s="49">
        <v>270</v>
      </c>
      <c r="Y170" s="49">
        <v>270</v>
      </c>
      <c r="Z170" s="49">
        <v>270</v>
      </c>
      <c r="AA170" s="49">
        <v>270</v>
      </c>
      <c r="AB170" s="49">
        <v>270</v>
      </c>
      <c r="AC170" s="49">
        <v>270</v>
      </c>
      <c r="AD170" s="49">
        <v>270</v>
      </c>
      <c r="AE170" s="49">
        <v>270</v>
      </c>
      <c r="AF170" s="49">
        <v>270</v>
      </c>
      <c r="AG170" s="49">
        <v>270</v>
      </c>
      <c r="AH170" s="49">
        <v>270</v>
      </c>
      <c r="AI170" s="49">
        <v>270</v>
      </c>
      <c r="AJ170" s="49">
        <v>270</v>
      </c>
      <c r="AK170" s="49">
        <v>270</v>
      </c>
      <c r="AL170" s="49">
        <v>270</v>
      </c>
      <c r="AM170" s="49">
        <v>270</v>
      </c>
      <c r="AN170" s="49">
        <v>270</v>
      </c>
      <c r="AO170" s="49">
        <v>270</v>
      </c>
      <c r="AP170" s="49">
        <v>270</v>
      </c>
      <c r="AQ170" s="49">
        <v>270</v>
      </c>
      <c r="AR170" s="49">
        <v>270</v>
      </c>
      <c r="AS170" s="49">
        <v>270</v>
      </c>
      <c r="AT170" s="49">
        <v>270</v>
      </c>
      <c r="AU170" s="49">
        <v>270</v>
      </c>
      <c r="AV170" s="49">
        <v>270</v>
      </c>
      <c r="AW170" s="49">
        <v>270</v>
      </c>
      <c r="AX170" s="49">
        <v>270</v>
      </c>
      <c r="AY170" s="49">
        <v>270</v>
      </c>
      <c r="AZ170" s="49">
        <v>270</v>
      </c>
      <c r="BA170" s="49">
        <v>270</v>
      </c>
      <c r="BB170" s="49">
        <v>270</v>
      </c>
      <c r="BC170" s="49">
        <v>270</v>
      </c>
      <c r="BD170" s="49">
        <v>270</v>
      </c>
      <c r="BE170" s="49">
        <v>270</v>
      </c>
      <c r="BF170" s="49">
        <v>270</v>
      </c>
      <c r="BG170" s="49">
        <v>270</v>
      </c>
      <c r="BH170" s="49">
        <v>270</v>
      </c>
      <c r="BI170" s="49">
        <v>270</v>
      </c>
      <c r="BJ170" s="49">
        <v>270</v>
      </c>
      <c r="BK170" s="49">
        <v>270</v>
      </c>
      <c r="BL170" s="49">
        <v>270</v>
      </c>
      <c r="BM170" s="49">
        <v>270</v>
      </c>
      <c r="BN170" s="49">
        <v>270</v>
      </c>
      <c r="BO170" s="49">
        <v>270</v>
      </c>
      <c r="BP170" s="49">
        <v>270</v>
      </c>
      <c r="BQ170" s="49">
        <v>270</v>
      </c>
      <c r="BR170" s="49">
        <v>270</v>
      </c>
      <c r="BS170" s="49">
        <v>270</v>
      </c>
      <c r="BT170" s="49">
        <v>270</v>
      </c>
      <c r="BU170" s="49">
        <v>270</v>
      </c>
      <c r="BV170" s="49">
        <v>270</v>
      </c>
      <c r="BW170" s="49">
        <v>270</v>
      </c>
      <c r="BX170" s="49">
        <v>270</v>
      </c>
      <c r="BY170" s="49">
        <v>270</v>
      </c>
      <c r="BZ170" s="49">
        <v>270</v>
      </c>
      <c r="CA170" s="49">
        <v>270</v>
      </c>
      <c r="CB170" s="49">
        <v>270</v>
      </c>
      <c r="CC170" s="49">
        <v>270</v>
      </c>
      <c r="CD170" s="49">
        <v>270</v>
      </c>
      <c r="CE170" s="49">
        <v>270</v>
      </c>
      <c r="CF170" s="49">
        <v>270</v>
      </c>
      <c r="CG170" s="49">
        <v>270</v>
      </c>
      <c r="CH170" s="49">
        <v>270</v>
      </c>
      <c r="CI170" s="49">
        <v>270</v>
      </c>
      <c r="CJ170" s="49">
        <v>270</v>
      </c>
      <c r="CK170" s="49">
        <v>270</v>
      </c>
    </row>
    <row r="171" spans="2:89">
      <c r="B171" s="45" t="str">
        <v>Фуражное зерно (кукуруза)</v>
      </c>
      <c r="C171" s="118"/>
      <c r="D171" s="118"/>
      <c r="E171" s="46"/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49">
        <v>0</v>
      </c>
      <c r="O171" s="49">
        <v>0</v>
      </c>
      <c r="P171" s="49">
        <v>0</v>
      </c>
      <c r="Q171" s="49">
        <v>0</v>
      </c>
      <c r="R171" s="49">
        <v>19656</v>
      </c>
      <c r="S171" s="49">
        <v>19656</v>
      </c>
      <c r="T171" s="49">
        <v>19656</v>
      </c>
      <c r="U171" s="49">
        <v>19656</v>
      </c>
      <c r="V171" s="49">
        <v>19656</v>
      </c>
      <c r="W171" s="49">
        <v>19656</v>
      </c>
      <c r="X171" s="49">
        <v>19656</v>
      </c>
      <c r="Y171" s="49">
        <v>19656</v>
      </c>
      <c r="Z171" s="49">
        <v>19656</v>
      </c>
      <c r="AA171" s="49">
        <v>19656</v>
      </c>
      <c r="AB171" s="49">
        <v>19656</v>
      </c>
      <c r="AC171" s="49">
        <v>19656</v>
      </c>
      <c r="AD171" s="49">
        <v>19656</v>
      </c>
      <c r="AE171" s="49">
        <v>19656</v>
      </c>
      <c r="AF171" s="49">
        <v>19656</v>
      </c>
      <c r="AG171" s="49">
        <v>19656</v>
      </c>
      <c r="AH171" s="49">
        <v>19656</v>
      </c>
      <c r="AI171" s="49">
        <v>19656</v>
      </c>
      <c r="AJ171" s="49">
        <v>19656</v>
      </c>
      <c r="AK171" s="49">
        <v>19656</v>
      </c>
      <c r="AL171" s="49">
        <v>19656</v>
      </c>
      <c r="AM171" s="49">
        <v>19656</v>
      </c>
      <c r="AN171" s="49">
        <v>19656</v>
      </c>
      <c r="AO171" s="49">
        <v>19656</v>
      </c>
      <c r="AP171" s="49">
        <v>19656</v>
      </c>
      <c r="AQ171" s="49">
        <v>19656</v>
      </c>
      <c r="AR171" s="49">
        <v>19656</v>
      </c>
      <c r="AS171" s="49">
        <v>19656</v>
      </c>
      <c r="AT171" s="49">
        <v>19656</v>
      </c>
      <c r="AU171" s="49">
        <v>19656</v>
      </c>
      <c r="AV171" s="49">
        <v>19656</v>
      </c>
      <c r="AW171" s="49">
        <v>19656</v>
      </c>
      <c r="AX171" s="49">
        <v>19656</v>
      </c>
      <c r="AY171" s="49">
        <v>19656</v>
      </c>
      <c r="AZ171" s="49">
        <v>19656</v>
      </c>
      <c r="BA171" s="49">
        <v>19656</v>
      </c>
      <c r="BB171" s="49">
        <v>19656</v>
      </c>
      <c r="BC171" s="49">
        <v>19656</v>
      </c>
      <c r="BD171" s="49">
        <v>19656</v>
      </c>
      <c r="BE171" s="49">
        <v>19656</v>
      </c>
      <c r="BF171" s="49">
        <v>19656</v>
      </c>
      <c r="BG171" s="49">
        <v>19656</v>
      </c>
      <c r="BH171" s="49">
        <v>19656</v>
      </c>
      <c r="BI171" s="49">
        <v>19656</v>
      </c>
      <c r="BJ171" s="49">
        <v>19656</v>
      </c>
      <c r="BK171" s="49">
        <v>19656</v>
      </c>
      <c r="BL171" s="49">
        <v>19656</v>
      </c>
      <c r="BM171" s="49">
        <v>19656</v>
      </c>
      <c r="BN171" s="49">
        <v>19656</v>
      </c>
      <c r="BO171" s="49">
        <v>19656</v>
      </c>
      <c r="BP171" s="49">
        <v>19656</v>
      </c>
      <c r="BQ171" s="49">
        <v>19656</v>
      </c>
      <c r="BR171" s="49">
        <v>19656</v>
      </c>
      <c r="BS171" s="49">
        <v>19656</v>
      </c>
      <c r="BT171" s="49">
        <v>19656</v>
      </c>
      <c r="BU171" s="49">
        <v>19656</v>
      </c>
      <c r="BV171" s="49">
        <v>19656</v>
      </c>
      <c r="BW171" s="49">
        <v>19656</v>
      </c>
      <c r="BX171" s="49">
        <v>19656</v>
      </c>
      <c r="BY171" s="49">
        <v>19656</v>
      </c>
      <c r="BZ171" s="49">
        <v>19656</v>
      </c>
      <c r="CA171" s="49">
        <v>19656</v>
      </c>
      <c r="CB171" s="49">
        <v>19656</v>
      </c>
      <c r="CC171" s="49">
        <v>19656</v>
      </c>
      <c r="CD171" s="49">
        <v>19656</v>
      </c>
      <c r="CE171" s="49">
        <v>19656</v>
      </c>
      <c r="CF171" s="49">
        <v>19656</v>
      </c>
      <c r="CG171" s="49">
        <v>19656</v>
      </c>
      <c r="CH171" s="49">
        <v>19656</v>
      </c>
      <c r="CI171" s="49">
        <v>19656</v>
      </c>
      <c r="CJ171" s="49">
        <v>19656</v>
      </c>
      <c r="CK171" s="49">
        <v>19656</v>
      </c>
    </row>
    <row r="172" spans="2:89">
      <c r="B172" s="45" t="str">
        <v>Корм для личинок рыб стартовый</v>
      </c>
      <c r="C172" s="118"/>
      <c r="D172" s="118"/>
      <c r="E172" s="46"/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49">
        <v>0</v>
      </c>
      <c r="O172" s="49">
        <v>0</v>
      </c>
      <c r="P172" s="49">
        <v>0</v>
      </c>
      <c r="Q172" s="49">
        <v>0</v>
      </c>
      <c r="R172" s="49">
        <v>5000</v>
      </c>
      <c r="S172" s="49">
        <v>5000</v>
      </c>
      <c r="T172" s="49">
        <v>5000</v>
      </c>
      <c r="U172" s="49">
        <v>5000</v>
      </c>
      <c r="V172" s="49">
        <v>5000</v>
      </c>
      <c r="W172" s="49">
        <v>5000</v>
      </c>
      <c r="X172" s="49">
        <v>5000</v>
      </c>
      <c r="Y172" s="49">
        <v>5000</v>
      </c>
      <c r="Z172" s="49">
        <v>5000</v>
      </c>
      <c r="AA172" s="49">
        <v>5000</v>
      </c>
      <c r="AB172" s="49">
        <v>5000</v>
      </c>
      <c r="AC172" s="49">
        <v>5000</v>
      </c>
      <c r="AD172" s="49">
        <v>5000</v>
      </c>
      <c r="AE172" s="49">
        <v>5000</v>
      </c>
      <c r="AF172" s="49">
        <v>5000</v>
      </c>
      <c r="AG172" s="49">
        <v>5000</v>
      </c>
      <c r="AH172" s="49">
        <v>5000</v>
      </c>
      <c r="AI172" s="49">
        <v>5000</v>
      </c>
      <c r="AJ172" s="49">
        <v>5000</v>
      </c>
      <c r="AK172" s="49">
        <v>5000</v>
      </c>
      <c r="AL172" s="49">
        <v>5000</v>
      </c>
      <c r="AM172" s="49">
        <v>5000</v>
      </c>
      <c r="AN172" s="49">
        <v>5000</v>
      </c>
      <c r="AO172" s="49">
        <v>5000</v>
      </c>
      <c r="AP172" s="49">
        <v>5000</v>
      </c>
      <c r="AQ172" s="49">
        <v>5000</v>
      </c>
      <c r="AR172" s="49">
        <v>5000</v>
      </c>
      <c r="AS172" s="49">
        <v>5000</v>
      </c>
      <c r="AT172" s="49">
        <v>5000</v>
      </c>
      <c r="AU172" s="49">
        <v>5000</v>
      </c>
      <c r="AV172" s="49">
        <v>5000</v>
      </c>
      <c r="AW172" s="49">
        <v>5000</v>
      </c>
      <c r="AX172" s="49">
        <v>5000</v>
      </c>
      <c r="AY172" s="49">
        <v>5000</v>
      </c>
      <c r="AZ172" s="49">
        <v>5000</v>
      </c>
      <c r="BA172" s="49">
        <v>5000</v>
      </c>
      <c r="BB172" s="49">
        <v>5000</v>
      </c>
      <c r="BC172" s="49">
        <v>5000</v>
      </c>
      <c r="BD172" s="49">
        <v>5000</v>
      </c>
      <c r="BE172" s="49">
        <v>5000</v>
      </c>
      <c r="BF172" s="49">
        <v>5000</v>
      </c>
      <c r="BG172" s="49">
        <v>5000</v>
      </c>
      <c r="BH172" s="49">
        <v>5000</v>
      </c>
      <c r="BI172" s="49">
        <v>5000</v>
      </c>
      <c r="BJ172" s="49">
        <v>5000</v>
      </c>
      <c r="BK172" s="49">
        <v>5000</v>
      </c>
      <c r="BL172" s="49">
        <v>5000</v>
      </c>
      <c r="BM172" s="49">
        <v>5000</v>
      </c>
      <c r="BN172" s="49">
        <v>5000</v>
      </c>
      <c r="BO172" s="49">
        <v>5000</v>
      </c>
      <c r="BP172" s="49">
        <v>5000</v>
      </c>
      <c r="BQ172" s="49">
        <v>5000</v>
      </c>
      <c r="BR172" s="49">
        <v>5000</v>
      </c>
      <c r="BS172" s="49">
        <v>5000</v>
      </c>
      <c r="BT172" s="49">
        <v>5000</v>
      </c>
      <c r="BU172" s="49">
        <v>5000</v>
      </c>
      <c r="BV172" s="49">
        <v>5000</v>
      </c>
      <c r="BW172" s="49">
        <v>5000</v>
      </c>
      <c r="BX172" s="49">
        <v>5000</v>
      </c>
      <c r="BY172" s="49">
        <v>5000</v>
      </c>
      <c r="BZ172" s="49">
        <v>5000</v>
      </c>
      <c r="CA172" s="49">
        <v>5000</v>
      </c>
      <c r="CB172" s="49">
        <v>5000</v>
      </c>
      <c r="CC172" s="49">
        <v>5000</v>
      </c>
      <c r="CD172" s="49">
        <v>5000</v>
      </c>
      <c r="CE172" s="49">
        <v>5000</v>
      </c>
      <c r="CF172" s="49">
        <v>5000</v>
      </c>
      <c r="CG172" s="49">
        <v>5000</v>
      </c>
      <c r="CH172" s="49">
        <v>5000</v>
      </c>
      <c r="CI172" s="49">
        <v>5000</v>
      </c>
      <c r="CJ172" s="49">
        <v>5000</v>
      </c>
      <c r="CK172" s="49">
        <v>5000</v>
      </c>
    </row>
    <row r="173" spans="2:89">
      <c r="B173" s="45" t="str">
        <v xml:space="preserve">Личинки мухи </v>
      </c>
      <c r="C173" s="118"/>
      <c r="D173" s="118"/>
      <c r="E173" s="46"/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49">
        <v>0</v>
      </c>
      <c r="O173" s="49">
        <v>0</v>
      </c>
      <c r="P173" s="49">
        <v>0</v>
      </c>
      <c r="Q173" s="49">
        <v>0</v>
      </c>
      <c r="R173" s="49">
        <v>22350</v>
      </c>
      <c r="S173" s="49">
        <v>22350</v>
      </c>
      <c r="T173" s="49">
        <v>22350</v>
      </c>
      <c r="U173" s="49">
        <v>22350</v>
      </c>
      <c r="V173" s="49">
        <v>22350</v>
      </c>
      <c r="W173" s="49">
        <v>22350</v>
      </c>
      <c r="X173" s="49">
        <v>22350</v>
      </c>
      <c r="Y173" s="49">
        <v>22350</v>
      </c>
      <c r="Z173" s="49">
        <v>22350</v>
      </c>
      <c r="AA173" s="49">
        <v>22350</v>
      </c>
      <c r="AB173" s="49">
        <v>22350</v>
      </c>
      <c r="AC173" s="49">
        <v>22350</v>
      </c>
      <c r="AD173" s="49">
        <v>22350</v>
      </c>
      <c r="AE173" s="49">
        <v>22350</v>
      </c>
      <c r="AF173" s="49">
        <v>22350</v>
      </c>
      <c r="AG173" s="49">
        <v>22350</v>
      </c>
      <c r="AH173" s="49">
        <v>22350</v>
      </c>
      <c r="AI173" s="49">
        <v>22350</v>
      </c>
      <c r="AJ173" s="49">
        <v>22350</v>
      </c>
      <c r="AK173" s="49">
        <v>22350</v>
      </c>
      <c r="AL173" s="49">
        <v>22350</v>
      </c>
      <c r="AM173" s="49">
        <v>22350</v>
      </c>
      <c r="AN173" s="49">
        <v>22350</v>
      </c>
      <c r="AO173" s="49">
        <v>22350</v>
      </c>
      <c r="AP173" s="49">
        <v>22350</v>
      </c>
      <c r="AQ173" s="49">
        <v>22350</v>
      </c>
      <c r="AR173" s="49">
        <v>22350</v>
      </c>
      <c r="AS173" s="49">
        <v>22350</v>
      </c>
      <c r="AT173" s="49">
        <v>22350</v>
      </c>
      <c r="AU173" s="49">
        <v>22350</v>
      </c>
      <c r="AV173" s="49">
        <v>22350</v>
      </c>
      <c r="AW173" s="49">
        <v>22350</v>
      </c>
      <c r="AX173" s="49">
        <v>22350</v>
      </c>
      <c r="AY173" s="49">
        <v>22350</v>
      </c>
      <c r="AZ173" s="49">
        <v>22350</v>
      </c>
      <c r="BA173" s="49">
        <v>22350</v>
      </c>
      <c r="BB173" s="49">
        <v>22350</v>
      </c>
      <c r="BC173" s="49">
        <v>22350</v>
      </c>
      <c r="BD173" s="49">
        <v>22350</v>
      </c>
      <c r="BE173" s="49">
        <v>22350</v>
      </c>
      <c r="BF173" s="49">
        <v>22350</v>
      </c>
      <c r="BG173" s="49">
        <v>22350</v>
      </c>
      <c r="BH173" s="49">
        <v>22350</v>
      </c>
      <c r="BI173" s="49">
        <v>22350</v>
      </c>
      <c r="BJ173" s="49">
        <v>22350</v>
      </c>
      <c r="BK173" s="49">
        <v>22350</v>
      </c>
      <c r="BL173" s="49">
        <v>22350</v>
      </c>
      <c r="BM173" s="49">
        <v>22350</v>
      </c>
      <c r="BN173" s="49">
        <v>22350</v>
      </c>
      <c r="BO173" s="49">
        <v>22350</v>
      </c>
      <c r="BP173" s="49">
        <v>22350</v>
      </c>
      <c r="BQ173" s="49">
        <v>22350</v>
      </c>
      <c r="BR173" s="49">
        <v>22350</v>
      </c>
      <c r="BS173" s="49">
        <v>22350</v>
      </c>
      <c r="BT173" s="49">
        <v>22350</v>
      </c>
      <c r="BU173" s="49">
        <v>22350</v>
      </c>
      <c r="BV173" s="49">
        <v>22350</v>
      </c>
      <c r="BW173" s="49">
        <v>22350</v>
      </c>
      <c r="BX173" s="49">
        <v>22350</v>
      </c>
      <c r="BY173" s="49">
        <v>22350</v>
      </c>
      <c r="BZ173" s="49">
        <v>22350</v>
      </c>
      <c r="CA173" s="49">
        <v>22350</v>
      </c>
      <c r="CB173" s="49">
        <v>22350</v>
      </c>
      <c r="CC173" s="49">
        <v>22350</v>
      </c>
      <c r="CD173" s="49">
        <v>22350</v>
      </c>
      <c r="CE173" s="49">
        <v>22350</v>
      </c>
      <c r="CF173" s="49">
        <v>22350</v>
      </c>
      <c r="CG173" s="49">
        <v>22350</v>
      </c>
      <c r="CH173" s="49">
        <v>22350</v>
      </c>
      <c r="CI173" s="49">
        <v>22350</v>
      </c>
      <c r="CJ173" s="49">
        <v>22350</v>
      </c>
      <c r="CK173" s="49">
        <v>22350</v>
      </c>
    </row>
    <row r="174" spans="2:89">
      <c r="B174" s="45" t="str">
        <v>Пусто</v>
      </c>
      <c r="C174" s="118"/>
      <c r="D174" s="118"/>
      <c r="E174" s="46"/>
      <c r="F174" s="49">
        <v>0</v>
      </c>
      <c r="G174" s="49">
        <v>0</v>
      </c>
      <c r="H174" s="49">
        <v>0</v>
      </c>
      <c r="I174" s="49">
        <v>0</v>
      </c>
      <c r="J174" s="49">
        <v>0</v>
      </c>
      <c r="K174" s="49">
        <v>0</v>
      </c>
      <c r="L174" s="49">
        <v>0</v>
      </c>
      <c r="M174" s="49">
        <v>0</v>
      </c>
      <c r="N174" s="49">
        <v>0</v>
      </c>
      <c r="O174" s="49">
        <v>0</v>
      </c>
      <c r="P174" s="49">
        <v>0</v>
      </c>
      <c r="Q174" s="49">
        <v>0</v>
      </c>
      <c r="R174" s="49">
        <v>0</v>
      </c>
      <c r="S174" s="49">
        <v>0</v>
      </c>
      <c r="T174" s="49">
        <v>0</v>
      </c>
      <c r="U174" s="49">
        <v>0</v>
      </c>
      <c r="V174" s="49">
        <v>0</v>
      </c>
      <c r="W174" s="49">
        <v>0</v>
      </c>
      <c r="X174" s="49">
        <v>0</v>
      </c>
      <c r="Y174" s="49">
        <v>0</v>
      </c>
      <c r="Z174" s="49">
        <v>0</v>
      </c>
      <c r="AA174" s="49">
        <v>0</v>
      </c>
      <c r="AB174" s="49">
        <v>0</v>
      </c>
      <c r="AC174" s="49">
        <v>0</v>
      </c>
      <c r="AD174" s="49">
        <v>0</v>
      </c>
      <c r="AE174" s="49">
        <v>0</v>
      </c>
      <c r="AF174" s="49">
        <v>0</v>
      </c>
      <c r="AG174" s="49">
        <v>0</v>
      </c>
      <c r="AH174" s="49">
        <v>0</v>
      </c>
      <c r="AI174" s="49">
        <v>0</v>
      </c>
      <c r="AJ174" s="49">
        <v>0</v>
      </c>
      <c r="AK174" s="49">
        <v>0</v>
      </c>
      <c r="AL174" s="49">
        <v>0</v>
      </c>
      <c r="AM174" s="49">
        <v>0</v>
      </c>
      <c r="AN174" s="49">
        <v>0</v>
      </c>
      <c r="AO174" s="49">
        <v>0</v>
      </c>
      <c r="AP174" s="49">
        <v>0</v>
      </c>
      <c r="AQ174" s="49">
        <v>0</v>
      </c>
      <c r="AR174" s="49">
        <v>0</v>
      </c>
      <c r="AS174" s="49">
        <v>0</v>
      </c>
      <c r="AT174" s="49">
        <v>0</v>
      </c>
      <c r="AU174" s="49">
        <v>0</v>
      </c>
      <c r="AV174" s="49">
        <v>0</v>
      </c>
      <c r="AW174" s="49">
        <v>0</v>
      </c>
      <c r="AX174" s="49">
        <v>0</v>
      </c>
      <c r="AY174" s="49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9">
        <v>0</v>
      </c>
      <c r="BI174" s="49">
        <v>0</v>
      </c>
      <c r="BJ174" s="49">
        <v>0</v>
      </c>
      <c r="BK174" s="49">
        <v>0</v>
      </c>
      <c r="BL174" s="49">
        <v>0</v>
      </c>
      <c r="BM174" s="49">
        <v>0</v>
      </c>
      <c r="BN174" s="49">
        <v>0</v>
      </c>
      <c r="BO174" s="49">
        <v>0</v>
      </c>
      <c r="BP174" s="49">
        <v>0</v>
      </c>
      <c r="BQ174" s="49">
        <v>0</v>
      </c>
      <c r="BR174" s="49">
        <v>0</v>
      </c>
      <c r="BS174" s="49">
        <v>0</v>
      </c>
      <c r="BT174" s="49">
        <v>0</v>
      </c>
      <c r="BU174" s="49">
        <v>0</v>
      </c>
      <c r="BV174" s="49">
        <v>0</v>
      </c>
      <c r="BW174" s="49">
        <v>0</v>
      </c>
      <c r="BX174" s="49">
        <v>0</v>
      </c>
      <c r="BY174" s="49">
        <v>0</v>
      </c>
      <c r="BZ174" s="49">
        <v>0</v>
      </c>
      <c r="CA174" s="49">
        <v>0</v>
      </c>
      <c r="CB174" s="49">
        <v>0</v>
      </c>
      <c r="CC174" s="49">
        <v>0</v>
      </c>
      <c r="CD174" s="49">
        <v>0</v>
      </c>
      <c r="CE174" s="49">
        <v>0</v>
      </c>
      <c r="CF174" s="49">
        <v>0</v>
      </c>
      <c r="CG174" s="49">
        <v>0</v>
      </c>
      <c r="CH174" s="49">
        <v>0</v>
      </c>
      <c r="CI174" s="49">
        <v>0</v>
      </c>
      <c r="CJ174" s="49">
        <v>0</v>
      </c>
      <c r="CK174" s="49">
        <v>0</v>
      </c>
    </row>
    <row r="175" spans="2:89">
      <c r="B175" s="45" t="str">
        <v>Пусто</v>
      </c>
      <c r="C175" s="118"/>
      <c r="D175" s="118"/>
      <c r="E175" s="46"/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49">
        <v>0</v>
      </c>
      <c r="O175" s="49">
        <v>0</v>
      </c>
      <c r="P175" s="49">
        <v>0</v>
      </c>
      <c r="Q175" s="49">
        <v>0</v>
      </c>
      <c r="R175" s="49">
        <v>0</v>
      </c>
      <c r="S175" s="49">
        <v>0</v>
      </c>
      <c r="T175" s="49">
        <v>0</v>
      </c>
      <c r="U175" s="49">
        <v>0</v>
      </c>
      <c r="V175" s="49">
        <v>0</v>
      </c>
      <c r="W175" s="49">
        <v>0</v>
      </c>
      <c r="X175" s="49">
        <v>0</v>
      </c>
      <c r="Y175" s="49">
        <v>0</v>
      </c>
      <c r="Z175" s="49">
        <v>0</v>
      </c>
      <c r="AA175" s="49">
        <v>0</v>
      </c>
      <c r="AB175" s="49">
        <v>0</v>
      </c>
      <c r="AC175" s="49">
        <v>0</v>
      </c>
      <c r="AD175" s="49">
        <v>0</v>
      </c>
      <c r="AE175" s="49">
        <v>0</v>
      </c>
      <c r="AF175" s="49">
        <v>0</v>
      </c>
      <c r="AG175" s="49">
        <v>0</v>
      </c>
      <c r="AH175" s="49">
        <v>0</v>
      </c>
      <c r="AI175" s="49">
        <v>0</v>
      </c>
      <c r="AJ175" s="49">
        <v>0</v>
      </c>
      <c r="AK175" s="49">
        <v>0</v>
      </c>
      <c r="AL175" s="49">
        <v>0</v>
      </c>
      <c r="AM175" s="49">
        <v>0</v>
      </c>
      <c r="AN175" s="49">
        <v>0</v>
      </c>
      <c r="AO175" s="49">
        <v>0</v>
      </c>
      <c r="AP175" s="49">
        <v>0</v>
      </c>
      <c r="AQ175" s="49">
        <v>0</v>
      </c>
      <c r="AR175" s="49">
        <v>0</v>
      </c>
      <c r="AS175" s="49">
        <v>0</v>
      </c>
      <c r="AT175" s="49">
        <v>0</v>
      </c>
      <c r="AU175" s="49">
        <v>0</v>
      </c>
      <c r="AV175" s="49">
        <v>0</v>
      </c>
      <c r="AW175" s="49">
        <v>0</v>
      </c>
      <c r="AX175" s="49">
        <v>0</v>
      </c>
      <c r="AY175" s="49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9">
        <v>0</v>
      </c>
      <c r="BI175" s="49">
        <v>0</v>
      </c>
      <c r="BJ175" s="49">
        <v>0</v>
      </c>
      <c r="BK175" s="49">
        <v>0</v>
      </c>
      <c r="BL175" s="49">
        <v>0</v>
      </c>
      <c r="BM175" s="49">
        <v>0</v>
      </c>
      <c r="BN175" s="49">
        <v>0</v>
      </c>
      <c r="BO175" s="49">
        <v>0</v>
      </c>
      <c r="BP175" s="49">
        <v>0</v>
      </c>
      <c r="BQ175" s="49">
        <v>0</v>
      </c>
      <c r="BR175" s="49">
        <v>0</v>
      </c>
      <c r="BS175" s="49">
        <v>0</v>
      </c>
      <c r="BT175" s="49">
        <v>0</v>
      </c>
      <c r="BU175" s="49">
        <v>0</v>
      </c>
      <c r="BV175" s="49">
        <v>0</v>
      </c>
      <c r="BW175" s="49">
        <v>0</v>
      </c>
      <c r="BX175" s="49">
        <v>0</v>
      </c>
      <c r="BY175" s="49">
        <v>0</v>
      </c>
      <c r="BZ175" s="49">
        <v>0</v>
      </c>
      <c r="CA175" s="49">
        <v>0</v>
      </c>
      <c r="CB175" s="49">
        <v>0</v>
      </c>
      <c r="CC175" s="49">
        <v>0</v>
      </c>
      <c r="CD175" s="49">
        <v>0</v>
      </c>
      <c r="CE175" s="49">
        <v>0</v>
      </c>
      <c r="CF175" s="49">
        <v>0</v>
      </c>
      <c r="CG175" s="49">
        <v>0</v>
      </c>
      <c r="CH175" s="49">
        <v>0</v>
      </c>
      <c r="CI175" s="49">
        <v>0</v>
      </c>
      <c r="CJ175" s="49">
        <v>0</v>
      </c>
      <c r="CK175" s="49">
        <v>0</v>
      </c>
    </row>
    <row r="176" spans="2:89">
      <c r="B176" s="45" t="str">
        <v>Пусто</v>
      </c>
      <c r="C176" s="118"/>
      <c r="D176" s="118"/>
      <c r="E176" s="46"/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49">
        <v>0</v>
      </c>
      <c r="O176" s="49">
        <v>0</v>
      </c>
      <c r="P176" s="49">
        <v>0</v>
      </c>
      <c r="Q176" s="49">
        <v>0</v>
      </c>
      <c r="R176" s="49">
        <v>0</v>
      </c>
      <c r="S176" s="49">
        <v>0</v>
      </c>
      <c r="T176" s="49">
        <v>0</v>
      </c>
      <c r="U176" s="49">
        <v>0</v>
      </c>
      <c r="V176" s="49">
        <v>0</v>
      </c>
      <c r="W176" s="49">
        <v>0</v>
      </c>
      <c r="X176" s="49">
        <v>0</v>
      </c>
      <c r="Y176" s="49">
        <v>0</v>
      </c>
      <c r="Z176" s="49">
        <v>0</v>
      </c>
      <c r="AA176" s="49">
        <v>0</v>
      </c>
      <c r="AB176" s="49">
        <v>0</v>
      </c>
      <c r="AC176" s="49">
        <v>0</v>
      </c>
      <c r="AD176" s="49">
        <v>0</v>
      </c>
      <c r="AE176" s="49">
        <v>0</v>
      </c>
      <c r="AF176" s="49">
        <v>0</v>
      </c>
      <c r="AG176" s="49">
        <v>0</v>
      </c>
      <c r="AH176" s="49">
        <v>0</v>
      </c>
      <c r="AI176" s="49">
        <v>0</v>
      </c>
      <c r="AJ176" s="49">
        <v>0</v>
      </c>
      <c r="AK176" s="49">
        <v>0</v>
      </c>
      <c r="AL176" s="49">
        <v>0</v>
      </c>
      <c r="AM176" s="49">
        <v>0</v>
      </c>
      <c r="AN176" s="49">
        <v>0</v>
      </c>
      <c r="AO176" s="49">
        <v>0</v>
      </c>
      <c r="AP176" s="49">
        <v>0</v>
      </c>
      <c r="AQ176" s="49">
        <v>0</v>
      </c>
      <c r="AR176" s="49">
        <v>0</v>
      </c>
      <c r="AS176" s="49">
        <v>0</v>
      </c>
      <c r="AT176" s="49">
        <v>0</v>
      </c>
      <c r="AU176" s="49">
        <v>0</v>
      </c>
      <c r="AV176" s="49">
        <v>0</v>
      </c>
      <c r="AW176" s="49">
        <v>0</v>
      </c>
      <c r="AX176" s="49">
        <v>0</v>
      </c>
      <c r="AY176" s="49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9">
        <v>0</v>
      </c>
      <c r="BI176" s="49">
        <v>0</v>
      </c>
      <c r="BJ176" s="49">
        <v>0</v>
      </c>
      <c r="BK176" s="49">
        <v>0</v>
      </c>
      <c r="BL176" s="49">
        <v>0</v>
      </c>
      <c r="BM176" s="49">
        <v>0</v>
      </c>
      <c r="BN176" s="49">
        <v>0</v>
      </c>
      <c r="BO176" s="49">
        <v>0</v>
      </c>
      <c r="BP176" s="49">
        <v>0</v>
      </c>
      <c r="BQ176" s="49">
        <v>0</v>
      </c>
      <c r="BR176" s="49">
        <v>0</v>
      </c>
      <c r="BS176" s="49">
        <v>0</v>
      </c>
      <c r="BT176" s="49">
        <v>0</v>
      </c>
      <c r="BU176" s="49">
        <v>0</v>
      </c>
      <c r="BV176" s="49">
        <v>0</v>
      </c>
      <c r="BW176" s="49">
        <v>0</v>
      </c>
      <c r="BX176" s="49">
        <v>0</v>
      </c>
      <c r="BY176" s="49">
        <v>0</v>
      </c>
      <c r="BZ176" s="49">
        <v>0</v>
      </c>
      <c r="CA176" s="49">
        <v>0</v>
      </c>
      <c r="CB176" s="49">
        <v>0</v>
      </c>
      <c r="CC176" s="49">
        <v>0</v>
      </c>
      <c r="CD176" s="49">
        <v>0</v>
      </c>
      <c r="CE176" s="49">
        <v>0</v>
      </c>
      <c r="CF176" s="49">
        <v>0</v>
      </c>
      <c r="CG176" s="49">
        <v>0</v>
      </c>
      <c r="CH176" s="49">
        <v>0</v>
      </c>
      <c r="CI176" s="49">
        <v>0</v>
      </c>
      <c r="CJ176" s="49">
        <v>0</v>
      </c>
      <c r="CK176" s="49">
        <v>0</v>
      </c>
    </row>
    <row r="177" spans="2:89">
      <c r="B177" s="45" t="str">
        <v>Пусто</v>
      </c>
      <c r="C177" s="118"/>
      <c r="D177" s="118"/>
      <c r="E177" s="46"/>
      <c r="F177" s="49">
        <v>0</v>
      </c>
      <c r="G177" s="49">
        <v>0</v>
      </c>
      <c r="H177" s="49">
        <v>0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49">
        <v>0</v>
      </c>
      <c r="O177" s="49">
        <v>0</v>
      </c>
      <c r="P177" s="49">
        <v>0</v>
      </c>
      <c r="Q177" s="49">
        <v>0</v>
      </c>
      <c r="R177" s="49">
        <v>0</v>
      </c>
      <c r="S177" s="49">
        <v>0</v>
      </c>
      <c r="T177" s="49">
        <v>0</v>
      </c>
      <c r="U177" s="49">
        <v>0</v>
      </c>
      <c r="V177" s="49">
        <v>0</v>
      </c>
      <c r="W177" s="49">
        <v>0</v>
      </c>
      <c r="X177" s="49">
        <v>0</v>
      </c>
      <c r="Y177" s="49">
        <v>0</v>
      </c>
      <c r="Z177" s="49">
        <v>0</v>
      </c>
      <c r="AA177" s="49">
        <v>0</v>
      </c>
      <c r="AB177" s="49">
        <v>0</v>
      </c>
      <c r="AC177" s="49">
        <v>0</v>
      </c>
      <c r="AD177" s="49">
        <v>0</v>
      </c>
      <c r="AE177" s="49">
        <v>0</v>
      </c>
      <c r="AF177" s="49">
        <v>0</v>
      </c>
      <c r="AG177" s="49">
        <v>0</v>
      </c>
      <c r="AH177" s="49">
        <v>0</v>
      </c>
      <c r="AI177" s="49">
        <v>0</v>
      </c>
      <c r="AJ177" s="49">
        <v>0</v>
      </c>
      <c r="AK177" s="49">
        <v>0</v>
      </c>
      <c r="AL177" s="49">
        <v>0</v>
      </c>
      <c r="AM177" s="49">
        <v>0</v>
      </c>
      <c r="AN177" s="49">
        <v>0</v>
      </c>
      <c r="AO177" s="49">
        <v>0</v>
      </c>
      <c r="AP177" s="49">
        <v>0</v>
      </c>
      <c r="AQ177" s="49">
        <v>0</v>
      </c>
      <c r="AR177" s="49">
        <v>0</v>
      </c>
      <c r="AS177" s="49">
        <v>0</v>
      </c>
      <c r="AT177" s="49">
        <v>0</v>
      </c>
      <c r="AU177" s="49">
        <v>0</v>
      </c>
      <c r="AV177" s="49">
        <v>0</v>
      </c>
      <c r="AW177" s="49">
        <v>0</v>
      </c>
      <c r="AX177" s="49">
        <v>0</v>
      </c>
      <c r="AY177" s="49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9">
        <v>0</v>
      </c>
      <c r="BI177" s="49">
        <v>0</v>
      </c>
      <c r="BJ177" s="49">
        <v>0</v>
      </c>
      <c r="BK177" s="49">
        <v>0</v>
      </c>
      <c r="BL177" s="49">
        <v>0</v>
      </c>
      <c r="BM177" s="49">
        <v>0</v>
      </c>
      <c r="BN177" s="49">
        <v>0</v>
      </c>
      <c r="BO177" s="49">
        <v>0</v>
      </c>
      <c r="BP177" s="49">
        <v>0</v>
      </c>
      <c r="BQ177" s="49">
        <v>0</v>
      </c>
      <c r="BR177" s="49">
        <v>0</v>
      </c>
      <c r="BS177" s="49">
        <v>0</v>
      </c>
      <c r="BT177" s="49">
        <v>0</v>
      </c>
      <c r="BU177" s="49">
        <v>0</v>
      </c>
      <c r="BV177" s="49">
        <v>0</v>
      </c>
      <c r="BW177" s="49">
        <v>0</v>
      </c>
      <c r="BX177" s="49">
        <v>0</v>
      </c>
      <c r="BY177" s="49">
        <v>0</v>
      </c>
      <c r="BZ177" s="49">
        <v>0</v>
      </c>
      <c r="CA177" s="49">
        <v>0</v>
      </c>
      <c r="CB177" s="49">
        <v>0</v>
      </c>
      <c r="CC177" s="49">
        <v>0</v>
      </c>
      <c r="CD177" s="49">
        <v>0</v>
      </c>
      <c r="CE177" s="49">
        <v>0</v>
      </c>
      <c r="CF177" s="49">
        <v>0</v>
      </c>
      <c r="CG177" s="49">
        <v>0</v>
      </c>
      <c r="CH177" s="49">
        <v>0</v>
      </c>
      <c r="CI177" s="49">
        <v>0</v>
      </c>
      <c r="CJ177" s="49">
        <v>0</v>
      </c>
      <c r="CK177" s="49">
        <v>0</v>
      </c>
    </row>
    <row r="178" spans="2:89">
      <c r="B178" s="86" t="str">
        <v>Пусто</v>
      </c>
      <c r="C178" s="118"/>
      <c r="D178" s="118"/>
      <c r="E178" s="46"/>
      <c r="F178" s="176">
        <v>0</v>
      </c>
      <c r="G178" s="176">
        <v>0</v>
      </c>
      <c r="H178" s="176">
        <v>0</v>
      </c>
      <c r="I178" s="176">
        <v>0</v>
      </c>
      <c r="J178" s="176">
        <v>0</v>
      </c>
      <c r="K178" s="176">
        <v>0</v>
      </c>
      <c r="L178" s="176">
        <v>0</v>
      </c>
      <c r="M178" s="176">
        <v>0</v>
      </c>
      <c r="N178" s="176">
        <v>0</v>
      </c>
      <c r="O178" s="176">
        <v>0</v>
      </c>
      <c r="P178" s="176">
        <v>0</v>
      </c>
      <c r="Q178" s="176">
        <v>0</v>
      </c>
      <c r="R178" s="176">
        <v>0</v>
      </c>
      <c r="S178" s="176">
        <v>0</v>
      </c>
      <c r="T178" s="176">
        <v>0</v>
      </c>
      <c r="U178" s="176">
        <v>0</v>
      </c>
      <c r="V178" s="176">
        <v>0</v>
      </c>
      <c r="W178" s="176">
        <v>0</v>
      </c>
      <c r="X178" s="176">
        <v>0</v>
      </c>
      <c r="Y178" s="176">
        <v>0</v>
      </c>
      <c r="Z178" s="176">
        <v>0</v>
      </c>
      <c r="AA178" s="176">
        <v>0</v>
      </c>
      <c r="AB178" s="176">
        <v>0</v>
      </c>
      <c r="AC178" s="176">
        <v>0</v>
      </c>
      <c r="AD178" s="176">
        <v>0</v>
      </c>
      <c r="AE178" s="176">
        <v>0</v>
      </c>
      <c r="AF178" s="176">
        <v>0</v>
      </c>
      <c r="AG178" s="176">
        <v>0</v>
      </c>
      <c r="AH178" s="176">
        <v>0</v>
      </c>
      <c r="AI178" s="176">
        <v>0</v>
      </c>
      <c r="AJ178" s="176">
        <v>0</v>
      </c>
      <c r="AK178" s="176">
        <v>0</v>
      </c>
      <c r="AL178" s="176">
        <v>0</v>
      </c>
      <c r="AM178" s="176">
        <v>0</v>
      </c>
      <c r="AN178" s="176">
        <v>0</v>
      </c>
      <c r="AO178" s="176">
        <v>0</v>
      </c>
      <c r="AP178" s="176">
        <v>0</v>
      </c>
      <c r="AQ178" s="176">
        <v>0</v>
      </c>
      <c r="AR178" s="176">
        <v>0</v>
      </c>
      <c r="AS178" s="176">
        <v>0</v>
      </c>
      <c r="AT178" s="176">
        <v>0</v>
      </c>
      <c r="AU178" s="176">
        <v>0</v>
      </c>
      <c r="AV178" s="176">
        <v>0</v>
      </c>
      <c r="AW178" s="176">
        <v>0</v>
      </c>
      <c r="AX178" s="176">
        <v>0</v>
      </c>
      <c r="AY178" s="176">
        <v>0</v>
      </c>
      <c r="AZ178" s="176">
        <v>0</v>
      </c>
      <c r="BA178" s="176">
        <v>0</v>
      </c>
      <c r="BB178" s="176">
        <v>0</v>
      </c>
      <c r="BC178" s="176">
        <v>0</v>
      </c>
      <c r="BD178" s="176">
        <v>0</v>
      </c>
      <c r="BE178" s="176">
        <v>0</v>
      </c>
      <c r="BF178" s="176">
        <v>0</v>
      </c>
      <c r="BG178" s="176">
        <v>0</v>
      </c>
      <c r="BH178" s="176">
        <v>0</v>
      </c>
      <c r="BI178" s="176">
        <v>0</v>
      </c>
      <c r="BJ178" s="176">
        <v>0</v>
      </c>
      <c r="BK178" s="176">
        <v>0</v>
      </c>
      <c r="BL178" s="176">
        <v>0</v>
      </c>
      <c r="BM178" s="176">
        <v>0</v>
      </c>
      <c r="BN178" s="176">
        <v>0</v>
      </c>
      <c r="BO178" s="176">
        <v>0</v>
      </c>
      <c r="BP178" s="176">
        <v>0</v>
      </c>
      <c r="BQ178" s="176">
        <v>0</v>
      </c>
      <c r="BR178" s="176">
        <v>0</v>
      </c>
      <c r="BS178" s="176">
        <v>0</v>
      </c>
      <c r="BT178" s="176">
        <v>0</v>
      </c>
      <c r="BU178" s="176">
        <v>0</v>
      </c>
      <c r="BV178" s="176">
        <v>0</v>
      </c>
      <c r="BW178" s="176">
        <v>0</v>
      </c>
      <c r="BX178" s="176">
        <v>0</v>
      </c>
      <c r="BY178" s="176">
        <v>0</v>
      </c>
      <c r="BZ178" s="176">
        <v>0</v>
      </c>
      <c r="CA178" s="176">
        <v>0</v>
      </c>
      <c r="CB178" s="176">
        <v>0</v>
      </c>
      <c r="CC178" s="176">
        <v>0</v>
      </c>
      <c r="CD178" s="176">
        <v>0</v>
      </c>
      <c r="CE178" s="176">
        <v>0</v>
      </c>
      <c r="CF178" s="176">
        <v>0</v>
      </c>
      <c r="CG178" s="176">
        <v>0</v>
      </c>
      <c r="CH178" s="176">
        <v>0</v>
      </c>
      <c r="CI178" s="176">
        <v>0</v>
      </c>
      <c r="CJ178" s="176">
        <v>0</v>
      </c>
      <c r="CK178" s="176">
        <v>0</v>
      </c>
    </row>
    <row r="179" spans="2:89">
      <c r="B179" s="128" t="str">
        <v>Пусто</v>
      </c>
      <c r="C179" s="124"/>
      <c r="D179" s="124"/>
      <c r="E179" s="78"/>
      <c r="F179" s="185">
        <v>0</v>
      </c>
      <c r="G179" s="185">
        <v>0</v>
      </c>
      <c r="H179" s="185">
        <v>0</v>
      </c>
      <c r="I179" s="185">
        <v>0</v>
      </c>
      <c r="J179" s="185">
        <v>0</v>
      </c>
      <c r="K179" s="185">
        <v>0</v>
      </c>
      <c r="L179" s="185">
        <v>0</v>
      </c>
      <c r="M179" s="185">
        <v>0</v>
      </c>
      <c r="N179" s="185">
        <v>0</v>
      </c>
      <c r="O179" s="185">
        <v>0</v>
      </c>
      <c r="P179" s="185">
        <v>0</v>
      </c>
      <c r="Q179" s="185">
        <v>0</v>
      </c>
      <c r="R179" s="185">
        <v>0</v>
      </c>
      <c r="S179" s="185">
        <v>0</v>
      </c>
      <c r="T179" s="185">
        <v>0</v>
      </c>
      <c r="U179" s="185">
        <v>0</v>
      </c>
      <c r="V179" s="185">
        <v>0</v>
      </c>
      <c r="W179" s="185">
        <v>0</v>
      </c>
      <c r="X179" s="185">
        <v>0</v>
      </c>
      <c r="Y179" s="185">
        <v>0</v>
      </c>
      <c r="Z179" s="185">
        <v>0</v>
      </c>
      <c r="AA179" s="185">
        <v>0</v>
      </c>
      <c r="AB179" s="185">
        <v>0</v>
      </c>
      <c r="AC179" s="185">
        <v>0</v>
      </c>
      <c r="AD179" s="185">
        <v>0</v>
      </c>
      <c r="AE179" s="185">
        <v>0</v>
      </c>
      <c r="AF179" s="185">
        <v>0</v>
      </c>
      <c r="AG179" s="185">
        <v>0</v>
      </c>
      <c r="AH179" s="185">
        <v>0</v>
      </c>
      <c r="AI179" s="185">
        <v>0</v>
      </c>
      <c r="AJ179" s="185">
        <v>0</v>
      </c>
      <c r="AK179" s="185">
        <v>0</v>
      </c>
      <c r="AL179" s="185">
        <v>0</v>
      </c>
      <c r="AM179" s="185">
        <v>0</v>
      </c>
      <c r="AN179" s="185">
        <v>0</v>
      </c>
      <c r="AO179" s="185">
        <v>0</v>
      </c>
      <c r="AP179" s="185">
        <v>0</v>
      </c>
      <c r="AQ179" s="185">
        <v>0</v>
      </c>
      <c r="AR179" s="185">
        <v>0</v>
      </c>
      <c r="AS179" s="185">
        <v>0</v>
      </c>
      <c r="AT179" s="185">
        <v>0</v>
      </c>
      <c r="AU179" s="185">
        <v>0</v>
      </c>
      <c r="AV179" s="185">
        <v>0</v>
      </c>
      <c r="AW179" s="185">
        <v>0</v>
      </c>
      <c r="AX179" s="185">
        <v>0</v>
      </c>
      <c r="AY179" s="185">
        <v>0</v>
      </c>
      <c r="AZ179" s="185">
        <v>0</v>
      </c>
      <c r="BA179" s="185">
        <v>0</v>
      </c>
      <c r="BB179" s="185">
        <v>0</v>
      </c>
      <c r="BC179" s="185">
        <v>0</v>
      </c>
      <c r="BD179" s="185">
        <v>0</v>
      </c>
      <c r="BE179" s="185">
        <v>0</v>
      </c>
      <c r="BF179" s="185">
        <v>0</v>
      </c>
      <c r="BG179" s="185">
        <v>0</v>
      </c>
      <c r="BH179" s="185">
        <v>0</v>
      </c>
      <c r="BI179" s="185">
        <v>0</v>
      </c>
      <c r="BJ179" s="185">
        <v>0</v>
      </c>
      <c r="BK179" s="185">
        <v>0</v>
      </c>
      <c r="BL179" s="185">
        <v>0</v>
      </c>
      <c r="BM179" s="185">
        <v>0</v>
      </c>
      <c r="BN179" s="185">
        <v>0</v>
      </c>
      <c r="BO179" s="185">
        <v>0</v>
      </c>
      <c r="BP179" s="185">
        <v>0</v>
      </c>
      <c r="BQ179" s="185">
        <v>0</v>
      </c>
      <c r="BR179" s="185">
        <v>0</v>
      </c>
      <c r="BS179" s="185">
        <v>0</v>
      </c>
      <c r="BT179" s="185">
        <v>0</v>
      </c>
      <c r="BU179" s="185">
        <v>0</v>
      </c>
      <c r="BV179" s="185">
        <v>0</v>
      </c>
      <c r="BW179" s="185">
        <v>0</v>
      </c>
      <c r="BX179" s="185">
        <v>0</v>
      </c>
      <c r="BY179" s="185">
        <v>0</v>
      </c>
      <c r="BZ179" s="185">
        <v>0</v>
      </c>
      <c r="CA179" s="185">
        <v>0</v>
      </c>
      <c r="CB179" s="185">
        <v>0</v>
      </c>
      <c r="CC179" s="185">
        <v>0</v>
      </c>
      <c r="CD179" s="185">
        <v>0</v>
      </c>
      <c r="CE179" s="185">
        <v>0</v>
      </c>
      <c r="CF179" s="185">
        <v>0</v>
      </c>
      <c r="CG179" s="185">
        <v>0</v>
      </c>
      <c r="CH179" s="185">
        <v>0</v>
      </c>
      <c r="CI179" s="185">
        <v>0</v>
      </c>
      <c r="CJ179" s="185">
        <v>0</v>
      </c>
      <c r="CK179" s="185">
        <v>0</v>
      </c>
    </row>
    <row r="180" spans="2:89">
      <c r="B180" s="14"/>
      <c r="C180" s="14"/>
      <c r="D180" s="14"/>
      <c r="E180" s="1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  <c r="BI180" s="154"/>
      <c r="BJ180" s="154"/>
      <c r="BK180" s="154"/>
      <c r="BL180" s="154"/>
      <c r="BM180" s="15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</row>
    <row r="181" spans="2:89" ht="15.75" thickBot="1">
      <c r="B181" s="96" t="s">
        <v>323</v>
      </c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</row>
    <row r="182" spans="2:89">
      <c r="B182" s="14"/>
      <c r="C182" s="14"/>
      <c r="D182" s="14"/>
      <c r="E182" s="1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  <c r="BI182" s="154"/>
      <c r="BJ182" s="154"/>
      <c r="BK182" s="154"/>
      <c r="BL182" s="154"/>
      <c r="BM182" s="15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</row>
    <row r="183" spans="2:89">
      <c r="B183" s="155" t="s">
        <v>39</v>
      </c>
      <c r="C183" s="156"/>
      <c r="D183" s="160"/>
      <c r="E183" s="158"/>
      <c r="F183" s="159">
        <f t="shared" ref="F183:AK183" ca="1" si="211">IFERROR(LOOKUP(F$19,ПМЗ_год_инфляции,ПМЗ_уровень_инфляции),0)</f>
        <v>5.1999999999999998E-2</v>
      </c>
      <c r="G183" s="159">
        <f t="shared" ca="1" si="211"/>
        <v>5.1999999999999998E-2</v>
      </c>
      <c r="H183" s="159">
        <f t="shared" ca="1" si="211"/>
        <v>5.1999999999999998E-2</v>
      </c>
      <c r="I183" s="159">
        <f t="shared" ca="1" si="211"/>
        <v>5.1999999999999998E-2</v>
      </c>
      <c r="J183" s="159">
        <f t="shared" ca="1" si="211"/>
        <v>5.1999999999999998E-2</v>
      </c>
      <c r="K183" s="159">
        <f t="shared" ca="1" si="211"/>
        <v>5.1999999999999998E-2</v>
      </c>
      <c r="L183" s="159">
        <f t="shared" ca="1" si="211"/>
        <v>5.1999999999999998E-2</v>
      </c>
      <c r="M183" s="159">
        <f t="shared" ca="1" si="211"/>
        <v>5.1999999999999998E-2</v>
      </c>
      <c r="N183" s="159">
        <f t="shared" ca="1" si="211"/>
        <v>5.1999999999999998E-2</v>
      </c>
      <c r="O183" s="159">
        <f t="shared" ca="1" si="211"/>
        <v>5.1999999999999998E-2</v>
      </c>
      <c r="P183" s="159">
        <f t="shared" ca="1" si="211"/>
        <v>5.1999999999999998E-2</v>
      </c>
      <c r="Q183" s="159">
        <f t="shared" ca="1" si="211"/>
        <v>5.1999999999999998E-2</v>
      </c>
      <c r="R183" s="159">
        <f t="shared" ca="1" si="211"/>
        <v>5.1999999999999998E-2</v>
      </c>
      <c r="S183" s="159">
        <f t="shared" ca="1" si="211"/>
        <v>5.1999999999999998E-2</v>
      </c>
      <c r="T183" s="159">
        <f t="shared" ca="1" si="211"/>
        <v>5.1999999999999998E-2</v>
      </c>
      <c r="U183" s="159">
        <f t="shared" ca="1" si="211"/>
        <v>5.1999999999999998E-2</v>
      </c>
      <c r="V183" s="159">
        <f t="shared" ca="1" si="211"/>
        <v>5.1999999999999998E-2</v>
      </c>
      <c r="W183" s="159">
        <f t="shared" ca="1" si="211"/>
        <v>5.1999999999999998E-2</v>
      </c>
      <c r="X183" s="159">
        <f t="shared" ca="1" si="211"/>
        <v>5.1999999999999998E-2</v>
      </c>
      <c r="Y183" s="159">
        <f t="shared" ca="1" si="211"/>
        <v>5.1999999999999998E-2</v>
      </c>
      <c r="Z183" s="159">
        <f t="shared" ca="1" si="211"/>
        <v>5.1999999999999998E-2</v>
      </c>
      <c r="AA183" s="159">
        <f t="shared" ca="1" si="211"/>
        <v>5.1999999999999998E-2</v>
      </c>
      <c r="AB183" s="159">
        <f t="shared" ca="1" si="211"/>
        <v>5.1999999999999998E-2</v>
      </c>
      <c r="AC183" s="159">
        <f t="shared" ca="1" si="211"/>
        <v>5.1999999999999998E-2</v>
      </c>
      <c r="AD183" s="159">
        <f t="shared" ca="1" si="211"/>
        <v>5.1999999999999998E-2</v>
      </c>
      <c r="AE183" s="159">
        <f t="shared" ca="1" si="211"/>
        <v>5.1999999999999998E-2</v>
      </c>
      <c r="AF183" s="159">
        <f t="shared" ca="1" si="211"/>
        <v>5.1999999999999998E-2</v>
      </c>
      <c r="AG183" s="159">
        <f t="shared" ca="1" si="211"/>
        <v>5.1999999999999998E-2</v>
      </c>
      <c r="AH183" s="159">
        <f t="shared" ca="1" si="211"/>
        <v>5.1999999999999998E-2</v>
      </c>
      <c r="AI183" s="159">
        <f t="shared" ca="1" si="211"/>
        <v>5.1999999999999998E-2</v>
      </c>
      <c r="AJ183" s="159">
        <f t="shared" ca="1" si="211"/>
        <v>5.1999999999999998E-2</v>
      </c>
      <c r="AK183" s="159">
        <f t="shared" ca="1" si="211"/>
        <v>5.1999999999999998E-2</v>
      </c>
      <c r="AL183" s="159">
        <f t="shared" ref="AL183:CK183" ca="1" si="212">IFERROR(LOOKUP(AL$19,ПМЗ_год_инфляции,ПМЗ_уровень_инфляции),0)</f>
        <v>5.1999999999999998E-2</v>
      </c>
      <c r="AM183" s="159">
        <f t="shared" ca="1" si="212"/>
        <v>5.1999999999999998E-2</v>
      </c>
      <c r="AN183" s="159">
        <f t="shared" ca="1" si="212"/>
        <v>5.1999999999999998E-2</v>
      </c>
      <c r="AO183" s="159">
        <f t="shared" ca="1" si="212"/>
        <v>5.1999999999999998E-2</v>
      </c>
      <c r="AP183" s="159">
        <f t="shared" ca="1" si="212"/>
        <v>5.1999999999999998E-2</v>
      </c>
      <c r="AQ183" s="159">
        <f t="shared" ca="1" si="212"/>
        <v>5.1999999999999998E-2</v>
      </c>
      <c r="AR183" s="159">
        <f t="shared" ca="1" si="212"/>
        <v>5.1999999999999998E-2</v>
      </c>
      <c r="AS183" s="159">
        <f t="shared" ca="1" si="212"/>
        <v>5.1999999999999998E-2</v>
      </c>
      <c r="AT183" s="159">
        <f t="shared" ca="1" si="212"/>
        <v>5.1999999999999998E-2</v>
      </c>
      <c r="AU183" s="159">
        <f t="shared" ca="1" si="212"/>
        <v>5.1999999999999998E-2</v>
      </c>
      <c r="AV183" s="159">
        <f t="shared" ca="1" si="212"/>
        <v>5.1999999999999998E-2</v>
      </c>
      <c r="AW183" s="159">
        <f t="shared" ca="1" si="212"/>
        <v>5.1999999999999998E-2</v>
      </c>
      <c r="AX183" s="159">
        <f t="shared" ca="1" si="212"/>
        <v>5.1999999999999998E-2</v>
      </c>
      <c r="AY183" s="159">
        <f t="shared" ca="1" si="212"/>
        <v>5.1999999999999998E-2</v>
      </c>
      <c r="AZ183" s="159">
        <f t="shared" ca="1" si="212"/>
        <v>5.1999999999999998E-2</v>
      </c>
      <c r="BA183" s="159">
        <f t="shared" ca="1" si="212"/>
        <v>5.1999999999999998E-2</v>
      </c>
      <c r="BB183" s="159">
        <f t="shared" ca="1" si="212"/>
        <v>5.1999999999999998E-2</v>
      </c>
      <c r="BC183" s="159">
        <f t="shared" ca="1" si="212"/>
        <v>5.1999999999999998E-2</v>
      </c>
      <c r="BD183" s="159">
        <f t="shared" ca="1" si="212"/>
        <v>5.1999999999999998E-2</v>
      </c>
      <c r="BE183" s="159">
        <f t="shared" ca="1" si="212"/>
        <v>5.1999999999999998E-2</v>
      </c>
      <c r="BF183" s="159">
        <f t="shared" ca="1" si="212"/>
        <v>5.1999999999999998E-2</v>
      </c>
      <c r="BG183" s="159">
        <f t="shared" ca="1" si="212"/>
        <v>5.1999999999999998E-2</v>
      </c>
      <c r="BH183" s="159">
        <f t="shared" ca="1" si="212"/>
        <v>5.1999999999999998E-2</v>
      </c>
      <c r="BI183" s="159">
        <f t="shared" ca="1" si="212"/>
        <v>5.1999999999999998E-2</v>
      </c>
      <c r="BJ183" s="159">
        <f t="shared" ca="1" si="212"/>
        <v>5.1999999999999998E-2</v>
      </c>
      <c r="BK183" s="159">
        <f t="shared" ca="1" si="212"/>
        <v>5.1999999999999998E-2</v>
      </c>
      <c r="BL183" s="159">
        <f t="shared" ca="1" si="212"/>
        <v>5.1999999999999998E-2</v>
      </c>
      <c r="BM183" s="159">
        <f t="shared" ca="1" si="212"/>
        <v>5.1999999999999998E-2</v>
      </c>
      <c r="BN183" s="159">
        <f t="shared" ca="1" si="212"/>
        <v>5.1999999999999998E-2</v>
      </c>
      <c r="BO183" s="159">
        <f t="shared" ca="1" si="212"/>
        <v>5.1999999999999998E-2</v>
      </c>
      <c r="BP183" s="159">
        <f t="shared" ca="1" si="212"/>
        <v>5.1999999999999998E-2</v>
      </c>
      <c r="BQ183" s="159">
        <f t="shared" ca="1" si="212"/>
        <v>5.1999999999999998E-2</v>
      </c>
      <c r="BR183" s="159">
        <f t="shared" ca="1" si="212"/>
        <v>5.1999999999999998E-2</v>
      </c>
      <c r="BS183" s="159">
        <f t="shared" ca="1" si="212"/>
        <v>5.1999999999999998E-2</v>
      </c>
      <c r="BT183" s="159">
        <f t="shared" ca="1" si="212"/>
        <v>5.1999999999999998E-2</v>
      </c>
      <c r="BU183" s="159">
        <f t="shared" ca="1" si="212"/>
        <v>5.1999999999999998E-2</v>
      </c>
      <c r="BV183" s="159">
        <f t="shared" ca="1" si="212"/>
        <v>5.1999999999999998E-2</v>
      </c>
      <c r="BW183" s="159">
        <f t="shared" ca="1" si="212"/>
        <v>5.1999999999999998E-2</v>
      </c>
      <c r="BX183" s="159">
        <f t="shared" ca="1" si="212"/>
        <v>5.1999999999999998E-2</v>
      </c>
      <c r="BY183" s="159">
        <f t="shared" ca="1" si="212"/>
        <v>5.1999999999999998E-2</v>
      </c>
      <c r="BZ183" s="159">
        <f t="shared" ca="1" si="212"/>
        <v>5.1999999999999998E-2</v>
      </c>
      <c r="CA183" s="159">
        <f t="shared" ca="1" si="212"/>
        <v>5.1999999999999998E-2</v>
      </c>
      <c r="CB183" s="159">
        <f t="shared" ca="1" si="212"/>
        <v>5.1999999999999998E-2</v>
      </c>
      <c r="CC183" s="159">
        <f t="shared" ca="1" si="212"/>
        <v>5.1999999999999998E-2</v>
      </c>
      <c r="CD183" s="159">
        <f t="shared" ca="1" si="212"/>
        <v>5.1999999999999998E-2</v>
      </c>
      <c r="CE183" s="159">
        <f t="shared" ca="1" si="212"/>
        <v>5.1999999999999998E-2</v>
      </c>
      <c r="CF183" s="159">
        <f t="shared" ca="1" si="212"/>
        <v>5.1999999999999998E-2</v>
      </c>
      <c r="CG183" s="159">
        <f t="shared" ca="1" si="212"/>
        <v>5.1999999999999998E-2</v>
      </c>
      <c r="CH183" s="159">
        <f t="shared" ca="1" si="212"/>
        <v>5.1999999999999998E-2</v>
      </c>
      <c r="CI183" s="159">
        <f t="shared" ca="1" si="212"/>
        <v>5.1999999999999998E-2</v>
      </c>
      <c r="CJ183" s="159">
        <f t="shared" ca="1" si="212"/>
        <v>5.1999999999999998E-2</v>
      </c>
      <c r="CK183" s="159">
        <f t="shared" ca="1" si="212"/>
        <v>5.1999999999999998E-2</v>
      </c>
    </row>
    <row r="184" spans="2:89" ht="15.75" thickBot="1">
      <c r="B184" s="155" t="s">
        <v>40</v>
      </c>
      <c r="C184" s="156"/>
      <c r="D184" s="160"/>
      <c r="E184" s="158"/>
      <c r="F184" s="159">
        <f ca="1">(1+F183)^(F$26/F$20)-1</f>
        <v>4.1752495089855124E-3</v>
      </c>
      <c r="G184" s="159">
        <f t="shared" ref="G184:BR184" ca="1" si="213">(1+G183)^(G$26/G$20)-1</f>
        <v>4.3147243195076346E-3</v>
      </c>
      <c r="H184" s="159">
        <f t="shared" ca="1" si="213"/>
        <v>4.1752495089855124E-3</v>
      </c>
      <c r="I184" s="159">
        <f t="shared" ca="1" si="213"/>
        <v>4.3147243195076346E-3</v>
      </c>
      <c r="J184" s="159">
        <f t="shared" ca="1" si="213"/>
        <v>4.3147243195076346E-3</v>
      </c>
      <c r="K184" s="159">
        <f t="shared" ca="1" si="213"/>
        <v>4.1752495089855124E-3</v>
      </c>
      <c r="L184" s="159">
        <f t="shared" ca="1" si="213"/>
        <v>4.3147243195076346E-3</v>
      </c>
      <c r="M184" s="159">
        <f t="shared" ca="1" si="213"/>
        <v>4.1752495089855124E-3</v>
      </c>
      <c r="N184" s="159">
        <f t="shared" ca="1" si="213"/>
        <v>4.3147243195076346E-3</v>
      </c>
      <c r="O184" s="159">
        <f t="shared" ca="1" si="213"/>
        <v>4.302910128385129E-3</v>
      </c>
      <c r="P184" s="159">
        <f t="shared" ca="1" si="213"/>
        <v>4.0247451481640883E-3</v>
      </c>
      <c r="Q184" s="159">
        <f t="shared" ca="1" si="213"/>
        <v>4.302910128385129E-3</v>
      </c>
      <c r="R184" s="159">
        <f t="shared" ca="1" si="213"/>
        <v>4.1638180064105246E-3</v>
      </c>
      <c r="S184" s="159">
        <f t="shared" ca="1" si="213"/>
        <v>4.302910128385129E-3</v>
      </c>
      <c r="T184" s="159">
        <f t="shared" ca="1" si="213"/>
        <v>4.1638180064105246E-3</v>
      </c>
      <c r="U184" s="159">
        <f t="shared" ca="1" si="213"/>
        <v>4.302910128385129E-3</v>
      </c>
      <c r="V184" s="159">
        <f t="shared" ca="1" si="213"/>
        <v>4.302910128385129E-3</v>
      </c>
      <c r="W184" s="159">
        <f t="shared" ca="1" si="213"/>
        <v>4.1638180064105246E-3</v>
      </c>
      <c r="X184" s="159">
        <f t="shared" ca="1" si="213"/>
        <v>4.302910128385129E-3</v>
      </c>
      <c r="Y184" s="159">
        <f t="shared" ca="1" si="213"/>
        <v>4.1638180064105246E-3</v>
      </c>
      <c r="Z184" s="159">
        <f t="shared" ca="1" si="213"/>
        <v>4.302910128385129E-3</v>
      </c>
      <c r="AA184" s="159">
        <f t="shared" ca="1" si="213"/>
        <v>4.3147243195076346E-3</v>
      </c>
      <c r="AB184" s="159">
        <f t="shared" ca="1" si="213"/>
        <v>3.8963579941952986E-3</v>
      </c>
      <c r="AC184" s="159">
        <f t="shared" ca="1" si="213"/>
        <v>4.3147243195076346E-3</v>
      </c>
      <c r="AD184" s="159">
        <f t="shared" ca="1" si="213"/>
        <v>4.1752495089855124E-3</v>
      </c>
      <c r="AE184" s="159">
        <f t="shared" ca="1" si="213"/>
        <v>4.3147243195076346E-3</v>
      </c>
      <c r="AF184" s="159">
        <f t="shared" ca="1" si="213"/>
        <v>4.1752495089855124E-3</v>
      </c>
      <c r="AG184" s="159">
        <f t="shared" ca="1" si="213"/>
        <v>4.3147243195076346E-3</v>
      </c>
      <c r="AH184" s="159">
        <f t="shared" ca="1" si="213"/>
        <v>4.3147243195076346E-3</v>
      </c>
      <c r="AI184" s="159">
        <f t="shared" ca="1" si="213"/>
        <v>4.1752495089855124E-3</v>
      </c>
      <c r="AJ184" s="159">
        <f t="shared" ca="1" si="213"/>
        <v>4.3147243195076346E-3</v>
      </c>
      <c r="AK184" s="159">
        <f t="shared" ca="1" si="213"/>
        <v>4.1752495089855124E-3</v>
      </c>
      <c r="AL184" s="159">
        <f t="shared" ca="1" si="213"/>
        <v>4.3147243195076346E-3</v>
      </c>
      <c r="AM184" s="159">
        <f t="shared" ca="1" si="213"/>
        <v>4.3147243195076346E-3</v>
      </c>
      <c r="AN184" s="159">
        <f t="shared" ca="1" si="213"/>
        <v>3.8963579941952986E-3</v>
      </c>
      <c r="AO184" s="159">
        <f t="shared" ca="1" si="213"/>
        <v>4.3147243195076346E-3</v>
      </c>
      <c r="AP184" s="159">
        <f t="shared" ca="1" si="213"/>
        <v>4.1752495089855124E-3</v>
      </c>
      <c r="AQ184" s="159">
        <f t="shared" ca="1" si="213"/>
        <v>4.3147243195076346E-3</v>
      </c>
      <c r="AR184" s="159">
        <f t="shared" ca="1" si="213"/>
        <v>4.1752495089855124E-3</v>
      </c>
      <c r="AS184" s="159">
        <f t="shared" ca="1" si="213"/>
        <v>4.3147243195076346E-3</v>
      </c>
      <c r="AT184" s="159">
        <f t="shared" ca="1" si="213"/>
        <v>4.3147243195076346E-3</v>
      </c>
      <c r="AU184" s="159">
        <f t="shared" ca="1" si="213"/>
        <v>4.1752495089855124E-3</v>
      </c>
      <c r="AV184" s="159">
        <f t="shared" ca="1" si="213"/>
        <v>4.3147243195076346E-3</v>
      </c>
      <c r="AW184" s="159">
        <f t="shared" ca="1" si="213"/>
        <v>4.1752495089855124E-3</v>
      </c>
      <c r="AX184" s="159">
        <f t="shared" ca="1" si="213"/>
        <v>4.3147243195076346E-3</v>
      </c>
      <c r="AY184" s="159">
        <f t="shared" ca="1" si="213"/>
        <v>4.3147243195076346E-3</v>
      </c>
      <c r="AZ184" s="159">
        <f t="shared" ca="1" si="213"/>
        <v>3.8963579941952986E-3</v>
      </c>
      <c r="BA184" s="159">
        <f t="shared" ca="1" si="213"/>
        <v>4.3147243195076346E-3</v>
      </c>
      <c r="BB184" s="159">
        <f t="shared" ca="1" si="213"/>
        <v>4.1752495089855124E-3</v>
      </c>
      <c r="BC184" s="159">
        <f t="shared" ca="1" si="213"/>
        <v>4.3147243195076346E-3</v>
      </c>
      <c r="BD184" s="159">
        <f t="shared" ca="1" si="213"/>
        <v>4.1752495089855124E-3</v>
      </c>
      <c r="BE184" s="159">
        <f t="shared" ca="1" si="213"/>
        <v>4.3147243195076346E-3</v>
      </c>
      <c r="BF184" s="159">
        <f t="shared" ca="1" si="213"/>
        <v>4.3147243195076346E-3</v>
      </c>
      <c r="BG184" s="159">
        <f t="shared" ca="1" si="213"/>
        <v>4.1752495089855124E-3</v>
      </c>
      <c r="BH184" s="159">
        <f t="shared" ca="1" si="213"/>
        <v>4.3147243195076346E-3</v>
      </c>
      <c r="BI184" s="159">
        <f t="shared" ca="1" si="213"/>
        <v>4.1752495089855124E-3</v>
      </c>
      <c r="BJ184" s="159">
        <f t="shared" ca="1" si="213"/>
        <v>4.3147243195076346E-3</v>
      </c>
      <c r="BK184" s="159">
        <f t="shared" ca="1" si="213"/>
        <v>4.302910128385129E-3</v>
      </c>
      <c r="BL184" s="159">
        <f t="shared" ca="1" si="213"/>
        <v>4.0247451481640883E-3</v>
      </c>
      <c r="BM184" s="159">
        <f t="shared" ca="1" si="213"/>
        <v>4.302910128385129E-3</v>
      </c>
      <c r="BN184" s="159">
        <f t="shared" ca="1" si="213"/>
        <v>4.1638180064105246E-3</v>
      </c>
      <c r="BO184" s="159">
        <f t="shared" ca="1" si="213"/>
        <v>4.302910128385129E-3</v>
      </c>
      <c r="BP184" s="159">
        <f t="shared" ca="1" si="213"/>
        <v>4.1638180064105246E-3</v>
      </c>
      <c r="BQ184" s="159">
        <f t="shared" ca="1" si="213"/>
        <v>4.302910128385129E-3</v>
      </c>
      <c r="BR184" s="159">
        <f t="shared" ca="1" si="213"/>
        <v>4.302910128385129E-3</v>
      </c>
      <c r="BS184" s="159">
        <f t="shared" ref="BS184:CK184" ca="1" si="214">(1+BS183)^(BS$26/BS$20)-1</f>
        <v>4.1638180064105246E-3</v>
      </c>
      <c r="BT184" s="159">
        <f t="shared" ca="1" si="214"/>
        <v>4.302910128385129E-3</v>
      </c>
      <c r="BU184" s="159">
        <f t="shared" ca="1" si="214"/>
        <v>4.1638180064105246E-3</v>
      </c>
      <c r="BV184" s="159">
        <f t="shared" ca="1" si="214"/>
        <v>4.302910128385129E-3</v>
      </c>
      <c r="BW184" s="159">
        <f t="shared" ca="1" si="214"/>
        <v>4.3147243195076346E-3</v>
      </c>
      <c r="BX184" s="159">
        <f t="shared" ca="1" si="214"/>
        <v>3.8963579941952986E-3</v>
      </c>
      <c r="BY184" s="159">
        <f t="shared" ca="1" si="214"/>
        <v>4.3147243195076346E-3</v>
      </c>
      <c r="BZ184" s="159">
        <f t="shared" ca="1" si="214"/>
        <v>4.1752495089855124E-3</v>
      </c>
      <c r="CA184" s="159">
        <f t="shared" ca="1" si="214"/>
        <v>4.3147243195076346E-3</v>
      </c>
      <c r="CB184" s="159">
        <f t="shared" ca="1" si="214"/>
        <v>4.1752495089855124E-3</v>
      </c>
      <c r="CC184" s="159">
        <f t="shared" ca="1" si="214"/>
        <v>4.3147243195076346E-3</v>
      </c>
      <c r="CD184" s="159">
        <f t="shared" ca="1" si="214"/>
        <v>4.3147243195076346E-3</v>
      </c>
      <c r="CE184" s="159">
        <f t="shared" ca="1" si="214"/>
        <v>4.1752495089855124E-3</v>
      </c>
      <c r="CF184" s="159">
        <f t="shared" ca="1" si="214"/>
        <v>4.3147243195076346E-3</v>
      </c>
      <c r="CG184" s="159">
        <f t="shared" ca="1" si="214"/>
        <v>4.1752495089855124E-3</v>
      </c>
      <c r="CH184" s="159">
        <f t="shared" ca="1" si="214"/>
        <v>4.3147243195076346E-3</v>
      </c>
      <c r="CI184" s="159">
        <f t="shared" ca="1" si="214"/>
        <v>4.3147243195076346E-3</v>
      </c>
      <c r="CJ184" s="159">
        <f t="shared" ca="1" si="214"/>
        <v>3.8963579941952986E-3</v>
      </c>
      <c r="CK184" s="159">
        <f t="shared" ca="1" si="214"/>
        <v>4.3147243195076346E-3</v>
      </c>
    </row>
    <row r="185" spans="2:89" ht="15.75" thickTop="1">
      <c r="B185" s="161" t="s">
        <v>41</v>
      </c>
      <c r="C185" s="162"/>
      <c r="D185" s="163"/>
      <c r="E185" s="164">
        <v>1</v>
      </c>
      <c r="F185" s="165">
        <f ca="1">E185*(1+F184)</f>
        <v>1.0041752495089855</v>
      </c>
      <c r="G185" s="165">
        <f t="shared" ref="G185:AG185" ca="1" si="215">F185*(1+G184)</f>
        <v>1.0085079888790895</v>
      </c>
      <c r="H185" s="165">
        <f t="shared" ca="1" si="215"/>
        <v>1.012718761364465</v>
      </c>
      <c r="I185" s="165">
        <f t="shared" ca="1" si="215"/>
        <v>1.017088363632946</v>
      </c>
      <c r="J185" s="165">
        <f t="shared" ca="1" si="215"/>
        <v>1.0214768195306012</v>
      </c>
      <c r="K185" s="165">
        <f t="shared" ca="1" si="215"/>
        <v>1.0257417401197864</v>
      </c>
      <c r="L185" s="165">
        <f t="shared" ca="1" si="215"/>
        <v>1.0301675329514153</v>
      </c>
      <c r="M185" s="165">
        <f t="shared" ca="1" si="215"/>
        <v>1.0344687394375436</v>
      </c>
      <c r="N185" s="165">
        <f t="shared" ca="1" si="215"/>
        <v>1.0389321868653651</v>
      </c>
      <c r="O185" s="165">
        <f t="shared" ca="1" si="215"/>
        <v>1.0434026186949334</v>
      </c>
      <c r="P185" s="165">
        <f t="shared" ca="1" si="215"/>
        <v>1.0476020483221076</v>
      </c>
      <c r="Q185" s="165">
        <f t="shared" ca="1" si="215"/>
        <v>1.0521097857863497</v>
      </c>
      <c r="R185" s="165">
        <f t="shared" ca="1" si="215"/>
        <v>1.0564905794571275</v>
      </c>
      <c r="S185" s="165">
        <f t="shared" ca="1" si="215"/>
        <v>1.0610365634720171</v>
      </c>
      <c r="T185" s="165">
        <f t="shared" ca="1" si="215"/>
        <v>1.0654545266204618</v>
      </c>
      <c r="U185" s="165">
        <f t="shared" ca="1" si="215"/>
        <v>1.0700390816943908</v>
      </c>
      <c r="V185" s="165">
        <f t="shared" ca="1" si="215"/>
        <v>1.0746433636967816</v>
      </c>
      <c r="W185" s="165">
        <f t="shared" ca="1" si="215"/>
        <v>1.0791179830850117</v>
      </c>
      <c r="X185" s="165">
        <f t="shared" ca="1" si="215"/>
        <v>1.0837613307841507</v>
      </c>
      <c r="Y185" s="165">
        <f t="shared" ca="1" si="215"/>
        <v>1.0882739157279211</v>
      </c>
      <c r="Z185" s="165">
        <f t="shared" ca="1" si="215"/>
        <v>1.0929566605823642</v>
      </c>
      <c r="AA185" s="165">
        <f t="shared" ca="1" si="215"/>
        <v>1.0976724672659468</v>
      </c>
      <c r="AB185" s="165">
        <f t="shared" ca="1" si="215"/>
        <v>1.1019493921587866</v>
      </c>
      <c r="AC185" s="165">
        <f t="shared" ca="1" si="215"/>
        <v>1.1067040000000008</v>
      </c>
      <c r="AD185" s="165">
        <f t="shared" ca="1" si="215"/>
        <v>1.1113247653325931</v>
      </c>
      <c r="AE185" s="165">
        <f t="shared" ca="1" si="215"/>
        <v>1.1161198253244446</v>
      </c>
      <c r="AF185" s="165">
        <f t="shared" ca="1" si="215"/>
        <v>1.1207799040770996</v>
      </c>
      <c r="AG185" s="165">
        <f t="shared" ca="1" si="215"/>
        <v>1.1256157603860364</v>
      </c>
      <c r="AH185" s="165">
        <f t="shared" ref="AH185:BM185" ca="1" si="216">AG185*(1+AH184)</f>
        <v>1.1304724820817951</v>
      </c>
      <c r="AI185" s="165">
        <f t="shared" ca="1" si="216"/>
        <v>1.1351924867575287</v>
      </c>
      <c r="AJ185" s="165">
        <f t="shared" ca="1" si="216"/>
        <v>1.1400905293874637</v>
      </c>
      <c r="AK185" s="165">
        <f t="shared" ca="1" si="216"/>
        <v>1.1448506918104877</v>
      </c>
      <c r="AL185" s="165">
        <f t="shared" ca="1" si="216"/>
        <v>1.1497904069326477</v>
      </c>
      <c r="AM185" s="165">
        <f t="shared" ca="1" si="216"/>
        <v>1.1547514355637765</v>
      </c>
      <c r="AN185" s="165">
        <f t="shared" ca="1" si="216"/>
        <v>1.1592507605510438</v>
      </c>
      <c r="AO185" s="165">
        <f t="shared" ca="1" si="216"/>
        <v>1.1642526080000011</v>
      </c>
      <c r="AP185" s="165">
        <f t="shared" ca="1" si="216"/>
        <v>1.1691136531298882</v>
      </c>
      <c r="AQ185" s="165">
        <f t="shared" ca="1" si="216"/>
        <v>1.1741580562413161</v>
      </c>
      <c r="AR185" s="165">
        <f t="shared" ca="1" si="216"/>
        <v>1.1790604590891089</v>
      </c>
      <c r="AS185" s="165">
        <f t="shared" ca="1" si="216"/>
        <v>1.1841477799261106</v>
      </c>
      <c r="AT185" s="165">
        <f t="shared" ca="1" si="216"/>
        <v>1.1892570511500489</v>
      </c>
      <c r="AU185" s="165">
        <f t="shared" ca="1" si="216"/>
        <v>1.1942224960689207</v>
      </c>
      <c r="AV185" s="165">
        <f t="shared" ca="1" si="216"/>
        <v>1.1993752369156123</v>
      </c>
      <c r="AW185" s="165">
        <f t="shared" ca="1" si="216"/>
        <v>1.2043829277846336</v>
      </c>
      <c r="AX185" s="165">
        <f t="shared" ca="1" si="216"/>
        <v>1.2095795080931457</v>
      </c>
      <c r="AY185" s="165">
        <f t="shared" ca="1" si="216"/>
        <v>1.2147985102130934</v>
      </c>
      <c r="AZ185" s="165">
        <f t="shared" ca="1" si="216"/>
        <v>1.2195318000996986</v>
      </c>
      <c r="BA185" s="165">
        <f t="shared" ca="1" si="216"/>
        <v>1.2247937436160017</v>
      </c>
      <c r="BB185" s="165">
        <f t="shared" ca="1" si="216"/>
        <v>1.2299075630926428</v>
      </c>
      <c r="BC185" s="165">
        <f t="shared" ca="1" si="216"/>
        <v>1.235214275165865</v>
      </c>
      <c r="BD185" s="165">
        <f t="shared" ca="1" si="216"/>
        <v>1.2403716029617431</v>
      </c>
      <c r="BE185" s="165">
        <f t="shared" ca="1" si="216"/>
        <v>1.2457234644822688</v>
      </c>
      <c r="BF185" s="165">
        <f t="shared" ca="1" si="216"/>
        <v>1.2510984178098516</v>
      </c>
      <c r="BG185" s="165">
        <f t="shared" ca="1" si="216"/>
        <v>1.2563220658645047</v>
      </c>
      <c r="BH185" s="165">
        <f t="shared" ca="1" si="216"/>
        <v>1.2617427492352242</v>
      </c>
      <c r="BI185" s="165">
        <f t="shared" ca="1" si="216"/>
        <v>1.2670108400294346</v>
      </c>
      <c r="BJ185" s="165">
        <f t="shared" ca="1" si="216"/>
        <v>1.2724776425139894</v>
      </c>
      <c r="BK185" s="165">
        <f t="shared" ca="1" si="216"/>
        <v>1.2779529994501064</v>
      </c>
      <c r="BL185" s="165">
        <f t="shared" ca="1" si="216"/>
        <v>1.2830964345842251</v>
      </c>
      <c r="BM185" s="165">
        <f t="shared" ca="1" si="216"/>
        <v>1.2886174832282924</v>
      </c>
      <c r="BN185" s="165">
        <f t="shared" ref="BN185" ca="1" si="217">BM185*(1+BN184)</f>
        <v>1.2939830519083337</v>
      </c>
      <c r="BO185" s="165">
        <f t="shared" ref="BO185" ca="1" si="218">BN185*(1+BO184)</f>
        <v>1.2995509446883489</v>
      </c>
      <c r="BP185" s="165">
        <f t="shared" ref="BP185" ca="1" si="219">BO185*(1+BP184)</f>
        <v>1.3049620383120901</v>
      </c>
      <c r="BQ185" s="165">
        <f t="shared" ref="BQ185" ca="1" si="220">BP185*(1+BQ184)</f>
        <v>1.3105771726839013</v>
      </c>
      <c r="BR185" s="165">
        <f t="shared" ref="BR185" ca="1" si="221">BQ185*(1+BR184)</f>
        <v>1.3162164684742732</v>
      </c>
      <c r="BS185" s="165">
        <f t="shared" ref="BS185" ca="1" si="222">BR185*(1+BS184)</f>
        <v>1.3216969543060404</v>
      </c>
      <c r="BT185" s="165">
        <f t="shared" ref="BT185" ca="1" si="223">BS185*(1+BT184)</f>
        <v>1.3273840975173796</v>
      </c>
      <c r="BU185" s="165">
        <f t="shared" ref="BU185" ca="1" si="224">BT185*(1+BU184)</f>
        <v>1.3329110833240454</v>
      </c>
      <c r="BV185" s="165">
        <f t="shared" ref="BV185" ca="1" si="225">BU185*(1+BV184)</f>
        <v>1.3386464799247173</v>
      </c>
      <c r="BW185" s="165">
        <f t="shared" ref="BW185" ca="1" si="226">BV185*(1+BW184)</f>
        <v>1.3444223704468719</v>
      </c>
      <c r="BX185" s="165">
        <f t="shared" ref="BX185" ca="1" si="227">BW185*(1+BX184)</f>
        <v>1.3496607212975376</v>
      </c>
      <c r="BY185" s="165">
        <f t="shared" ref="BY185" ca="1" si="228">BX185*(1+BY184)</f>
        <v>1.3554841352348042</v>
      </c>
      <c r="BZ185" s="165">
        <f t="shared" ref="BZ185" ca="1" si="229">BY185*(1+BZ184)</f>
        <v>1.361143619704881</v>
      </c>
      <c r="CA185" s="165">
        <f t="shared" ref="CA185" ca="1" si="230">BZ185*(1+CA184)</f>
        <v>1.3670165791831643</v>
      </c>
      <c r="CB185" s="165">
        <f t="shared" ref="CB185" ca="1" si="231">CA185*(1+CB184)</f>
        <v>1.3727242144841738</v>
      </c>
      <c r="CC185" s="165">
        <f t="shared" ref="CC185" ca="1" si="232">CB185*(1+CC184)</f>
        <v>1.3786471410363856</v>
      </c>
      <c r="CD185" s="165">
        <f t="shared" ref="CD185" ca="1" si="233">CC185*(1+CD184)</f>
        <v>1.384595623383835</v>
      </c>
      <c r="CE185" s="165">
        <f t="shared" ref="CE185" ca="1" si="234">CD185*(1+CE184)</f>
        <v>1.3903766555805119</v>
      </c>
      <c r="CF185" s="165">
        <f t="shared" ref="CF185" ca="1" si="235">CE185*(1+CF184)</f>
        <v>1.3963757475496208</v>
      </c>
      <c r="CG185" s="165">
        <f t="shared" ref="CG185" ca="1" si="236">CF185*(1+CG184)</f>
        <v>1.4022059647039367</v>
      </c>
      <c r="CH185" s="165">
        <f t="shared" ref="CH185" ca="1" si="237">CG185*(1+CH184)</f>
        <v>1.4082560968808033</v>
      </c>
      <c r="CI185" s="165">
        <f t="shared" ref="CI185" ca="1" si="238">CH185*(1+CI184)</f>
        <v>1.4143323337101099</v>
      </c>
      <c r="CJ185" s="165">
        <f t="shared" ref="CJ185" ca="1" si="239">CI185*(1+CJ184)</f>
        <v>1.4198430788050103</v>
      </c>
      <c r="CK185" s="165">
        <f t="shared" ref="CK185" ca="1" si="240">CJ185*(1+CK184)</f>
        <v>1.4259693102670148</v>
      </c>
    </row>
    <row r="186" spans="2:89">
      <c r="B186" s="14"/>
      <c r="C186" s="14"/>
      <c r="D186" s="14"/>
      <c r="E186" s="1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  <c r="BI186" s="154"/>
      <c r="BJ186" s="154"/>
      <c r="BK186" s="154"/>
      <c r="BL186" s="154"/>
      <c r="BM186" s="15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</row>
    <row r="187" spans="2:89" ht="15.75" thickBot="1">
      <c r="B187" s="96" t="str">
        <f>"Ставка затрат с учетом инфляции, в "&amp;Ед_измерения_денег&amp;" в т.ч. НДС"</f>
        <v>Ставка затрат с учетом инфляции, в  руб. в т.ч. НДС</v>
      </c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</row>
    <row r="188" spans="2:89">
      <c r="B188" s="14"/>
      <c r="C188" s="14"/>
      <c r="D188" s="14"/>
      <c r="E188" s="1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  <c r="BI188" s="154"/>
      <c r="BJ188" s="154"/>
      <c r="BK188" s="154"/>
      <c r="BL188" s="154"/>
      <c r="BM188" s="15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</row>
    <row r="189" spans="2:89">
      <c r="B189" s="45" t="str">
        <f t="array" ref="B189:B198">ПМЗ_наименования</f>
        <v>Отходы</v>
      </c>
      <c r="C189" s="118"/>
      <c r="D189" s="118"/>
      <c r="E189" s="46"/>
      <c r="F189" s="49">
        <f t="array" ref="F189:CK198" ca="1">F170:CK179*F185:CK185</f>
        <v>0</v>
      </c>
      <c r="G189" s="49">
        <f ca="1"/>
        <v>0</v>
      </c>
      <c r="H189" s="49">
        <f ca="1"/>
        <v>0</v>
      </c>
      <c r="I189" s="49">
        <f ca="1"/>
        <v>0</v>
      </c>
      <c r="J189" s="49">
        <f ca="1"/>
        <v>0</v>
      </c>
      <c r="K189" s="49">
        <f ca="1"/>
        <v>0</v>
      </c>
      <c r="L189" s="49">
        <f ca="1"/>
        <v>0</v>
      </c>
      <c r="M189" s="49">
        <f ca="1"/>
        <v>0</v>
      </c>
      <c r="N189" s="49">
        <f ca="1"/>
        <v>0</v>
      </c>
      <c r="O189" s="49">
        <f ca="1"/>
        <v>0</v>
      </c>
      <c r="P189" s="49">
        <f ca="1"/>
        <v>0</v>
      </c>
      <c r="Q189" s="49">
        <f ca="1"/>
        <v>0</v>
      </c>
      <c r="R189" s="49">
        <f ca="1"/>
        <v>285.25245645342443</v>
      </c>
      <c r="S189" s="49">
        <f ca="1"/>
        <v>286.4798721374446</v>
      </c>
      <c r="T189" s="49">
        <f ca="1"/>
        <v>287.6727221875247</v>
      </c>
      <c r="U189" s="49">
        <f ca="1"/>
        <v>288.91055205748552</v>
      </c>
      <c r="V189" s="49">
        <f ca="1"/>
        <v>290.15370819813103</v>
      </c>
      <c r="W189" s="49">
        <f ca="1"/>
        <v>291.36185543295318</v>
      </c>
      <c r="X189" s="49">
        <f ca="1"/>
        <v>292.61555931172069</v>
      </c>
      <c r="Y189" s="49">
        <f ca="1"/>
        <v>293.83395724653872</v>
      </c>
      <c r="Z189" s="49">
        <f ca="1"/>
        <v>295.09829835723832</v>
      </c>
      <c r="AA189" s="49">
        <f ca="1"/>
        <v>296.37156616180562</v>
      </c>
      <c r="AB189" s="49">
        <f ca="1"/>
        <v>297.52633588287239</v>
      </c>
      <c r="AC189" s="49">
        <f ca="1"/>
        <v>298.8100800000002</v>
      </c>
      <c r="AD189" s="49">
        <f ca="1"/>
        <v>300.05768663980012</v>
      </c>
      <c r="AE189" s="49">
        <f ca="1"/>
        <v>301.35235283760005</v>
      </c>
      <c r="AF189" s="49">
        <f ca="1"/>
        <v>302.6105741008169</v>
      </c>
      <c r="AG189" s="49">
        <f ca="1"/>
        <v>303.91625530422982</v>
      </c>
      <c r="AH189" s="49">
        <f ca="1"/>
        <v>305.22757016208465</v>
      </c>
      <c r="AI189" s="49">
        <f ca="1"/>
        <v>306.50197142453277</v>
      </c>
      <c r="AJ189" s="49">
        <f ca="1"/>
        <v>307.82444293461521</v>
      </c>
      <c r="AK189" s="49">
        <f ca="1"/>
        <v>309.10968678883171</v>
      </c>
      <c r="AL189" s="49">
        <f ca="1"/>
        <v>310.44340987181488</v>
      </c>
      <c r="AM189" s="49">
        <f ca="1"/>
        <v>311.78288760221966</v>
      </c>
      <c r="AN189" s="49">
        <f ca="1"/>
        <v>312.99770534878184</v>
      </c>
      <c r="AO189" s="49">
        <f ca="1"/>
        <v>314.34820416000031</v>
      </c>
      <c r="AP189" s="49">
        <f ca="1"/>
        <v>315.66068634506985</v>
      </c>
      <c r="AQ189" s="49">
        <f ca="1"/>
        <v>317.02267518515532</v>
      </c>
      <c r="AR189" s="49">
        <f ca="1"/>
        <v>318.34632395405941</v>
      </c>
      <c r="AS189" s="49">
        <f ca="1"/>
        <v>319.71990058004985</v>
      </c>
      <c r="AT189" s="49">
        <f ca="1"/>
        <v>321.09940381051319</v>
      </c>
      <c r="AU189" s="49">
        <f ca="1"/>
        <v>322.44007393860858</v>
      </c>
      <c r="AV189" s="49">
        <f ca="1"/>
        <v>323.83131396721535</v>
      </c>
      <c r="AW189" s="49">
        <f ca="1"/>
        <v>325.18339050185108</v>
      </c>
      <c r="AX189" s="49">
        <f ca="1"/>
        <v>326.58646718514933</v>
      </c>
      <c r="AY189" s="49">
        <f ca="1"/>
        <v>327.99559775753522</v>
      </c>
      <c r="AZ189" s="49">
        <f ca="1"/>
        <v>329.27358602691862</v>
      </c>
      <c r="BA189" s="49">
        <f ca="1"/>
        <v>330.69431077632044</v>
      </c>
      <c r="BB189" s="49">
        <f ca="1"/>
        <v>332.07504203501355</v>
      </c>
      <c r="BC189" s="49">
        <f ca="1"/>
        <v>333.50785429478356</v>
      </c>
      <c r="BD189" s="49">
        <f ca="1"/>
        <v>334.90033279967065</v>
      </c>
      <c r="BE189" s="49">
        <f ca="1"/>
        <v>336.34533541021256</v>
      </c>
      <c r="BF189" s="49">
        <f ca="1"/>
        <v>337.79657280865996</v>
      </c>
      <c r="BG189" s="49">
        <f ca="1"/>
        <v>339.20695778341627</v>
      </c>
      <c r="BH189" s="49">
        <f ca="1"/>
        <v>340.67054229351055</v>
      </c>
      <c r="BI189" s="49">
        <f ca="1"/>
        <v>342.09292680794738</v>
      </c>
      <c r="BJ189" s="49">
        <f ca="1"/>
        <v>343.56896347877716</v>
      </c>
      <c r="BK189" s="49">
        <f ca="1"/>
        <v>345.04730985152872</v>
      </c>
      <c r="BL189" s="49">
        <f ca="1"/>
        <v>346.43603733774074</v>
      </c>
      <c r="BM189" s="49">
        <f ca="1"/>
        <v>347.92672047163893</v>
      </c>
      <c r="BN189" s="49">
        <f ca="1"/>
        <v>349.37542401525013</v>
      </c>
      <c r="BO189" s="49">
        <f ca="1"/>
        <v>350.87875506585419</v>
      </c>
      <c r="BP189" s="49">
        <f ca="1"/>
        <v>352.33975034426436</v>
      </c>
      <c r="BQ189" s="49">
        <f ca="1"/>
        <v>353.85583662465336</v>
      </c>
      <c r="BR189" s="49">
        <f ca="1"/>
        <v>355.37844648805378</v>
      </c>
      <c r="BS189" s="49">
        <f ca="1"/>
        <v>356.85817766263091</v>
      </c>
      <c r="BT189" s="49">
        <f ca="1"/>
        <v>358.39370632969252</v>
      </c>
      <c r="BU189" s="49">
        <f ca="1"/>
        <v>359.88599249749228</v>
      </c>
      <c r="BV189" s="49">
        <f ca="1"/>
        <v>361.43454957967367</v>
      </c>
      <c r="BW189" s="49">
        <f ca="1"/>
        <v>362.9940400206554</v>
      </c>
      <c r="BX189" s="49">
        <f ca="1"/>
        <v>364.40839475033516</v>
      </c>
      <c r="BY189" s="49">
        <f ca="1"/>
        <v>365.98071651339711</v>
      </c>
      <c r="BZ189" s="49">
        <f ca="1"/>
        <v>367.50877732031785</v>
      </c>
      <c r="CA189" s="49">
        <f ca="1"/>
        <v>369.09447637945436</v>
      </c>
      <c r="CB189" s="49">
        <f ca="1"/>
        <v>370.63553791072695</v>
      </c>
      <c r="CC189" s="49">
        <f ca="1"/>
        <v>372.23472807982409</v>
      </c>
      <c r="CD189" s="49">
        <f ca="1"/>
        <v>373.84081831363545</v>
      </c>
      <c r="CE189" s="49">
        <f ca="1"/>
        <v>375.40169700673823</v>
      </c>
      <c r="CF189" s="49">
        <f ca="1"/>
        <v>377.02145183839764</v>
      </c>
      <c r="CG189" s="49">
        <f ca="1"/>
        <v>378.59561047006292</v>
      </c>
      <c r="CH189" s="49">
        <f ca="1"/>
        <v>380.2291461578169</v>
      </c>
      <c r="CI189" s="49">
        <f ca="1"/>
        <v>381.86973010172966</v>
      </c>
      <c r="CJ189" s="49">
        <f ca="1"/>
        <v>383.35763127735277</v>
      </c>
      <c r="CK189" s="49">
        <f ca="1"/>
        <v>385.01171377209397</v>
      </c>
    </row>
    <row r="190" spans="2:89">
      <c r="B190" s="45" t="str">
        <v>Фуражное зерно (кукуруза)</v>
      </c>
      <c r="C190" s="118"/>
      <c r="D190" s="118"/>
      <c r="E190" s="46"/>
      <c r="F190" s="49">
        <f ca="1"/>
        <v>0</v>
      </c>
      <c r="G190" s="49">
        <f ca="1"/>
        <v>0</v>
      </c>
      <c r="H190" s="49">
        <f ca="1"/>
        <v>0</v>
      </c>
      <c r="I190" s="49">
        <f ca="1"/>
        <v>0</v>
      </c>
      <c r="J190" s="49">
        <f ca="1"/>
        <v>0</v>
      </c>
      <c r="K190" s="49">
        <f ca="1"/>
        <v>0</v>
      </c>
      <c r="L190" s="49">
        <f ca="1"/>
        <v>0</v>
      </c>
      <c r="M190" s="49">
        <f ca="1"/>
        <v>0</v>
      </c>
      <c r="N190" s="49">
        <f ca="1"/>
        <v>0</v>
      </c>
      <c r="O190" s="49">
        <f ca="1"/>
        <v>0</v>
      </c>
      <c r="P190" s="49">
        <f ca="1"/>
        <v>0</v>
      </c>
      <c r="Q190" s="49">
        <f ca="1"/>
        <v>0</v>
      </c>
      <c r="R190" s="49">
        <f ca="1"/>
        <v>20766.378829809299</v>
      </c>
      <c r="S190" s="49">
        <f ca="1"/>
        <v>20855.734691605969</v>
      </c>
      <c r="T190" s="49">
        <f ca="1"/>
        <v>20942.574175251797</v>
      </c>
      <c r="U190" s="49">
        <f ca="1"/>
        <v>21032.688189784945</v>
      </c>
      <c r="V190" s="49">
        <f ca="1"/>
        <v>21123.189956823939</v>
      </c>
      <c r="W190" s="49">
        <f ca="1"/>
        <v>21211.14307551899</v>
      </c>
      <c r="X190" s="49">
        <f ca="1"/>
        <v>21302.412717893265</v>
      </c>
      <c r="Y190" s="49">
        <f ca="1"/>
        <v>21391.112087548016</v>
      </c>
      <c r="Z190" s="49">
        <f ca="1"/>
        <v>21483.156120406951</v>
      </c>
      <c r="AA190" s="49">
        <f ca="1"/>
        <v>21575.85001657945</v>
      </c>
      <c r="AB190" s="49">
        <f ca="1"/>
        <v>21659.91725227311</v>
      </c>
      <c r="AC190" s="49">
        <f ca="1"/>
        <v>21753.373824000017</v>
      </c>
      <c r="AD190" s="49">
        <f ca="1"/>
        <v>21844.19958737745</v>
      </c>
      <c r="AE190" s="49">
        <f ca="1"/>
        <v>21938.451286577285</v>
      </c>
      <c r="AF190" s="49">
        <f ca="1"/>
        <v>22030.049794539471</v>
      </c>
      <c r="AG190" s="49">
        <f ca="1"/>
        <v>22125.10338614793</v>
      </c>
      <c r="AH190" s="49">
        <f ca="1"/>
        <v>22220.567107799765</v>
      </c>
      <c r="AI190" s="49">
        <f ca="1"/>
        <v>22313.343519705984</v>
      </c>
      <c r="AJ190" s="49">
        <f ca="1"/>
        <v>22409.619445639986</v>
      </c>
      <c r="AK190" s="49">
        <f ca="1"/>
        <v>22503.185198226947</v>
      </c>
      <c r="AL190" s="49">
        <f ca="1"/>
        <v>22600.280238668121</v>
      </c>
      <c r="AM190" s="49">
        <f ca="1"/>
        <v>22697.794217441591</v>
      </c>
      <c r="AN190" s="49">
        <f ca="1"/>
        <v>22786.232949391317</v>
      </c>
      <c r="AO190" s="49">
        <f ca="1"/>
        <v>22884.549262848021</v>
      </c>
      <c r="AP190" s="49">
        <f ca="1"/>
        <v>22980.097965921083</v>
      </c>
      <c r="AQ190" s="49">
        <f ca="1"/>
        <v>23079.250753479308</v>
      </c>
      <c r="AR190" s="49">
        <f ca="1"/>
        <v>23175.612383855525</v>
      </c>
      <c r="AS190" s="49">
        <f ca="1"/>
        <v>23275.608762227632</v>
      </c>
      <c r="AT190" s="49">
        <f ca="1"/>
        <v>23376.03659740536</v>
      </c>
      <c r="AU190" s="49">
        <f ca="1"/>
        <v>23473.637382730707</v>
      </c>
      <c r="AV190" s="49">
        <f ca="1"/>
        <v>23574.919656813276</v>
      </c>
      <c r="AW190" s="49">
        <f ca="1"/>
        <v>23673.35082853476</v>
      </c>
      <c r="AX190" s="49">
        <f ca="1"/>
        <v>23775.494811078872</v>
      </c>
      <c r="AY190" s="49">
        <f ca="1"/>
        <v>23878.079516748563</v>
      </c>
      <c r="AZ190" s="49">
        <f ca="1"/>
        <v>23971.117062759677</v>
      </c>
      <c r="BA190" s="49">
        <f ca="1"/>
        <v>24074.545824516128</v>
      </c>
      <c r="BB190" s="49">
        <f ca="1"/>
        <v>24175.063060148987</v>
      </c>
      <c r="BC190" s="49">
        <f ca="1"/>
        <v>24279.371792660244</v>
      </c>
      <c r="BD190" s="49">
        <f ca="1"/>
        <v>24380.744227816023</v>
      </c>
      <c r="BE190" s="49">
        <f ca="1"/>
        <v>24485.940417863476</v>
      </c>
      <c r="BF190" s="49">
        <f ca="1"/>
        <v>24591.590500470444</v>
      </c>
      <c r="BG190" s="49">
        <f ca="1"/>
        <v>24694.266526632702</v>
      </c>
      <c r="BH190" s="49">
        <f ca="1"/>
        <v>24800.815478967568</v>
      </c>
      <c r="BI190" s="49">
        <f ca="1"/>
        <v>24904.365071618566</v>
      </c>
      <c r="BJ190" s="49">
        <f ca="1"/>
        <v>25011.820541254976</v>
      </c>
      <c r="BK190" s="49">
        <f ca="1"/>
        <v>25119.44415719129</v>
      </c>
      <c r="BL190" s="49">
        <f ca="1"/>
        <v>25220.543518187529</v>
      </c>
      <c r="BM190" s="49">
        <f ca="1"/>
        <v>25329.065250335316</v>
      </c>
      <c r="BN190" s="49">
        <f ca="1"/>
        <v>25434.530868310208</v>
      </c>
      <c r="BO190" s="49">
        <f ca="1"/>
        <v>25543.973368794184</v>
      </c>
      <c r="BP190" s="49">
        <f ca="1"/>
        <v>25650.333825062444</v>
      </c>
      <c r="BQ190" s="49">
        <f ca="1"/>
        <v>25760.704906274765</v>
      </c>
      <c r="BR190" s="49">
        <f ca="1"/>
        <v>25871.550904330314</v>
      </c>
      <c r="BS190" s="49">
        <f ca="1"/>
        <v>25979.275333839531</v>
      </c>
      <c r="BT190" s="49">
        <f ca="1"/>
        <v>26091.061820801613</v>
      </c>
      <c r="BU190" s="49">
        <f ca="1"/>
        <v>26199.700253817435</v>
      </c>
      <c r="BV190" s="49">
        <f ca="1"/>
        <v>26312.435209400242</v>
      </c>
      <c r="BW190" s="49">
        <f ca="1"/>
        <v>26425.966113503713</v>
      </c>
      <c r="BX190" s="49">
        <f ca="1"/>
        <v>26528.931137824398</v>
      </c>
      <c r="BY190" s="49">
        <f ca="1"/>
        <v>26643.396162175311</v>
      </c>
      <c r="BZ190" s="49">
        <f ca="1"/>
        <v>26754.638988919141</v>
      </c>
      <c r="CA190" s="49">
        <f ca="1"/>
        <v>26870.077880424276</v>
      </c>
      <c r="CB190" s="49">
        <f ca="1"/>
        <v>26982.267159900919</v>
      </c>
      <c r="CC190" s="49">
        <f ca="1"/>
        <v>27098.688204211197</v>
      </c>
      <c r="CD190" s="49">
        <f ca="1"/>
        <v>27215.611573232662</v>
      </c>
      <c r="CE190" s="49">
        <f ca="1"/>
        <v>27329.243542090542</v>
      </c>
      <c r="CF190" s="49">
        <f ca="1"/>
        <v>27447.161693835347</v>
      </c>
      <c r="CG190" s="49">
        <f ca="1"/>
        <v>27561.76044222058</v>
      </c>
      <c r="CH190" s="49">
        <f ca="1"/>
        <v>27680.681840289071</v>
      </c>
      <c r="CI190" s="49">
        <f ca="1"/>
        <v>27800.116351405919</v>
      </c>
      <c r="CJ190" s="49">
        <f ca="1"/>
        <v>27908.43555699128</v>
      </c>
      <c r="CK190" s="49">
        <f ca="1"/>
        <v>28028.852762608443</v>
      </c>
    </row>
    <row r="191" spans="2:89">
      <c r="B191" s="45" t="str">
        <v>Корм для личинок рыб стартовый</v>
      </c>
      <c r="C191" s="118"/>
      <c r="D191" s="118"/>
      <c r="E191" s="46"/>
      <c r="F191" s="49">
        <f ca="1"/>
        <v>0</v>
      </c>
      <c r="G191" s="49">
        <f ca="1"/>
        <v>0</v>
      </c>
      <c r="H191" s="49">
        <f ca="1"/>
        <v>0</v>
      </c>
      <c r="I191" s="49">
        <f ca="1"/>
        <v>0</v>
      </c>
      <c r="J191" s="49">
        <f ca="1"/>
        <v>0</v>
      </c>
      <c r="K191" s="49">
        <f ca="1"/>
        <v>0</v>
      </c>
      <c r="L191" s="49">
        <f ca="1"/>
        <v>0</v>
      </c>
      <c r="M191" s="49">
        <f ca="1"/>
        <v>0</v>
      </c>
      <c r="N191" s="49">
        <f ca="1"/>
        <v>0</v>
      </c>
      <c r="O191" s="49">
        <f ca="1"/>
        <v>0</v>
      </c>
      <c r="P191" s="49">
        <f ca="1"/>
        <v>0</v>
      </c>
      <c r="Q191" s="49">
        <f ca="1"/>
        <v>0</v>
      </c>
      <c r="R191" s="49">
        <f ca="1"/>
        <v>5282.4528972856378</v>
      </c>
      <c r="S191" s="49">
        <f ca="1"/>
        <v>5305.1828173600861</v>
      </c>
      <c r="T191" s="49">
        <f ca="1"/>
        <v>5327.2726331023086</v>
      </c>
      <c r="U191" s="49">
        <f ca="1"/>
        <v>5350.1954084719537</v>
      </c>
      <c r="V191" s="49">
        <f ca="1"/>
        <v>5373.2168184839084</v>
      </c>
      <c r="W191" s="49">
        <f ca="1"/>
        <v>5395.5899154250583</v>
      </c>
      <c r="X191" s="49">
        <f ca="1"/>
        <v>5418.8066539207539</v>
      </c>
      <c r="Y191" s="49">
        <f ca="1"/>
        <v>5441.3695786396056</v>
      </c>
      <c r="Z191" s="49">
        <f ca="1"/>
        <v>5464.783302911821</v>
      </c>
      <c r="AA191" s="49">
        <f ca="1"/>
        <v>5488.3623363297338</v>
      </c>
      <c r="AB191" s="49">
        <f ca="1"/>
        <v>5509.7469607939329</v>
      </c>
      <c r="AC191" s="49">
        <f ca="1"/>
        <v>5533.5200000000041</v>
      </c>
      <c r="AD191" s="49">
        <f ca="1"/>
        <v>5556.6238266629653</v>
      </c>
      <c r="AE191" s="49">
        <f ca="1"/>
        <v>5580.5991266222236</v>
      </c>
      <c r="AF191" s="49">
        <f ca="1"/>
        <v>5603.8995203854984</v>
      </c>
      <c r="AG191" s="49">
        <f ca="1"/>
        <v>5628.0788019301817</v>
      </c>
      <c r="AH191" s="49">
        <f ca="1"/>
        <v>5652.3624104089749</v>
      </c>
      <c r="AI191" s="49">
        <f ca="1"/>
        <v>5675.9624337876439</v>
      </c>
      <c r="AJ191" s="49">
        <f ca="1"/>
        <v>5700.4526469373186</v>
      </c>
      <c r="AK191" s="49">
        <f ca="1"/>
        <v>5724.2534590524383</v>
      </c>
      <c r="AL191" s="49">
        <f ca="1"/>
        <v>5748.952034663238</v>
      </c>
      <c r="AM191" s="49">
        <f ca="1"/>
        <v>5773.7571778188822</v>
      </c>
      <c r="AN191" s="49">
        <f ca="1"/>
        <v>5796.2538027552191</v>
      </c>
      <c r="AO191" s="49">
        <f ca="1"/>
        <v>5821.2630400000053</v>
      </c>
      <c r="AP191" s="49">
        <f ca="1"/>
        <v>5845.5682656494409</v>
      </c>
      <c r="AQ191" s="49">
        <f ca="1"/>
        <v>5870.7902812065804</v>
      </c>
      <c r="AR191" s="49">
        <f ca="1"/>
        <v>5895.3022954455446</v>
      </c>
      <c r="AS191" s="49">
        <f ca="1"/>
        <v>5920.7388996305535</v>
      </c>
      <c r="AT191" s="49">
        <f ca="1"/>
        <v>5946.2852557502447</v>
      </c>
      <c r="AU191" s="49">
        <f ca="1"/>
        <v>5971.1124803446037</v>
      </c>
      <c r="AV191" s="49">
        <f ca="1"/>
        <v>5996.8761845780618</v>
      </c>
      <c r="AW191" s="49">
        <f ca="1"/>
        <v>6021.9146389231682</v>
      </c>
      <c r="AX191" s="49">
        <f ca="1"/>
        <v>6047.8975404657285</v>
      </c>
      <c r="AY191" s="49">
        <f ca="1"/>
        <v>6073.9925510654666</v>
      </c>
      <c r="AZ191" s="49">
        <f ca="1"/>
        <v>6097.6590004984928</v>
      </c>
      <c r="BA191" s="49">
        <f ca="1"/>
        <v>6123.9687180800083</v>
      </c>
      <c r="BB191" s="49">
        <f ca="1"/>
        <v>6149.5378154632144</v>
      </c>
      <c r="BC191" s="49">
        <f ca="1"/>
        <v>6176.071375829325</v>
      </c>
      <c r="BD191" s="49">
        <f ca="1"/>
        <v>6201.8580148087158</v>
      </c>
      <c r="BE191" s="49">
        <f ca="1"/>
        <v>6228.6173224113436</v>
      </c>
      <c r="BF191" s="49">
        <f ca="1"/>
        <v>6255.4920890492585</v>
      </c>
      <c r="BG191" s="49">
        <f ca="1"/>
        <v>6281.6103293225233</v>
      </c>
      <c r="BH191" s="49">
        <f ca="1"/>
        <v>6308.7137461761213</v>
      </c>
      <c r="BI191" s="49">
        <f ca="1"/>
        <v>6335.0542001471731</v>
      </c>
      <c r="BJ191" s="49">
        <f ca="1"/>
        <v>6362.3882125699474</v>
      </c>
      <c r="BK191" s="49">
        <f ca="1"/>
        <v>6389.7649972505324</v>
      </c>
      <c r="BL191" s="49">
        <f ca="1"/>
        <v>6415.4821729211253</v>
      </c>
      <c r="BM191" s="49">
        <f ca="1"/>
        <v>6443.0874161414622</v>
      </c>
      <c r="BN191" s="49">
        <f ca="1"/>
        <v>6469.915259541669</v>
      </c>
      <c r="BO191" s="49">
        <f ca="1"/>
        <v>6497.7547234417443</v>
      </c>
      <c r="BP191" s="49">
        <f ca="1"/>
        <v>6524.8101915604502</v>
      </c>
      <c r="BQ191" s="49">
        <f ca="1"/>
        <v>6552.8858634195067</v>
      </c>
      <c r="BR191" s="49">
        <f ca="1"/>
        <v>6581.0823423713664</v>
      </c>
      <c r="BS191" s="49">
        <f ca="1"/>
        <v>6608.4847715302021</v>
      </c>
      <c r="BT191" s="49">
        <f ca="1"/>
        <v>6636.9204875868982</v>
      </c>
      <c r="BU191" s="49">
        <f ca="1"/>
        <v>6664.5554166202273</v>
      </c>
      <c r="BV191" s="49">
        <f ca="1"/>
        <v>6693.2323996235864</v>
      </c>
      <c r="BW191" s="49">
        <f ca="1"/>
        <v>6722.1118522343595</v>
      </c>
      <c r="BX191" s="49">
        <f ca="1"/>
        <v>6748.3036064876878</v>
      </c>
      <c r="BY191" s="49">
        <f ca="1"/>
        <v>6777.4206761740206</v>
      </c>
      <c r="BZ191" s="49">
        <f ca="1"/>
        <v>6805.7180985244049</v>
      </c>
      <c r="CA191" s="49">
        <f ca="1"/>
        <v>6835.0828959158216</v>
      </c>
      <c r="CB191" s="49">
        <f ca="1"/>
        <v>6863.6210724208695</v>
      </c>
      <c r="CC191" s="49">
        <f ca="1"/>
        <v>6893.2357051819281</v>
      </c>
      <c r="CD191" s="49">
        <f ca="1"/>
        <v>6922.9781169191747</v>
      </c>
      <c r="CE191" s="49">
        <f ca="1"/>
        <v>6951.8832779025597</v>
      </c>
      <c r="CF191" s="49">
        <f ca="1"/>
        <v>6981.878737748104</v>
      </c>
      <c r="CG191" s="49">
        <f ca="1"/>
        <v>7011.0298235196833</v>
      </c>
      <c r="CH191" s="49">
        <f ca="1"/>
        <v>7041.2804844040165</v>
      </c>
      <c r="CI191" s="49">
        <f ca="1"/>
        <v>7071.6616685505496</v>
      </c>
      <c r="CJ191" s="49">
        <f ca="1"/>
        <v>7099.215394025051</v>
      </c>
      <c r="CK191" s="49">
        <f ca="1"/>
        <v>7129.8465513350739</v>
      </c>
    </row>
    <row r="192" spans="2:89">
      <c r="B192" s="45" t="str">
        <v xml:space="preserve">Личинки мухи </v>
      </c>
      <c r="C192" s="118"/>
      <c r="D192" s="118"/>
      <c r="E192" s="46"/>
      <c r="F192" s="49">
        <f ca="1"/>
        <v>0</v>
      </c>
      <c r="G192" s="49">
        <f ca="1"/>
        <v>0</v>
      </c>
      <c r="H192" s="49">
        <f ca="1"/>
        <v>0</v>
      </c>
      <c r="I192" s="49">
        <f ca="1"/>
        <v>0</v>
      </c>
      <c r="J192" s="49">
        <f ca="1"/>
        <v>0</v>
      </c>
      <c r="K192" s="49">
        <f ca="1"/>
        <v>0</v>
      </c>
      <c r="L192" s="49">
        <f ca="1"/>
        <v>0</v>
      </c>
      <c r="M192" s="49">
        <f ca="1"/>
        <v>0</v>
      </c>
      <c r="N192" s="49">
        <f ca="1"/>
        <v>0</v>
      </c>
      <c r="O192" s="49">
        <f ca="1"/>
        <v>0</v>
      </c>
      <c r="P192" s="49">
        <f ca="1"/>
        <v>0</v>
      </c>
      <c r="Q192" s="49">
        <f ca="1"/>
        <v>0</v>
      </c>
      <c r="R192" s="49">
        <f ca="1"/>
        <v>23612.564450866801</v>
      </c>
      <c r="S192" s="49">
        <f ca="1"/>
        <v>23714.167193599584</v>
      </c>
      <c r="T192" s="49">
        <f ca="1"/>
        <v>23812.908669967321</v>
      </c>
      <c r="U192" s="49">
        <f ca="1"/>
        <v>23915.373475869634</v>
      </c>
      <c r="V192" s="49">
        <f ca="1"/>
        <v>24018.27917862307</v>
      </c>
      <c r="W192" s="49">
        <f ca="1"/>
        <v>24118.286921950013</v>
      </c>
      <c r="X192" s="49">
        <f ca="1"/>
        <v>24222.065743025767</v>
      </c>
      <c r="Y192" s="49">
        <f ca="1"/>
        <v>24322.922016519038</v>
      </c>
      <c r="Z192" s="49">
        <f ca="1"/>
        <v>24427.581364015841</v>
      </c>
      <c r="AA192" s="49">
        <f ca="1"/>
        <v>24532.979643393912</v>
      </c>
      <c r="AB192" s="49">
        <f ca="1"/>
        <v>24628.568914748881</v>
      </c>
      <c r="AC192" s="49">
        <f ca="1"/>
        <v>24734.834400000018</v>
      </c>
      <c r="AD192" s="49">
        <f ca="1"/>
        <v>24838.108505183456</v>
      </c>
      <c r="AE192" s="49">
        <f ca="1"/>
        <v>24945.278096001337</v>
      </c>
      <c r="AF192" s="49">
        <f ca="1"/>
        <v>25049.430856123177</v>
      </c>
      <c r="AG192" s="49">
        <f ca="1"/>
        <v>25157.512244627913</v>
      </c>
      <c r="AH192" s="49">
        <f ca="1"/>
        <v>25266.059974528122</v>
      </c>
      <c r="AI192" s="49">
        <f ca="1"/>
        <v>25371.552079030767</v>
      </c>
      <c r="AJ192" s="49">
        <f ca="1"/>
        <v>25481.023331809814</v>
      </c>
      <c r="AK192" s="49">
        <f ca="1"/>
        <v>25587.412961964401</v>
      </c>
      <c r="AL192" s="49">
        <f ca="1"/>
        <v>25697.815594944674</v>
      </c>
      <c r="AM192" s="49">
        <f ca="1"/>
        <v>25808.694584850404</v>
      </c>
      <c r="AN192" s="49">
        <f ca="1"/>
        <v>25909.25449831583</v>
      </c>
      <c r="AO192" s="49">
        <f ca="1"/>
        <v>26021.045788800024</v>
      </c>
      <c r="AP192" s="49">
        <f ca="1"/>
        <v>26129.690147453002</v>
      </c>
      <c r="AQ192" s="49">
        <f ca="1"/>
        <v>26242.432556993415</v>
      </c>
      <c r="AR192" s="49">
        <f ca="1"/>
        <v>26352.001260641584</v>
      </c>
      <c r="AS192" s="49">
        <f ca="1"/>
        <v>26465.702881348574</v>
      </c>
      <c r="AT192" s="49">
        <f ca="1"/>
        <v>26579.895093203591</v>
      </c>
      <c r="AU192" s="49">
        <f ca="1"/>
        <v>26690.872787140379</v>
      </c>
      <c r="AV192" s="49">
        <f ca="1"/>
        <v>26806.036545063937</v>
      </c>
      <c r="AW192" s="49">
        <f ca="1"/>
        <v>26917.958435986562</v>
      </c>
      <c r="AX192" s="49">
        <f ca="1"/>
        <v>27034.102005881807</v>
      </c>
      <c r="AY192" s="49">
        <f ca="1"/>
        <v>27150.746703262637</v>
      </c>
      <c r="AZ192" s="49">
        <f ca="1"/>
        <v>27256.535732228265</v>
      </c>
      <c r="BA192" s="49">
        <f ca="1"/>
        <v>27374.140169817638</v>
      </c>
      <c r="BB192" s="49">
        <f ca="1"/>
        <v>27488.434035120568</v>
      </c>
      <c r="BC192" s="49">
        <f ca="1"/>
        <v>27607.039049957082</v>
      </c>
      <c r="BD192" s="49">
        <f ca="1"/>
        <v>27722.305326194957</v>
      </c>
      <c r="BE192" s="49">
        <f ca="1"/>
        <v>27841.919431178707</v>
      </c>
      <c r="BF192" s="49">
        <f ca="1"/>
        <v>27962.049638050183</v>
      </c>
      <c r="BG192" s="49">
        <f ca="1"/>
        <v>28078.798172071678</v>
      </c>
      <c r="BH192" s="49">
        <f ca="1"/>
        <v>28199.950445407263</v>
      </c>
      <c r="BI192" s="49">
        <f ca="1"/>
        <v>28317.692274657864</v>
      </c>
      <c r="BJ192" s="49">
        <f ca="1"/>
        <v>28439.875310187665</v>
      </c>
      <c r="BK192" s="49">
        <f ca="1"/>
        <v>28562.249537709878</v>
      </c>
      <c r="BL192" s="49">
        <f ca="1"/>
        <v>28677.205312957431</v>
      </c>
      <c r="BM192" s="49">
        <f ca="1"/>
        <v>28800.600750152335</v>
      </c>
      <c r="BN192" s="49">
        <f ca="1"/>
        <v>28920.521210151259</v>
      </c>
      <c r="BO192" s="49">
        <f ca="1"/>
        <v>29044.963613784596</v>
      </c>
      <c r="BP192" s="49">
        <f ca="1"/>
        <v>29165.901556275214</v>
      </c>
      <c r="BQ192" s="49">
        <f ca="1"/>
        <v>29291.399809485192</v>
      </c>
      <c r="BR192" s="49">
        <f ca="1"/>
        <v>29417.438070400007</v>
      </c>
      <c r="BS192" s="49">
        <f ca="1"/>
        <v>29539.926928740002</v>
      </c>
      <c r="BT192" s="49">
        <f ca="1"/>
        <v>29667.034579513434</v>
      </c>
      <c r="BU192" s="49">
        <f ca="1"/>
        <v>29790.562712292416</v>
      </c>
      <c r="BV192" s="49">
        <f ca="1"/>
        <v>29918.748826317431</v>
      </c>
      <c r="BW192" s="49">
        <f ca="1"/>
        <v>30047.839979487584</v>
      </c>
      <c r="BX192" s="49">
        <f ca="1"/>
        <v>30164.917120999966</v>
      </c>
      <c r="BY192" s="49">
        <f ca="1"/>
        <v>30295.070422497873</v>
      </c>
      <c r="BZ192" s="49">
        <f ca="1"/>
        <v>30421.559900404089</v>
      </c>
      <c r="CA192" s="49">
        <f ca="1"/>
        <v>30552.820544743721</v>
      </c>
      <c r="CB192" s="49">
        <f ca="1"/>
        <v>30680.386193721286</v>
      </c>
      <c r="CC192" s="49">
        <f ca="1"/>
        <v>30812.763602163221</v>
      </c>
      <c r="CD192" s="49">
        <f ca="1"/>
        <v>30945.712182628711</v>
      </c>
      <c r="CE192" s="49">
        <f ca="1"/>
        <v>31074.918252224441</v>
      </c>
      <c r="CF192" s="49">
        <f ca="1"/>
        <v>31208.997957734024</v>
      </c>
      <c r="CG192" s="49">
        <f ca="1"/>
        <v>31339.303311132986</v>
      </c>
      <c r="CH192" s="49">
        <f ca="1"/>
        <v>31474.523765285954</v>
      </c>
      <c r="CI192" s="49">
        <f ca="1"/>
        <v>31610.327658420956</v>
      </c>
      <c r="CJ192" s="49">
        <f ca="1"/>
        <v>31733.492811291981</v>
      </c>
      <c r="CK192" s="49">
        <f ca="1"/>
        <v>31870.414084467782</v>
      </c>
    </row>
    <row r="193" spans="2:89">
      <c r="B193" s="45" t="str">
        <v>Пусто</v>
      </c>
      <c r="C193" s="118"/>
      <c r="D193" s="118"/>
      <c r="E193" s="46"/>
      <c r="F193" s="49">
        <f ca="1"/>
        <v>0</v>
      </c>
      <c r="G193" s="49">
        <f ca="1"/>
        <v>0</v>
      </c>
      <c r="H193" s="49">
        <f ca="1"/>
        <v>0</v>
      </c>
      <c r="I193" s="49">
        <f ca="1"/>
        <v>0</v>
      </c>
      <c r="J193" s="49">
        <f ca="1"/>
        <v>0</v>
      </c>
      <c r="K193" s="49">
        <f ca="1"/>
        <v>0</v>
      </c>
      <c r="L193" s="49">
        <f ca="1"/>
        <v>0</v>
      </c>
      <c r="M193" s="49">
        <f ca="1"/>
        <v>0</v>
      </c>
      <c r="N193" s="49">
        <f ca="1"/>
        <v>0</v>
      </c>
      <c r="O193" s="49">
        <f ca="1"/>
        <v>0</v>
      </c>
      <c r="P193" s="49">
        <f ca="1"/>
        <v>0</v>
      </c>
      <c r="Q193" s="49">
        <f ca="1"/>
        <v>0</v>
      </c>
      <c r="R193" s="49">
        <f ca="1"/>
        <v>0</v>
      </c>
      <c r="S193" s="49">
        <f ca="1"/>
        <v>0</v>
      </c>
      <c r="T193" s="49">
        <f ca="1"/>
        <v>0</v>
      </c>
      <c r="U193" s="49">
        <f ca="1"/>
        <v>0</v>
      </c>
      <c r="V193" s="49">
        <f ca="1"/>
        <v>0</v>
      </c>
      <c r="W193" s="49">
        <f ca="1"/>
        <v>0</v>
      </c>
      <c r="X193" s="49">
        <f ca="1"/>
        <v>0</v>
      </c>
      <c r="Y193" s="49">
        <f ca="1"/>
        <v>0</v>
      </c>
      <c r="Z193" s="49">
        <f ca="1"/>
        <v>0</v>
      </c>
      <c r="AA193" s="49">
        <f ca="1"/>
        <v>0</v>
      </c>
      <c r="AB193" s="49">
        <f ca="1"/>
        <v>0</v>
      </c>
      <c r="AC193" s="49">
        <f ca="1"/>
        <v>0</v>
      </c>
      <c r="AD193" s="49">
        <f ca="1"/>
        <v>0</v>
      </c>
      <c r="AE193" s="49">
        <f ca="1"/>
        <v>0</v>
      </c>
      <c r="AF193" s="49">
        <f ca="1"/>
        <v>0</v>
      </c>
      <c r="AG193" s="49">
        <f ca="1"/>
        <v>0</v>
      </c>
      <c r="AH193" s="49">
        <f ca="1"/>
        <v>0</v>
      </c>
      <c r="AI193" s="49">
        <f ca="1"/>
        <v>0</v>
      </c>
      <c r="AJ193" s="49">
        <f ca="1"/>
        <v>0</v>
      </c>
      <c r="AK193" s="49">
        <f ca="1"/>
        <v>0</v>
      </c>
      <c r="AL193" s="49">
        <f ca="1"/>
        <v>0</v>
      </c>
      <c r="AM193" s="49">
        <f ca="1"/>
        <v>0</v>
      </c>
      <c r="AN193" s="49">
        <f ca="1"/>
        <v>0</v>
      </c>
      <c r="AO193" s="49">
        <f ca="1"/>
        <v>0</v>
      </c>
      <c r="AP193" s="49">
        <f ca="1"/>
        <v>0</v>
      </c>
      <c r="AQ193" s="49">
        <f ca="1"/>
        <v>0</v>
      </c>
      <c r="AR193" s="49">
        <f ca="1"/>
        <v>0</v>
      </c>
      <c r="AS193" s="49">
        <f ca="1"/>
        <v>0</v>
      </c>
      <c r="AT193" s="49">
        <f ca="1"/>
        <v>0</v>
      </c>
      <c r="AU193" s="49">
        <f ca="1"/>
        <v>0</v>
      </c>
      <c r="AV193" s="49">
        <f ca="1"/>
        <v>0</v>
      </c>
      <c r="AW193" s="49">
        <f ca="1"/>
        <v>0</v>
      </c>
      <c r="AX193" s="49">
        <f ca="1"/>
        <v>0</v>
      </c>
      <c r="AY193" s="49">
        <f ca="1"/>
        <v>0</v>
      </c>
      <c r="AZ193" s="49">
        <f ca="1"/>
        <v>0</v>
      </c>
      <c r="BA193" s="49">
        <f ca="1"/>
        <v>0</v>
      </c>
      <c r="BB193" s="49">
        <f ca="1"/>
        <v>0</v>
      </c>
      <c r="BC193" s="49">
        <f ca="1"/>
        <v>0</v>
      </c>
      <c r="BD193" s="49">
        <f ca="1"/>
        <v>0</v>
      </c>
      <c r="BE193" s="49">
        <f ca="1"/>
        <v>0</v>
      </c>
      <c r="BF193" s="49">
        <f ca="1"/>
        <v>0</v>
      </c>
      <c r="BG193" s="49">
        <f ca="1"/>
        <v>0</v>
      </c>
      <c r="BH193" s="49">
        <f ca="1"/>
        <v>0</v>
      </c>
      <c r="BI193" s="49">
        <f ca="1"/>
        <v>0</v>
      </c>
      <c r="BJ193" s="49">
        <f ca="1"/>
        <v>0</v>
      </c>
      <c r="BK193" s="49">
        <f ca="1"/>
        <v>0</v>
      </c>
      <c r="BL193" s="49">
        <f ca="1"/>
        <v>0</v>
      </c>
      <c r="BM193" s="49">
        <f ca="1"/>
        <v>0</v>
      </c>
      <c r="BN193" s="49">
        <f ca="1"/>
        <v>0</v>
      </c>
      <c r="BO193" s="49">
        <f ca="1"/>
        <v>0</v>
      </c>
      <c r="BP193" s="49">
        <f ca="1"/>
        <v>0</v>
      </c>
      <c r="BQ193" s="49">
        <f ca="1"/>
        <v>0</v>
      </c>
      <c r="BR193" s="49">
        <f ca="1"/>
        <v>0</v>
      </c>
      <c r="BS193" s="49">
        <f ca="1"/>
        <v>0</v>
      </c>
      <c r="BT193" s="49">
        <f ca="1"/>
        <v>0</v>
      </c>
      <c r="BU193" s="49">
        <f ca="1"/>
        <v>0</v>
      </c>
      <c r="BV193" s="49">
        <f ca="1"/>
        <v>0</v>
      </c>
      <c r="BW193" s="49">
        <f ca="1"/>
        <v>0</v>
      </c>
      <c r="BX193" s="49">
        <f ca="1"/>
        <v>0</v>
      </c>
      <c r="BY193" s="49">
        <f ca="1"/>
        <v>0</v>
      </c>
      <c r="BZ193" s="49">
        <f ca="1"/>
        <v>0</v>
      </c>
      <c r="CA193" s="49">
        <f ca="1"/>
        <v>0</v>
      </c>
      <c r="CB193" s="49">
        <f ca="1"/>
        <v>0</v>
      </c>
      <c r="CC193" s="49">
        <f ca="1"/>
        <v>0</v>
      </c>
      <c r="CD193" s="49">
        <f ca="1"/>
        <v>0</v>
      </c>
      <c r="CE193" s="49">
        <f ca="1"/>
        <v>0</v>
      </c>
      <c r="CF193" s="49">
        <f ca="1"/>
        <v>0</v>
      </c>
      <c r="CG193" s="49">
        <f ca="1"/>
        <v>0</v>
      </c>
      <c r="CH193" s="49">
        <f ca="1"/>
        <v>0</v>
      </c>
      <c r="CI193" s="49">
        <f ca="1"/>
        <v>0</v>
      </c>
      <c r="CJ193" s="49">
        <f ca="1"/>
        <v>0</v>
      </c>
      <c r="CK193" s="49">
        <f ca="1"/>
        <v>0</v>
      </c>
    </row>
    <row r="194" spans="2:89">
      <c r="B194" s="45" t="str">
        <v>Пусто</v>
      </c>
      <c r="C194" s="118"/>
      <c r="D194" s="118"/>
      <c r="E194" s="46"/>
      <c r="F194" s="49">
        <f ca="1"/>
        <v>0</v>
      </c>
      <c r="G194" s="49">
        <f ca="1"/>
        <v>0</v>
      </c>
      <c r="H194" s="49">
        <f ca="1"/>
        <v>0</v>
      </c>
      <c r="I194" s="49">
        <f ca="1"/>
        <v>0</v>
      </c>
      <c r="J194" s="49">
        <f ca="1"/>
        <v>0</v>
      </c>
      <c r="K194" s="49">
        <f ca="1"/>
        <v>0</v>
      </c>
      <c r="L194" s="49">
        <f ca="1"/>
        <v>0</v>
      </c>
      <c r="M194" s="49">
        <f ca="1"/>
        <v>0</v>
      </c>
      <c r="N194" s="49">
        <f ca="1"/>
        <v>0</v>
      </c>
      <c r="O194" s="49">
        <f ca="1"/>
        <v>0</v>
      </c>
      <c r="P194" s="49">
        <f ca="1"/>
        <v>0</v>
      </c>
      <c r="Q194" s="49">
        <f ca="1"/>
        <v>0</v>
      </c>
      <c r="R194" s="49">
        <f ca="1"/>
        <v>0</v>
      </c>
      <c r="S194" s="49">
        <f ca="1"/>
        <v>0</v>
      </c>
      <c r="T194" s="49">
        <f ca="1"/>
        <v>0</v>
      </c>
      <c r="U194" s="49">
        <f ca="1"/>
        <v>0</v>
      </c>
      <c r="V194" s="49">
        <f ca="1"/>
        <v>0</v>
      </c>
      <c r="W194" s="49">
        <f ca="1"/>
        <v>0</v>
      </c>
      <c r="X194" s="49">
        <f ca="1"/>
        <v>0</v>
      </c>
      <c r="Y194" s="49">
        <f ca="1"/>
        <v>0</v>
      </c>
      <c r="Z194" s="49">
        <f ca="1"/>
        <v>0</v>
      </c>
      <c r="AA194" s="49">
        <f ca="1"/>
        <v>0</v>
      </c>
      <c r="AB194" s="49">
        <f ca="1"/>
        <v>0</v>
      </c>
      <c r="AC194" s="49">
        <f ca="1"/>
        <v>0</v>
      </c>
      <c r="AD194" s="49">
        <f ca="1"/>
        <v>0</v>
      </c>
      <c r="AE194" s="49">
        <f ca="1"/>
        <v>0</v>
      </c>
      <c r="AF194" s="49">
        <f ca="1"/>
        <v>0</v>
      </c>
      <c r="AG194" s="49">
        <f ca="1"/>
        <v>0</v>
      </c>
      <c r="AH194" s="49">
        <f ca="1"/>
        <v>0</v>
      </c>
      <c r="AI194" s="49">
        <f ca="1"/>
        <v>0</v>
      </c>
      <c r="AJ194" s="49">
        <f ca="1"/>
        <v>0</v>
      </c>
      <c r="AK194" s="49">
        <f ca="1"/>
        <v>0</v>
      </c>
      <c r="AL194" s="49">
        <f ca="1"/>
        <v>0</v>
      </c>
      <c r="AM194" s="49">
        <f ca="1"/>
        <v>0</v>
      </c>
      <c r="AN194" s="49">
        <f ca="1"/>
        <v>0</v>
      </c>
      <c r="AO194" s="49">
        <f ca="1"/>
        <v>0</v>
      </c>
      <c r="AP194" s="49">
        <f ca="1"/>
        <v>0</v>
      </c>
      <c r="AQ194" s="49">
        <f ca="1"/>
        <v>0</v>
      </c>
      <c r="AR194" s="49">
        <f ca="1"/>
        <v>0</v>
      </c>
      <c r="AS194" s="49">
        <f ca="1"/>
        <v>0</v>
      </c>
      <c r="AT194" s="49">
        <f ca="1"/>
        <v>0</v>
      </c>
      <c r="AU194" s="49">
        <f ca="1"/>
        <v>0</v>
      </c>
      <c r="AV194" s="49">
        <f ca="1"/>
        <v>0</v>
      </c>
      <c r="AW194" s="49">
        <f ca="1"/>
        <v>0</v>
      </c>
      <c r="AX194" s="49">
        <f ca="1"/>
        <v>0</v>
      </c>
      <c r="AY194" s="49">
        <f ca="1"/>
        <v>0</v>
      </c>
      <c r="AZ194" s="49">
        <f ca="1"/>
        <v>0</v>
      </c>
      <c r="BA194" s="49">
        <f ca="1"/>
        <v>0</v>
      </c>
      <c r="BB194" s="49">
        <f ca="1"/>
        <v>0</v>
      </c>
      <c r="BC194" s="49">
        <f ca="1"/>
        <v>0</v>
      </c>
      <c r="BD194" s="49">
        <f ca="1"/>
        <v>0</v>
      </c>
      <c r="BE194" s="49">
        <f ca="1"/>
        <v>0</v>
      </c>
      <c r="BF194" s="49">
        <f ca="1"/>
        <v>0</v>
      </c>
      <c r="BG194" s="49">
        <f ca="1"/>
        <v>0</v>
      </c>
      <c r="BH194" s="49">
        <f ca="1"/>
        <v>0</v>
      </c>
      <c r="BI194" s="49">
        <f ca="1"/>
        <v>0</v>
      </c>
      <c r="BJ194" s="49">
        <f ca="1"/>
        <v>0</v>
      </c>
      <c r="BK194" s="49">
        <f ca="1"/>
        <v>0</v>
      </c>
      <c r="BL194" s="49">
        <f ca="1"/>
        <v>0</v>
      </c>
      <c r="BM194" s="49">
        <f ca="1"/>
        <v>0</v>
      </c>
      <c r="BN194" s="49">
        <f ca="1"/>
        <v>0</v>
      </c>
      <c r="BO194" s="49">
        <f ca="1"/>
        <v>0</v>
      </c>
      <c r="BP194" s="49">
        <f ca="1"/>
        <v>0</v>
      </c>
      <c r="BQ194" s="49">
        <f ca="1"/>
        <v>0</v>
      </c>
      <c r="BR194" s="49">
        <f ca="1"/>
        <v>0</v>
      </c>
      <c r="BS194" s="49">
        <f ca="1"/>
        <v>0</v>
      </c>
      <c r="BT194" s="49">
        <f ca="1"/>
        <v>0</v>
      </c>
      <c r="BU194" s="49">
        <f ca="1"/>
        <v>0</v>
      </c>
      <c r="BV194" s="49">
        <f ca="1"/>
        <v>0</v>
      </c>
      <c r="BW194" s="49">
        <f ca="1"/>
        <v>0</v>
      </c>
      <c r="BX194" s="49">
        <f ca="1"/>
        <v>0</v>
      </c>
      <c r="BY194" s="49">
        <f ca="1"/>
        <v>0</v>
      </c>
      <c r="BZ194" s="49">
        <f ca="1"/>
        <v>0</v>
      </c>
      <c r="CA194" s="49">
        <f ca="1"/>
        <v>0</v>
      </c>
      <c r="CB194" s="49">
        <f ca="1"/>
        <v>0</v>
      </c>
      <c r="CC194" s="49">
        <f ca="1"/>
        <v>0</v>
      </c>
      <c r="CD194" s="49">
        <f ca="1"/>
        <v>0</v>
      </c>
      <c r="CE194" s="49">
        <f ca="1"/>
        <v>0</v>
      </c>
      <c r="CF194" s="49">
        <f ca="1"/>
        <v>0</v>
      </c>
      <c r="CG194" s="49">
        <f ca="1"/>
        <v>0</v>
      </c>
      <c r="CH194" s="49">
        <f ca="1"/>
        <v>0</v>
      </c>
      <c r="CI194" s="49">
        <f ca="1"/>
        <v>0</v>
      </c>
      <c r="CJ194" s="49">
        <f ca="1"/>
        <v>0</v>
      </c>
      <c r="CK194" s="49">
        <f ca="1"/>
        <v>0</v>
      </c>
    </row>
    <row r="195" spans="2:89">
      <c r="B195" s="45" t="str">
        <v>Пусто</v>
      </c>
      <c r="C195" s="118"/>
      <c r="D195" s="118"/>
      <c r="E195" s="46"/>
      <c r="F195" s="49">
        <f ca="1"/>
        <v>0</v>
      </c>
      <c r="G195" s="49">
        <f ca="1"/>
        <v>0</v>
      </c>
      <c r="H195" s="49">
        <f ca="1"/>
        <v>0</v>
      </c>
      <c r="I195" s="49">
        <f ca="1"/>
        <v>0</v>
      </c>
      <c r="J195" s="49">
        <f ca="1"/>
        <v>0</v>
      </c>
      <c r="K195" s="49">
        <f ca="1"/>
        <v>0</v>
      </c>
      <c r="L195" s="49">
        <f ca="1"/>
        <v>0</v>
      </c>
      <c r="M195" s="49">
        <f ca="1"/>
        <v>0</v>
      </c>
      <c r="N195" s="49">
        <f ca="1"/>
        <v>0</v>
      </c>
      <c r="O195" s="49">
        <f ca="1"/>
        <v>0</v>
      </c>
      <c r="P195" s="49">
        <f ca="1"/>
        <v>0</v>
      </c>
      <c r="Q195" s="49">
        <f ca="1"/>
        <v>0</v>
      </c>
      <c r="R195" s="49">
        <f ca="1"/>
        <v>0</v>
      </c>
      <c r="S195" s="49">
        <f ca="1"/>
        <v>0</v>
      </c>
      <c r="T195" s="49">
        <f ca="1"/>
        <v>0</v>
      </c>
      <c r="U195" s="49">
        <f ca="1"/>
        <v>0</v>
      </c>
      <c r="V195" s="49">
        <f ca="1"/>
        <v>0</v>
      </c>
      <c r="W195" s="49">
        <f ca="1"/>
        <v>0</v>
      </c>
      <c r="X195" s="49">
        <f ca="1"/>
        <v>0</v>
      </c>
      <c r="Y195" s="49">
        <f ca="1"/>
        <v>0</v>
      </c>
      <c r="Z195" s="49">
        <f ca="1"/>
        <v>0</v>
      </c>
      <c r="AA195" s="49">
        <f ca="1"/>
        <v>0</v>
      </c>
      <c r="AB195" s="49">
        <f ca="1"/>
        <v>0</v>
      </c>
      <c r="AC195" s="49">
        <f ca="1"/>
        <v>0</v>
      </c>
      <c r="AD195" s="49">
        <f ca="1"/>
        <v>0</v>
      </c>
      <c r="AE195" s="49">
        <f ca="1"/>
        <v>0</v>
      </c>
      <c r="AF195" s="49">
        <f ca="1"/>
        <v>0</v>
      </c>
      <c r="AG195" s="49">
        <f ca="1"/>
        <v>0</v>
      </c>
      <c r="AH195" s="49">
        <f ca="1"/>
        <v>0</v>
      </c>
      <c r="AI195" s="49">
        <f ca="1"/>
        <v>0</v>
      </c>
      <c r="AJ195" s="49">
        <f ca="1"/>
        <v>0</v>
      </c>
      <c r="AK195" s="49">
        <f ca="1"/>
        <v>0</v>
      </c>
      <c r="AL195" s="49">
        <f ca="1"/>
        <v>0</v>
      </c>
      <c r="AM195" s="49">
        <f ca="1"/>
        <v>0</v>
      </c>
      <c r="AN195" s="49">
        <f ca="1"/>
        <v>0</v>
      </c>
      <c r="AO195" s="49">
        <f ca="1"/>
        <v>0</v>
      </c>
      <c r="AP195" s="49">
        <f ca="1"/>
        <v>0</v>
      </c>
      <c r="AQ195" s="49">
        <f ca="1"/>
        <v>0</v>
      </c>
      <c r="AR195" s="49">
        <f ca="1"/>
        <v>0</v>
      </c>
      <c r="AS195" s="49">
        <f ca="1"/>
        <v>0</v>
      </c>
      <c r="AT195" s="49">
        <f ca="1"/>
        <v>0</v>
      </c>
      <c r="AU195" s="49">
        <f ca="1"/>
        <v>0</v>
      </c>
      <c r="AV195" s="49">
        <f ca="1"/>
        <v>0</v>
      </c>
      <c r="AW195" s="49">
        <f ca="1"/>
        <v>0</v>
      </c>
      <c r="AX195" s="49">
        <f ca="1"/>
        <v>0</v>
      </c>
      <c r="AY195" s="49">
        <f ca="1"/>
        <v>0</v>
      </c>
      <c r="AZ195" s="49">
        <f ca="1"/>
        <v>0</v>
      </c>
      <c r="BA195" s="49">
        <f ca="1"/>
        <v>0</v>
      </c>
      <c r="BB195" s="49">
        <f ca="1"/>
        <v>0</v>
      </c>
      <c r="BC195" s="49">
        <f ca="1"/>
        <v>0</v>
      </c>
      <c r="BD195" s="49">
        <f ca="1"/>
        <v>0</v>
      </c>
      <c r="BE195" s="49">
        <f ca="1"/>
        <v>0</v>
      </c>
      <c r="BF195" s="49">
        <f ca="1"/>
        <v>0</v>
      </c>
      <c r="BG195" s="49">
        <f ca="1"/>
        <v>0</v>
      </c>
      <c r="BH195" s="49">
        <f ca="1"/>
        <v>0</v>
      </c>
      <c r="BI195" s="49">
        <f ca="1"/>
        <v>0</v>
      </c>
      <c r="BJ195" s="49">
        <f ca="1"/>
        <v>0</v>
      </c>
      <c r="BK195" s="49">
        <f ca="1"/>
        <v>0</v>
      </c>
      <c r="BL195" s="49">
        <f ca="1"/>
        <v>0</v>
      </c>
      <c r="BM195" s="49">
        <f ca="1"/>
        <v>0</v>
      </c>
      <c r="BN195" s="49">
        <f ca="1"/>
        <v>0</v>
      </c>
      <c r="BO195" s="49">
        <f ca="1"/>
        <v>0</v>
      </c>
      <c r="BP195" s="49">
        <f ca="1"/>
        <v>0</v>
      </c>
      <c r="BQ195" s="49">
        <f ca="1"/>
        <v>0</v>
      </c>
      <c r="BR195" s="49">
        <f ca="1"/>
        <v>0</v>
      </c>
      <c r="BS195" s="49">
        <f ca="1"/>
        <v>0</v>
      </c>
      <c r="BT195" s="49">
        <f ca="1"/>
        <v>0</v>
      </c>
      <c r="BU195" s="49">
        <f ca="1"/>
        <v>0</v>
      </c>
      <c r="BV195" s="49">
        <f ca="1"/>
        <v>0</v>
      </c>
      <c r="BW195" s="49">
        <f ca="1"/>
        <v>0</v>
      </c>
      <c r="BX195" s="49">
        <f ca="1"/>
        <v>0</v>
      </c>
      <c r="BY195" s="49">
        <f ca="1"/>
        <v>0</v>
      </c>
      <c r="BZ195" s="49">
        <f ca="1"/>
        <v>0</v>
      </c>
      <c r="CA195" s="49">
        <f ca="1"/>
        <v>0</v>
      </c>
      <c r="CB195" s="49">
        <f ca="1"/>
        <v>0</v>
      </c>
      <c r="CC195" s="49">
        <f ca="1"/>
        <v>0</v>
      </c>
      <c r="CD195" s="49">
        <f ca="1"/>
        <v>0</v>
      </c>
      <c r="CE195" s="49">
        <f ca="1"/>
        <v>0</v>
      </c>
      <c r="CF195" s="49">
        <f ca="1"/>
        <v>0</v>
      </c>
      <c r="CG195" s="49">
        <f ca="1"/>
        <v>0</v>
      </c>
      <c r="CH195" s="49">
        <f ca="1"/>
        <v>0</v>
      </c>
      <c r="CI195" s="49">
        <f ca="1"/>
        <v>0</v>
      </c>
      <c r="CJ195" s="49">
        <f ca="1"/>
        <v>0</v>
      </c>
      <c r="CK195" s="49">
        <f ca="1"/>
        <v>0</v>
      </c>
    </row>
    <row r="196" spans="2:89">
      <c r="B196" s="45" t="str">
        <v>Пусто</v>
      </c>
      <c r="C196" s="118"/>
      <c r="D196" s="118"/>
      <c r="E196" s="46"/>
      <c r="F196" s="49">
        <f ca="1"/>
        <v>0</v>
      </c>
      <c r="G196" s="49">
        <f ca="1"/>
        <v>0</v>
      </c>
      <c r="H196" s="49">
        <f ca="1"/>
        <v>0</v>
      </c>
      <c r="I196" s="49">
        <f ca="1"/>
        <v>0</v>
      </c>
      <c r="J196" s="49">
        <f ca="1"/>
        <v>0</v>
      </c>
      <c r="K196" s="49">
        <f ca="1"/>
        <v>0</v>
      </c>
      <c r="L196" s="49">
        <f ca="1"/>
        <v>0</v>
      </c>
      <c r="M196" s="49">
        <f ca="1"/>
        <v>0</v>
      </c>
      <c r="N196" s="49">
        <f ca="1"/>
        <v>0</v>
      </c>
      <c r="O196" s="49">
        <f ca="1"/>
        <v>0</v>
      </c>
      <c r="P196" s="49">
        <f ca="1"/>
        <v>0</v>
      </c>
      <c r="Q196" s="49">
        <f ca="1"/>
        <v>0</v>
      </c>
      <c r="R196" s="49">
        <f ca="1"/>
        <v>0</v>
      </c>
      <c r="S196" s="49">
        <f ca="1"/>
        <v>0</v>
      </c>
      <c r="T196" s="49">
        <f ca="1"/>
        <v>0</v>
      </c>
      <c r="U196" s="49">
        <f ca="1"/>
        <v>0</v>
      </c>
      <c r="V196" s="49">
        <f ca="1"/>
        <v>0</v>
      </c>
      <c r="W196" s="49">
        <f ca="1"/>
        <v>0</v>
      </c>
      <c r="X196" s="49">
        <f ca="1"/>
        <v>0</v>
      </c>
      <c r="Y196" s="49">
        <f ca="1"/>
        <v>0</v>
      </c>
      <c r="Z196" s="49">
        <f ca="1"/>
        <v>0</v>
      </c>
      <c r="AA196" s="49">
        <f ca="1"/>
        <v>0</v>
      </c>
      <c r="AB196" s="49">
        <f ca="1"/>
        <v>0</v>
      </c>
      <c r="AC196" s="49">
        <f ca="1"/>
        <v>0</v>
      </c>
      <c r="AD196" s="49">
        <f ca="1"/>
        <v>0</v>
      </c>
      <c r="AE196" s="49">
        <f ca="1"/>
        <v>0</v>
      </c>
      <c r="AF196" s="49">
        <f ca="1"/>
        <v>0</v>
      </c>
      <c r="AG196" s="49">
        <f ca="1"/>
        <v>0</v>
      </c>
      <c r="AH196" s="49">
        <f ca="1"/>
        <v>0</v>
      </c>
      <c r="AI196" s="49">
        <f ca="1"/>
        <v>0</v>
      </c>
      <c r="AJ196" s="49">
        <f ca="1"/>
        <v>0</v>
      </c>
      <c r="AK196" s="49">
        <f ca="1"/>
        <v>0</v>
      </c>
      <c r="AL196" s="49">
        <f ca="1"/>
        <v>0</v>
      </c>
      <c r="AM196" s="49">
        <f ca="1"/>
        <v>0</v>
      </c>
      <c r="AN196" s="49">
        <f ca="1"/>
        <v>0</v>
      </c>
      <c r="AO196" s="49">
        <f ca="1"/>
        <v>0</v>
      </c>
      <c r="AP196" s="49">
        <f ca="1"/>
        <v>0</v>
      </c>
      <c r="AQ196" s="49">
        <f ca="1"/>
        <v>0</v>
      </c>
      <c r="AR196" s="49">
        <f ca="1"/>
        <v>0</v>
      </c>
      <c r="AS196" s="49">
        <f ca="1"/>
        <v>0</v>
      </c>
      <c r="AT196" s="49">
        <f ca="1"/>
        <v>0</v>
      </c>
      <c r="AU196" s="49">
        <f ca="1"/>
        <v>0</v>
      </c>
      <c r="AV196" s="49">
        <f ca="1"/>
        <v>0</v>
      </c>
      <c r="AW196" s="49">
        <f ca="1"/>
        <v>0</v>
      </c>
      <c r="AX196" s="49">
        <f ca="1"/>
        <v>0</v>
      </c>
      <c r="AY196" s="49">
        <f ca="1"/>
        <v>0</v>
      </c>
      <c r="AZ196" s="49">
        <f ca="1"/>
        <v>0</v>
      </c>
      <c r="BA196" s="49">
        <f ca="1"/>
        <v>0</v>
      </c>
      <c r="BB196" s="49">
        <f ca="1"/>
        <v>0</v>
      </c>
      <c r="BC196" s="49">
        <f ca="1"/>
        <v>0</v>
      </c>
      <c r="BD196" s="49">
        <f ca="1"/>
        <v>0</v>
      </c>
      <c r="BE196" s="49">
        <f ca="1"/>
        <v>0</v>
      </c>
      <c r="BF196" s="49">
        <f ca="1"/>
        <v>0</v>
      </c>
      <c r="BG196" s="49">
        <f ca="1"/>
        <v>0</v>
      </c>
      <c r="BH196" s="49">
        <f ca="1"/>
        <v>0</v>
      </c>
      <c r="BI196" s="49">
        <f ca="1"/>
        <v>0</v>
      </c>
      <c r="BJ196" s="49">
        <f ca="1"/>
        <v>0</v>
      </c>
      <c r="BK196" s="49">
        <f ca="1"/>
        <v>0</v>
      </c>
      <c r="BL196" s="49">
        <f ca="1"/>
        <v>0</v>
      </c>
      <c r="BM196" s="49">
        <f ca="1"/>
        <v>0</v>
      </c>
      <c r="BN196" s="49">
        <f ca="1"/>
        <v>0</v>
      </c>
      <c r="BO196" s="49">
        <f ca="1"/>
        <v>0</v>
      </c>
      <c r="BP196" s="49">
        <f ca="1"/>
        <v>0</v>
      </c>
      <c r="BQ196" s="49">
        <f ca="1"/>
        <v>0</v>
      </c>
      <c r="BR196" s="49">
        <f ca="1"/>
        <v>0</v>
      </c>
      <c r="BS196" s="49">
        <f ca="1"/>
        <v>0</v>
      </c>
      <c r="BT196" s="49">
        <f ca="1"/>
        <v>0</v>
      </c>
      <c r="BU196" s="49">
        <f ca="1"/>
        <v>0</v>
      </c>
      <c r="BV196" s="49">
        <f ca="1"/>
        <v>0</v>
      </c>
      <c r="BW196" s="49">
        <f ca="1"/>
        <v>0</v>
      </c>
      <c r="BX196" s="49">
        <f ca="1"/>
        <v>0</v>
      </c>
      <c r="BY196" s="49">
        <f ca="1"/>
        <v>0</v>
      </c>
      <c r="BZ196" s="49">
        <f ca="1"/>
        <v>0</v>
      </c>
      <c r="CA196" s="49">
        <f ca="1"/>
        <v>0</v>
      </c>
      <c r="CB196" s="49">
        <f ca="1"/>
        <v>0</v>
      </c>
      <c r="CC196" s="49">
        <f ca="1"/>
        <v>0</v>
      </c>
      <c r="CD196" s="49">
        <f ca="1"/>
        <v>0</v>
      </c>
      <c r="CE196" s="49">
        <f ca="1"/>
        <v>0</v>
      </c>
      <c r="CF196" s="49">
        <f ca="1"/>
        <v>0</v>
      </c>
      <c r="CG196" s="49">
        <f ca="1"/>
        <v>0</v>
      </c>
      <c r="CH196" s="49">
        <f ca="1"/>
        <v>0</v>
      </c>
      <c r="CI196" s="49">
        <f ca="1"/>
        <v>0</v>
      </c>
      <c r="CJ196" s="49">
        <f ca="1"/>
        <v>0</v>
      </c>
      <c r="CK196" s="49">
        <f ca="1"/>
        <v>0</v>
      </c>
    </row>
    <row r="197" spans="2:89">
      <c r="B197" s="86" t="str">
        <v>Пусто</v>
      </c>
      <c r="C197" s="118"/>
      <c r="D197" s="118"/>
      <c r="E197" s="46"/>
      <c r="F197" s="176">
        <f ca="1"/>
        <v>0</v>
      </c>
      <c r="G197" s="176">
        <f ca="1"/>
        <v>0</v>
      </c>
      <c r="H197" s="176">
        <f ca="1"/>
        <v>0</v>
      </c>
      <c r="I197" s="176">
        <f ca="1"/>
        <v>0</v>
      </c>
      <c r="J197" s="176">
        <f ca="1"/>
        <v>0</v>
      </c>
      <c r="K197" s="176">
        <f ca="1"/>
        <v>0</v>
      </c>
      <c r="L197" s="176">
        <f ca="1"/>
        <v>0</v>
      </c>
      <c r="M197" s="176">
        <f ca="1"/>
        <v>0</v>
      </c>
      <c r="N197" s="176">
        <f ca="1"/>
        <v>0</v>
      </c>
      <c r="O197" s="176">
        <f ca="1"/>
        <v>0</v>
      </c>
      <c r="P197" s="176">
        <f ca="1"/>
        <v>0</v>
      </c>
      <c r="Q197" s="176">
        <f ca="1"/>
        <v>0</v>
      </c>
      <c r="R197" s="176">
        <f ca="1"/>
        <v>0</v>
      </c>
      <c r="S197" s="176">
        <f ca="1"/>
        <v>0</v>
      </c>
      <c r="T197" s="176">
        <f ca="1"/>
        <v>0</v>
      </c>
      <c r="U197" s="176">
        <f ca="1"/>
        <v>0</v>
      </c>
      <c r="V197" s="176">
        <f ca="1"/>
        <v>0</v>
      </c>
      <c r="W197" s="176">
        <f ca="1"/>
        <v>0</v>
      </c>
      <c r="X197" s="176">
        <f ca="1"/>
        <v>0</v>
      </c>
      <c r="Y197" s="176">
        <f ca="1"/>
        <v>0</v>
      </c>
      <c r="Z197" s="176">
        <f ca="1"/>
        <v>0</v>
      </c>
      <c r="AA197" s="176">
        <f ca="1"/>
        <v>0</v>
      </c>
      <c r="AB197" s="176">
        <f ca="1"/>
        <v>0</v>
      </c>
      <c r="AC197" s="176">
        <f ca="1"/>
        <v>0</v>
      </c>
      <c r="AD197" s="176">
        <f ca="1"/>
        <v>0</v>
      </c>
      <c r="AE197" s="176">
        <f ca="1"/>
        <v>0</v>
      </c>
      <c r="AF197" s="176">
        <f ca="1"/>
        <v>0</v>
      </c>
      <c r="AG197" s="176">
        <f ca="1"/>
        <v>0</v>
      </c>
      <c r="AH197" s="176">
        <f ca="1"/>
        <v>0</v>
      </c>
      <c r="AI197" s="176">
        <f ca="1"/>
        <v>0</v>
      </c>
      <c r="AJ197" s="176">
        <f ca="1"/>
        <v>0</v>
      </c>
      <c r="AK197" s="176">
        <f ca="1"/>
        <v>0</v>
      </c>
      <c r="AL197" s="176">
        <f ca="1"/>
        <v>0</v>
      </c>
      <c r="AM197" s="176">
        <f ca="1"/>
        <v>0</v>
      </c>
      <c r="AN197" s="176">
        <f ca="1"/>
        <v>0</v>
      </c>
      <c r="AO197" s="176">
        <f ca="1"/>
        <v>0</v>
      </c>
      <c r="AP197" s="176">
        <f ca="1"/>
        <v>0</v>
      </c>
      <c r="AQ197" s="176">
        <f ca="1"/>
        <v>0</v>
      </c>
      <c r="AR197" s="176">
        <f ca="1"/>
        <v>0</v>
      </c>
      <c r="AS197" s="176">
        <f ca="1"/>
        <v>0</v>
      </c>
      <c r="AT197" s="176">
        <f ca="1"/>
        <v>0</v>
      </c>
      <c r="AU197" s="176">
        <f ca="1"/>
        <v>0</v>
      </c>
      <c r="AV197" s="176">
        <f ca="1"/>
        <v>0</v>
      </c>
      <c r="AW197" s="176">
        <f ca="1"/>
        <v>0</v>
      </c>
      <c r="AX197" s="176">
        <f ca="1"/>
        <v>0</v>
      </c>
      <c r="AY197" s="176">
        <f ca="1"/>
        <v>0</v>
      </c>
      <c r="AZ197" s="176">
        <f ca="1"/>
        <v>0</v>
      </c>
      <c r="BA197" s="176">
        <f ca="1"/>
        <v>0</v>
      </c>
      <c r="BB197" s="176">
        <f ca="1"/>
        <v>0</v>
      </c>
      <c r="BC197" s="176">
        <f ca="1"/>
        <v>0</v>
      </c>
      <c r="BD197" s="176">
        <f ca="1"/>
        <v>0</v>
      </c>
      <c r="BE197" s="176">
        <f ca="1"/>
        <v>0</v>
      </c>
      <c r="BF197" s="176">
        <f ca="1"/>
        <v>0</v>
      </c>
      <c r="BG197" s="176">
        <f ca="1"/>
        <v>0</v>
      </c>
      <c r="BH197" s="176">
        <f ca="1"/>
        <v>0</v>
      </c>
      <c r="BI197" s="176">
        <f ca="1"/>
        <v>0</v>
      </c>
      <c r="BJ197" s="176">
        <f ca="1"/>
        <v>0</v>
      </c>
      <c r="BK197" s="176">
        <f ca="1"/>
        <v>0</v>
      </c>
      <c r="BL197" s="176">
        <f ca="1"/>
        <v>0</v>
      </c>
      <c r="BM197" s="176">
        <f ca="1"/>
        <v>0</v>
      </c>
      <c r="BN197" s="176">
        <f ca="1"/>
        <v>0</v>
      </c>
      <c r="BO197" s="176">
        <f ca="1"/>
        <v>0</v>
      </c>
      <c r="BP197" s="176">
        <f ca="1"/>
        <v>0</v>
      </c>
      <c r="BQ197" s="176">
        <f ca="1"/>
        <v>0</v>
      </c>
      <c r="BR197" s="176">
        <f ca="1"/>
        <v>0</v>
      </c>
      <c r="BS197" s="176">
        <f ca="1"/>
        <v>0</v>
      </c>
      <c r="BT197" s="176">
        <f ca="1"/>
        <v>0</v>
      </c>
      <c r="BU197" s="176">
        <f ca="1"/>
        <v>0</v>
      </c>
      <c r="BV197" s="176">
        <f ca="1"/>
        <v>0</v>
      </c>
      <c r="BW197" s="176">
        <f ca="1"/>
        <v>0</v>
      </c>
      <c r="BX197" s="176">
        <f ca="1"/>
        <v>0</v>
      </c>
      <c r="BY197" s="176">
        <f ca="1"/>
        <v>0</v>
      </c>
      <c r="BZ197" s="176">
        <f ca="1"/>
        <v>0</v>
      </c>
      <c r="CA197" s="176">
        <f ca="1"/>
        <v>0</v>
      </c>
      <c r="CB197" s="176">
        <f ca="1"/>
        <v>0</v>
      </c>
      <c r="CC197" s="176">
        <f ca="1"/>
        <v>0</v>
      </c>
      <c r="CD197" s="176">
        <f ca="1"/>
        <v>0</v>
      </c>
      <c r="CE197" s="176">
        <f ca="1"/>
        <v>0</v>
      </c>
      <c r="CF197" s="176">
        <f ca="1"/>
        <v>0</v>
      </c>
      <c r="CG197" s="176">
        <f ca="1"/>
        <v>0</v>
      </c>
      <c r="CH197" s="176">
        <f ca="1"/>
        <v>0</v>
      </c>
      <c r="CI197" s="176">
        <f ca="1"/>
        <v>0</v>
      </c>
      <c r="CJ197" s="176">
        <f ca="1"/>
        <v>0</v>
      </c>
      <c r="CK197" s="176">
        <f ca="1"/>
        <v>0</v>
      </c>
    </row>
    <row r="198" spans="2:89">
      <c r="B198" s="128" t="str">
        <v>Пусто</v>
      </c>
      <c r="C198" s="124"/>
      <c r="D198" s="124"/>
      <c r="E198" s="78"/>
      <c r="F198" s="185">
        <f ca="1"/>
        <v>0</v>
      </c>
      <c r="G198" s="185">
        <f ca="1"/>
        <v>0</v>
      </c>
      <c r="H198" s="185">
        <f ca="1"/>
        <v>0</v>
      </c>
      <c r="I198" s="185">
        <f ca="1"/>
        <v>0</v>
      </c>
      <c r="J198" s="185">
        <f ca="1"/>
        <v>0</v>
      </c>
      <c r="K198" s="185">
        <f ca="1"/>
        <v>0</v>
      </c>
      <c r="L198" s="185">
        <f ca="1"/>
        <v>0</v>
      </c>
      <c r="M198" s="185">
        <f ca="1"/>
        <v>0</v>
      </c>
      <c r="N198" s="185">
        <f ca="1"/>
        <v>0</v>
      </c>
      <c r="O198" s="185">
        <f ca="1"/>
        <v>0</v>
      </c>
      <c r="P198" s="185">
        <f ca="1"/>
        <v>0</v>
      </c>
      <c r="Q198" s="185">
        <f ca="1"/>
        <v>0</v>
      </c>
      <c r="R198" s="185">
        <f ca="1"/>
        <v>0</v>
      </c>
      <c r="S198" s="185">
        <f ca="1"/>
        <v>0</v>
      </c>
      <c r="T198" s="185">
        <f ca="1"/>
        <v>0</v>
      </c>
      <c r="U198" s="185">
        <f ca="1"/>
        <v>0</v>
      </c>
      <c r="V198" s="185">
        <f ca="1"/>
        <v>0</v>
      </c>
      <c r="W198" s="185">
        <f ca="1"/>
        <v>0</v>
      </c>
      <c r="X198" s="185">
        <f ca="1"/>
        <v>0</v>
      </c>
      <c r="Y198" s="185">
        <f ca="1"/>
        <v>0</v>
      </c>
      <c r="Z198" s="185">
        <f ca="1"/>
        <v>0</v>
      </c>
      <c r="AA198" s="185">
        <f ca="1"/>
        <v>0</v>
      </c>
      <c r="AB198" s="185">
        <f ca="1"/>
        <v>0</v>
      </c>
      <c r="AC198" s="185">
        <f ca="1"/>
        <v>0</v>
      </c>
      <c r="AD198" s="185">
        <f ca="1"/>
        <v>0</v>
      </c>
      <c r="AE198" s="185">
        <f ca="1"/>
        <v>0</v>
      </c>
      <c r="AF198" s="185">
        <f ca="1"/>
        <v>0</v>
      </c>
      <c r="AG198" s="185">
        <f ca="1"/>
        <v>0</v>
      </c>
      <c r="AH198" s="185">
        <f ca="1"/>
        <v>0</v>
      </c>
      <c r="AI198" s="185">
        <f ca="1"/>
        <v>0</v>
      </c>
      <c r="AJ198" s="185">
        <f ca="1"/>
        <v>0</v>
      </c>
      <c r="AK198" s="185">
        <f ca="1"/>
        <v>0</v>
      </c>
      <c r="AL198" s="185">
        <f ca="1"/>
        <v>0</v>
      </c>
      <c r="AM198" s="185">
        <f ca="1"/>
        <v>0</v>
      </c>
      <c r="AN198" s="185">
        <f ca="1"/>
        <v>0</v>
      </c>
      <c r="AO198" s="185">
        <f ca="1"/>
        <v>0</v>
      </c>
      <c r="AP198" s="185">
        <f ca="1"/>
        <v>0</v>
      </c>
      <c r="AQ198" s="185">
        <f ca="1"/>
        <v>0</v>
      </c>
      <c r="AR198" s="185">
        <f ca="1"/>
        <v>0</v>
      </c>
      <c r="AS198" s="185">
        <f ca="1"/>
        <v>0</v>
      </c>
      <c r="AT198" s="185">
        <f ca="1"/>
        <v>0</v>
      </c>
      <c r="AU198" s="185">
        <f ca="1"/>
        <v>0</v>
      </c>
      <c r="AV198" s="185">
        <f ca="1"/>
        <v>0</v>
      </c>
      <c r="AW198" s="185">
        <f ca="1"/>
        <v>0</v>
      </c>
      <c r="AX198" s="185">
        <f ca="1"/>
        <v>0</v>
      </c>
      <c r="AY198" s="185">
        <f ca="1"/>
        <v>0</v>
      </c>
      <c r="AZ198" s="185">
        <f ca="1"/>
        <v>0</v>
      </c>
      <c r="BA198" s="185">
        <f ca="1"/>
        <v>0</v>
      </c>
      <c r="BB198" s="185">
        <f ca="1"/>
        <v>0</v>
      </c>
      <c r="BC198" s="185">
        <f ca="1"/>
        <v>0</v>
      </c>
      <c r="BD198" s="185">
        <f ca="1"/>
        <v>0</v>
      </c>
      <c r="BE198" s="185">
        <f ca="1"/>
        <v>0</v>
      </c>
      <c r="BF198" s="185">
        <f ca="1"/>
        <v>0</v>
      </c>
      <c r="BG198" s="185">
        <f ca="1"/>
        <v>0</v>
      </c>
      <c r="BH198" s="185">
        <f ca="1"/>
        <v>0</v>
      </c>
      <c r="BI198" s="185">
        <f ca="1"/>
        <v>0</v>
      </c>
      <c r="BJ198" s="185">
        <f ca="1"/>
        <v>0</v>
      </c>
      <c r="BK198" s="185">
        <f ca="1"/>
        <v>0</v>
      </c>
      <c r="BL198" s="185">
        <f ca="1"/>
        <v>0</v>
      </c>
      <c r="BM198" s="185">
        <f ca="1"/>
        <v>0</v>
      </c>
      <c r="BN198" s="185">
        <f ca="1"/>
        <v>0</v>
      </c>
      <c r="BO198" s="185">
        <f ca="1"/>
        <v>0</v>
      </c>
      <c r="BP198" s="185">
        <f ca="1"/>
        <v>0</v>
      </c>
      <c r="BQ198" s="185">
        <f ca="1"/>
        <v>0</v>
      </c>
      <c r="BR198" s="185">
        <f ca="1"/>
        <v>0</v>
      </c>
      <c r="BS198" s="185">
        <f ca="1"/>
        <v>0</v>
      </c>
      <c r="BT198" s="185">
        <f ca="1"/>
        <v>0</v>
      </c>
      <c r="BU198" s="185">
        <f ca="1"/>
        <v>0</v>
      </c>
      <c r="BV198" s="185">
        <f ca="1"/>
        <v>0</v>
      </c>
      <c r="BW198" s="185">
        <f ca="1"/>
        <v>0</v>
      </c>
      <c r="BX198" s="185">
        <f ca="1"/>
        <v>0</v>
      </c>
      <c r="BY198" s="185">
        <f ca="1"/>
        <v>0</v>
      </c>
      <c r="BZ198" s="185">
        <f ca="1"/>
        <v>0</v>
      </c>
      <c r="CA198" s="185">
        <f ca="1"/>
        <v>0</v>
      </c>
      <c r="CB198" s="185">
        <f ca="1"/>
        <v>0</v>
      </c>
      <c r="CC198" s="185">
        <f ca="1"/>
        <v>0</v>
      </c>
      <c r="CD198" s="185">
        <f ca="1"/>
        <v>0</v>
      </c>
      <c r="CE198" s="185">
        <f ca="1"/>
        <v>0</v>
      </c>
      <c r="CF198" s="185">
        <f ca="1"/>
        <v>0</v>
      </c>
      <c r="CG198" s="185">
        <f ca="1"/>
        <v>0</v>
      </c>
      <c r="CH198" s="185">
        <f ca="1"/>
        <v>0</v>
      </c>
      <c r="CI198" s="185">
        <f ca="1"/>
        <v>0</v>
      </c>
      <c r="CJ198" s="185">
        <f ca="1"/>
        <v>0</v>
      </c>
      <c r="CK198" s="185">
        <f ca="1"/>
        <v>0</v>
      </c>
    </row>
    <row r="199" spans="2:89">
      <c r="B199" s="14"/>
      <c r="C199" s="14"/>
      <c r="D199" s="14"/>
      <c r="E199" s="1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  <c r="BI199" s="154"/>
      <c r="BJ199" s="154"/>
      <c r="BK199" s="154"/>
      <c r="BL199" s="154"/>
      <c r="BM199" s="15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</row>
    <row r="200" spans="2:89" ht="15.75" thickBot="1">
      <c r="B200" s="96" t="str">
        <f>"Всего с учетом инфляции, в "&amp;Ед_измерения_денег&amp;" в т.ч. НДС"</f>
        <v>Всего с учетом инфляции, в  руб. в т.ч. НДС</v>
      </c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</row>
    <row r="201" spans="2:89">
      <c r="B201" s="14"/>
      <c r="C201" s="14"/>
      <c r="D201" s="14"/>
      <c r="E201" s="1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  <c r="BI201" s="154"/>
      <c r="BJ201" s="154"/>
      <c r="BK201" s="154"/>
      <c r="BL201" s="154"/>
      <c r="BM201" s="15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</row>
    <row r="202" spans="2:89">
      <c r="B202" s="45" t="str">
        <f t="array" ref="B202:B211">ПМЗ_наименования</f>
        <v>Отходы</v>
      </c>
      <c r="C202" s="46"/>
      <c r="D202" s="47">
        <f ca="1">SUM(F202:CK202)</f>
        <v>31222181.300103512</v>
      </c>
      <c r="E202" s="48"/>
      <c r="F202" s="49">
        <f t="array" ref="F202:CK211" ca="1">F189:CK198*F147:CK147</f>
        <v>0</v>
      </c>
      <c r="G202" s="49">
        <f ca="1"/>
        <v>0</v>
      </c>
      <c r="H202" s="49">
        <f ca="1"/>
        <v>0</v>
      </c>
      <c r="I202" s="49">
        <f ca="1"/>
        <v>0</v>
      </c>
      <c r="J202" s="49">
        <f ca="1"/>
        <v>0</v>
      </c>
      <c r="K202" s="49">
        <f ca="1"/>
        <v>0</v>
      </c>
      <c r="L202" s="49">
        <f ca="1"/>
        <v>0</v>
      </c>
      <c r="M202" s="49">
        <f ca="1"/>
        <v>0</v>
      </c>
      <c r="N202" s="49">
        <f ca="1"/>
        <v>0</v>
      </c>
      <c r="O202" s="49">
        <f ca="1"/>
        <v>0</v>
      </c>
      <c r="P202" s="49">
        <f ca="1"/>
        <v>0</v>
      </c>
      <c r="Q202" s="49">
        <f ca="1"/>
        <v>0</v>
      </c>
      <c r="R202" s="49">
        <f ca="1"/>
        <v>275553.87293400802</v>
      </c>
      <c r="S202" s="49">
        <f ca="1"/>
        <v>276739.55648477148</v>
      </c>
      <c r="T202" s="49">
        <f ca="1"/>
        <v>277891.84963314887</v>
      </c>
      <c r="U202" s="49">
        <f ca="1"/>
        <v>279087.593287531</v>
      </c>
      <c r="V202" s="49">
        <f ca="1"/>
        <v>280288.48211939458</v>
      </c>
      <c r="W202" s="49">
        <f ca="1"/>
        <v>281455.55234823277</v>
      </c>
      <c r="X202" s="49">
        <f ca="1"/>
        <v>282666.63029512216</v>
      </c>
      <c r="Y202" s="49">
        <f ca="1"/>
        <v>283843.60270015639</v>
      </c>
      <c r="Z202" s="49">
        <f ca="1"/>
        <v>285064.9562130922</v>
      </c>
      <c r="AA202" s="49">
        <f ca="1"/>
        <v>286294.93291230424</v>
      </c>
      <c r="AB202" s="49">
        <f ca="1"/>
        <v>287410.44046285475</v>
      </c>
      <c r="AC202" s="49">
        <f ca="1"/>
        <v>288650.53728000016</v>
      </c>
      <c r="AD202" s="49">
        <f ca="1"/>
        <v>299206.76446086442</v>
      </c>
      <c r="AE202" s="49">
        <f ca="1"/>
        <v>308446.4174811811</v>
      </c>
      <c r="AF202" s="49">
        <f ca="1"/>
        <v>317811.93033639144</v>
      </c>
      <c r="AG202" s="49">
        <f ca="1"/>
        <v>327961.55016588658</v>
      </c>
      <c r="AH202" s="49">
        <f ca="1"/>
        <v>338629.17346296774</v>
      </c>
      <c r="AI202" s="49">
        <f ca="1"/>
        <v>349486.61568257282</v>
      </c>
      <c r="AJ202" s="49">
        <f ca="1"/>
        <v>361304.82576201361</v>
      </c>
      <c r="AK202" s="49">
        <f ca="1"/>
        <v>373371.92743590212</v>
      </c>
      <c r="AL202" s="49">
        <f ca="1"/>
        <v>386551.83220093971</v>
      </c>
      <c r="AM202" s="49">
        <f ca="1"/>
        <v>400522.14118561667</v>
      </c>
      <c r="AN202" s="49">
        <f ca="1"/>
        <v>413884.53602414858</v>
      </c>
      <c r="AO202" s="49">
        <f ca="1"/>
        <v>429583.4582541397</v>
      </c>
      <c r="AP202" s="49">
        <f ca="1"/>
        <v>432154.22446679068</v>
      </c>
      <c r="AQ202" s="49">
        <f ca="1"/>
        <v>434873.46990870684</v>
      </c>
      <c r="AR202" s="49">
        <f ca="1"/>
        <v>437569.19455612684</v>
      </c>
      <c r="AS202" s="49">
        <f ca="1"/>
        <v>440424.93027730909</v>
      </c>
      <c r="AT202" s="49">
        <f ca="1"/>
        <v>443356.09800300898</v>
      </c>
      <c r="AU202" s="49">
        <f ca="1"/>
        <v>446268.71416696173</v>
      </c>
      <c r="AV202" s="49">
        <f ca="1"/>
        <v>449361.55085727293</v>
      </c>
      <c r="AW202" s="49">
        <f ca="1"/>
        <v>452439.75152945018</v>
      </c>
      <c r="AX202" s="49">
        <f ca="1"/>
        <v>455713.73173392564</v>
      </c>
      <c r="AY202" s="49">
        <f ca="1"/>
        <v>459088.03957371408</v>
      </c>
      <c r="AZ202" s="49">
        <f ca="1"/>
        <v>462227.06345927314</v>
      </c>
      <c r="BA202" s="49">
        <f ca="1"/>
        <v>465809.37036684778</v>
      </c>
      <c r="BB202" s="49">
        <f ca="1"/>
        <v>467754.24071175279</v>
      </c>
      <c r="BC202" s="49">
        <f ca="1"/>
        <v>469772.47130970459</v>
      </c>
      <c r="BD202" s="49">
        <f ca="1"/>
        <v>471733.88858987537</v>
      </c>
      <c r="BE202" s="49">
        <f ca="1"/>
        <v>473769.29027130996</v>
      </c>
      <c r="BF202" s="49">
        <f ca="1"/>
        <v>475813.47414987942</v>
      </c>
      <c r="BG202" s="49">
        <f ca="1"/>
        <v>477800.11412419239</v>
      </c>
      <c r="BH202" s="49">
        <f ca="1"/>
        <v>479861.68989646749</v>
      </c>
      <c r="BI202" s="49">
        <f ca="1"/>
        <v>481865.23218158871</v>
      </c>
      <c r="BJ202" s="49">
        <f ca="1"/>
        <v>483944.34781760781</v>
      </c>
      <c r="BK202" s="49">
        <f ca="1"/>
        <v>486026.71685340686</v>
      </c>
      <c r="BL202" s="49">
        <f ca="1"/>
        <v>487982.85052394075</v>
      </c>
      <c r="BM202" s="49">
        <f ca="1"/>
        <v>490082.59687393846</v>
      </c>
      <c r="BN202" s="49">
        <f ca="1"/>
        <v>492123.21161543066</v>
      </c>
      <c r="BO202" s="49">
        <f ca="1"/>
        <v>494240.77356710407</v>
      </c>
      <c r="BP202" s="49">
        <f ca="1"/>
        <v>496298.70219958515</v>
      </c>
      <c r="BQ202" s="49">
        <f ca="1"/>
        <v>498434.23091198411</v>
      </c>
      <c r="BR202" s="49">
        <f ca="1"/>
        <v>500578.94861250912</v>
      </c>
      <c r="BS202" s="49">
        <f ca="1"/>
        <v>502663.26825237187</v>
      </c>
      <c r="BT202" s="49">
        <f ca="1"/>
        <v>504826.18312050222</v>
      </c>
      <c r="BU202" s="49">
        <f ca="1"/>
        <v>506928.18747188686</v>
      </c>
      <c r="BV202" s="49">
        <f ca="1"/>
        <v>509109.45390412351</v>
      </c>
      <c r="BW202" s="49">
        <f ca="1"/>
        <v>511306.12084617495</v>
      </c>
      <c r="BX202" s="49">
        <f ca="1"/>
        <v>513298.35253761499</v>
      </c>
      <c r="BY202" s="49">
        <f ca="1"/>
        <v>515513.09342247213</v>
      </c>
      <c r="BZ202" s="49">
        <f ca="1"/>
        <v>517665.48921265994</v>
      </c>
      <c r="CA202" s="49">
        <f ca="1"/>
        <v>519899.07308833563</v>
      </c>
      <c r="CB202" s="49">
        <f ca="1"/>
        <v>522069.78143796977</v>
      </c>
      <c r="CC202" s="49">
        <f ca="1"/>
        <v>524322.36862042011</v>
      </c>
      <c r="CD202" s="49">
        <f ca="1"/>
        <v>526584.67509556853</v>
      </c>
      <c r="CE202" s="49">
        <f ca="1"/>
        <v>528783.29750170058</v>
      </c>
      <c r="CF202" s="49">
        <f ca="1"/>
        <v>531064.85165518068</v>
      </c>
      <c r="CG202" s="49">
        <f ca="1"/>
        <v>533282.17991629336</v>
      </c>
      <c r="CH202" s="49">
        <f ca="1"/>
        <v>535583.14550713822</v>
      </c>
      <c r="CI202" s="49">
        <f ca="1"/>
        <v>537894.0391301763</v>
      </c>
      <c r="CJ202" s="49">
        <f ca="1"/>
        <v>539989.86686957115</v>
      </c>
      <c r="CK202" s="49">
        <f ca="1"/>
        <v>542319.77428044099</v>
      </c>
    </row>
    <row r="203" spans="2:89">
      <c r="B203" s="45" t="str">
        <v>Фуражное зерно (кукуруза)</v>
      </c>
      <c r="C203" s="46"/>
      <c r="D203" s="47">
        <f t="shared" ref="D203:D211" ca="1" si="241">SUM(F203:CK203)</f>
        <v>2272974798.6475358</v>
      </c>
      <c r="E203" s="48"/>
      <c r="F203" s="49">
        <f ca="1"/>
        <v>0</v>
      </c>
      <c r="G203" s="49">
        <f ca="1"/>
        <v>0</v>
      </c>
      <c r="H203" s="49">
        <f ca="1"/>
        <v>0</v>
      </c>
      <c r="I203" s="49">
        <f ca="1"/>
        <v>0</v>
      </c>
      <c r="J203" s="49">
        <f ca="1"/>
        <v>0</v>
      </c>
      <c r="K203" s="49">
        <f ca="1"/>
        <v>0</v>
      </c>
      <c r="L203" s="49">
        <f ca="1"/>
        <v>0</v>
      </c>
      <c r="M203" s="49">
        <f ca="1"/>
        <v>0</v>
      </c>
      <c r="N203" s="49">
        <f ca="1"/>
        <v>0</v>
      </c>
      <c r="O203" s="49">
        <f ca="1"/>
        <v>0</v>
      </c>
      <c r="P203" s="49">
        <f ca="1"/>
        <v>0</v>
      </c>
      <c r="Q203" s="49">
        <f ca="1"/>
        <v>0</v>
      </c>
      <c r="R203" s="49">
        <f ca="1"/>
        <v>20060321.949595783</v>
      </c>
      <c r="S203" s="49">
        <f ca="1"/>
        <v>20146639.712091364</v>
      </c>
      <c r="T203" s="49">
        <f ca="1"/>
        <v>20230526.653293237</v>
      </c>
      <c r="U203" s="49">
        <f ca="1"/>
        <v>20317576.791332256</v>
      </c>
      <c r="V203" s="49">
        <f ca="1"/>
        <v>20405001.498291925</v>
      </c>
      <c r="W203" s="49">
        <f ca="1"/>
        <v>20489964.210951343</v>
      </c>
      <c r="X203" s="49">
        <f ca="1"/>
        <v>20578130.685484894</v>
      </c>
      <c r="Y203" s="49">
        <f ca="1"/>
        <v>20663814.276571382</v>
      </c>
      <c r="Z203" s="49">
        <f ca="1"/>
        <v>20752728.812313113</v>
      </c>
      <c r="AA203" s="49">
        <f ca="1"/>
        <v>20842271.116015747</v>
      </c>
      <c r="AB203" s="49">
        <f ca="1"/>
        <v>20923480.065695822</v>
      </c>
      <c r="AC203" s="49">
        <f ca="1"/>
        <v>21013759.113984015</v>
      </c>
      <c r="AD203" s="49">
        <f ca="1"/>
        <v>21782252.452750932</v>
      </c>
      <c r="AE203" s="49">
        <f ca="1"/>
        <v>22454899.192629986</v>
      </c>
      <c r="AF203" s="49">
        <f ca="1"/>
        <v>23136708.528489299</v>
      </c>
      <c r="AG203" s="49">
        <f ca="1"/>
        <v>23875600.852076542</v>
      </c>
      <c r="AH203" s="49">
        <f ca="1"/>
        <v>24652203.828104053</v>
      </c>
      <c r="AI203" s="49">
        <f ca="1"/>
        <v>25442625.621691301</v>
      </c>
      <c r="AJ203" s="49">
        <f ca="1"/>
        <v>26302991.315474592</v>
      </c>
      <c r="AK203" s="49">
        <f ca="1"/>
        <v>27181476.317333676</v>
      </c>
      <c r="AL203" s="49">
        <f ca="1"/>
        <v>28140973.384228408</v>
      </c>
      <c r="AM203" s="49">
        <f ca="1"/>
        <v>29158011.878312893</v>
      </c>
      <c r="AN203" s="49">
        <f ca="1"/>
        <v>30130794.222558018</v>
      </c>
      <c r="AO203" s="49">
        <f ca="1"/>
        <v>31273675.760901369</v>
      </c>
      <c r="AP203" s="49">
        <f ca="1"/>
        <v>31460827.541182358</v>
      </c>
      <c r="AQ203" s="49">
        <f ca="1"/>
        <v>31658788.609353859</v>
      </c>
      <c r="AR203" s="49">
        <f ca="1"/>
        <v>31855037.363686033</v>
      </c>
      <c r="AS203" s="49">
        <f ca="1"/>
        <v>32062934.924188107</v>
      </c>
      <c r="AT203" s="49">
        <f ca="1"/>
        <v>32276323.934619054</v>
      </c>
      <c r="AU203" s="49">
        <f ca="1"/>
        <v>32488362.391354814</v>
      </c>
      <c r="AV203" s="49">
        <f ca="1"/>
        <v>32713520.902409468</v>
      </c>
      <c r="AW203" s="49">
        <f ca="1"/>
        <v>32937613.911343973</v>
      </c>
      <c r="AX203" s="49">
        <f ca="1"/>
        <v>33175959.670229789</v>
      </c>
      <c r="AY203" s="49">
        <f ca="1"/>
        <v>33421609.280966386</v>
      </c>
      <c r="AZ203" s="49">
        <f ca="1"/>
        <v>33650130.219835088</v>
      </c>
      <c r="BA203" s="49">
        <f ca="1"/>
        <v>33910922.162706517</v>
      </c>
      <c r="BB203" s="49">
        <f ca="1"/>
        <v>34052508.723815598</v>
      </c>
      <c r="BC203" s="49">
        <f ca="1"/>
        <v>34199435.911346495</v>
      </c>
      <c r="BD203" s="49">
        <f ca="1"/>
        <v>34342227.089342922</v>
      </c>
      <c r="BE203" s="49">
        <f ca="1"/>
        <v>34490404.331751369</v>
      </c>
      <c r="BF203" s="49">
        <f ca="1"/>
        <v>34639220.91811122</v>
      </c>
      <c r="BG203" s="49">
        <f ca="1"/>
        <v>34783848.308241203</v>
      </c>
      <c r="BH203" s="49">
        <f ca="1"/>
        <v>34933931.024462834</v>
      </c>
      <c r="BI203" s="49">
        <f ca="1"/>
        <v>35079788.902819656</v>
      </c>
      <c r="BJ203" s="49">
        <f ca="1"/>
        <v>35231148.521121845</v>
      </c>
      <c r="BK203" s="49">
        <f ca="1"/>
        <v>35382744.986928016</v>
      </c>
      <c r="BL203" s="49">
        <f ca="1"/>
        <v>35525151.518142886</v>
      </c>
      <c r="BM203" s="49">
        <f ca="1"/>
        <v>35678013.052422725</v>
      </c>
      <c r="BN203" s="49">
        <f ca="1"/>
        <v>35826569.805603348</v>
      </c>
      <c r="BO203" s="49">
        <f ca="1"/>
        <v>35980728.315685175</v>
      </c>
      <c r="BP203" s="49">
        <f ca="1"/>
        <v>36130545.520129792</v>
      </c>
      <c r="BQ203" s="49">
        <f ca="1"/>
        <v>36286012.010392442</v>
      </c>
      <c r="BR203" s="49">
        <f ca="1"/>
        <v>36442147.458990663</v>
      </c>
      <c r="BS203" s="49">
        <f ca="1"/>
        <v>36593885.928772673</v>
      </c>
      <c r="BT203" s="49">
        <f ca="1"/>
        <v>36751346.13117256</v>
      </c>
      <c r="BU203" s="49">
        <f ca="1"/>
        <v>36904372.04795336</v>
      </c>
      <c r="BV203" s="49">
        <f ca="1"/>
        <v>37063168.24422019</v>
      </c>
      <c r="BW203" s="49">
        <f ca="1"/>
        <v>37223085.597601533</v>
      </c>
      <c r="BX203" s="49">
        <f ca="1"/>
        <v>37368120.06473837</v>
      </c>
      <c r="BY203" s="49">
        <f ca="1"/>
        <v>37529353.201155975</v>
      </c>
      <c r="BZ203" s="49">
        <f ca="1"/>
        <v>37686047.614681646</v>
      </c>
      <c r="CA203" s="49">
        <f ca="1"/>
        <v>37848652.520830832</v>
      </c>
      <c r="CB203" s="49">
        <f ca="1"/>
        <v>38006680.088684194</v>
      </c>
      <c r="CC203" s="49">
        <f ca="1"/>
        <v>38170668.435566589</v>
      </c>
      <c r="CD203" s="49">
        <f ca="1"/>
        <v>38335364.346957386</v>
      </c>
      <c r="CE203" s="49">
        <f ca="1"/>
        <v>38495424.058123805</v>
      </c>
      <c r="CF203" s="49">
        <f ca="1"/>
        <v>38661521.20049715</v>
      </c>
      <c r="CG203" s="49">
        <f ca="1"/>
        <v>38822942.697906159</v>
      </c>
      <c r="CH203" s="49">
        <f ca="1"/>
        <v>38990452.992919669</v>
      </c>
      <c r="CI203" s="49">
        <f ca="1"/>
        <v>39158686.048676834</v>
      </c>
      <c r="CJ203" s="49">
        <f ca="1"/>
        <v>39311262.308104783</v>
      </c>
      <c r="CK203" s="49">
        <f ca="1"/>
        <v>39480879.567616105</v>
      </c>
    </row>
    <row r="204" spans="2:89">
      <c r="B204" s="45" t="str">
        <v>Корм для личинок рыб стартовый</v>
      </c>
      <c r="C204" s="46"/>
      <c r="D204" s="47">
        <f t="shared" ca="1" si="241"/>
        <v>578188542.59450972</v>
      </c>
      <c r="E204" s="48"/>
      <c r="F204" s="49">
        <f ca="1"/>
        <v>0</v>
      </c>
      <c r="G204" s="49">
        <f ca="1"/>
        <v>0</v>
      </c>
      <c r="H204" s="49">
        <f ca="1"/>
        <v>0</v>
      </c>
      <c r="I204" s="49">
        <f ca="1"/>
        <v>0</v>
      </c>
      <c r="J204" s="49">
        <f ca="1"/>
        <v>0</v>
      </c>
      <c r="K204" s="49">
        <f ca="1"/>
        <v>0</v>
      </c>
      <c r="L204" s="49">
        <f ca="1"/>
        <v>0</v>
      </c>
      <c r="M204" s="49">
        <f ca="1"/>
        <v>0</v>
      </c>
      <c r="N204" s="49">
        <f ca="1"/>
        <v>0</v>
      </c>
      <c r="O204" s="49">
        <f ca="1"/>
        <v>0</v>
      </c>
      <c r="P204" s="49">
        <f ca="1"/>
        <v>0</v>
      </c>
      <c r="Q204" s="49">
        <f ca="1"/>
        <v>0</v>
      </c>
      <c r="R204" s="49">
        <f ca="1"/>
        <v>5102849.498777926</v>
      </c>
      <c r="S204" s="49">
        <f ca="1"/>
        <v>5124806.6015698435</v>
      </c>
      <c r="T204" s="49">
        <f ca="1"/>
        <v>5146145.3635768304</v>
      </c>
      <c r="U204" s="49">
        <f ca="1"/>
        <v>5168288.7645839071</v>
      </c>
      <c r="V204" s="49">
        <f ca="1"/>
        <v>5190527.446655455</v>
      </c>
      <c r="W204" s="49">
        <f ca="1"/>
        <v>5212139.8583006067</v>
      </c>
      <c r="X204" s="49">
        <f ca="1"/>
        <v>5234567.2276874483</v>
      </c>
      <c r="Y204" s="49">
        <f ca="1"/>
        <v>5256363.0129658589</v>
      </c>
      <c r="Z204" s="49">
        <f ca="1"/>
        <v>5278980.6706128195</v>
      </c>
      <c r="AA204" s="49">
        <f ca="1"/>
        <v>5301758.0168945231</v>
      </c>
      <c r="AB204" s="49">
        <f ca="1"/>
        <v>5322415.5641269395</v>
      </c>
      <c r="AC204" s="49">
        <f ca="1"/>
        <v>5345380.320000004</v>
      </c>
      <c r="AD204" s="49">
        <f ca="1"/>
        <v>5540866.0085345265</v>
      </c>
      <c r="AE204" s="49">
        <f ca="1"/>
        <v>5711970.6940959468</v>
      </c>
      <c r="AF204" s="49">
        <f ca="1"/>
        <v>5885406.1173405824</v>
      </c>
      <c r="AG204" s="49">
        <f ca="1"/>
        <v>6073362.0401090104</v>
      </c>
      <c r="AH204" s="49">
        <f ca="1"/>
        <v>6270910.6196845872</v>
      </c>
      <c r="AI204" s="49">
        <f ca="1"/>
        <v>6471974.3644920895</v>
      </c>
      <c r="AJ204" s="49">
        <f ca="1"/>
        <v>6690830.1067039566</v>
      </c>
      <c r="AK204" s="49">
        <f ca="1"/>
        <v>6914294.9525167057</v>
      </c>
      <c r="AL204" s="49">
        <f ca="1"/>
        <v>7158367.2629803643</v>
      </c>
      <c r="AM204" s="49">
        <f ca="1"/>
        <v>7417076.6886225305</v>
      </c>
      <c r="AN204" s="49">
        <f ca="1"/>
        <v>7664528.4448916409</v>
      </c>
      <c r="AO204" s="49">
        <f ca="1"/>
        <v>7955249.2269285126</v>
      </c>
      <c r="AP204" s="49">
        <f ca="1"/>
        <v>8002856.0086442707</v>
      </c>
      <c r="AQ204" s="49">
        <f ca="1"/>
        <v>8053212.4057167936</v>
      </c>
      <c r="AR204" s="49">
        <f ca="1"/>
        <v>8103133.2325208671</v>
      </c>
      <c r="AS204" s="49">
        <f ca="1"/>
        <v>8156017.2273575766</v>
      </c>
      <c r="AT204" s="49">
        <f ca="1"/>
        <v>8210298.1111668339</v>
      </c>
      <c r="AU204" s="49">
        <f ca="1"/>
        <v>8264235.4475363288</v>
      </c>
      <c r="AV204" s="49">
        <f ca="1"/>
        <v>8321510.2010606099</v>
      </c>
      <c r="AW204" s="49">
        <f ca="1"/>
        <v>8378513.9172120402</v>
      </c>
      <c r="AX204" s="49">
        <f ca="1"/>
        <v>8439143.1802578829</v>
      </c>
      <c r="AY204" s="49">
        <f ca="1"/>
        <v>8501630.3624761868</v>
      </c>
      <c r="AZ204" s="49">
        <f ca="1"/>
        <v>8559760.4344309829</v>
      </c>
      <c r="BA204" s="49">
        <f ca="1"/>
        <v>8626099.4512379225</v>
      </c>
      <c r="BB204" s="49">
        <f ca="1"/>
        <v>8662115.5687361639</v>
      </c>
      <c r="BC204" s="49">
        <f ca="1"/>
        <v>8699490.209438974</v>
      </c>
      <c r="BD204" s="49">
        <f ca="1"/>
        <v>8735812.7516643591</v>
      </c>
      <c r="BE204" s="49">
        <f ca="1"/>
        <v>8773505.3753946293</v>
      </c>
      <c r="BF204" s="49">
        <f ca="1"/>
        <v>8811360.6324051749</v>
      </c>
      <c r="BG204" s="49">
        <f ca="1"/>
        <v>8848150.2615591176</v>
      </c>
      <c r="BH204" s="49">
        <f ca="1"/>
        <v>8886327.5906753242</v>
      </c>
      <c r="BI204" s="49">
        <f ca="1"/>
        <v>8923430.2255849745</v>
      </c>
      <c r="BJ204" s="49">
        <f ca="1"/>
        <v>8961932.3669927362</v>
      </c>
      <c r="BK204" s="49">
        <f ca="1"/>
        <v>9000494.7565445714</v>
      </c>
      <c r="BL204" s="49">
        <f ca="1"/>
        <v>9036719.4541470502</v>
      </c>
      <c r="BM204" s="49">
        <f ca="1"/>
        <v>9075603.6458136756</v>
      </c>
      <c r="BN204" s="49">
        <f ca="1"/>
        <v>9113392.8076931592</v>
      </c>
      <c r="BO204" s="49">
        <f ca="1"/>
        <v>9152606.9179093353</v>
      </c>
      <c r="BP204" s="49">
        <f ca="1"/>
        <v>9190716.7073997241</v>
      </c>
      <c r="BQ204" s="49">
        <f ca="1"/>
        <v>9230263.5354071129</v>
      </c>
      <c r="BR204" s="49">
        <f ca="1"/>
        <v>9269980.5298612807</v>
      </c>
      <c r="BS204" s="49">
        <f ca="1"/>
        <v>9308579.0417105909</v>
      </c>
      <c r="BT204" s="49">
        <f ca="1"/>
        <v>9348633.0207500402</v>
      </c>
      <c r="BU204" s="49">
        <f ca="1"/>
        <v>9387559.0272571631</v>
      </c>
      <c r="BV204" s="49">
        <f ca="1"/>
        <v>9427952.8500763625</v>
      </c>
      <c r="BW204" s="49">
        <f ca="1"/>
        <v>9468631.8675217591</v>
      </c>
      <c r="BX204" s="49">
        <f ca="1"/>
        <v>9505525.04699287</v>
      </c>
      <c r="BY204" s="49">
        <f ca="1"/>
        <v>9546538.7670828179</v>
      </c>
      <c r="BZ204" s="49">
        <f ca="1"/>
        <v>9586397.9483825918</v>
      </c>
      <c r="CA204" s="49">
        <f ca="1"/>
        <v>9627760.6127469558</v>
      </c>
      <c r="CB204" s="49">
        <f ca="1"/>
        <v>9667958.9155179579</v>
      </c>
      <c r="CC204" s="49">
        <f ca="1"/>
        <v>9709673.4929707423</v>
      </c>
      <c r="CD204" s="49">
        <f ca="1"/>
        <v>9751568.0573253427</v>
      </c>
      <c r="CE204" s="49">
        <f ca="1"/>
        <v>9792283.2870685291</v>
      </c>
      <c r="CF204" s="49">
        <f ca="1"/>
        <v>9834534.2899107523</v>
      </c>
      <c r="CG204" s="49">
        <f ca="1"/>
        <v>9875595.9243758041</v>
      </c>
      <c r="CH204" s="49">
        <f ca="1"/>
        <v>9918206.3982803375</v>
      </c>
      <c r="CI204" s="49">
        <f ca="1"/>
        <v>9961000.7246328946</v>
      </c>
      <c r="CJ204" s="49">
        <f ca="1"/>
        <v>9999812.3494365029</v>
      </c>
      <c r="CK204" s="49">
        <f ca="1"/>
        <v>10042958.782971129</v>
      </c>
    </row>
    <row r="205" spans="2:89">
      <c r="B205" s="45" t="str">
        <v xml:space="preserve">Личинки мухи </v>
      </c>
      <c r="C205" s="46"/>
      <c r="D205" s="47">
        <f t="shared" ca="1" si="241"/>
        <v>2584502785.3974566</v>
      </c>
      <c r="E205" s="48"/>
      <c r="F205" s="49">
        <f ca="1"/>
        <v>0</v>
      </c>
      <c r="G205" s="49">
        <f ca="1"/>
        <v>0</v>
      </c>
      <c r="H205" s="49">
        <f ca="1"/>
        <v>0</v>
      </c>
      <c r="I205" s="49">
        <f ca="1"/>
        <v>0</v>
      </c>
      <c r="J205" s="49">
        <f ca="1"/>
        <v>0</v>
      </c>
      <c r="K205" s="49">
        <f ca="1"/>
        <v>0</v>
      </c>
      <c r="L205" s="49">
        <f ca="1"/>
        <v>0</v>
      </c>
      <c r="M205" s="49">
        <f ca="1"/>
        <v>0</v>
      </c>
      <c r="N205" s="49">
        <f ca="1"/>
        <v>0</v>
      </c>
      <c r="O205" s="49">
        <f ca="1"/>
        <v>0</v>
      </c>
      <c r="P205" s="49">
        <f ca="1"/>
        <v>0</v>
      </c>
      <c r="Q205" s="49">
        <f ca="1"/>
        <v>0</v>
      </c>
      <c r="R205" s="49">
        <f ca="1"/>
        <v>22809737.259537328</v>
      </c>
      <c r="S205" s="49">
        <f ca="1"/>
        <v>22907885.509017199</v>
      </c>
      <c r="T205" s="49">
        <f ca="1"/>
        <v>23003269.775188431</v>
      </c>
      <c r="U205" s="49">
        <f ca="1"/>
        <v>23102250.777690068</v>
      </c>
      <c r="V205" s="49">
        <f ca="1"/>
        <v>23201657.686549887</v>
      </c>
      <c r="W205" s="49">
        <f ca="1"/>
        <v>23298265.166603714</v>
      </c>
      <c r="X205" s="49">
        <f ca="1"/>
        <v>23398515.50776289</v>
      </c>
      <c r="Y205" s="49">
        <f ca="1"/>
        <v>23495942.667957392</v>
      </c>
      <c r="Z205" s="49">
        <f ca="1"/>
        <v>23597043.597639304</v>
      </c>
      <c r="AA205" s="49">
        <f ca="1"/>
        <v>23698858.33551852</v>
      </c>
      <c r="AB205" s="49">
        <f ca="1"/>
        <v>23791197.571647421</v>
      </c>
      <c r="AC205" s="49">
        <f ca="1"/>
        <v>23893850.030400019</v>
      </c>
      <c r="AD205" s="49">
        <f ca="1"/>
        <v>24767671.058149334</v>
      </c>
      <c r="AE205" s="49">
        <f ca="1"/>
        <v>25532509.002608877</v>
      </c>
      <c r="AF205" s="49">
        <f ca="1"/>
        <v>26307765.344512403</v>
      </c>
      <c r="AG205" s="49">
        <f ca="1"/>
        <v>27147928.319287278</v>
      </c>
      <c r="AH205" s="49">
        <f ca="1"/>
        <v>28030970.469990112</v>
      </c>
      <c r="AI205" s="49">
        <f ca="1"/>
        <v>28929725.409279637</v>
      </c>
      <c r="AJ205" s="49">
        <f ca="1"/>
        <v>29908010.576966684</v>
      </c>
      <c r="AK205" s="49">
        <f ca="1"/>
        <v>30906898.437749676</v>
      </c>
      <c r="AL205" s="49">
        <f ca="1"/>
        <v>31997901.665522229</v>
      </c>
      <c r="AM205" s="49">
        <f ca="1"/>
        <v>33154332.798142713</v>
      </c>
      <c r="AN205" s="49">
        <f ca="1"/>
        <v>34260442.148665637</v>
      </c>
      <c r="AO205" s="49">
        <f ca="1"/>
        <v>35559964.04437045</v>
      </c>
      <c r="AP205" s="49">
        <f ca="1"/>
        <v>35772766.358639888</v>
      </c>
      <c r="AQ205" s="49">
        <f ca="1"/>
        <v>35997859.453554071</v>
      </c>
      <c r="AR205" s="49">
        <f ca="1"/>
        <v>36221005.549368277</v>
      </c>
      <c r="AS205" s="49">
        <f ca="1"/>
        <v>36457397.006288372</v>
      </c>
      <c r="AT205" s="49">
        <f ca="1"/>
        <v>36700032.556915745</v>
      </c>
      <c r="AU205" s="49">
        <f ca="1"/>
        <v>36941132.45048739</v>
      </c>
      <c r="AV205" s="49">
        <f ca="1"/>
        <v>37197150.598740928</v>
      </c>
      <c r="AW205" s="49">
        <f ca="1"/>
        <v>37451957.209937818</v>
      </c>
      <c r="AX205" s="49">
        <f ca="1"/>
        <v>37722970.015752733</v>
      </c>
      <c r="AY205" s="49">
        <f ca="1"/>
        <v>38002287.720268555</v>
      </c>
      <c r="AZ205" s="49">
        <f ca="1"/>
        <v>38262129.1419065</v>
      </c>
      <c r="BA205" s="49">
        <f ca="1"/>
        <v>38558664.547033511</v>
      </c>
      <c r="BB205" s="49">
        <f ca="1"/>
        <v>38719656.592250645</v>
      </c>
      <c r="BC205" s="49">
        <f ca="1"/>
        <v>38886721.236192212</v>
      </c>
      <c r="BD205" s="49">
        <f ca="1"/>
        <v>39049082.99993968</v>
      </c>
      <c r="BE205" s="49">
        <f ca="1"/>
        <v>39217569.028013989</v>
      </c>
      <c r="BF205" s="49">
        <f ca="1"/>
        <v>39386782.026851125</v>
      </c>
      <c r="BG205" s="49">
        <f ca="1"/>
        <v>39551231.669169255</v>
      </c>
      <c r="BH205" s="49">
        <f ca="1"/>
        <v>39721884.330318697</v>
      </c>
      <c r="BI205" s="49">
        <f ca="1"/>
        <v>39887733.108364843</v>
      </c>
      <c r="BJ205" s="49">
        <f ca="1"/>
        <v>40059837.680457532</v>
      </c>
      <c r="BK205" s="49">
        <f ca="1"/>
        <v>40232211.561754234</v>
      </c>
      <c r="BL205" s="49">
        <f ca="1"/>
        <v>40394135.960037321</v>
      </c>
      <c r="BM205" s="49">
        <f ca="1"/>
        <v>40567948.296787128</v>
      </c>
      <c r="BN205" s="49">
        <f ca="1"/>
        <v>40736865.850388423</v>
      </c>
      <c r="BO205" s="49">
        <f ca="1"/>
        <v>40912152.923054725</v>
      </c>
      <c r="BP205" s="49">
        <f ca="1"/>
        <v>41082503.682076767</v>
      </c>
      <c r="BQ205" s="49">
        <f ca="1"/>
        <v>41259278.003269792</v>
      </c>
      <c r="BR205" s="49">
        <f ca="1"/>
        <v>41436812.968479924</v>
      </c>
      <c r="BS205" s="49">
        <f ca="1"/>
        <v>41609348.316446342</v>
      </c>
      <c r="BT205" s="49">
        <f ca="1"/>
        <v>41788389.602752678</v>
      </c>
      <c r="BU205" s="49">
        <f ca="1"/>
        <v>41962388.85183952</v>
      </c>
      <c r="BV205" s="49">
        <f ca="1"/>
        <v>42142949.239841335</v>
      </c>
      <c r="BW205" s="49">
        <f ca="1"/>
        <v>42324784.447822258</v>
      </c>
      <c r="BX205" s="49">
        <f ca="1"/>
        <v>42489696.96005813</v>
      </c>
      <c r="BY205" s="49">
        <f ca="1"/>
        <v>42673028.288860194</v>
      </c>
      <c r="BZ205" s="49">
        <f ca="1"/>
        <v>42851198.829270184</v>
      </c>
      <c r="CA205" s="49">
        <f ca="1"/>
        <v>43036089.938978896</v>
      </c>
      <c r="CB205" s="49">
        <f ca="1"/>
        <v>43215776.35236527</v>
      </c>
      <c r="CC205" s="49">
        <f ca="1"/>
        <v>43402240.513579227</v>
      </c>
      <c r="CD205" s="49">
        <f ca="1"/>
        <v>43589509.21624428</v>
      </c>
      <c r="CE205" s="49">
        <f ca="1"/>
        <v>43771506.293196328</v>
      </c>
      <c r="CF205" s="49">
        <f ca="1"/>
        <v>43960368.275901057</v>
      </c>
      <c r="CG205" s="49">
        <f ca="1"/>
        <v>44143913.781959847</v>
      </c>
      <c r="CH205" s="49">
        <f ca="1"/>
        <v>44334382.600313112</v>
      </c>
      <c r="CI205" s="49">
        <f ca="1"/>
        <v>44525673.239109039</v>
      </c>
      <c r="CJ205" s="49">
        <f ca="1"/>
        <v>44699161.201981172</v>
      </c>
      <c r="CK205" s="49">
        <f ca="1"/>
        <v>44892025.759880953</v>
      </c>
    </row>
    <row r="206" spans="2:89">
      <c r="B206" s="45" t="str">
        <v>Пусто</v>
      </c>
      <c r="C206" s="46"/>
      <c r="D206" s="47">
        <f t="shared" ca="1" si="241"/>
        <v>0</v>
      </c>
      <c r="E206" s="48"/>
      <c r="F206" s="49">
        <f ca="1"/>
        <v>0</v>
      </c>
      <c r="G206" s="49">
        <f ca="1"/>
        <v>0</v>
      </c>
      <c r="H206" s="49">
        <f ca="1"/>
        <v>0</v>
      </c>
      <c r="I206" s="49">
        <f ca="1"/>
        <v>0</v>
      </c>
      <c r="J206" s="49">
        <f ca="1"/>
        <v>0</v>
      </c>
      <c r="K206" s="49">
        <f ca="1"/>
        <v>0</v>
      </c>
      <c r="L206" s="49">
        <f ca="1"/>
        <v>0</v>
      </c>
      <c r="M206" s="49">
        <f ca="1"/>
        <v>0</v>
      </c>
      <c r="N206" s="49">
        <f ca="1"/>
        <v>0</v>
      </c>
      <c r="O206" s="49">
        <f ca="1"/>
        <v>0</v>
      </c>
      <c r="P206" s="49">
        <f ca="1"/>
        <v>0</v>
      </c>
      <c r="Q206" s="49">
        <f ca="1"/>
        <v>0</v>
      </c>
      <c r="R206" s="49">
        <f ca="1"/>
        <v>0</v>
      </c>
      <c r="S206" s="49">
        <f ca="1"/>
        <v>0</v>
      </c>
      <c r="T206" s="49">
        <f ca="1"/>
        <v>0</v>
      </c>
      <c r="U206" s="49">
        <f ca="1"/>
        <v>0</v>
      </c>
      <c r="V206" s="49">
        <f ca="1"/>
        <v>0</v>
      </c>
      <c r="W206" s="49">
        <f ca="1"/>
        <v>0</v>
      </c>
      <c r="X206" s="49">
        <f ca="1"/>
        <v>0</v>
      </c>
      <c r="Y206" s="49">
        <f ca="1"/>
        <v>0</v>
      </c>
      <c r="Z206" s="49">
        <f ca="1"/>
        <v>0</v>
      </c>
      <c r="AA206" s="49">
        <f ca="1"/>
        <v>0</v>
      </c>
      <c r="AB206" s="49">
        <f ca="1"/>
        <v>0</v>
      </c>
      <c r="AC206" s="49">
        <f ca="1"/>
        <v>0</v>
      </c>
      <c r="AD206" s="49">
        <f ca="1"/>
        <v>0</v>
      </c>
      <c r="AE206" s="49">
        <f ca="1"/>
        <v>0</v>
      </c>
      <c r="AF206" s="49">
        <f ca="1"/>
        <v>0</v>
      </c>
      <c r="AG206" s="49">
        <f ca="1"/>
        <v>0</v>
      </c>
      <c r="AH206" s="49">
        <f ca="1"/>
        <v>0</v>
      </c>
      <c r="AI206" s="49">
        <f ca="1"/>
        <v>0</v>
      </c>
      <c r="AJ206" s="49">
        <f ca="1"/>
        <v>0</v>
      </c>
      <c r="AK206" s="49">
        <f ca="1"/>
        <v>0</v>
      </c>
      <c r="AL206" s="49">
        <f ca="1"/>
        <v>0</v>
      </c>
      <c r="AM206" s="49">
        <f ca="1"/>
        <v>0</v>
      </c>
      <c r="AN206" s="49">
        <f ca="1"/>
        <v>0</v>
      </c>
      <c r="AO206" s="49">
        <f ca="1"/>
        <v>0</v>
      </c>
      <c r="AP206" s="49">
        <f ca="1"/>
        <v>0</v>
      </c>
      <c r="AQ206" s="49">
        <f ca="1"/>
        <v>0</v>
      </c>
      <c r="AR206" s="49">
        <f ca="1"/>
        <v>0</v>
      </c>
      <c r="AS206" s="49">
        <f ca="1"/>
        <v>0</v>
      </c>
      <c r="AT206" s="49">
        <f ca="1"/>
        <v>0</v>
      </c>
      <c r="AU206" s="49">
        <f ca="1"/>
        <v>0</v>
      </c>
      <c r="AV206" s="49">
        <f ca="1"/>
        <v>0</v>
      </c>
      <c r="AW206" s="49">
        <f ca="1"/>
        <v>0</v>
      </c>
      <c r="AX206" s="49">
        <f ca="1"/>
        <v>0</v>
      </c>
      <c r="AY206" s="49">
        <f ca="1"/>
        <v>0</v>
      </c>
      <c r="AZ206" s="49">
        <f ca="1"/>
        <v>0</v>
      </c>
      <c r="BA206" s="49">
        <f ca="1"/>
        <v>0</v>
      </c>
      <c r="BB206" s="49">
        <f ca="1"/>
        <v>0</v>
      </c>
      <c r="BC206" s="49">
        <f ca="1"/>
        <v>0</v>
      </c>
      <c r="BD206" s="49">
        <f ca="1"/>
        <v>0</v>
      </c>
      <c r="BE206" s="49">
        <f ca="1"/>
        <v>0</v>
      </c>
      <c r="BF206" s="49">
        <f ca="1"/>
        <v>0</v>
      </c>
      <c r="BG206" s="49">
        <f ca="1"/>
        <v>0</v>
      </c>
      <c r="BH206" s="49">
        <f ca="1"/>
        <v>0</v>
      </c>
      <c r="BI206" s="49">
        <f ca="1"/>
        <v>0</v>
      </c>
      <c r="BJ206" s="49">
        <f ca="1"/>
        <v>0</v>
      </c>
      <c r="BK206" s="49">
        <f ca="1"/>
        <v>0</v>
      </c>
      <c r="BL206" s="49">
        <f ca="1"/>
        <v>0</v>
      </c>
      <c r="BM206" s="49">
        <f ca="1"/>
        <v>0</v>
      </c>
      <c r="BN206" s="49">
        <f ca="1"/>
        <v>0</v>
      </c>
      <c r="BO206" s="49">
        <f ca="1"/>
        <v>0</v>
      </c>
      <c r="BP206" s="49">
        <f ca="1"/>
        <v>0</v>
      </c>
      <c r="BQ206" s="49">
        <f ca="1"/>
        <v>0</v>
      </c>
      <c r="BR206" s="49">
        <f ca="1"/>
        <v>0</v>
      </c>
      <c r="BS206" s="49">
        <f ca="1"/>
        <v>0</v>
      </c>
      <c r="BT206" s="49">
        <f ca="1"/>
        <v>0</v>
      </c>
      <c r="BU206" s="49">
        <f ca="1"/>
        <v>0</v>
      </c>
      <c r="BV206" s="49">
        <f ca="1"/>
        <v>0</v>
      </c>
      <c r="BW206" s="49">
        <f ca="1"/>
        <v>0</v>
      </c>
      <c r="BX206" s="49">
        <f ca="1"/>
        <v>0</v>
      </c>
      <c r="BY206" s="49">
        <f ca="1"/>
        <v>0</v>
      </c>
      <c r="BZ206" s="49">
        <f ca="1"/>
        <v>0</v>
      </c>
      <c r="CA206" s="49">
        <f ca="1"/>
        <v>0</v>
      </c>
      <c r="CB206" s="49">
        <f ca="1"/>
        <v>0</v>
      </c>
      <c r="CC206" s="49">
        <f ca="1"/>
        <v>0</v>
      </c>
      <c r="CD206" s="49">
        <f ca="1"/>
        <v>0</v>
      </c>
      <c r="CE206" s="49">
        <f ca="1"/>
        <v>0</v>
      </c>
      <c r="CF206" s="49">
        <f ca="1"/>
        <v>0</v>
      </c>
      <c r="CG206" s="49">
        <f ca="1"/>
        <v>0</v>
      </c>
      <c r="CH206" s="49">
        <f ca="1"/>
        <v>0</v>
      </c>
      <c r="CI206" s="49">
        <f ca="1"/>
        <v>0</v>
      </c>
      <c r="CJ206" s="49">
        <f ca="1"/>
        <v>0</v>
      </c>
      <c r="CK206" s="49">
        <f ca="1"/>
        <v>0</v>
      </c>
    </row>
    <row r="207" spans="2:89">
      <c r="B207" s="45" t="str">
        <v>Пусто</v>
      </c>
      <c r="C207" s="46"/>
      <c r="D207" s="47">
        <f t="shared" ca="1" si="241"/>
        <v>0</v>
      </c>
      <c r="E207" s="48"/>
      <c r="F207" s="49">
        <f ca="1"/>
        <v>0</v>
      </c>
      <c r="G207" s="49">
        <f ca="1"/>
        <v>0</v>
      </c>
      <c r="H207" s="49">
        <f ca="1"/>
        <v>0</v>
      </c>
      <c r="I207" s="49">
        <f ca="1"/>
        <v>0</v>
      </c>
      <c r="J207" s="49">
        <f ca="1"/>
        <v>0</v>
      </c>
      <c r="K207" s="49">
        <f ca="1"/>
        <v>0</v>
      </c>
      <c r="L207" s="49">
        <f ca="1"/>
        <v>0</v>
      </c>
      <c r="M207" s="49">
        <f ca="1"/>
        <v>0</v>
      </c>
      <c r="N207" s="49">
        <f ca="1"/>
        <v>0</v>
      </c>
      <c r="O207" s="49">
        <f ca="1"/>
        <v>0</v>
      </c>
      <c r="P207" s="49">
        <f ca="1"/>
        <v>0</v>
      </c>
      <c r="Q207" s="49">
        <f ca="1"/>
        <v>0</v>
      </c>
      <c r="R207" s="49">
        <f ca="1"/>
        <v>0</v>
      </c>
      <c r="S207" s="49">
        <f ca="1"/>
        <v>0</v>
      </c>
      <c r="T207" s="49">
        <f ca="1"/>
        <v>0</v>
      </c>
      <c r="U207" s="49">
        <f ca="1"/>
        <v>0</v>
      </c>
      <c r="V207" s="49">
        <f ca="1"/>
        <v>0</v>
      </c>
      <c r="W207" s="49">
        <f ca="1"/>
        <v>0</v>
      </c>
      <c r="X207" s="49">
        <f ca="1"/>
        <v>0</v>
      </c>
      <c r="Y207" s="49">
        <f ca="1"/>
        <v>0</v>
      </c>
      <c r="Z207" s="49">
        <f ca="1"/>
        <v>0</v>
      </c>
      <c r="AA207" s="49">
        <f ca="1"/>
        <v>0</v>
      </c>
      <c r="AB207" s="49">
        <f ca="1"/>
        <v>0</v>
      </c>
      <c r="AC207" s="49">
        <f ca="1"/>
        <v>0</v>
      </c>
      <c r="AD207" s="49">
        <f ca="1"/>
        <v>0</v>
      </c>
      <c r="AE207" s="49">
        <f ca="1"/>
        <v>0</v>
      </c>
      <c r="AF207" s="49">
        <f ca="1"/>
        <v>0</v>
      </c>
      <c r="AG207" s="49">
        <f ca="1"/>
        <v>0</v>
      </c>
      <c r="AH207" s="49">
        <f ca="1"/>
        <v>0</v>
      </c>
      <c r="AI207" s="49">
        <f ca="1"/>
        <v>0</v>
      </c>
      <c r="AJ207" s="49">
        <f ca="1"/>
        <v>0</v>
      </c>
      <c r="AK207" s="49">
        <f ca="1"/>
        <v>0</v>
      </c>
      <c r="AL207" s="49">
        <f ca="1"/>
        <v>0</v>
      </c>
      <c r="AM207" s="49">
        <f ca="1"/>
        <v>0</v>
      </c>
      <c r="AN207" s="49">
        <f ca="1"/>
        <v>0</v>
      </c>
      <c r="AO207" s="49">
        <f ca="1"/>
        <v>0</v>
      </c>
      <c r="AP207" s="49">
        <f ca="1"/>
        <v>0</v>
      </c>
      <c r="AQ207" s="49">
        <f ca="1"/>
        <v>0</v>
      </c>
      <c r="AR207" s="49">
        <f ca="1"/>
        <v>0</v>
      </c>
      <c r="AS207" s="49">
        <f ca="1"/>
        <v>0</v>
      </c>
      <c r="AT207" s="49">
        <f ca="1"/>
        <v>0</v>
      </c>
      <c r="AU207" s="49">
        <f ca="1"/>
        <v>0</v>
      </c>
      <c r="AV207" s="49">
        <f ca="1"/>
        <v>0</v>
      </c>
      <c r="AW207" s="49">
        <f ca="1"/>
        <v>0</v>
      </c>
      <c r="AX207" s="49">
        <f ca="1"/>
        <v>0</v>
      </c>
      <c r="AY207" s="49">
        <f ca="1"/>
        <v>0</v>
      </c>
      <c r="AZ207" s="49">
        <f ca="1"/>
        <v>0</v>
      </c>
      <c r="BA207" s="49">
        <f ca="1"/>
        <v>0</v>
      </c>
      <c r="BB207" s="49">
        <f ca="1"/>
        <v>0</v>
      </c>
      <c r="BC207" s="49">
        <f ca="1"/>
        <v>0</v>
      </c>
      <c r="BD207" s="49">
        <f ca="1"/>
        <v>0</v>
      </c>
      <c r="BE207" s="49">
        <f ca="1"/>
        <v>0</v>
      </c>
      <c r="BF207" s="49">
        <f ca="1"/>
        <v>0</v>
      </c>
      <c r="BG207" s="49">
        <f ca="1"/>
        <v>0</v>
      </c>
      <c r="BH207" s="49">
        <f ca="1"/>
        <v>0</v>
      </c>
      <c r="BI207" s="49">
        <f ca="1"/>
        <v>0</v>
      </c>
      <c r="BJ207" s="49">
        <f ca="1"/>
        <v>0</v>
      </c>
      <c r="BK207" s="49">
        <f ca="1"/>
        <v>0</v>
      </c>
      <c r="BL207" s="49">
        <f ca="1"/>
        <v>0</v>
      </c>
      <c r="BM207" s="49">
        <f ca="1"/>
        <v>0</v>
      </c>
      <c r="BN207" s="49">
        <f ca="1"/>
        <v>0</v>
      </c>
      <c r="BO207" s="49">
        <f ca="1"/>
        <v>0</v>
      </c>
      <c r="BP207" s="49">
        <f ca="1"/>
        <v>0</v>
      </c>
      <c r="BQ207" s="49">
        <f ca="1"/>
        <v>0</v>
      </c>
      <c r="BR207" s="49">
        <f ca="1"/>
        <v>0</v>
      </c>
      <c r="BS207" s="49">
        <f ca="1"/>
        <v>0</v>
      </c>
      <c r="BT207" s="49">
        <f ca="1"/>
        <v>0</v>
      </c>
      <c r="BU207" s="49">
        <f ca="1"/>
        <v>0</v>
      </c>
      <c r="BV207" s="49">
        <f ca="1"/>
        <v>0</v>
      </c>
      <c r="BW207" s="49">
        <f ca="1"/>
        <v>0</v>
      </c>
      <c r="BX207" s="49">
        <f ca="1"/>
        <v>0</v>
      </c>
      <c r="BY207" s="49">
        <f ca="1"/>
        <v>0</v>
      </c>
      <c r="BZ207" s="49">
        <f ca="1"/>
        <v>0</v>
      </c>
      <c r="CA207" s="49">
        <f ca="1"/>
        <v>0</v>
      </c>
      <c r="CB207" s="49">
        <f ca="1"/>
        <v>0</v>
      </c>
      <c r="CC207" s="49">
        <f ca="1"/>
        <v>0</v>
      </c>
      <c r="CD207" s="49">
        <f ca="1"/>
        <v>0</v>
      </c>
      <c r="CE207" s="49">
        <f ca="1"/>
        <v>0</v>
      </c>
      <c r="CF207" s="49">
        <f ca="1"/>
        <v>0</v>
      </c>
      <c r="CG207" s="49">
        <f ca="1"/>
        <v>0</v>
      </c>
      <c r="CH207" s="49">
        <f ca="1"/>
        <v>0</v>
      </c>
      <c r="CI207" s="49">
        <f ca="1"/>
        <v>0</v>
      </c>
      <c r="CJ207" s="49">
        <f ca="1"/>
        <v>0</v>
      </c>
      <c r="CK207" s="49">
        <f ca="1"/>
        <v>0</v>
      </c>
    </row>
    <row r="208" spans="2:89">
      <c r="B208" s="45" t="str">
        <v>Пусто</v>
      </c>
      <c r="C208" s="46"/>
      <c r="D208" s="47">
        <f t="shared" ca="1" si="241"/>
        <v>0</v>
      </c>
      <c r="E208" s="48"/>
      <c r="F208" s="49">
        <f ca="1"/>
        <v>0</v>
      </c>
      <c r="G208" s="49">
        <f ca="1"/>
        <v>0</v>
      </c>
      <c r="H208" s="49">
        <f ca="1"/>
        <v>0</v>
      </c>
      <c r="I208" s="49">
        <f ca="1"/>
        <v>0</v>
      </c>
      <c r="J208" s="49">
        <f ca="1"/>
        <v>0</v>
      </c>
      <c r="K208" s="49">
        <f ca="1"/>
        <v>0</v>
      </c>
      <c r="L208" s="49">
        <f ca="1"/>
        <v>0</v>
      </c>
      <c r="M208" s="49">
        <f ca="1"/>
        <v>0</v>
      </c>
      <c r="N208" s="49">
        <f ca="1"/>
        <v>0</v>
      </c>
      <c r="O208" s="49">
        <f ca="1"/>
        <v>0</v>
      </c>
      <c r="P208" s="49">
        <f ca="1"/>
        <v>0</v>
      </c>
      <c r="Q208" s="49">
        <f ca="1"/>
        <v>0</v>
      </c>
      <c r="R208" s="49">
        <f ca="1"/>
        <v>0</v>
      </c>
      <c r="S208" s="49">
        <f ca="1"/>
        <v>0</v>
      </c>
      <c r="T208" s="49">
        <f ca="1"/>
        <v>0</v>
      </c>
      <c r="U208" s="49">
        <f ca="1"/>
        <v>0</v>
      </c>
      <c r="V208" s="49">
        <f ca="1"/>
        <v>0</v>
      </c>
      <c r="W208" s="49">
        <f ca="1"/>
        <v>0</v>
      </c>
      <c r="X208" s="49">
        <f ca="1"/>
        <v>0</v>
      </c>
      <c r="Y208" s="49">
        <f ca="1"/>
        <v>0</v>
      </c>
      <c r="Z208" s="49">
        <f ca="1"/>
        <v>0</v>
      </c>
      <c r="AA208" s="49">
        <f ca="1"/>
        <v>0</v>
      </c>
      <c r="AB208" s="49">
        <f ca="1"/>
        <v>0</v>
      </c>
      <c r="AC208" s="49">
        <f ca="1"/>
        <v>0</v>
      </c>
      <c r="AD208" s="49">
        <f ca="1"/>
        <v>0</v>
      </c>
      <c r="AE208" s="49">
        <f ca="1"/>
        <v>0</v>
      </c>
      <c r="AF208" s="49">
        <f ca="1"/>
        <v>0</v>
      </c>
      <c r="AG208" s="49">
        <f ca="1"/>
        <v>0</v>
      </c>
      <c r="AH208" s="49">
        <f ca="1"/>
        <v>0</v>
      </c>
      <c r="AI208" s="49">
        <f ca="1"/>
        <v>0</v>
      </c>
      <c r="AJ208" s="49">
        <f ca="1"/>
        <v>0</v>
      </c>
      <c r="AK208" s="49">
        <f ca="1"/>
        <v>0</v>
      </c>
      <c r="AL208" s="49">
        <f ca="1"/>
        <v>0</v>
      </c>
      <c r="AM208" s="49">
        <f ca="1"/>
        <v>0</v>
      </c>
      <c r="AN208" s="49">
        <f ca="1"/>
        <v>0</v>
      </c>
      <c r="AO208" s="49">
        <f ca="1"/>
        <v>0</v>
      </c>
      <c r="AP208" s="49">
        <f ca="1"/>
        <v>0</v>
      </c>
      <c r="AQ208" s="49">
        <f ca="1"/>
        <v>0</v>
      </c>
      <c r="AR208" s="49">
        <f ca="1"/>
        <v>0</v>
      </c>
      <c r="AS208" s="49">
        <f ca="1"/>
        <v>0</v>
      </c>
      <c r="AT208" s="49">
        <f ca="1"/>
        <v>0</v>
      </c>
      <c r="AU208" s="49">
        <f ca="1"/>
        <v>0</v>
      </c>
      <c r="AV208" s="49">
        <f ca="1"/>
        <v>0</v>
      </c>
      <c r="AW208" s="49">
        <f ca="1"/>
        <v>0</v>
      </c>
      <c r="AX208" s="49">
        <f ca="1"/>
        <v>0</v>
      </c>
      <c r="AY208" s="49">
        <f ca="1"/>
        <v>0</v>
      </c>
      <c r="AZ208" s="49">
        <f ca="1"/>
        <v>0</v>
      </c>
      <c r="BA208" s="49">
        <f ca="1"/>
        <v>0</v>
      </c>
      <c r="BB208" s="49">
        <f ca="1"/>
        <v>0</v>
      </c>
      <c r="BC208" s="49">
        <f ca="1"/>
        <v>0</v>
      </c>
      <c r="BD208" s="49">
        <f ca="1"/>
        <v>0</v>
      </c>
      <c r="BE208" s="49">
        <f ca="1"/>
        <v>0</v>
      </c>
      <c r="BF208" s="49">
        <f ca="1"/>
        <v>0</v>
      </c>
      <c r="BG208" s="49">
        <f ca="1"/>
        <v>0</v>
      </c>
      <c r="BH208" s="49">
        <f ca="1"/>
        <v>0</v>
      </c>
      <c r="BI208" s="49">
        <f ca="1"/>
        <v>0</v>
      </c>
      <c r="BJ208" s="49">
        <f ca="1"/>
        <v>0</v>
      </c>
      <c r="BK208" s="49">
        <f ca="1"/>
        <v>0</v>
      </c>
      <c r="BL208" s="49">
        <f ca="1"/>
        <v>0</v>
      </c>
      <c r="BM208" s="49">
        <f ca="1"/>
        <v>0</v>
      </c>
      <c r="BN208" s="49">
        <f ca="1"/>
        <v>0</v>
      </c>
      <c r="BO208" s="49">
        <f ca="1"/>
        <v>0</v>
      </c>
      <c r="BP208" s="49">
        <f ca="1"/>
        <v>0</v>
      </c>
      <c r="BQ208" s="49">
        <f ca="1"/>
        <v>0</v>
      </c>
      <c r="BR208" s="49">
        <f ca="1"/>
        <v>0</v>
      </c>
      <c r="BS208" s="49">
        <f ca="1"/>
        <v>0</v>
      </c>
      <c r="BT208" s="49">
        <f ca="1"/>
        <v>0</v>
      </c>
      <c r="BU208" s="49">
        <f ca="1"/>
        <v>0</v>
      </c>
      <c r="BV208" s="49">
        <f ca="1"/>
        <v>0</v>
      </c>
      <c r="BW208" s="49">
        <f ca="1"/>
        <v>0</v>
      </c>
      <c r="BX208" s="49">
        <f ca="1"/>
        <v>0</v>
      </c>
      <c r="BY208" s="49">
        <f ca="1"/>
        <v>0</v>
      </c>
      <c r="BZ208" s="49">
        <f ca="1"/>
        <v>0</v>
      </c>
      <c r="CA208" s="49">
        <f ca="1"/>
        <v>0</v>
      </c>
      <c r="CB208" s="49">
        <f ca="1"/>
        <v>0</v>
      </c>
      <c r="CC208" s="49">
        <f ca="1"/>
        <v>0</v>
      </c>
      <c r="CD208" s="49">
        <f ca="1"/>
        <v>0</v>
      </c>
      <c r="CE208" s="49">
        <f ca="1"/>
        <v>0</v>
      </c>
      <c r="CF208" s="49">
        <f ca="1"/>
        <v>0</v>
      </c>
      <c r="CG208" s="49">
        <f ca="1"/>
        <v>0</v>
      </c>
      <c r="CH208" s="49">
        <f ca="1"/>
        <v>0</v>
      </c>
      <c r="CI208" s="49">
        <f ca="1"/>
        <v>0</v>
      </c>
      <c r="CJ208" s="49">
        <f ca="1"/>
        <v>0</v>
      </c>
      <c r="CK208" s="49">
        <f ca="1"/>
        <v>0</v>
      </c>
    </row>
    <row r="209" spans="2:89">
      <c r="B209" s="45" t="str">
        <v>Пусто</v>
      </c>
      <c r="C209" s="46"/>
      <c r="D209" s="47">
        <f t="shared" ca="1" si="241"/>
        <v>0</v>
      </c>
      <c r="E209" s="48"/>
      <c r="F209" s="49">
        <f ca="1"/>
        <v>0</v>
      </c>
      <c r="G209" s="49">
        <f ca="1"/>
        <v>0</v>
      </c>
      <c r="H209" s="49">
        <f ca="1"/>
        <v>0</v>
      </c>
      <c r="I209" s="49">
        <f ca="1"/>
        <v>0</v>
      </c>
      <c r="J209" s="49">
        <f ca="1"/>
        <v>0</v>
      </c>
      <c r="K209" s="49">
        <f ca="1"/>
        <v>0</v>
      </c>
      <c r="L209" s="49">
        <f ca="1"/>
        <v>0</v>
      </c>
      <c r="M209" s="49">
        <f ca="1"/>
        <v>0</v>
      </c>
      <c r="N209" s="49">
        <f ca="1"/>
        <v>0</v>
      </c>
      <c r="O209" s="49">
        <f ca="1"/>
        <v>0</v>
      </c>
      <c r="P209" s="49">
        <f ca="1"/>
        <v>0</v>
      </c>
      <c r="Q209" s="49">
        <f ca="1"/>
        <v>0</v>
      </c>
      <c r="R209" s="49">
        <f ca="1"/>
        <v>0</v>
      </c>
      <c r="S209" s="49">
        <f ca="1"/>
        <v>0</v>
      </c>
      <c r="T209" s="49">
        <f ca="1"/>
        <v>0</v>
      </c>
      <c r="U209" s="49">
        <f ca="1"/>
        <v>0</v>
      </c>
      <c r="V209" s="49">
        <f ca="1"/>
        <v>0</v>
      </c>
      <c r="W209" s="49">
        <f ca="1"/>
        <v>0</v>
      </c>
      <c r="X209" s="49">
        <f ca="1"/>
        <v>0</v>
      </c>
      <c r="Y209" s="49">
        <f ca="1"/>
        <v>0</v>
      </c>
      <c r="Z209" s="49">
        <f ca="1"/>
        <v>0</v>
      </c>
      <c r="AA209" s="49">
        <f ca="1"/>
        <v>0</v>
      </c>
      <c r="AB209" s="49">
        <f ca="1"/>
        <v>0</v>
      </c>
      <c r="AC209" s="49">
        <f ca="1"/>
        <v>0</v>
      </c>
      <c r="AD209" s="49">
        <f ca="1"/>
        <v>0</v>
      </c>
      <c r="AE209" s="49">
        <f ca="1"/>
        <v>0</v>
      </c>
      <c r="AF209" s="49">
        <f ca="1"/>
        <v>0</v>
      </c>
      <c r="AG209" s="49">
        <f ca="1"/>
        <v>0</v>
      </c>
      <c r="AH209" s="49">
        <f ca="1"/>
        <v>0</v>
      </c>
      <c r="AI209" s="49">
        <f ca="1"/>
        <v>0</v>
      </c>
      <c r="AJ209" s="49">
        <f ca="1"/>
        <v>0</v>
      </c>
      <c r="AK209" s="49">
        <f ca="1"/>
        <v>0</v>
      </c>
      <c r="AL209" s="49">
        <f ca="1"/>
        <v>0</v>
      </c>
      <c r="AM209" s="49">
        <f ca="1"/>
        <v>0</v>
      </c>
      <c r="AN209" s="49">
        <f ca="1"/>
        <v>0</v>
      </c>
      <c r="AO209" s="49">
        <f ca="1"/>
        <v>0</v>
      </c>
      <c r="AP209" s="49">
        <f ca="1"/>
        <v>0</v>
      </c>
      <c r="AQ209" s="49">
        <f ca="1"/>
        <v>0</v>
      </c>
      <c r="AR209" s="49">
        <f ca="1"/>
        <v>0</v>
      </c>
      <c r="AS209" s="49">
        <f ca="1"/>
        <v>0</v>
      </c>
      <c r="AT209" s="49">
        <f ca="1"/>
        <v>0</v>
      </c>
      <c r="AU209" s="49">
        <f ca="1"/>
        <v>0</v>
      </c>
      <c r="AV209" s="49">
        <f ca="1"/>
        <v>0</v>
      </c>
      <c r="AW209" s="49">
        <f ca="1"/>
        <v>0</v>
      </c>
      <c r="AX209" s="49">
        <f ca="1"/>
        <v>0</v>
      </c>
      <c r="AY209" s="49">
        <f ca="1"/>
        <v>0</v>
      </c>
      <c r="AZ209" s="49">
        <f ca="1"/>
        <v>0</v>
      </c>
      <c r="BA209" s="49">
        <f ca="1"/>
        <v>0</v>
      </c>
      <c r="BB209" s="49">
        <f ca="1"/>
        <v>0</v>
      </c>
      <c r="BC209" s="49">
        <f ca="1"/>
        <v>0</v>
      </c>
      <c r="BD209" s="49">
        <f ca="1"/>
        <v>0</v>
      </c>
      <c r="BE209" s="49">
        <f ca="1"/>
        <v>0</v>
      </c>
      <c r="BF209" s="49">
        <f ca="1"/>
        <v>0</v>
      </c>
      <c r="BG209" s="49">
        <f ca="1"/>
        <v>0</v>
      </c>
      <c r="BH209" s="49">
        <f ca="1"/>
        <v>0</v>
      </c>
      <c r="BI209" s="49">
        <f ca="1"/>
        <v>0</v>
      </c>
      <c r="BJ209" s="49">
        <f ca="1"/>
        <v>0</v>
      </c>
      <c r="BK209" s="49">
        <f ca="1"/>
        <v>0</v>
      </c>
      <c r="BL209" s="49">
        <f ca="1"/>
        <v>0</v>
      </c>
      <c r="BM209" s="49">
        <f ca="1"/>
        <v>0</v>
      </c>
      <c r="BN209" s="49">
        <f ca="1"/>
        <v>0</v>
      </c>
      <c r="BO209" s="49">
        <f ca="1"/>
        <v>0</v>
      </c>
      <c r="BP209" s="49">
        <f ca="1"/>
        <v>0</v>
      </c>
      <c r="BQ209" s="49">
        <f ca="1"/>
        <v>0</v>
      </c>
      <c r="BR209" s="49">
        <f ca="1"/>
        <v>0</v>
      </c>
      <c r="BS209" s="49">
        <f ca="1"/>
        <v>0</v>
      </c>
      <c r="BT209" s="49">
        <f ca="1"/>
        <v>0</v>
      </c>
      <c r="BU209" s="49">
        <f ca="1"/>
        <v>0</v>
      </c>
      <c r="BV209" s="49">
        <f ca="1"/>
        <v>0</v>
      </c>
      <c r="BW209" s="49">
        <f ca="1"/>
        <v>0</v>
      </c>
      <c r="BX209" s="49">
        <f ca="1"/>
        <v>0</v>
      </c>
      <c r="BY209" s="49">
        <f ca="1"/>
        <v>0</v>
      </c>
      <c r="BZ209" s="49">
        <f ca="1"/>
        <v>0</v>
      </c>
      <c r="CA209" s="49">
        <f ca="1"/>
        <v>0</v>
      </c>
      <c r="CB209" s="49">
        <f ca="1"/>
        <v>0</v>
      </c>
      <c r="CC209" s="49">
        <f ca="1"/>
        <v>0</v>
      </c>
      <c r="CD209" s="49">
        <f ca="1"/>
        <v>0</v>
      </c>
      <c r="CE209" s="49">
        <f ca="1"/>
        <v>0</v>
      </c>
      <c r="CF209" s="49">
        <f ca="1"/>
        <v>0</v>
      </c>
      <c r="CG209" s="49">
        <f ca="1"/>
        <v>0</v>
      </c>
      <c r="CH209" s="49">
        <f ca="1"/>
        <v>0</v>
      </c>
      <c r="CI209" s="49">
        <f ca="1"/>
        <v>0</v>
      </c>
      <c r="CJ209" s="49">
        <f ca="1"/>
        <v>0</v>
      </c>
      <c r="CK209" s="49">
        <f ca="1"/>
        <v>0</v>
      </c>
    </row>
    <row r="210" spans="2:89">
      <c r="B210" s="86" t="str">
        <v>Пусто</v>
      </c>
      <c r="C210" s="46"/>
      <c r="D210" s="47">
        <f t="shared" ca="1" si="241"/>
        <v>0</v>
      </c>
      <c r="E210" s="48"/>
      <c r="F210" s="176">
        <f ca="1"/>
        <v>0</v>
      </c>
      <c r="G210" s="176">
        <f ca="1"/>
        <v>0</v>
      </c>
      <c r="H210" s="176">
        <f ca="1"/>
        <v>0</v>
      </c>
      <c r="I210" s="176">
        <f ca="1"/>
        <v>0</v>
      </c>
      <c r="J210" s="176">
        <f ca="1"/>
        <v>0</v>
      </c>
      <c r="K210" s="176">
        <f ca="1"/>
        <v>0</v>
      </c>
      <c r="L210" s="176">
        <f ca="1"/>
        <v>0</v>
      </c>
      <c r="M210" s="176">
        <f ca="1"/>
        <v>0</v>
      </c>
      <c r="N210" s="176">
        <f ca="1"/>
        <v>0</v>
      </c>
      <c r="O210" s="176">
        <f ca="1"/>
        <v>0</v>
      </c>
      <c r="P210" s="176">
        <f ca="1"/>
        <v>0</v>
      </c>
      <c r="Q210" s="176">
        <f ca="1"/>
        <v>0</v>
      </c>
      <c r="R210" s="176">
        <f ca="1"/>
        <v>0</v>
      </c>
      <c r="S210" s="176">
        <f ca="1"/>
        <v>0</v>
      </c>
      <c r="T210" s="176">
        <f ca="1"/>
        <v>0</v>
      </c>
      <c r="U210" s="176">
        <f ca="1"/>
        <v>0</v>
      </c>
      <c r="V210" s="176">
        <f ca="1"/>
        <v>0</v>
      </c>
      <c r="W210" s="176">
        <f ca="1"/>
        <v>0</v>
      </c>
      <c r="X210" s="176">
        <f ca="1"/>
        <v>0</v>
      </c>
      <c r="Y210" s="176">
        <f ca="1"/>
        <v>0</v>
      </c>
      <c r="Z210" s="176">
        <f ca="1"/>
        <v>0</v>
      </c>
      <c r="AA210" s="176">
        <f ca="1"/>
        <v>0</v>
      </c>
      <c r="AB210" s="176">
        <f ca="1"/>
        <v>0</v>
      </c>
      <c r="AC210" s="176">
        <f ca="1"/>
        <v>0</v>
      </c>
      <c r="AD210" s="176">
        <f ca="1"/>
        <v>0</v>
      </c>
      <c r="AE210" s="176">
        <f ca="1"/>
        <v>0</v>
      </c>
      <c r="AF210" s="176">
        <f ca="1"/>
        <v>0</v>
      </c>
      <c r="AG210" s="176">
        <f ca="1"/>
        <v>0</v>
      </c>
      <c r="AH210" s="176">
        <f ca="1"/>
        <v>0</v>
      </c>
      <c r="AI210" s="176">
        <f ca="1"/>
        <v>0</v>
      </c>
      <c r="AJ210" s="176">
        <f ca="1"/>
        <v>0</v>
      </c>
      <c r="AK210" s="176">
        <f ca="1"/>
        <v>0</v>
      </c>
      <c r="AL210" s="176">
        <f ca="1"/>
        <v>0</v>
      </c>
      <c r="AM210" s="176">
        <f ca="1"/>
        <v>0</v>
      </c>
      <c r="AN210" s="176">
        <f ca="1"/>
        <v>0</v>
      </c>
      <c r="AO210" s="176">
        <f ca="1"/>
        <v>0</v>
      </c>
      <c r="AP210" s="176">
        <f ca="1"/>
        <v>0</v>
      </c>
      <c r="AQ210" s="176">
        <f ca="1"/>
        <v>0</v>
      </c>
      <c r="AR210" s="176">
        <f ca="1"/>
        <v>0</v>
      </c>
      <c r="AS210" s="176">
        <f ca="1"/>
        <v>0</v>
      </c>
      <c r="AT210" s="176">
        <f ca="1"/>
        <v>0</v>
      </c>
      <c r="AU210" s="176">
        <f ca="1"/>
        <v>0</v>
      </c>
      <c r="AV210" s="176">
        <f ca="1"/>
        <v>0</v>
      </c>
      <c r="AW210" s="176">
        <f ca="1"/>
        <v>0</v>
      </c>
      <c r="AX210" s="176">
        <f ca="1"/>
        <v>0</v>
      </c>
      <c r="AY210" s="176">
        <f ca="1"/>
        <v>0</v>
      </c>
      <c r="AZ210" s="176">
        <f ca="1"/>
        <v>0</v>
      </c>
      <c r="BA210" s="176">
        <f ca="1"/>
        <v>0</v>
      </c>
      <c r="BB210" s="176">
        <f ca="1"/>
        <v>0</v>
      </c>
      <c r="BC210" s="176">
        <f ca="1"/>
        <v>0</v>
      </c>
      <c r="BD210" s="176">
        <f ca="1"/>
        <v>0</v>
      </c>
      <c r="BE210" s="176">
        <f ca="1"/>
        <v>0</v>
      </c>
      <c r="BF210" s="176">
        <f ca="1"/>
        <v>0</v>
      </c>
      <c r="BG210" s="176">
        <f ca="1"/>
        <v>0</v>
      </c>
      <c r="BH210" s="176">
        <f ca="1"/>
        <v>0</v>
      </c>
      <c r="BI210" s="176">
        <f ca="1"/>
        <v>0</v>
      </c>
      <c r="BJ210" s="176">
        <f ca="1"/>
        <v>0</v>
      </c>
      <c r="BK210" s="176">
        <f ca="1"/>
        <v>0</v>
      </c>
      <c r="BL210" s="176">
        <f ca="1"/>
        <v>0</v>
      </c>
      <c r="BM210" s="176">
        <f ca="1"/>
        <v>0</v>
      </c>
      <c r="BN210" s="176">
        <f ca="1"/>
        <v>0</v>
      </c>
      <c r="BO210" s="176">
        <f ca="1"/>
        <v>0</v>
      </c>
      <c r="BP210" s="176">
        <f ca="1"/>
        <v>0</v>
      </c>
      <c r="BQ210" s="176">
        <f ca="1"/>
        <v>0</v>
      </c>
      <c r="BR210" s="176">
        <f ca="1"/>
        <v>0</v>
      </c>
      <c r="BS210" s="176">
        <f ca="1"/>
        <v>0</v>
      </c>
      <c r="BT210" s="176">
        <f ca="1"/>
        <v>0</v>
      </c>
      <c r="BU210" s="176">
        <f ca="1"/>
        <v>0</v>
      </c>
      <c r="BV210" s="176">
        <f ca="1"/>
        <v>0</v>
      </c>
      <c r="BW210" s="176">
        <f ca="1"/>
        <v>0</v>
      </c>
      <c r="BX210" s="176">
        <f ca="1"/>
        <v>0</v>
      </c>
      <c r="BY210" s="176">
        <f ca="1"/>
        <v>0</v>
      </c>
      <c r="BZ210" s="176">
        <f ca="1"/>
        <v>0</v>
      </c>
      <c r="CA210" s="176">
        <f ca="1"/>
        <v>0</v>
      </c>
      <c r="CB210" s="176">
        <f ca="1"/>
        <v>0</v>
      </c>
      <c r="CC210" s="176">
        <f ca="1"/>
        <v>0</v>
      </c>
      <c r="CD210" s="176">
        <f ca="1"/>
        <v>0</v>
      </c>
      <c r="CE210" s="176">
        <f ca="1"/>
        <v>0</v>
      </c>
      <c r="CF210" s="176">
        <f ca="1"/>
        <v>0</v>
      </c>
      <c r="CG210" s="176">
        <f ca="1"/>
        <v>0</v>
      </c>
      <c r="CH210" s="176">
        <f ca="1"/>
        <v>0</v>
      </c>
      <c r="CI210" s="176">
        <f ca="1"/>
        <v>0</v>
      </c>
      <c r="CJ210" s="176">
        <f ca="1"/>
        <v>0</v>
      </c>
      <c r="CK210" s="176">
        <f ca="1"/>
        <v>0</v>
      </c>
    </row>
    <row r="211" spans="2:89" ht="15.75" thickBot="1">
      <c r="B211" s="86" t="str">
        <v>Пусто</v>
      </c>
      <c r="C211" s="46"/>
      <c r="D211" s="47">
        <f t="shared" ca="1" si="241"/>
        <v>0</v>
      </c>
      <c r="E211" s="48"/>
      <c r="F211" s="176">
        <f ca="1"/>
        <v>0</v>
      </c>
      <c r="G211" s="176">
        <f ca="1"/>
        <v>0</v>
      </c>
      <c r="H211" s="176">
        <f ca="1"/>
        <v>0</v>
      </c>
      <c r="I211" s="176">
        <f ca="1"/>
        <v>0</v>
      </c>
      <c r="J211" s="176">
        <f ca="1"/>
        <v>0</v>
      </c>
      <c r="K211" s="176">
        <f ca="1"/>
        <v>0</v>
      </c>
      <c r="L211" s="176">
        <f ca="1"/>
        <v>0</v>
      </c>
      <c r="M211" s="176">
        <f ca="1"/>
        <v>0</v>
      </c>
      <c r="N211" s="176">
        <f ca="1"/>
        <v>0</v>
      </c>
      <c r="O211" s="176">
        <f ca="1"/>
        <v>0</v>
      </c>
      <c r="P211" s="176">
        <f ca="1"/>
        <v>0</v>
      </c>
      <c r="Q211" s="176">
        <f ca="1"/>
        <v>0</v>
      </c>
      <c r="R211" s="176">
        <f ca="1"/>
        <v>0</v>
      </c>
      <c r="S211" s="176">
        <f ca="1"/>
        <v>0</v>
      </c>
      <c r="T211" s="176">
        <f ca="1"/>
        <v>0</v>
      </c>
      <c r="U211" s="176">
        <f ca="1"/>
        <v>0</v>
      </c>
      <c r="V211" s="176">
        <f ca="1"/>
        <v>0</v>
      </c>
      <c r="W211" s="176">
        <f ca="1"/>
        <v>0</v>
      </c>
      <c r="X211" s="176">
        <f ca="1"/>
        <v>0</v>
      </c>
      <c r="Y211" s="176">
        <f ca="1"/>
        <v>0</v>
      </c>
      <c r="Z211" s="176">
        <f ca="1"/>
        <v>0</v>
      </c>
      <c r="AA211" s="176">
        <f ca="1"/>
        <v>0</v>
      </c>
      <c r="AB211" s="176">
        <f ca="1"/>
        <v>0</v>
      </c>
      <c r="AC211" s="176">
        <f ca="1"/>
        <v>0</v>
      </c>
      <c r="AD211" s="176">
        <f ca="1"/>
        <v>0</v>
      </c>
      <c r="AE211" s="176">
        <f ca="1"/>
        <v>0</v>
      </c>
      <c r="AF211" s="176">
        <f ca="1"/>
        <v>0</v>
      </c>
      <c r="AG211" s="176">
        <f ca="1"/>
        <v>0</v>
      </c>
      <c r="AH211" s="176">
        <f ca="1"/>
        <v>0</v>
      </c>
      <c r="AI211" s="176">
        <f ca="1"/>
        <v>0</v>
      </c>
      <c r="AJ211" s="176">
        <f ca="1"/>
        <v>0</v>
      </c>
      <c r="AK211" s="176">
        <f ca="1"/>
        <v>0</v>
      </c>
      <c r="AL211" s="176">
        <f ca="1"/>
        <v>0</v>
      </c>
      <c r="AM211" s="176">
        <f ca="1"/>
        <v>0</v>
      </c>
      <c r="AN211" s="176">
        <f ca="1"/>
        <v>0</v>
      </c>
      <c r="AO211" s="176">
        <f ca="1"/>
        <v>0</v>
      </c>
      <c r="AP211" s="176">
        <f ca="1"/>
        <v>0</v>
      </c>
      <c r="AQ211" s="176">
        <f ca="1"/>
        <v>0</v>
      </c>
      <c r="AR211" s="176">
        <f ca="1"/>
        <v>0</v>
      </c>
      <c r="AS211" s="176">
        <f ca="1"/>
        <v>0</v>
      </c>
      <c r="AT211" s="176">
        <f ca="1"/>
        <v>0</v>
      </c>
      <c r="AU211" s="176">
        <f ca="1"/>
        <v>0</v>
      </c>
      <c r="AV211" s="176">
        <f ca="1"/>
        <v>0</v>
      </c>
      <c r="AW211" s="176">
        <f ca="1"/>
        <v>0</v>
      </c>
      <c r="AX211" s="176">
        <f ca="1"/>
        <v>0</v>
      </c>
      <c r="AY211" s="176">
        <f ca="1"/>
        <v>0</v>
      </c>
      <c r="AZ211" s="176">
        <f ca="1"/>
        <v>0</v>
      </c>
      <c r="BA211" s="176">
        <f ca="1"/>
        <v>0</v>
      </c>
      <c r="BB211" s="176">
        <f ca="1"/>
        <v>0</v>
      </c>
      <c r="BC211" s="176">
        <f ca="1"/>
        <v>0</v>
      </c>
      <c r="BD211" s="176">
        <f ca="1"/>
        <v>0</v>
      </c>
      <c r="BE211" s="176">
        <f ca="1"/>
        <v>0</v>
      </c>
      <c r="BF211" s="176">
        <f ca="1"/>
        <v>0</v>
      </c>
      <c r="BG211" s="176">
        <f ca="1"/>
        <v>0</v>
      </c>
      <c r="BH211" s="176">
        <f ca="1"/>
        <v>0</v>
      </c>
      <c r="BI211" s="176">
        <f ca="1"/>
        <v>0</v>
      </c>
      <c r="BJ211" s="176">
        <f ca="1"/>
        <v>0</v>
      </c>
      <c r="BK211" s="176">
        <f ca="1"/>
        <v>0</v>
      </c>
      <c r="BL211" s="176">
        <f ca="1"/>
        <v>0</v>
      </c>
      <c r="BM211" s="176">
        <f ca="1"/>
        <v>0</v>
      </c>
      <c r="BN211" s="176">
        <f ca="1"/>
        <v>0</v>
      </c>
      <c r="BO211" s="176">
        <f ca="1"/>
        <v>0</v>
      </c>
      <c r="BP211" s="176">
        <f ca="1"/>
        <v>0</v>
      </c>
      <c r="BQ211" s="176">
        <f ca="1"/>
        <v>0</v>
      </c>
      <c r="BR211" s="176">
        <f ca="1"/>
        <v>0</v>
      </c>
      <c r="BS211" s="176">
        <f ca="1"/>
        <v>0</v>
      </c>
      <c r="BT211" s="176">
        <f ca="1"/>
        <v>0</v>
      </c>
      <c r="BU211" s="176">
        <f ca="1"/>
        <v>0</v>
      </c>
      <c r="BV211" s="176">
        <f ca="1"/>
        <v>0</v>
      </c>
      <c r="BW211" s="176">
        <f ca="1"/>
        <v>0</v>
      </c>
      <c r="BX211" s="176">
        <f ca="1"/>
        <v>0</v>
      </c>
      <c r="BY211" s="176">
        <f ca="1"/>
        <v>0</v>
      </c>
      <c r="BZ211" s="176">
        <f ca="1"/>
        <v>0</v>
      </c>
      <c r="CA211" s="176">
        <f ca="1"/>
        <v>0</v>
      </c>
      <c r="CB211" s="176">
        <f ca="1"/>
        <v>0</v>
      </c>
      <c r="CC211" s="176">
        <f ca="1"/>
        <v>0</v>
      </c>
      <c r="CD211" s="176">
        <f ca="1"/>
        <v>0</v>
      </c>
      <c r="CE211" s="176">
        <f ca="1"/>
        <v>0</v>
      </c>
      <c r="CF211" s="176">
        <f ca="1"/>
        <v>0</v>
      </c>
      <c r="CG211" s="176">
        <f ca="1"/>
        <v>0</v>
      </c>
      <c r="CH211" s="176">
        <f ca="1"/>
        <v>0</v>
      </c>
      <c r="CI211" s="176">
        <f ca="1"/>
        <v>0</v>
      </c>
      <c r="CJ211" s="176">
        <f ca="1"/>
        <v>0</v>
      </c>
      <c r="CK211" s="176">
        <f ca="1"/>
        <v>0</v>
      </c>
    </row>
    <row r="212" spans="2:89" ht="15.75" thickTop="1">
      <c r="B212" s="50" t="s">
        <v>50</v>
      </c>
      <c r="C212" s="51"/>
      <c r="D212" s="52">
        <f ca="1">SUM(D202:D211)</f>
        <v>5466888307.9396057</v>
      </c>
      <c r="E212" s="53"/>
      <c r="F212" s="54">
        <f ca="1">SUM(F202:F211)</f>
        <v>0</v>
      </c>
      <c r="G212" s="54">
        <f t="shared" ref="G212:AG212" ca="1" si="242">SUM(G202:G211)</f>
        <v>0</v>
      </c>
      <c r="H212" s="54">
        <f t="shared" ca="1" si="242"/>
        <v>0</v>
      </c>
      <c r="I212" s="54">
        <f t="shared" ca="1" si="242"/>
        <v>0</v>
      </c>
      <c r="J212" s="54">
        <f t="shared" ca="1" si="242"/>
        <v>0</v>
      </c>
      <c r="K212" s="54">
        <f t="shared" ca="1" si="242"/>
        <v>0</v>
      </c>
      <c r="L212" s="54">
        <f t="shared" ca="1" si="242"/>
        <v>0</v>
      </c>
      <c r="M212" s="54">
        <f t="shared" ca="1" si="242"/>
        <v>0</v>
      </c>
      <c r="N212" s="54">
        <f t="shared" ca="1" si="242"/>
        <v>0</v>
      </c>
      <c r="O212" s="54">
        <f t="shared" ca="1" si="242"/>
        <v>0</v>
      </c>
      <c r="P212" s="54">
        <f t="shared" ca="1" si="242"/>
        <v>0</v>
      </c>
      <c r="Q212" s="54">
        <f t="shared" ca="1" si="242"/>
        <v>0</v>
      </c>
      <c r="R212" s="54">
        <f t="shared" ca="1" si="242"/>
        <v>48248462.580845043</v>
      </c>
      <c r="S212" s="54">
        <f t="shared" ca="1" si="242"/>
        <v>48456071.379163176</v>
      </c>
      <c r="T212" s="54">
        <f t="shared" ca="1" si="242"/>
        <v>48657833.641691647</v>
      </c>
      <c r="U212" s="54">
        <f t="shared" ca="1" si="242"/>
        <v>48867203.926893763</v>
      </c>
      <c r="V212" s="54">
        <f t="shared" ca="1" si="242"/>
        <v>49077475.11361666</v>
      </c>
      <c r="W212" s="54">
        <f t="shared" ca="1" si="242"/>
        <v>49281824.788203895</v>
      </c>
      <c r="X212" s="54">
        <f t="shared" ca="1" si="242"/>
        <v>49493880.051230356</v>
      </c>
      <c r="Y212" s="54">
        <f t="shared" ca="1" si="242"/>
        <v>49699963.56019479</v>
      </c>
      <c r="Z212" s="54">
        <f t="shared" ca="1" si="242"/>
        <v>49913818.036778331</v>
      </c>
      <c r="AA212" s="54">
        <f t="shared" ca="1" si="242"/>
        <v>50129182.401341096</v>
      </c>
      <c r="AB212" s="54">
        <f t="shared" ca="1" si="242"/>
        <v>50324503.641933039</v>
      </c>
      <c r="AC212" s="54">
        <f t="shared" ca="1" si="242"/>
        <v>50541640.001664042</v>
      </c>
      <c r="AD212" s="54">
        <f t="shared" ca="1" si="242"/>
        <v>52389996.283895656</v>
      </c>
      <c r="AE212" s="54">
        <f t="shared" ca="1" si="242"/>
        <v>54007825.306815989</v>
      </c>
      <c r="AF212" s="54">
        <f t="shared" ca="1" si="242"/>
        <v>55647691.920678675</v>
      </c>
      <c r="AG212" s="54">
        <f t="shared" ca="1" si="242"/>
        <v>57424852.761638716</v>
      </c>
      <c r="AH212" s="54">
        <f t="shared" ref="AH212:BM212" ca="1" si="243">SUM(AH202:AH211)</f>
        <v>59292714.091241717</v>
      </c>
      <c r="AI212" s="54">
        <f t="shared" ca="1" si="243"/>
        <v>61193812.011145599</v>
      </c>
      <c r="AJ212" s="54">
        <f t="shared" ca="1" si="243"/>
        <v>63263136.824907243</v>
      </c>
      <c r="AK212" s="54">
        <f t="shared" ca="1" si="243"/>
        <v>65376041.635035962</v>
      </c>
      <c r="AL212" s="54">
        <f t="shared" ca="1" si="243"/>
        <v>67683794.144931942</v>
      </c>
      <c r="AM212" s="54">
        <f t="shared" ca="1" si="243"/>
        <v>70129943.506263748</v>
      </c>
      <c r="AN212" s="54">
        <f t="shared" ca="1" si="243"/>
        <v>72469649.352139443</v>
      </c>
      <c r="AO212" s="54">
        <f t="shared" ca="1" si="243"/>
        <v>75218472.490454465</v>
      </c>
      <c r="AP212" s="54">
        <f t="shared" ca="1" si="243"/>
        <v>75668604.132933304</v>
      </c>
      <c r="AQ212" s="54">
        <f t="shared" ca="1" si="243"/>
        <v>76144733.938533425</v>
      </c>
      <c r="AR212" s="54">
        <f t="shared" ca="1" si="243"/>
        <v>76616745.340131313</v>
      </c>
      <c r="AS212" s="54">
        <f t="shared" ca="1" si="243"/>
        <v>77116774.088111371</v>
      </c>
      <c r="AT212" s="54">
        <f t="shared" ca="1" si="243"/>
        <v>77630010.700704634</v>
      </c>
      <c r="AU212" s="54">
        <f t="shared" ca="1" si="243"/>
        <v>78139999.003545493</v>
      </c>
      <c r="AV212" s="54">
        <f t="shared" ca="1" si="243"/>
        <v>78681543.253068268</v>
      </c>
      <c r="AW212" s="54">
        <f t="shared" ca="1" si="243"/>
        <v>79220524.790023282</v>
      </c>
      <c r="AX212" s="54">
        <f t="shared" ca="1" si="243"/>
        <v>79793786.59797433</v>
      </c>
      <c r="AY212" s="54">
        <f t="shared" ca="1" si="243"/>
        <v>80384615.403284848</v>
      </c>
      <c r="AZ212" s="54">
        <f t="shared" ca="1" si="243"/>
        <v>80934246.859631836</v>
      </c>
      <c r="BA212" s="54">
        <f t="shared" ca="1" si="243"/>
        <v>81561495.531344801</v>
      </c>
      <c r="BB212" s="54">
        <f t="shared" ca="1" si="243"/>
        <v>81902035.125514165</v>
      </c>
      <c r="BC212" s="54">
        <f t="shared" ca="1" si="243"/>
        <v>82255419.828287393</v>
      </c>
      <c r="BD212" s="54">
        <f t="shared" ca="1" si="243"/>
        <v>82598856.729536831</v>
      </c>
      <c r="BE212" s="54">
        <f t="shared" ca="1" si="243"/>
        <v>82955248.025431305</v>
      </c>
      <c r="BF212" s="54">
        <f t="shared" ca="1" si="243"/>
        <v>83313177.051517397</v>
      </c>
      <c r="BG212" s="54">
        <f t="shared" ca="1" si="243"/>
        <v>83661030.353093773</v>
      </c>
      <c r="BH212" s="54">
        <f t="shared" ca="1" si="243"/>
        <v>84022004.635353327</v>
      </c>
      <c r="BI212" s="54">
        <f t="shared" ca="1" si="243"/>
        <v>84372817.468951061</v>
      </c>
      <c r="BJ212" s="54">
        <f t="shared" ca="1" si="243"/>
        <v>84736862.916389719</v>
      </c>
      <c r="BK212" s="54">
        <f t="shared" ca="1" si="243"/>
        <v>85101478.022080243</v>
      </c>
      <c r="BL212" s="54">
        <f t="shared" ca="1" si="243"/>
        <v>85443989.782851189</v>
      </c>
      <c r="BM212" s="54">
        <f t="shared" ca="1" si="243"/>
        <v>85811647.591897458</v>
      </c>
      <c r="BN212" s="54">
        <f t="shared" ref="BN212:CK212" ca="1" si="244">SUM(BN202:BN211)</f>
        <v>86168951.67530036</v>
      </c>
      <c r="BO212" s="54">
        <f t="shared" ca="1" si="244"/>
        <v>86539728.930216342</v>
      </c>
      <c r="BP212" s="54">
        <f t="shared" ca="1" si="244"/>
        <v>86900064.611805871</v>
      </c>
      <c r="BQ212" s="54">
        <f t="shared" ca="1" si="244"/>
        <v>87273987.77998133</v>
      </c>
      <c r="BR212" s="54">
        <f t="shared" ca="1" si="244"/>
        <v>87649519.905944377</v>
      </c>
      <c r="BS212" s="54">
        <f t="shared" ca="1" si="244"/>
        <v>88014476.55518198</v>
      </c>
      <c r="BT212" s="54">
        <f t="shared" ca="1" si="244"/>
        <v>88393194.937795788</v>
      </c>
      <c r="BU212" s="54">
        <f t="shared" ca="1" si="244"/>
        <v>88761248.114521921</v>
      </c>
      <c r="BV212" s="54">
        <f t="shared" ca="1" si="244"/>
        <v>89143179.788042009</v>
      </c>
      <c r="BW212" s="54">
        <f t="shared" ca="1" si="244"/>
        <v>89527808.033791721</v>
      </c>
      <c r="BX212" s="54">
        <f t="shared" ca="1" si="244"/>
        <v>89876640.424326986</v>
      </c>
      <c r="BY212" s="54">
        <f t="shared" ca="1" si="244"/>
        <v>90264433.35052146</v>
      </c>
      <c r="BZ212" s="54">
        <f t="shared" ca="1" si="244"/>
        <v>90641309.881547093</v>
      </c>
      <c r="CA212" s="54">
        <f t="shared" ca="1" si="244"/>
        <v>91032402.145645022</v>
      </c>
      <c r="CB212" s="54">
        <f t="shared" ca="1" si="244"/>
        <v>91412485.138005391</v>
      </c>
      <c r="CC212" s="54">
        <f t="shared" ca="1" si="244"/>
        <v>91806904.810736984</v>
      </c>
      <c r="CD212" s="54">
        <f t="shared" ca="1" si="244"/>
        <v>92203026.295622572</v>
      </c>
      <c r="CE212" s="54">
        <f t="shared" ca="1" si="244"/>
        <v>92587996.935890362</v>
      </c>
      <c r="CF212" s="54">
        <f t="shared" ca="1" si="244"/>
        <v>92987488.617964149</v>
      </c>
      <c r="CG212" s="54">
        <f t="shared" ca="1" si="244"/>
        <v>93375734.584158093</v>
      </c>
      <c r="CH212" s="54">
        <f t="shared" ca="1" si="244"/>
        <v>93778625.13702026</v>
      </c>
      <c r="CI212" s="54">
        <f t="shared" ca="1" si="244"/>
        <v>94183254.051548943</v>
      </c>
      <c r="CJ212" s="54">
        <f t="shared" ca="1" si="244"/>
        <v>94550225.726392031</v>
      </c>
      <c r="CK212" s="54">
        <f t="shared" ca="1" si="244"/>
        <v>94958183.884748638</v>
      </c>
    </row>
    <row r="213" spans="2:89">
      <c r="B213" s="14"/>
      <c r="C213" s="14"/>
      <c r="D213" s="14"/>
      <c r="E213" s="1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  <c r="BI213" s="154"/>
      <c r="BJ213" s="154"/>
      <c r="BK213" s="154"/>
      <c r="BL213" s="154"/>
      <c r="BM213" s="15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</row>
    <row r="214" spans="2:89" ht="18" thickBot="1">
      <c r="B214" s="100" t="s">
        <v>233</v>
      </c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</row>
    <row r="215" spans="2:89" ht="15.75" thickTop="1">
      <c r="B215" s="14"/>
      <c r="C215" s="186"/>
      <c r="D215" s="14"/>
      <c r="E215" s="1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  <c r="BI215" s="154"/>
      <c r="BJ215" s="154"/>
      <c r="BK215" s="154"/>
      <c r="BL215" s="154"/>
      <c r="BM215" s="15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</row>
    <row r="216" spans="2:89" ht="15.75" thickBot="1">
      <c r="B216" s="96" t="str">
        <f>"Ставка затрат в текущих ценах, в "&amp;Ед_измерения_денег&amp;" в т.ч. НДС"</f>
        <v>Ставка затрат в текущих ценах, в  руб. в т.ч. НДС</v>
      </c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</row>
    <row r="217" spans="2:89">
      <c r="B217" s="14"/>
      <c r="C217" s="14"/>
      <c r="D217" s="14"/>
      <c r="E217" s="1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  <c r="BH217" s="154"/>
      <c r="BI217" s="154"/>
      <c r="BJ217" s="154"/>
      <c r="BK217" s="154"/>
      <c r="BL217" s="154"/>
      <c r="BM217" s="15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</row>
    <row r="218" spans="2:89">
      <c r="B218" s="45" t="str">
        <f t="array" ref="B218:B220">ПНЗ_наименования</f>
        <v>Пусто</v>
      </c>
      <c r="C218" s="118"/>
      <c r="D218" s="118"/>
      <c r="E218" s="46"/>
      <c r="F218" s="49">
        <f t="array" ref="F218:CK220">ПНЗ_ставки*F14:CK14</f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49">
        <v>0</v>
      </c>
      <c r="O218" s="49">
        <v>0</v>
      </c>
      <c r="P218" s="49">
        <v>0</v>
      </c>
      <c r="Q218" s="49">
        <v>0</v>
      </c>
      <c r="R218" s="49">
        <v>0</v>
      </c>
      <c r="S218" s="49">
        <v>0</v>
      </c>
      <c r="T218" s="49">
        <v>0</v>
      </c>
      <c r="U218" s="49">
        <v>0</v>
      </c>
      <c r="V218" s="49">
        <v>0</v>
      </c>
      <c r="W218" s="49">
        <v>0</v>
      </c>
      <c r="X218" s="49">
        <v>0</v>
      </c>
      <c r="Y218" s="49">
        <v>0</v>
      </c>
      <c r="Z218" s="49">
        <v>0</v>
      </c>
      <c r="AA218" s="49">
        <v>0</v>
      </c>
      <c r="AB218" s="49">
        <v>0</v>
      </c>
      <c r="AC218" s="49">
        <v>0</v>
      </c>
      <c r="AD218" s="49">
        <v>0</v>
      </c>
      <c r="AE218" s="49">
        <v>0</v>
      </c>
      <c r="AF218" s="49">
        <v>0</v>
      </c>
      <c r="AG218" s="49">
        <v>0</v>
      </c>
      <c r="AH218" s="49">
        <v>0</v>
      </c>
      <c r="AI218" s="49">
        <v>0</v>
      </c>
      <c r="AJ218" s="49">
        <v>0</v>
      </c>
      <c r="AK218" s="49">
        <v>0</v>
      </c>
      <c r="AL218" s="49">
        <v>0</v>
      </c>
      <c r="AM218" s="49">
        <v>0</v>
      </c>
      <c r="AN218" s="49">
        <v>0</v>
      </c>
      <c r="AO218" s="49">
        <v>0</v>
      </c>
      <c r="AP218" s="49">
        <v>0</v>
      </c>
      <c r="AQ218" s="49">
        <v>0</v>
      </c>
      <c r="AR218" s="49">
        <v>0</v>
      </c>
      <c r="AS218" s="49">
        <v>0</v>
      </c>
      <c r="AT218" s="49">
        <v>0</v>
      </c>
      <c r="AU218" s="49">
        <v>0</v>
      </c>
      <c r="AV218" s="49">
        <v>0</v>
      </c>
      <c r="AW218" s="49">
        <v>0</v>
      </c>
      <c r="AX218" s="49">
        <v>0</v>
      </c>
      <c r="AY218" s="49">
        <v>0</v>
      </c>
      <c r="AZ218" s="49">
        <v>0</v>
      </c>
      <c r="BA218" s="49">
        <v>0</v>
      </c>
      <c r="BB218" s="49">
        <v>0</v>
      </c>
      <c r="BC218" s="49">
        <v>0</v>
      </c>
      <c r="BD218" s="49">
        <v>0</v>
      </c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9">
        <v>0</v>
      </c>
      <c r="BK218" s="49">
        <v>0</v>
      </c>
      <c r="BL218" s="49">
        <v>0</v>
      </c>
      <c r="BM218" s="49">
        <v>0</v>
      </c>
      <c r="BN218" s="49">
        <v>0</v>
      </c>
      <c r="BO218" s="49">
        <v>0</v>
      </c>
      <c r="BP218" s="49">
        <v>0</v>
      </c>
      <c r="BQ218" s="49">
        <v>0</v>
      </c>
      <c r="BR218" s="49">
        <v>0</v>
      </c>
      <c r="BS218" s="49">
        <v>0</v>
      </c>
      <c r="BT218" s="49">
        <v>0</v>
      </c>
      <c r="BU218" s="49">
        <v>0</v>
      </c>
      <c r="BV218" s="49">
        <v>0</v>
      </c>
      <c r="BW218" s="49">
        <v>0</v>
      </c>
      <c r="BX218" s="49">
        <v>0</v>
      </c>
      <c r="BY218" s="49">
        <v>0</v>
      </c>
      <c r="BZ218" s="49">
        <v>0</v>
      </c>
      <c r="CA218" s="49">
        <v>0</v>
      </c>
      <c r="CB218" s="49">
        <v>0</v>
      </c>
      <c r="CC218" s="49">
        <v>0</v>
      </c>
      <c r="CD218" s="49">
        <v>0</v>
      </c>
      <c r="CE218" s="49">
        <v>0</v>
      </c>
      <c r="CF218" s="49">
        <v>0</v>
      </c>
      <c r="CG218" s="49">
        <v>0</v>
      </c>
      <c r="CH218" s="49">
        <v>0</v>
      </c>
      <c r="CI218" s="49">
        <v>0</v>
      </c>
      <c r="CJ218" s="49">
        <v>0</v>
      </c>
      <c r="CK218" s="49">
        <v>0</v>
      </c>
    </row>
    <row r="219" spans="2:89">
      <c r="B219" s="86" t="str">
        <v>Пусто</v>
      </c>
      <c r="C219" s="118"/>
      <c r="D219" s="118"/>
      <c r="E219" s="46"/>
      <c r="F219" s="176">
        <v>0</v>
      </c>
      <c r="G219" s="176">
        <v>0</v>
      </c>
      <c r="H219" s="176">
        <v>0</v>
      </c>
      <c r="I219" s="176">
        <v>0</v>
      </c>
      <c r="J219" s="176">
        <v>0</v>
      </c>
      <c r="K219" s="176">
        <v>0</v>
      </c>
      <c r="L219" s="176">
        <v>0</v>
      </c>
      <c r="M219" s="176">
        <v>0</v>
      </c>
      <c r="N219" s="176">
        <v>0</v>
      </c>
      <c r="O219" s="176">
        <v>0</v>
      </c>
      <c r="P219" s="176">
        <v>0</v>
      </c>
      <c r="Q219" s="176">
        <v>0</v>
      </c>
      <c r="R219" s="176">
        <v>0</v>
      </c>
      <c r="S219" s="176">
        <v>0</v>
      </c>
      <c r="T219" s="176">
        <v>0</v>
      </c>
      <c r="U219" s="176">
        <v>0</v>
      </c>
      <c r="V219" s="176">
        <v>0</v>
      </c>
      <c r="W219" s="176">
        <v>0</v>
      </c>
      <c r="X219" s="176">
        <v>0</v>
      </c>
      <c r="Y219" s="176">
        <v>0</v>
      </c>
      <c r="Z219" s="176">
        <v>0</v>
      </c>
      <c r="AA219" s="176">
        <v>0</v>
      </c>
      <c r="AB219" s="176">
        <v>0</v>
      </c>
      <c r="AC219" s="176">
        <v>0</v>
      </c>
      <c r="AD219" s="176">
        <v>0</v>
      </c>
      <c r="AE219" s="176">
        <v>0</v>
      </c>
      <c r="AF219" s="176">
        <v>0</v>
      </c>
      <c r="AG219" s="176">
        <v>0</v>
      </c>
      <c r="AH219" s="176">
        <v>0</v>
      </c>
      <c r="AI219" s="176">
        <v>0</v>
      </c>
      <c r="AJ219" s="176">
        <v>0</v>
      </c>
      <c r="AK219" s="176">
        <v>0</v>
      </c>
      <c r="AL219" s="176">
        <v>0</v>
      </c>
      <c r="AM219" s="176">
        <v>0</v>
      </c>
      <c r="AN219" s="176">
        <v>0</v>
      </c>
      <c r="AO219" s="176">
        <v>0</v>
      </c>
      <c r="AP219" s="176">
        <v>0</v>
      </c>
      <c r="AQ219" s="176">
        <v>0</v>
      </c>
      <c r="AR219" s="176">
        <v>0</v>
      </c>
      <c r="AS219" s="176">
        <v>0</v>
      </c>
      <c r="AT219" s="176">
        <v>0</v>
      </c>
      <c r="AU219" s="176">
        <v>0</v>
      </c>
      <c r="AV219" s="176">
        <v>0</v>
      </c>
      <c r="AW219" s="176">
        <v>0</v>
      </c>
      <c r="AX219" s="176">
        <v>0</v>
      </c>
      <c r="AY219" s="176">
        <v>0</v>
      </c>
      <c r="AZ219" s="176">
        <v>0</v>
      </c>
      <c r="BA219" s="176">
        <v>0</v>
      </c>
      <c r="BB219" s="176">
        <v>0</v>
      </c>
      <c r="BC219" s="176">
        <v>0</v>
      </c>
      <c r="BD219" s="176">
        <v>0</v>
      </c>
      <c r="BE219" s="176">
        <v>0</v>
      </c>
      <c r="BF219" s="176">
        <v>0</v>
      </c>
      <c r="BG219" s="176">
        <v>0</v>
      </c>
      <c r="BH219" s="176">
        <v>0</v>
      </c>
      <c r="BI219" s="176">
        <v>0</v>
      </c>
      <c r="BJ219" s="176">
        <v>0</v>
      </c>
      <c r="BK219" s="176">
        <v>0</v>
      </c>
      <c r="BL219" s="176">
        <v>0</v>
      </c>
      <c r="BM219" s="176">
        <v>0</v>
      </c>
      <c r="BN219" s="176">
        <v>0</v>
      </c>
      <c r="BO219" s="176">
        <v>0</v>
      </c>
      <c r="BP219" s="176">
        <v>0</v>
      </c>
      <c r="BQ219" s="176">
        <v>0</v>
      </c>
      <c r="BR219" s="176">
        <v>0</v>
      </c>
      <c r="BS219" s="176">
        <v>0</v>
      </c>
      <c r="BT219" s="176">
        <v>0</v>
      </c>
      <c r="BU219" s="176">
        <v>0</v>
      </c>
      <c r="BV219" s="176">
        <v>0</v>
      </c>
      <c r="BW219" s="176">
        <v>0</v>
      </c>
      <c r="BX219" s="176">
        <v>0</v>
      </c>
      <c r="BY219" s="176">
        <v>0</v>
      </c>
      <c r="BZ219" s="176">
        <v>0</v>
      </c>
      <c r="CA219" s="176">
        <v>0</v>
      </c>
      <c r="CB219" s="176">
        <v>0</v>
      </c>
      <c r="CC219" s="176">
        <v>0</v>
      </c>
      <c r="CD219" s="176">
        <v>0</v>
      </c>
      <c r="CE219" s="176">
        <v>0</v>
      </c>
      <c r="CF219" s="176">
        <v>0</v>
      </c>
      <c r="CG219" s="176">
        <v>0</v>
      </c>
      <c r="CH219" s="176">
        <v>0</v>
      </c>
      <c r="CI219" s="176">
        <v>0</v>
      </c>
      <c r="CJ219" s="176">
        <v>0</v>
      </c>
      <c r="CK219" s="176">
        <v>0</v>
      </c>
    </row>
    <row r="220" spans="2:89">
      <c r="B220" s="128" t="str">
        <v>Пусто</v>
      </c>
      <c r="C220" s="124"/>
      <c r="D220" s="124"/>
      <c r="E220" s="78"/>
      <c r="F220" s="185">
        <v>0</v>
      </c>
      <c r="G220" s="185">
        <v>0</v>
      </c>
      <c r="H220" s="185">
        <v>0</v>
      </c>
      <c r="I220" s="185">
        <v>0</v>
      </c>
      <c r="J220" s="185">
        <v>0</v>
      </c>
      <c r="K220" s="185">
        <v>0</v>
      </c>
      <c r="L220" s="185">
        <v>0</v>
      </c>
      <c r="M220" s="185">
        <v>0</v>
      </c>
      <c r="N220" s="185">
        <v>0</v>
      </c>
      <c r="O220" s="185">
        <v>0</v>
      </c>
      <c r="P220" s="185">
        <v>0</v>
      </c>
      <c r="Q220" s="185">
        <v>0</v>
      </c>
      <c r="R220" s="185">
        <v>0</v>
      </c>
      <c r="S220" s="185">
        <v>0</v>
      </c>
      <c r="T220" s="185">
        <v>0</v>
      </c>
      <c r="U220" s="185">
        <v>0</v>
      </c>
      <c r="V220" s="185">
        <v>0</v>
      </c>
      <c r="W220" s="185">
        <v>0</v>
      </c>
      <c r="X220" s="185">
        <v>0</v>
      </c>
      <c r="Y220" s="185">
        <v>0</v>
      </c>
      <c r="Z220" s="185">
        <v>0</v>
      </c>
      <c r="AA220" s="185">
        <v>0</v>
      </c>
      <c r="AB220" s="185">
        <v>0</v>
      </c>
      <c r="AC220" s="185">
        <v>0</v>
      </c>
      <c r="AD220" s="185">
        <v>0</v>
      </c>
      <c r="AE220" s="185">
        <v>0</v>
      </c>
      <c r="AF220" s="185">
        <v>0</v>
      </c>
      <c r="AG220" s="185">
        <v>0</v>
      </c>
      <c r="AH220" s="185">
        <v>0</v>
      </c>
      <c r="AI220" s="185">
        <v>0</v>
      </c>
      <c r="AJ220" s="185">
        <v>0</v>
      </c>
      <c r="AK220" s="185">
        <v>0</v>
      </c>
      <c r="AL220" s="185">
        <v>0</v>
      </c>
      <c r="AM220" s="185">
        <v>0</v>
      </c>
      <c r="AN220" s="185">
        <v>0</v>
      </c>
      <c r="AO220" s="185">
        <v>0</v>
      </c>
      <c r="AP220" s="185">
        <v>0</v>
      </c>
      <c r="AQ220" s="185">
        <v>0</v>
      </c>
      <c r="AR220" s="185">
        <v>0</v>
      </c>
      <c r="AS220" s="185">
        <v>0</v>
      </c>
      <c r="AT220" s="185">
        <v>0</v>
      </c>
      <c r="AU220" s="185">
        <v>0</v>
      </c>
      <c r="AV220" s="185">
        <v>0</v>
      </c>
      <c r="AW220" s="185">
        <v>0</v>
      </c>
      <c r="AX220" s="185">
        <v>0</v>
      </c>
      <c r="AY220" s="185">
        <v>0</v>
      </c>
      <c r="AZ220" s="185">
        <v>0</v>
      </c>
      <c r="BA220" s="185">
        <v>0</v>
      </c>
      <c r="BB220" s="185">
        <v>0</v>
      </c>
      <c r="BC220" s="185">
        <v>0</v>
      </c>
      <c r="BD220" s="185">
        <v>0</v>
      </c>
      <c r="BE220" s="185">
        <v>0</v>
      </c>
      <c r="BF220" s="185">
        <v>0</v>
      </c>
      <c r="BG220" s="185">
        <v>0</v>
      </c>
      <c r="BH220" s="185">
        <v>0</v>
      </c>
      <c r="BI220" s="185">
        <v>0</v>
      </c>
      <c r="BJ220" s="185">
        <v>0</v>
      </c>
      <c r="BK220" s="185">
        <v>0</v>
      </c>
      <c r="BL220" s="185">
        <v>0</v>
      </c>
      <c r="BM220" s="185">
        <v>0</v>
      </c>
      <c r="BN220" s="185">
        <v>0</v>
      </c>
      <c r="BO220" s="185">
        <v>0</v>
      </c>
      <c r="BP220" s="185">
        <v>0</v>
      </c>
      <c r="BQ220" s="185">
        <v>0</v>
      </c>
      <c r="BR220" s="185">
        <v>0</v>
      </c>
      <c r="BS220" s="185">
        <v>0</v>
      </c>
      <c r="BT220" s="185">
        <v>0</v>
      </c>
      <c r="BU220" s="185">
        <v>0</v>
      </c>
      <c r="BV220" s="185">
        <v>0</v>
      </c>
      <c r="BW220" s="185">
        <v>0</v>
      </c>
      <c r="BX220" s="185">
        <v>0</v>
      </c>
      <c r="BY220" s="185">
        <v>0</v>
      </c>
      <c r="BZ220" s="185">
        <v>0</v>
      </c>
      <c r="CA220" s="185">
        <v>0</v>
      </c>
      <c r="CB220" s="185">
        <v>0</v>
      </c>
      <c r="CC220" s="185">
        <v>0</v>
      </c>
      <c r="CD220" s="185">
        <v>0</v>
      </c>
      <c r="CE220" s="185">
        <v>0</v>
      </c>
      <c r="CF220" s="185">
        <v>0</v>
      </c>
      <c r="CG220" s="185">
        <v>0</v>
      </c>
      <c r="CH220" s="185">
        <v>0</v>
      </c>
      <c r="CI220" s="185">
        <v>0</v>
      </c>
      <c r="CJ220" s="185">
        <v>0</v>
      </c>
      <c r="CK220" s="185">
        <v>0</v>
      </c>
    </row>
    <row r="221" spans="2:89">
      <c r="B221" s="14"/>
      <c r="C221" s="14"/>
      <c r="D221" s="14"/>
      <c r="E221" s="1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  <c r="BI221" s="154"/>
      <c r="BJ221" s="154"/>
      <c r="BK221" s="154"/>
      <c r="BL221" s="154"/>
      <c r="BM221" s="15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</row>
    <row r="222" spans="2:89" ht="15.75" thickBot="1">
      <c r="B222" s="96" t="s">
        <v>324</v>
      </c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</row>
    <row r="223" spans="2:89">
      <c r="B223" s="14"/>
      <c r="C223" s="14"/>
      <c r="D223" s="14"/>
      <c r="E223" s="1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  <c r="BI223" s="154"/>
      <c r="BJ223" s="154"/>
      <c r="BK223" s="154"/>
      <c r="BL223" s="154"/>
      <c r="BM223" s="15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</row>
    <row r="224" spans="2:89">
      <c r="B224" s="155" t="s">
        <v>39</v>
      </c>
      <c r="C224" s="156"/>
      <c r="D224" s="160"/>
      <c r="E224" s="158"/>
      <c r="F224" s="159">
        <f t="shared" ref="F224:AK224" ca="1" si="245">IFERROR(LOOKUP(F$19,ПНЗ_год_инфляции,ПНЗ_уровень_инфляции),0)</f>
        <v>4.4999999999999998E-2</v>
      </c>
      <c r="G224" s="159">
        <f t="shared" ca="1" si="245"/>
        <v>4.4999999999999998E-2</v>
      </c>
      <c r="H224" s="159">
        <f t="shared" ca="1" si="245"/>
        <v>4.4999999999999998E-2</v>
      </c>
      <c r="I224" s="159">
        <f t="shared" ca="1" si="245"/>
        <v>4.4999999999999998E-2</v>
      </c>
      <c r="J224" s="159">
        <f t="shared" ca="1" si="245"/>
        <v>4.4999999999999998E-2</v>
      </c>
      <c r="K224" s="159">
        <f t="shared" ca="1" si="245"/>
        <v>4.4999999999999998E-2</v>
      </c>
      <c r="L224" s="159">
        <f t="shared" ca="1" si="245"/>
        <v>4.4999999999999998E-2</v>
      </c>
      <c r="M224" s="159">
        <f t="shared" ca="1" si="245"/>
        <v>4.4999999999999998E-2</v>
      </c>
      <c r="N224" s="159">
        <f t="shared" ca="1" si="245"/>
        <v>4.4999999999999998E-2</v>
      </c>
      <c r="O224" s="159">
        <f t="shared" ca="1" si="245"/>
        <v>4.4999999999999998E-2</v>
      </c>
      <c r="P224" s="159">
        <f t="shared" ca="1" si="245"/>
        <v>4.4999999999999998E-2</v>
      </c>
      <c r="Q224" s="159">
        <f t="shared" ca="1" si="245"/>
        <v>4.4999999999999998E-2</v>
      </c>
      <c r="R224" s="159">
        <f t="shared" ca="1" si="245"/>
        <v>4.4999999999999998E-2</v>
      </c>
      <c r="S224" s="159">
        <f t="shared" ca="1" si="245"/>
        <v>4.4999999999999998E-2</v>
      </c>
      <c r="T224" s="159">
        <f t="shared" ca="1" si="245"/>
        <v>4.4999999999999998E-2</v>
      </c>
      <c r="U224" s="159">
        <f t="shared" ca="1" si="245"/>
        <v>4.4999999999999998E-2</v>
      </c>
      <c r="V224" s="159">
        <f t="shared" ca="1" si="245"/>
        <v>4.4999999999999998E-2</v>
      </c>
      <c r="W224" s="159">
        <f t="shared" ca="1" si="245"/>
        <v>4.4999999999999998E-2</v>
      </c>
      <c r="X224" s="159">
        <f t="shared" ca="1" si="245"/>
        <v>4.4999999999999998E-2</v>
      </c>
      <c r="Y224" s="159">
        <f t="shared" ca="1" si="245"/>
        <v>4.4999999999999998E-2</v>
      </c>
      <c r="Z224" s="159">
        <f t="shared" ca="1" si="245"/>
        <v>4.4999999999999998E-2</v>
      </c>
      <c r="AA224" s="159">
        <f t="shared" ca="1" si="245"/>
        <v>4.4999999999999998E-2</v>
      </c>
      <c r="AB224" s="159">
        <f t="shared" ca="1" si="245"/>
        <v>4.4999999999999998E-2</v>
      </c>
      <c r="AC224" s="159">
        <f t="shared" ca="1" si="245"/>
        <v>4.4999999999999998E-2</v>
      </c>
      <c r="AD224" s="159">
        <f t="shared" ca="1" si="245"/>
        <v>4.4999999999999998E-2</v>
      </c>
      <c r="AE224" s="159">
        <f t="shared" ca="1" si="245"/>
        <v>4.4999999999999998E-2</v>
      </c>
      <c r="AF224" s="159">
        <f t="shared" ca="1" si="245"/>
        <v>4.4999999999999998E-2</v>
      </c>
      <c r="AG224" s="159">
        <f t="shared" ca="1" si="245"/>
        <v>4.4999999999999998E-2</v>
      </c>
      <c r="AH224" s="159">
        <f t="shared" ca="1" si="245"/>
        <v>4.4999999999999998E-2</v>
      </c>
      <c r="AI224" s="159">
        <f t="shared" ca="1" si="245"/>
        <v>4.4999999999999998E-2</v>
      </c>
      <c r="AJ224" s="159">
        <f t="shared" ca="1" si="245"/>
        <v>4.4999999999999998E-2</v>
      </c>
      <c r="AK224" s="159">
        <f t="shared" ca="1" si="245"/>
        <v>4.4999999999999998E-2</v>
      </c>
      <c r="AL224" s="159">
        <f t="shared" ref="AL224:CK224" ca="1" si="246">IFERROR(LOOKUP(AL$19,ПНЗ_год_инфляции,ПНЗ_уровень_инфляции),0)</f>
        <v>4.4999999999999998E-2</v>
      </c>
      <c r="AM224" s="159">
        <f t="shared" ca="1" si="246"/>
        <v>4.4999999999999998E-2</v>
      </c>
      <c r="AN224" s="159">
        <f t="shared" ca="1" si="246"/>
        <v>4.4999999999999998E-2</v>
      </c>
      <c r="AO224" s="159">
        <f t="shared" ca="1" si="246"/>
        <v>4.4999999999999998E-2</v>
      </c>
      <c r="AP224" s="159">
        <f t="shared" ca="1" si="246"/>
        <v>4.4999999999999998E-2</v>
      </c>
      <c r="AQ224" s="159">
        <f t="shared" ca="1" si="246"/>
        <v>4.4999999999999998E-2</v>
      </c>
      <c r="AR224" s="159">
        <f t="shared" ca="1" si="246"/>
        <v>4.4999999999999998E-2</v>
      </c>
      <c r="AS224" s="159">
        <f t="shared" ca="1" si="246"/>
        <v>4.4999999999999998E-2</v>
      </c>
      <c r="AT224" s="159">
        <f t="shared" ca="1" si="246"/>
        <v>4.4999999999999998E-2</v>
      </c>
      <c r="AU224" s="159">
        <f t="shared" ca="1" si="246"/>
        <v>4.4999999999999998E-2</v>
      </c>
      <c r="AV224" s="159">
        <f t="shared" ca="1" si="246"/>
        <v>4.4999999999999998E-2</v>
      </c>
      <c r="AW224" s="159">
        <f t="shared" ca="1" si="246"/>
        <v>4.4999999999999998E-2</v>
      </c>
      <c r="AX224" s="159">
        <f t="shared" ca="1" si="246"/>
        <v>4.4999999999999998E-2</v>
      </c>
      <c r="AY224" s="159">
        <f t="shared" ca="1" si="246"/>
        <v>4.4999999999999998E-2</v>
      </c>
      <c r="AZ224" s="159">
        <f t="shared" ca="1" si="246"/>
        <v>4.4999999999999998E-2</v>
      </c>
      <c r="BA224" s="159">
        <f t="shared" ca="1" si="246"/>
        <v>4.4999999999999998E-2</v>
      </c>
      <c r="BB224" s="159">
        <f t="shared" ca="1" si="246"/>
        <v>4.4999999999999998E-2</v>
      </c>
      <c r="BC224" s="159">
        <f t="shared" ca="1" si="246"/>
        <v>4.4999999999999998E-2</v>
      </c>
      <c r="BD224" s="159">
        <f t="shared" ca="1" si="246"/>
        <v>4.4999999999999998E-2</v>
      </c>
      <c r="BE224" s="159">
        <f t="shared" ca="1" si="246"/>
        <v>4.4999999999999998E-2</v>
      </c>
      <c r="BF224" s="159">
        <f t="shared" ca="1" si="246"/>
        <v>4.4999999999999998E-2</v>
      </c>
      <c r="BG224" s="159">
        <f t="shared" ca="1" si="246"/>
        <v>4.4999999999999998E-2</v>
      </c>
      <c r="BH224" s="159">
        <f t="shared" ca="1" si="246"/>
        <v>4.4999999999999998E-2</v>
      </c>
      <c r="BI224" s="159">
        <f t="shared" ca="1" si="246"/>
        <v>4.4999999999999998E-2</v>
      </c>
      <c r="BJ224" s="159">
        <f t="shared" ca="1" si="246"/>
        <v>4.4999999999999998E-2</v>
      </c>
      <c r="BK224" s="159">
        <f t="shared" ca="1" si="246"/>
        <v>4.4999999999999998E-2</v>
      </c>
      <c r="BL224" s="159">
        <f t="shared" ca="1" si="246"/>
        <v>4.4999999999999998E-2</v>
      </c>
      <c r="BM224" s="159">
        <f t="shared" ca="1" si="246"/>
        <v>4.4999999999999998E-2</v>
      </c>
      <c r="BN224" s="159">
        <f t="shared" ca="1" si="246"/>
        <v>4.4999999999999998E-2</v>
      </c>
      <c r="BO224" s="159">
        <f t="shared" ca="1" si="246"/>
        <v>4.4999999999999998E-2</v>
      </c>
      <c r="BP224" s="159">
        <f t="shared" ca="1" si="246"/>
        <v>4.4999999999999998E-2</v>
      </c>
      <c r="BQ224" s="159">
        <f t="shared" ca="1" si="246"/>
        <v>4.4999999999999998E-2</v>
      </c>
      <c r="BR224" s="159">
        <f t="shared" ca="1" si="246"/>
        <v>4.4999999999999998E-2</v>
      </c>
      <c r="BS224" s="159">
        <f t="shared" ca="1" si="246"/>
        <v>4.4999999999999998E-2</v>
      </c>
      <c r="BT224" s="159">
        <f t="shared" ca="1" si="246"/>
        <v>4.4999999999999998E-2</v>
      </c>
      <c r="BU224" s="159">
        <f t="shared" ca="1" si="246"/>
        <v>4.4999999999999998E-2</v>
      </c>
      <c r="BV224" s="159">
        <f t="shared" ca="1" si="246"/>
        <v>4.4999999999999998E-2</v>
      </c>
      <c r="BW224" s="159">
        <f t="shared" ca="1" si="246"/>
        <v>4.4999999999999998E-2</v>
      </c>
      <c r="BX224" s="159">
        <f t="shared" ca="1" si="246"/>
        <v>4.4999999999999998E-2</v>
      </c>
      <c r="BY224" s="159">
        <f t="shared" ca="1" si="246"/>
        <v>4.4999999999999998E-2</v>
      </c>
      <c r="BZ224" s="159">
        <f t="shared" ca="1" si="246"/>
        <v>4.4999999999999998E-2</v>
      </c>
      <c r="CA224" s="159">
        <f t="shared" ca="1" si="246"/>
        <v>4.4999999999999998E-2</v>
      </c>
      <c r="CB224" s="159">
        <f t="shared" ca="1" si="246"/>
        <v>4.4999999999999998E-2</v>
      </c>
      <c r="CC224" s="159">
        <f t="shared" ca="1" si="246"/>
        <v>4.4999999999999998E-2</v>
      </c>
      <c r="CD224" s="159">
        <f t="shared" ca="1" si="246"/>
        <v>4.4999999999999998E-2</v>
      </c>
      <c r="CE224" s="159">
        <f t="shared" ca="1" si="246"/>
        <v>4.4999999999999998E-2</v>
      </c>
      <c r="CF224" s="159">
        <f t="shared" ca="1" si="246"/>
        <v>4.4999999999999998E-2</v>
      </c>
      <c r="CG224" s="159">
        <f t="shared" ca="1" si="246"/>
        <v>4.4999999999999998E-2</v>
      </c>
      <c r="CH224" s="159">
        <f t="shared" ca="1" si="246"/>
        <v>4.4999999999999998E-2</v>
      </c>
      <c r="CI224" s="159">
        <f t="shared" ca="1" si="246"/>
        <v>4.4999999999999998E-2</v>
      </c>
      <c r="CJ224" s="159">
        <f t="shared" ca="1" si="246"/>
        <v>4.4999999999999998E-2</v>
      </c>
      <c r="CK224" s="159">
        <f t="shared" ca="1" si="246"/>
        <v>4.4999999999999998E-2</v>
      </c>
    </row>
    <row r="225" spans="2:89" ht="15.75" thickBot="1">
      <c r="B225" s="155" t="s">
        <v>40</v>
      </c>
      <c r="C225" s="156"/>
      <c r="D225" s="160"/>
      <c r="E225" s="158"/>
      <c r="F225" s="159">
        <f ca="1">(1+F224)^(F$26/F$20)-1</f>
        <v>3.6243784310707738E-3</v>
      </c>
      <c r="G225" s="159">
        <f t="shared" ref="G225:BR225" ca="1" si="247">(1+G224)^(G$26/G$20)-1</f>
        <v>3.7454170148627508E-3</v>
      </c>
      <c r="H225" s="159">
        <f t="shared" ca="1" si="247"/>
        <v>3.6243784310707738E-3</v>
      </c>
      <c r="I225" s="159">
        <f t="shared" ca="1" si="247"/>
        <v>3.7454170148627508E-3</v>
      </c>
      <c r="J225" s="159">
        <f t="shared" ca="1" si="247"/>
        <v>3.7454170148627508E-3</v>
      </c>
      <c r="K225" s="159">
        <f t="shared" ca="1" si="247"/>
        <v>3.6243784310707738E-3</v>
      </c>
      <c r="L225" s="159">
        <f t="shared" ca="1" si="247"/>
        <v>3.7454170148627508E-3</v>
      </c>
      <c r="M225" s="159">
        <f t="shared" ca="1" si="247"/>
        <v>3.6243784310707738E-3</v>
      </c>
      <c r="N225" s="159">
        <f t="shared" ca="1" si="247"/>
        <v>3.7454170148627508E-3</v>
      </c>
      <c r="O225" s="159">
        <f t="shared" ca="1" si="247"/>
        <v>3.7351645471450645E-3</v>
      </c>
      <c r="P225" s="159">
        <f t="shared" ca="1" si="247"/>
        <v>3.4937657345672779E-3</v>
      </c>
      <c r="Q225" s="159">
        <f t="shared" ca="1" si="247"/>
        <v>3.7351645471450645E-3</v>
      </c>
      <c r="R225" s="159">
        <f t="shared" ca="1" si="247"/>
        <v>3.6144578829164775E-3</v>
      </c>
      <c r="S225" s="159">
        <f t="shared" ca="1" si="247"/>
        <v>3.7351645471450645E-3</v>
      </c>
      <c r="T225" s="159">
        <f t="shared" ca="1" si="247"/>
        <v>3.6144578829164775E-3</v>
      </c>
      <c r="U225" s="159">
        <f t="shared" ca="1" si="247"/>
        <v>3.7351645471450645E-3</v>
      </c>
      <c r="V225" s="159">
        <f t="shared" ca="1" si="247"/>
        <v>3.7351645471450645E-3</v>
      </c>
      <c r="W225" s="159">
        <f t="shared" ca="1" si="247"/>
        <v>3.6144578829164775E-3</v>
      </c>
      <c r="X225" s="159">
        <f t="shared" ca="1" si="247"/>
        <v>3.7351645471450645E-3</v>
      </c>
      <c r="Y225" s="159">
        <f t="shared" ca="1" si="247"/>
        <v>3.6144578829164775E-3</v>
      </c>
      <c r="Z225" s="159">
        <f t="shared" ca="1" si="247"/>
        <v>3.7351645471450645E-3</v>
      </c>
      <c r="AA225" s="159">
        <f t="shared" ca="1" si="247"/>
        <v>3.7454170148627508E-3</v>
      </c>
      <c r="AB225" s="159">
        <f t="shared" ca="1" si="247"/>
        <v>3.3823450487422413E-3</v>
      </c>
      <c r="AC225" s="159">
        <f t="shared" ca="1" si="247"/>
        <v>3.7454170148627508E-3</v>
      </c>
      <c r="AD225" s="159">
        <f t="shared" ca="1" si="247"/>
        <v>3.6243784310707738E-3</v>
      </c>
      <c r="AE225" s="159">
        <f t="shared" ca="1" si="247"/>
        <v>3.7454170148627508E-3</v>
      </c>
      <c r="AF225" s="159">
        <f t="shared" ca="1" si="247"/>
        <v>3.6243784310707738E-3</v>
      </c>
      <c r="AG225" s="159">
        <f t="shared" ca="1" si="247"/>
        <v>3.7454170148627508E-3</v>
      </c>
      <c r="AH225" s="159">
        <f t="shared" ca="1" si="247"/>
        <v>3.7454170148627508E-3</v>
      </c>
      <c r="AI225" s="159">
        <f t="shared" ca="1" si="247"/>
        <v>3.6243784310707738E-3</v>
      </c>
      <c r="AJ225" s="159">
        <f t="shared" ca="1" si="247"/>
        <v>3.7454170148627508E-3</v>
      </c>
      <c r="AK225" s="159">
        <f t="shared" ca="1" si="247"/>
        <v>3.6243784310707738E-3</v>
      </c>
      <c r="AL225" s="159">
        <f t="shared" ca="1" si="247"/>
        <v>3.7454170148627508E-3</v>
      </c>
      <c r="AM225" s="159">
        <f t="shared" ca="1" si="247"/>
        <v>3.7454170148627508E-3</v>
      </c>
      <c r="AN225" s="159">
        <f t="shared" ca="1" si="247"/>
        <v>3.3823450487422413E-3</v>
      </c>
      <c r="AO225" s="159">
        <f t="shared" ca="1" si="247"/>
        <v>3.7454170148627508E-3</v>
      </c>
      <c r="AP225" s="159">
        <f t="shared" ca="1" si="247"/>
        <v>3.6243784310707738E-3</v>
      </c>
      <c r="AQ225" s="159">
        <f t="shared" ca="1" si="247"/>
        <v>3.7454170148627508E-3</v>
      </c>
      <c r="AR225" s="159">
        <f t="shared" ca="1" si="247"/>
        <v>3.6243784310707738E-3</v>
      </c>
      <c r="AS225" s="159">
        <f t="shared" ca="1" si="247"/>
        <v>3.7454170148627508E-3</v>
      </c>
      <c r="AT225" s="159">
        <f t="shared" ca="1" si="247"/>
        <v>3.7454170148627508E-3</v>
      </c>
      <c r="AU225" s="159">
        <f t="shared" ca="1" si="247"/>
        <v>3.6243784310707738E-3</v>
      </c>
      <c r="AV225" s="159">
        <f t="shared" ca="1" si="247"/>
        <v>3.7454170148627508E-3</v>
      </c>
      <c r="AW225" s="159">
        <f t="shared" ca="1" si="247"/>
        <v>3.6243784310707738E-3</v>
      </c>
      <c r="AX225" s="159">
        <f t="shared" ca="1" si="247"/>
        <v>3.7454170148627508E-3</v>
      </c>
      <c r="AY225" s="159">
        <f t="shared" ca="1" si="247"/>
        <v>3.7454170148627508E-3</v>
      </c>
      <c r="AZ225" s="159">
        <f t="shared" ca="1" si="247"/>
        <v>3.3823450487422413E-3</v>
      </c>
      <c r="BA225" s="159">
        <f t="shared" ca="1" si="247"/>
        <v>3.7454170148627508E-3</v>
      </c>
      <c r="BB225" s="159">
        <f t="shared" ca="1" si="247"/>
        <v>3.6243784310707738E-3</v>
      </c>
      <c r="BC225" s="159">
        <f t="shared" ca="1" si="247"/>
        <v>3.7454170148627508E-3</v>
      </c>
      <c r="BD225" s="159">
        <f t="shared" ca="1" si="247"/>
        <v>3.6243784310707738E-3</v>
      </c>
      <c r="BE225" s="159">
        <f t="shared" ca="1" si="247"/>
        <v>3.7454170148627508E-3</v>
      </c>
      <c r="BF225" s="159">
        <f t="shared" ca="1" si="247"/>
        <v>3.7454170148627508E-3</v>
      </c>
      <c r="BG225" s="159">
        <f t="shared" ca="1" si="247"/>
        <v>3.6243784310707738E-3</v>
      </c>
      <c r="BH225" s="159">
        <f t="shared" ca="1" si="247"/>
        <v>3.7454170148627508E-3</v>
      </c>
      <c r="BI225" s="159">
        <f t="shared" ca="1" si="247"/>
        <v>3.6243784310707738E-3</v>
      </c>
      <c r="BJ225" s="159">
        <f t="shared" ca="1" si="247"/>
        <v>3.7454170148627508E-3</v>
      </c>
      <c r="BK225" s="159">
        <f t="shared" ca="1" si="247"/>
        <v>3.7351645471450645E-3</v>
      </c>
      <c r="BL225" s="159">
        <f t="shared" ca="1" si="247"/>
        <v>3.4937657345672779E-3</v>
      </c>
      <c r="BM225" s="159">
        <f t="shared" ca="1" si="247"/>
        <v>3.7351645471450645E-3</v>
      </c>
      <c r="BN225" s="159">
        <f t="shared" ca="1" si="247"/>
        <v>3.6144578829164775E-3</v>
      </c>
      <c r="BO225" s="159">
        <f t="shared" ca="1" si="247"/>
        <v>3.7351645471450645E-3</v>
      </c>
      <c r="BP225" s="159">
        <f t="shared" ca="1" si="247"/>
        <v>3.6144578829164775E-3</v>
      </c>
      <c r="BQ225" s="159">
        <f t="shared" ca="1" si="247"/>
        <v>3.7351645471450645E-3</v>
      </c>
      <c r="BR225" s="159">
        <f t="shared" ca="1" si="247"/>
        <v>3.7351645471450645E-3</v>
      </c>
      <c r="BS225" s="159">
        <f t="shared" ref="BS225:CK225" ca="1" si="248">(1+BS224)^(BS$26/BS$20)-1</f>
        <v>3.6144578829164775E-3</v>
      </c>
      <c r="BT225" s="159">
        <f t="shared" ca="1" si="248"/>
        <v>3.7351645471450645E-3</v>
      </c>
      <c r="BU225" s="159">
        <f t="shared" ca="1" si="248"/>
        <v>3.6144578829164775E-3</v>
      </c>
      <c r="BV225" s="159">
        <f t="shared" ca="1" si="248"/>
        <v>3.7351645471450645E-3</v>
      </c>
      <c r="BW225" s="159">
        <f t="shared" ca="1" si="248"/>
        <v>3.7454170148627508E-3</v>
      </c>
      <c r="BX225" s="159">
        <f t="shared" ca="1" si="248"/>
        <v>3.3823450487422413E-3</v>
      </c>
      <c r="BY225" s="159">
        <f t="shared" ca="1" si="248"/>
        <v>3.7454170148627508E-3</v>
      </c>
      <c r="BZ225" s="159">
        <f t="shared" ca="1" si="248"/>
        <v>3.6243784310707738E-3</v>
      </c>
      <c r="CA225" s="159">
        <f t="shared" ca="1" si="248"/>
        <v>3.7454170148627508E-3</v>
      </c>
      <c r="CB225" s="159">
        <f t="shared" ca="1" si="248"/>
        <v>3.6243784310707738E-3</v>
      </c>
      <c r="CC225" s="159">
        <f t="shared" ca="1" si="248"/>
        <v>3.7454170148627508E-3</v>
      </c>
      <c r="CD225" s="159">
        <f t="shared" ca="1" si="248"/>
        <v>3.7454170148627508E-3</v>
      </c>
      <c r="CE225" s="159">
        <f t="shared" ca="1" si="248"/>
        <v>3.6243784310707738E-3</v>
      </c>
      <c r="CF225" s="159">
        <f t="shared" ca="1" si="248"/>
        <v>3.7454170148627508E-3</v>
      </c>
      <c r="CG225" s="159">
        <f t="shared" ca="1" si="248"/>
        <v>3.6243784310707738E-3</v>
      </c>
      <c r="CH225" s="159">
        <f t="shared" ca="1" si="248"/>
        <v>3.7454170148627508E-3</v>
      </c>
      <c r="CI225" s="159">
        <f t="shared" ca="1" si="248"/>
        <v>3.7454170148627508E-3</v>
      </c>
      <c r="CJ225" s="159">
        <f t="shared" ca="1" si="248"/>
        <v>3.3823450487422413E-3</v>
      </c>
      <c r="CK225" s="159">
        <f t="shared" ca="1" si="248"/>
        <v>3.7454170148627508E-3</v>
      </c>
    </row>
    <row r="226" spans="2:89" ht="15.75" thickTop="1">
      <c r="B226" s="161" t="s">
        <v>41</v>
      </c>
      <c r="C226" s="162"/>
      <c r="D226" s="163"/>
      <c r="E226" s="164">
        <v>1</v>
      </c>
      <c r="F226" s="165">
        <f t="shared" ref="F226:AK226" ca="1" si="249">E226*(1+F225)</f>
        <v>1.0036243784310708</v>
      </c>
      <c r="G226" s="165">
        <f t="shared" ca="1" si="249"/>
        <v>1.0073833702545776</v>
      </c>
      <c r="H226" s="165">
        <f t="shared" ca="1" si="249"/>
        <v>1.0110345088135477</v>
      </c>
      <c r="I226" s="165">
        <f t="shared" ca="1" si="249"/>
        <v>1.0148212546654714</v>
      </c>
      <c r="J226" s="165">
        <f t="shared" ca="1" si="249"/>
        <v>1.0186221834597398</v>
      </c>
      <c r="K226" s="165">
        <f t="shared" ca="1" si="249"/>
        <v>1.0223140557308814</v>
      </c>
      <c r="L226" s="165">
        <f t="shared" ca="1" si="249"/>
        <v>1.0261430481897491</v>
      </c>
      <c r="M226" s="165">
        <f t="shared" ca="1" si="249"/>
        <v>1.0298621789208013</v>
      </c>
      <c r="N226" s="165">
        <f t="shared" ca="1" si="249"/>
        <v>1.0337194422486948</v>
      </c>
      <c r="O226" s="165">
        <f t="shared" ca="1" si="249"/>
        <v>1.0375805544610768</v>
      </c>
      <c r="P226" s="165">
        <f t="shared" ca="1" si="249"/>
        <v>1.0412056178491063</v>
      </c>
      <c r="Q226" s="165">
        <f t="shared" ca="1" si="249"/>
        <v>1.0450946921591846</v>
      </c>
      <c r="R226" s="165">
        <f t="shared" ca="1" si="249"/>
        <v>1.0488721429076535</v>
      </c>
      <c r="S226" s="165">
        <f t="shared" ca="1" si="249"/>
        <v>1.0527898529503303</v>
      </c>
      <c r="T226" s="165">
        <f t="shared" ca="1" si="249"/>
        <v>1.0565951175333812</v>
      </c>
      <c r="U226" s="165">
        <f t="shared" ca="1" si="249"/>
        <v>1.0605416741570786</v>
      </c>
      <c r="V226" s="165">
        <f t="shared" ca="1" si="249"/>
        <v>1.0645029718191599</v>
      </c>
      <c r="W226" s="165">
        <f t="shared" ca="1" si="249"/>
        <v>1.0683505729770397</v>
      </c>
      <c r="X226" s="165">
        <f t="shared" ca="1" si="249"/>
        <v>1.0723410381611458</v>
      </c>
      <c r="Y226" s="165">
        <f t="shared" ca="1" si="249"/>
        <v>1.0762169696797022</v>
      </c>
      <c r="Z226" s="165">
        <f t="shared" ca="1" si="249"/>
        <v>1.0802368171498857</v>
      </c>
      <c r="AA226" s="165">
        <f t="shared" ca="1" si="249"/>
        <v>1.0842827545049201</v>
      </c>
      <c r="AB226" s="165">
        <f t="shared" ca="1" si="249"/>
        <v>1.0879501729110563</v>
      </c>
      <c r="AC226" s="165">
        <f t="shared" ca="1" si="249"/>
        <v>1.0920250000000002</v>
      </c>
      <c r="AD226" s="165">
        <f t="shared" ca="1" si="249"/>
        <v>1.0959829118561903</v>
      </c>
      <c r="AE226" s="165">
        <f t="shared" ca="1" si="249"/>
        <v>1.1000878249022554</v>
      </c>
      <c r="AF226" s="165">
        <f t="shared" ca="1" si="249"/>
        <v>1.1040749594871146</v>
      </c>
      <c r="AG226" s="165">
        <f t="shared" ca="1" si="249"/>
        <v>1.1082101806260616</v>
      </c>
      <c r="AH226" s="165">
        <f t="shared" ca="1" si="249"/>
        <v>1.1123608898926225</v>
      </c>
      <c r="AI226" s="165">
        <f t="shared" ca="1" si="249"/>
        <v>1.116392506709516</v>
      </c>
      <c r="AJ226" s="165">
        <f t="shared" ca="1" si="249"/>
        <v>1.120573862199411</v>
      </c>
      <c r="AK226" s="165">
        <f t="shared" ca="1" si="249"/>
        <v>1.1246352459359883</v>
      </c>
      <c r="AL226" s="165">
        <f t="shared" ref="AL226:BM226" ca="1" si="250">AK226*(1+AL225)</f>
        <v>1.1288474739216312</v>
      </c>
      <c r="AM226" s="165">
        <f t="shared" ca="1" si="250"/>
        <v>1.1330754784576422</v>
      </c>
      <c r="AN226" s="165">
        <f t="shared" ca="1" si="250"/>
        <v>1.1369079306920546</v>
      </c>
      <c r="AO226" s="165">
        <f t="shared" ca="1" si="250"/>
        <v>1.1411661250000011</v>
      </c>
      <c r="AP226" s="165">
        <f t="shared" ca="1" si="250"/>
        <v>1.1453021428897197</v>
      </c>
      <c r="AQ226" s="165">
        <f t="shared" ca="1" si="250"/>
        <v>1.1495917770228576</v>
      </c>
      <c r="AR226" s="165">
        <f t="shared" ca="1" si="250"/>
        <v>1.1537583326640357</v>
      </c>
      <c r="AS226" s="165">
        <f t="shared" ca="1" si="250"/>
        <v>1.1580796387542354</v>
      </c>
      <c r="AT226" s="165">
        <f t="shared" ca="1" si="250"/>
        <v>1.1624171299377917</v>
      </c>
      <c r="AU226" s="165">
        <f t="shared" ca="1" si="250"/>
        <v>1.1666301695114454</v>
      </c>
      <c r="AV226" s="165">
        <f t="shared" ca="1" si="250"/>
        <v>1.1709996859983858</v>
      </c>
      <c r="AW226" s="165">
        <f t="shared" ca="1" si="250"/>
        <v>1.1752438320031089</v>
      </c>
      <c r="AX226" s="165">
        <f t="shared" ca="1" si="250"/>
        <v>1.1796456102481059</v>
      </c>
      <c r="AY226" s="165">
        <f t="shared" ca="1" si="250"/>
        <v>1.1840638749882373</v>
      </c>
      <c r="AZ226" s="165">
        <f t="shared" ca="1" si="250"/>
        <v>1.1880687875731983</v>
      </c>
      <c r="BA226" s="165">
        <f t="shared" ca="1" si="250"/>
        <v>1.1925186006250024</v>
      </c>
      <c r="BB226" s="165">
        <f t="shared" ca="1" si="250"/>
        <v>1.1968407393197584</v>
      </c>
      <c r="BC226" s="165">
        <f t="shared" ca="1" si="250"/>
        <v>1.2013234069888876</v>
      </c>
      <c r="BD226" s="165">
        <f t="shared" ca="1" si="250"/>
        <v>1.2056774576339186</v>
      </c>
      <c r="BE226" s="165">
        <f t="shared" ca="1" si="250"/>
        <v>1.2101932224981773</v>
      </c>
      <c r="BF226" s="165">
        <f t="shared" ca="1" si="250"/>
        <v>1.2147259007849935</v>
      </c>
      <c r="BG226" s="165">
        <f t="shared" ca="1" si="250"/>
        <v>1.2191285271394616</v>
      </c>
      <c r="BH226" s="165">
        <f t="shared" ca="1" si="250"/>
        <v>1.2236946718683144</v>
      </c>
      <c r="BI226" s="165">
        <f t="shared" ca="1" si="250"/>
        <v>1.22812980444325</v>
      </c>
      <c r="BJ226" s="165">
        <f t="shared" ca="1" si="250"/>
        <v>1.2327296627092719</v>
      </c>
      <c r="BK226" s="165">
        <f t="shared" ca="1" si="250"/>
        <v>1.2373341108416376</v>
      </c>
      <c r="BL226" s="165">
        <f t="shared" ca="1" si="250"/>
        <v>1.2416570663603073</v>
      </c>
      <c r="BM226" s="165">
        <f t="shared" ca="1" si="250"/>
        <v>1.2462948598142884</v>
      </c>
      <c r="BN226" s="165">
        <f t="shared" ref="BN226" ca="1" si="251">BM226*(1+BN225)</f>
        <v>1.2507995400947824</v>
      </c>
      <c r="BO226" s="165">
        <f t="shared" ref="BO226" ca="1" si="252">BN226*(1+BO225)</f>
        <v>1.2554714821925299</v>
      </c>
      <c r="BP226" s="165">
        <f t="shared" ref="BP226" ca="1" si="253">BO226*(1+BP225)</f>
        <v>1.2600093309881175</v>
      </c>
      <c r="BQ226" s="165">
        <f t="shared" ref="BQ226" ca="1" si="254">BP226*(1+BQ225)</f>
        <v>1.2647156731702962</v>
      </c>
      <c r="BR226" s="165">
        <f t="shared" ref="BR226" ca="1" si="255">BQ226*(1+BR225)</f>
        <v>1.2694395943149406</v>
      </c>
      <c r="BS226" s="165">
        <f t="shared" ref="BS226" ca="1" si="256">BR226*(1+BS225)</f>
        <v>1.2740279302634985</v>
      </c>
      <c r="BT226" s="165">
        <f t="shared" ref="BT226" ca="1" si="257">BS226*(1+BT225)</f>
        <v>1.2787866342206913</v>
      </c>
      <c r="BU226" s="165">
        <f t="shared" ref="BU226" ca="1" si="258">BT226*(1+BU225)</f>
        <v>1.2834087546513184</v>
      </c>
      <c r="BV226" s="165">
        <f t="shared" ref="BV226" ca="1" si="259">BU226*(1+BV225)</f>
        <v>1.2882024975311877</v>
      </c>
      <c r="BW226" s="165">
        <f t="shared" ref="BW226" ca="1" si="260">BV226*(1+BW225)</f>
        <v>1.2930273530840297</v>
      </c>
      <c r="BX226" s="165">
        <f t="shared" ref="BX226" ca="1" si="261">BW226*(1+BX225)</f>
        <v>1.2974008177496217</v>
      </c>
      <c r="BY226" s="165">
        <f t="shared" ref="BY226" ca="1" si="262">BX226*(1+BY225)</f>
        <v>1.3022601248475179</v>
      </c>
      <c r="BZ226" s="165">
        <f t="shared" ref="BZ226" ca="1" si="263">BY226*(1+BZ225)</f>
        <v>1.3069800083556586</v>
      </c>
      <c r="CA226" s="165">
        <f t="shared" ref="CA226" ca="1" si="264">BZ226*(1+CA225)</f>
        <v>1.3118751935170394</v>
      </c>
      <c r="CB226" s="165">
        <f t="shared" ref="CB226" ca="1" si="265">CA226*(1+CB225)</f>
        <v>1.3166299256726794</v>
      </c>
      <c r="CC226" s="165">
        <f t="shared" ref="CC226" ca="1" si="266">CB226*(1+CC225)</f>
        <v>1.3215612537985715</v>
      </c>
      <c r="CD226" s="165">
        <f t="shared" ref="CD226" ca="1" si="267">CC226*(1+CD225)</f>
        <v>1.3265110518047321</v>
      </c>
      <c r="CE226" s="165">
        <f t="shared" ref="CE226" ca="1" si="268">CD226*(1+CE225)</f>
        <v>1.33131882984947</v>
      </c>
      <c r="CF226" s="165">
        <f t="shared" ref="CF226" ca="1" si="269">CE226*(1+CF225)</f>
        <v>1.3363051740469953</v>
      </c>
      <c r="CG226" s="165">
        <f t="shared" ref="CG226" ca="1" si="270">CF226*(1+CG225)</f>
        <v>1.3411484496971395</v>
      </c>
      <c r="CH226" s="165">
        <f t="shared" ref="CH226" ca="1" si="271">CG226*(1+CH225)</f>
        <v>1.346171609920092</v>
      </c>
      <c r="CI226" s="165">
        <f t="shared" ref="CI226" ca="1" si="272">CH226*(1+CI225)</f>
        <v>1.3512135839728119</v>
      </c>
      <c r="CJ226" s="165">
        <f t="shared" ref="CJ226" ca="1" si="273">CI226*(1+CJ225)</f>
        <v>1.3557838545483556</v>
      </c>
      <c r="CK226" s="165">
        <f t="shared" ref="CK226" ca="1" si="274">CJ226*(1+CK225)</f>
        <v>1.3608618304656572</v>
      </c>
    </row>
    <row r="227" spans="2:89">
      <c r="B227" s="14"/>
      <c r="C227" s="14"/>
      <c r="D227" s="14"/>
      <c r="E227" s="1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  <c r="BH227" s="154"/>
      <c r="BI227" s="154"/>
      <c r="BJ227" s="154"/>
      <c r="BK227" s="154"/>
      <c r="BL227" s="154"/>
      <c r="BM227" s="15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</row>
    <row r="228" spans="2:89" ht="15.75" thickBot="1">
      <c r="B228" s="96" t="str">
        <f>"Ставка затрат с учетом инфляции, в "&amp;Ед_измерения_денег&amp;" в т.ч. НДС"</f>
        <v>Ставка затрат с учетом инфляции, в  руб. в т.ч. НДС</v>
      </c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</row>
    <row r="229" spans="2:89">
      <c r="B229" s="14"/>
      <c r="C229" s="14"/>
      <c r="D229" s="14"/>
      <c r="E229" s="1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  <c r="BH229" s="154"/>
      <c r="BI229" s="154"/>
      <c r="BJ229" s="154"/>
      <c r="BK229" s="154"/>
      <c r="BL229" s="154"/>
      <c r="BM229" s="15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</row>
    <row r="230" spans="2:89">
      <c r="B230" s="45" t="str">
        <f t="array" ref="B230:B232">ПНЗ_наименования</f>
        <v>Пусто</v>
      </c>
      <c r="C230" s="118"/>
      <c r="D230" s="118"/>
      <c r="E230" s="46"/>
      <c r="F230" s="49">
        <f t="array" ref="F230:CK232" ca="1">F218:CK220*F226:CK226</f>
        <v>0</v>
      </c>
      <c r="G230" s="49">
        <f ca="1"/>
        <v>0</v>
      </c>
      <c r="H230" s="49">
        <f ca="1"/>
        <v>0</v>
      </c>
      <c r="I230" s="49">
        <f ca="1"/>
        <v>0</v>
      </c>
      <c r="J230" s="49">
        <f ca="1"/>
        <v>0</v>
      </c>
      <c r="K230" s="49">
        <f ca="1"/>
        <v>0</v>
      </c>
      <c r="L230" s="49">
        <f ca="1"/>
        <v>0</v>
      </c>
      <c r="M230" s="49">
        <f ca="1"/>
        <v>0</v>
      </c>
      <c r="N230" s="49">
        <f ca="1"/>
        <v>0</v>
      </c>
      <c r="O230" s="49">
        <f ca="1"/>
        <v>0</v>
      </c>
      <c r="P230" s="49">
        <f ca="1"/>
        <v>0</v>
      </c>
      <c r="Q230" s="49">
        <f ca="1"/>
        <v>0</v>
      </c>
      <c r="R230" s="49">
        <f ca="1"/>
        <v>0</v>
      </c>
      <c r="S230" s="49">
        <f ca="1"/>
        <v>0</v>
      </c>
      <c r="T230" s="49">
        <f ca="1"/>
        <v>0</v>
      </c>
      <c r="U230" s="49">
        <f ca="1"/>
        <v>0</v>
      </c>
      <c r="V230" s="49">
        <f ca="1"/>
        <v>0</v>
      </c>
      <c r="W230" s="49">
        <f ca="1"/>
        <v>0</v>
      </c>
      <c r="X230" s="49">
        <f ca="1"/>
        <v>0</v>
      </c>
      <c r="Y230" s="49">
        <f ca="1"/>
        <v>0</v>
      </c>
      <c r="Z230" s="49">
        <f ca="1"/>
        <v>0</v>
      </c>
      <c r="AA230" s="49">
        <f ca="1"/>
        <v>0</v>
      </c>
      <c r="AB230" s="49">
        <f ca="1"/>
        <v>0</v>
      </c>
      <c r="AC230" s="49">
        <f ca="1"/>
        <v>0</v>
      </c>
      <c r="AD230" s="49">
        <f ca="1"/>
        <v>0</v>
      </c>
      <c r="AE230" s="49">
        <f ca="1"/>
        <v>0</v>
      </c>
      <c r="AF230" s="49">
        <f ca="1"/>
        <v>0</v>
      </c>
      <c r="AG230" s="49">
        <f ca="1"/>
        <v>0</v>
      </c>
      <c r="AH230" s="49">
        <f ca="1"/>
        <v>0</v>
      </c>
      <c r="AI230" s="49">
        <f ca="1"/>
        <v>0</v>
      </c>
      <c r="AJ230" s="49">
        <f ca="1"/>
        <v>0</v>
      </c>
      <c r="AK230" s="49">
        <f ca="1"/>
        <v>0</v>
      </c>
      <c r="AL230" s="49">
        <f ca="1"/>
        <v>0</v>
      </c>
      <c r="AM230" s="49">
        <f ca="1"/>
        <v>0</v>
      </c>
      <c r="AN230" s="49">
        <f ca="1"/>
        <v>0</v>
      </c>
      <c r="AO230" s="49">
        <f ca="1"/>
        <v>0</v>
      </c>
      <c r="AP230" s="49">
        <f ca="1"/>
        <v>0</v>
      </c>
      <c r="AQ230" s="49">
        <f ca="1"/>
        <v>0</v>
      </c>
      <c r="AR230" s="49">
        <f ca="1"/>
        <v>0</v>
      </c>
      <c r="AS230" s="49">
        <f ca="1"/>
        <v>0</v>
      </c>
      <c r="AT230" s="49">
        <f ca="1"/>
        <v>0</v>
      </c>
      <c r="AU230" s="49">
        <f ca="1"/>
        <v>0</v>
      </c>
      <c r="AV230" s="49">
        <f ca="1"/>
        <v>0</v>
      </c>
      <c r="AW230" s="49">
        <f ca="1"/>
        <v>0</v>
      </c>
      <c r="AX230" s="49">
        <f ca="1"/>
        <v>0</v>
      </c>
      <c r="AY230" s="49">
        <f ca="1"/>
        <v>0</v>
      </c>
      <c r="AZ230" s="49">
        <f ca="1"/>
        <v>0</v>
      </c>
      <c r="BA230" s="49">
        <f ca="1"/>
        <v>0</v>
      </c>
      <c r="BB230" s="49">
        <f ca="1"/>
        <v>0</v>
      </c>
      <c r="BC230" s="49">
        <f ca="1"/>
        <v>0</v>
      </c>
      <c r="BD230" s="49">
        <f ca="1"/>
        <v>0</v>
      </c>
      <c r="BE230" s="49">
        <f ca="1"/>
        <v>0</v>
      </c>
      <c r="BF230" s="49">
        <f ca="1"/>
        <v>0</v>
      </c>
      <c r="BG230" s="49">
        <f ca="1"/>
        <v>0</v>
      </c>
      <c r="BH230" s="49">
        <f ca="1"/>
        <v>0</v>
      </c>
      <c r="BI230" s="49">
        <f ca="1"/>
        <v>0</v>
      </c>
      <c r="BJ230" s="49">
        <f ca="1"/>
        <v>0</v>
      </c>
      <c r="BK230" s="49">
        <f ca="1"/>
        <v>0</v>
      </c>
      <c r="BL230" s="49">
        <f ca="1"/>
        <v>0</v>
      </c>
      <c r="BM230" s="49">
        <f ca="1"/>
        <v>0</v>
      </c>
      <c r="BN230" s="49">
        <f ca="1"/>
        <v>0</v>
      </c>
      <c r="BO230" s="49">
        <f ca="1"/>
        <v>0</v>
      </c>
      <c r="BP230" s="49">
        <f ca="1"/>
        <v>0</v>
      </c>
      <c r="BQ230" s="49">
        <f ca="1"/>
        <v>0</v>
      </c>
      <c r="BR230" s="49">
        <f ca="1"/>
        <v>0</v>
      </c>
      <c r="BS230" s="49">
        <f ca="1"/>
        <v>0</v>
      </c>
      <c r="BT230" s="49">
        <f ca="1"/>
        <v>0</v>
      </c>
      <c r="BU230" s="49">
        <f ca="1"/>
        <v>0</v>
      </c>
      <c r="BV230" s="49">
        <f ca="1"/>
        <v>0</v>
      </c>
      <c r="BW230" s="49">
        <f ca="1"/>
        <v>0</v>
      </c>
      <c r="BX230" s="49">
        <f ca="1"/>
        <v>0</v>
      </c>
      <c r="BY230" s="49">
        <f ca="1"/>
        <v>0</v>
      </c>
      <c r="BZ230" s="49">
        <f ca="1"/>
        <v>0</v>
      </c>
      <c r="CA230" s="49">
        <f ca="1"/>
        <v>0</v>
      </c>
      <c r="CB230" s="49">
        <f ca="1"/>
        <v>0</v>
      </c>
      <c r="CC230" s="49">
        <f ca="1"/>
        <v>0</v>
      </c>
      <c r="CD230" s="49">
        <f ca="1"/>
        <v>0</v>
      </c>
      <c r="CE230" s="49">
        <f ca="1"/>
        <v>0</v>
      </c>
      <c r="CF230" s="49">
        <f ca="1"/>
        <v>0</v>
      </c>
      <c r="CG230" s="49">
        <f ca="1"/>
        <v>0</v>
      </c>
      <c r="CH230" s="49">
        <f ca="1"/>
        <v>0</v>
      </c>
      <c r="CI230" s="49">
        <f ca="1"/>
        <v>0</v>
      </c>
      <c r="CJ230" s="49">
        <f ca="1"/>
        <v>0</v>
      </c>
      <c r="CK230" s="49">
        <f ca="1"/>
        <v>0</v>
      </c>
    </row>
    <row r="231" spans="2:89">
      <c r="B231" s="86" t="str">
        <v>Пусто</v>
      </c>
      <c r="C231" s="118"/>
      <c r="D231" s="118"/>
      <c r="E231" s="46"/>
      <c r="F231" s="176">
        <f ca="1"/>
        <v>0</v>
      </c>
      <c r="G231" s="176">
        <f ca="1"/>
        <v>0</v>
      </c>
      <c r="H231" s="176">
        <f ca="1"/>
        <v>0</v>
      </c>
      <c r="I231" s="176">
        <f ca="1"/>
        <v>0</v>
      </c>
      <c r="J231" s="176">
        <f ca="1"/>
        <v>0</v>
      </c>
      <c r="K231" s="176">
        <f ca="1"/>
        <v>0</v>
      </c>
      <c r="L231" s="176">
        <f ca="1"/>
        <v>0</v>
      </c>
      <c r="M231" s="176">
        <f ca="1"/>
        <v>0</v>
      </c>
      <c r="N231" s="176">
        <f ca="1"/>
        <v>0</v>
      </c>
      <c r="O231" s="176">
        <f ca="1"/>
        <v>0</v>
      </c>
      <c r="P231" s="176">
        <f ca="1"/>
        <v>0</v>
      </c>
      <c r="Q231" s="176">
        <f ca="1"/>
        <v>0</v>
      </c>
      <c r="R231" s="176">
        <f ca="1"/>
        <v>0</v>
      </c>
      <c r="S231" s="176">
        <f ca="1"/>
        <v>0</v>
      </c>
      <c r="T231" s="176">
        <f ca="1"/>
        <v>0</v>
      </c>
      <c r="U231" s="176">
        <f ca="1"/>
        <v>0</v>
      </c>
      <c r="V231" s="176">
        <f ca="1"/>
        <v>0</v>
      </c>
      <c r="W231" s="176">
        <f ca="1"/>
        <v>0</v>
      </c>
      <c r="X231" s="176">
        <f ca="1"/>
        <v>0</v>
      </c>
      <c r="Y231" s="176">
        <f ca="1"/>
        <v>0</v>
      </c>
      <c r="Z231" s="176">
        <f ca="1"/>
        <v>0</v>
      </c>
      <c r="AA231" s="176">
        <f ca="1"/>
        <v>0</v>
      </c>
      <c r="AB231" s="176">
        <f ca="1"/>
        <v>0</v>
      </c>
      <c r="AC231" s="176">
        <f ca="1"/>
        <v>0</v>
      </c>
      <c r="AD231" s="176">
        <f ca="1"/>
        <v>0</v>
      </c>
      <c r="AE231" s="176">
        <f ca="1"/>
        <v>0</v>
      </c>
      <c r="AF231" s="176">
        <f ca="1"/>
        <v>0</v>
      </c>
      <c r="AG231" s="176">
        <f ca="1"/>
        <v>0</v>
      </c>
      <c r="AH231" s="176">
        <f ca="1"/>
        <v>0</v>
      </c>
      <c r="AI231" s="176">
        <f ca="1"/>
        <v>0</v>
      </c>
      <c r="AJ231" s="176">
        <f ca="1"/>
        <v>0</v>
      </c>
      <c r="AK231" s="176">
        <f ca="1"/>
        <v>0</v>
      </c>
      <c r="AL231" s="176">
        <f ca="1"/>
        <v>0</v>
      </c>
      <c r="AM231" s="176">
        <f ca="1"/>
        <v>0</v>
      </c>
      <c r="AN231" s="176">
        <f ca="1"/>
        <v>0</v>
      </c>
      <c r="AO231" s="176">
        <f ca="1"/>
        <v>0</v>
      </c>
      <c r="AP231" s="176">
        <f ca="1"/>
        <v>0</v>
      </c>
      <c r="AQ231" s="176">
        <f ca="1"/>
        <v>0</v>
      </c>
      <c r="AR231" s="176">
        <f ca="1"/>
        <v>0</v>
      </c>
      <c r="AS231" s="176">
        <f ca="1"/>
        <v>0</v>
      </c>
      <c r="AT231" s="176">
        <f ca="1"/>
        <v>0</v>
      </c>
      <c r="AU231" s="176">
        <f ca="1"/>
        <v>0</v>
      </c>
      <c r="AV231" s="176">
        <f ca="1"/>
        <v>0</v>
      </c>
      <c r="AW231" s="176">
        <f ca="1"/>
        <v>0</v>
      </c>
      <c r="AX231" s="176">
        <f ca="1"/>
        <v>0</v>
      </c>
      <c r="AY231" s="176">
        <f ca="1"/>
        <v>0</v>
      </c>
      <c r="AZ231" s="176">
        <f ca="1"/>
        <v>0</v>
      </c>
      <c r="BA231" s="176">
        <f ca="1"/>
        <v>0</v>
      </c>
      <c r="BB231" s="176">
        <f ca="1"/>
        <v>0</v>
      </c>
      <c r="BC231" s="176">
        <f ca="1"/>
        <v>0</v>
      </c>
      <c r="BD231" s="176">
        <f ca="1"/>
        <v>0</v>
      </c>
      <c r="BE231" s="176">
        <f ca="1"/>
        <v>0</v>
      </c>
      <c r="BF231" s="176">
        <f ca="1"/>
        <v>0</v>
      </c>
      <c r="BG231" s="176">
        <f ca="1"/>
        <v>0</v>
      </c>
      <c r="BH231" s="176">
        <f ca="1"/>
        <v>0</v>
      </c>
      <c r="BI231" s="176">
        <f ca="1"/>
        <v>0</v>
      </c>
      <c r="BJ231" s="176">
        <f ca="1"/>
        <v>0</v>
      </c>
      <c r="BK231" s="176">
        <f ca="1"/>
        <v>0</v>
      </c>
      <c r="BL231" s="176">
        <f ca="1"/>
        <v>0</v>
      </c>
      <c r="BM231" s="176">
        <f ca="1"/>
        <v>0</v>
      </c>
      <c r="BN231" s="176">
        <f ca="1"/>
        <v>0</v>
      </c>
      <c r="BO231" s="176">
        <f ca="1"/>
        <v>0</v>
      </c>
      <c r="BP231" s="176">
        <f ca="1"/>
        <v>0</v>
      </c>
      <c r="BQ231" s="176">
        <f ca="1"/>
        <v>0</v>
      </c>
      <c r="BR231" s="176">
        <f ca="1"/>
        <v>0</v>
      </c>
      <c r="BS231" s="176">
        <f ca="1"/>
        <v>0</v>
      </c>
      <c r="BT231" s="176">
        <f ca="1"/>
        <v>0</v>
      </c>
      <c r="BU231" s="176">
        <f ca="1"/>
        <v>0</v>
      </c>
      <c r="BV231" s="176">
        <f ca="1"/>
        <v>0</v>
      </c>
      <c r="BW231" s="176">
        <f ca="1"/>
        <v>0</v>
      </c>
      <c r="BX231" s="176">
        <f ca="1"/>
        <v>0</v>
      </c>
      <c r="BY231" s="176">
        <f ca="1"/>
        <v>0</v>
      </c>
      <c r="BZ231" s="176">
        <f ca="1"/>
        <v>0</v>
      </c>
      <c r="CA231" s="176">
        <f ca="1"/>
        <v>0</v>
      </c>
      <c r="CB231" s="176">
        <f ca="1"/>
        <v>0</v>
      </c>
      <c r="CC231" s="176">
        <f ca="1"/>
        <v>0</v>
      </c>
      <c r="CD231" s="176">
        <f ca="1"/>
        <v>0</v>
      </c>
      <c r="CE231" s="176">
        <f ca="1"/>
        <v>0</v>
      </c>
      <c r="CF231" s="176">
        <f ca="1"/>
        <v>0</v>
      </c>
      <c r="CG231" s="176">
        <f ca="1"/>
        <v>0</v>
      </c>
      <c r="CH231" s="176">
        <f ca="1"/>
        <v>0</v>
      </c>
      <c r="CI231" s="176">
        <f ca="1"/>
        <v>0</v>
      </c>
      <c r="CJ231" s="176">
        <f ca="1"/>
        <v>0</v>
      </c>
      <c r="CK231" s="176">
        <f ca="1"/>
        <v>0</v>
      </c>
    </row>
    <row r="232" spans="2:89">
      <c r="B232" s="128" t="str">
        <v>Пусто</v>
      </c>
      <c r="C232" s="124"/>
      <c r="D232" s="124"/>
      <c r="E232" s="78"/>
      <c r="F232" s="185">
        <f ca="1"/>
        <v>0</v>
      </c>
      <c r="G232" s="185">
        <f ca="1"/>
        <v>0</v>
      </c>
      <c r="H232" s="185">
        <f ca="1"/>
        <v>0</v>
      </c>
      <c r="I232" s="185">
        <f ca="1"/>
        <v>0</v>
      </c>
      <c r="J232" s="185">
        <f ca="1"/>
        <v>0</v>
      </c>
      <c r="K232" s="185">
        <f ca="1"/>
        <v>0</v>
      </c>
      <c r="L232" s="185">
        <f ca="1"/>
        <v>0</v>
      </c>
      <c r="M232" s="185">
        <f ca="1"/>
        <v>0</v>
      </c>
      <c r="N232" s="185">
        <f ca="1"/>
        <v>0</v>
      </c>
      <c r="O232" s="185">
        <f ca="1"/>
        <v>0</v>
      </c>
      <c r="P232" s="185">
        <f ca="1"/>
        <v>0</v>
      </c>
      <c r="Q232" s="185">
        <f ca="1"/>
        <v>0</v>
      </c>
      <c r="R232" s="185">
        <f ca="1"/>
        <v>0</v>
      </c>
      <c r="S232" s="185">
        <f ca="1"/>
        <v>0</v>
      </c>
      <c r="T232" s="185">
        <f ca="1"/>
        <v>0</v>
      </c>
      <c r="U232" s="185">
        <f ca="1"/>
        <v>0</v>
      </c>
      <c r="V232" s="185">
        <f ca="1"/>
        <v>0</v>
      </c>
      <c r="W232" s="185">
        <f ca="1"/>
        <v>0</v>
      </c>
      <c r="X232" s="185">
        <f ca="1"/>
        <v>0</v>
      </c>
      <c r="Y232" s="185">
        <f ca="1"/>
        <v>0</v>
      </c>
      <c r="Z232" s="185">
        <f ca="1"/>
        <v>0</v>
      </c>
      <c r="AA232" s="185">
        <f ca="1"/>
        <v>0</v>
      </c>
      <c r="AB232" s="185">
        <f ca="1"/>
        <v>0</v>
      </c>
      <c r="AC232" s="185">
        <f ca="1"/>
        <v>0</v>
      </c>
      <c r="AD232" s="185">
        <f ca="1"/>
        <v>0</v>
      </c>
      <c r="AE232" s="185">
        <f ca="1"/>
        <v>0</v>
      </c>
      <c r="AF232" s="185">
        <f ca="1"/>
        <v>0</v>
      </c>
      <c r="AG232" s="185">
        <f ca="1"/>
        <v>0</v>
      </c>
      <c r="AH232" s="185">
        <f ca="1"/>
        <v>0</v>
      </c>
      <c r="AI232" s="185">
        <f ca="1"/>
        <v>0</v>
      </c>
      <c r="AJ232" s="185">
        <f ca="1"/>
        <v>0</v>
      </c>
      <c r="AK232" s="185">
        <f ca="1"/>
        <v>0</v>
      </c>
      <c r="AL232" s="185">
        <f ca="1"/>
        <v>0</v>
      </c>
      <c r="AM232" s="185">
        <f ca="1"/>
        <v>0</v>
      </c>
      <c r="AN232" s="185">
        <f ca="1"/>
        <v>0</v>
      </c>
      <c r="AO232" s="185">
        <f ca="1"/>
        <v>0</v>
      </c>
      <c r="AP232" s="185">
        <f ca="1"/>
        <v>0</v>
      </c>
      <c r="AQ232" s="185">
        <f ca="1"/>
        <v>0</v>
      </c>
      <c r="AR232" s="185">
        <f ca="1"/>
        <v>0</v>
      </c>
      <c r="AS232" s="185">
        <f ca="1"/>
        <v>0</v>
      </c>
      <c r="AT232" s="185">
        <f ca="1"/>
        <v>0</v>
      </c>
      <c r="AU232" s="185">
        <f ca="1"/>
        <v>0</v>
      </c>
      <c r="AV232" s="185">
        <f ca="1"/>
        <v>0</v>
      </c>
      <c r="AW232" s="185">
        <f ca="1"/>
        <v>0</v>
      </c>
      <c r="AX232" s="185">
        <f ca="1"/>
        <v>0</v>
      </c>
      <c r="AY232" s="185">
        <f ca="1"/>
        <v>0</v>
      </c>
      <c r="AZ232" s="185">
        <f ca="1"/>
        <v>0</v>
      </c>
      <c r="BA232" s="185">
        <f ca="1"/>
        <v>0</v>
      </c>
      <c r="BB232" s="185">
        <f ca="1"/>
        <v>0</v>
      </c>
      <c r="BC232" s="185">
        <f ca="1"/>
        <v>0</v>
      </c>
      <c r="BD232" s="185">
        <f ca="1"/>
        <v>0</v>
      </c>
      <c r="BE232" s="185">
        <f ca="1"/>
        <v>0</v>
      </c>
      <c r="BF232" s="185">
        <f ca="1"/>
        <v>0</v>
      </c>
      <c r="BG232" s="185">
        <f ca="1"/>
        <v>0</v>
      </c>
      <c r="BH232" s="185">
        <f ca="1"/>
        <v>0</v>
      </c>
      <c r="BI232" s="185">
        <f ca="1"/>
        <v>0</v>
      </c>
      <c r="BJ232" s="185">
        <f ca="1"/>
        <v>0</v>
      </c>
      <c r="BK232" s="185">
        <f ca="1"/>
        <v>0</v>
      </c>
      <c r="BL232" s="185">
        <f ca="1"/>
        <v>0</v>
      </c>
      <c r="BM232" s="185">
        <f ca="1"/>
        <v>0</v>
      </c>
      <c r="BN232" s="185">
        <f ca="1"/>
        <v>0</v>
      </c>
      <c r="BO232" s="185">
        <f ca="1"/>
        <v>0</v>
      </c>
      <c r="BP232" s="185">
        <f ca="1"/>
        <v>0</v>
      </c>
      <c r="BQ232" s="185">
        <f ca="1"/>
        <v>0</v>
      </c>
      <c r="BR232" s="185">
        <f ca="1"/>
        <v>0</v>
      </c>
      <c r="BS232" s="185">
        <f ca="1"/>
        <v>0</v>
      </c>
      <c r="BT232" s="185">
        <f ca="1"/>
        <v>0</v>
      </c>
      <c r="BU232" s="185">
        <f ca="1"/>
        <v>0</v>
      </c>
      <c r="BV232" s="185">
        <f ca="1"/>
        <v>0</v>
      </c>
      <c r="BW232" s="185">
        <f ca="1"/>
        <v>0</v>
      </c>
      <c r="BX232" s="185">
        <f ca="1"/>
        <v>0</v>
      </c>
      <c r="BY232" s="185">
        <f ca="1"/>
        <v>0</v>
      </c>
      <c r="BZ232" s="185">
        <f ca="1"/>
        <v>0</v>
      </c>
      <c r="CA232" s="185">
        <f ca="1"/>
        <v>0</v>
      </c>
      <c r="CB232" s="185">
        <f ca="1"/>
        <v>0</v>
      </c>
      <c r="CC232" s="185">
        <f ca="1"/>
        <v>0</v>
      </c>
      <c r="CD232" s="185">
        <f ca="1"/>
        <v>0</v>
      </c>
      <c r="CE232" s="185">
        <f ca="1"/>
        <v>0</v>
      </c>
      <c r="CF232" s="185">
        <f ca="1"/>
        <v>0</v>
      </c>
      <c r="CG232" s="185">
        <f ca="1"/>
        <v>0</v>
      </c>
      <c r="CH232" s="185">
        <f ca="1"/>
        <v>0</v>
      </c>
      <c r="CI232" s="185">
        <f ca="1"/>
        <v>0</v>
      </c>
      <c r="CJ232" s="185">
        <f ca="1"/>
        <v>0</v>
      </c>
      <c r="CK232" s="185">
        <f ca="1"/>
        <v>0</v>
      </c>
    </row>
    <row r="233" spans="2:89">
      <c r="B233" s="14"/>
      <c r="C233" s="14"/>
      <c r="D233" s="14"/>
      <c r="E233" s="1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  <c r="BH233" s="154"/>
      <c r="BI233" s="154"/>
      <c r="BJ233" s="154"/>
      <c r="BK233" s="154"/>
      <c r="BL233" s="154"/>
      <c r="BM233" s="15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</row>
    <row r="234" spans="2:89" ht="15.75" thickBot="1">
      <c r="B234" s="96" t="str">
        <f>"Всего с учетом инфляции, в "&amp;Ед_измерения_денег&amp;" в т.ч. НДС"</f>
        <v>Всего с учетом инфляции, в  руб. в т.ч. НДС</v>
      </c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</row>
    <row r="235" spans="2:89">
      <c r="B235" s="14"/>
      <c r="C235" s="14"/>
      <c r="D235" s="14"/>
      <c r="E235" s="1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  <c r="BH235" s="154"/>
      <c r="BI235" s="154"/>
      <c r="BJ235" s="154"/>
      <c r="BK235" s="154"/>
      <c r="BL235" s="154"/>
      <c r="BM235" s="15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</row>
    <row r="236" spans="2:89">
      <c r="B236" s="45" t="str">
        <f t="array" ref="B236:B238">ПНЗ_наименования</f>
        <v>Пусто</v>
      </c>
      <c r="C236" s="46"/>
      <c r="D236" s="47">
        <f ca="1">SUM(F236:CK236)</f>
        <v>0</v>
      </c>
      <c r="E236" s="48"/>
      <c r="F236" s="49">
        <f t="array" ref="F236:CK238" ca="1">F230:CK232*F147:CK147</f>
        <v>0</v>
      </c>
      <c r="G236" s="49">
        <f ca="1"/>
        <v>0</v>
      </c>
      <c r="H236" s="49">
        <f ca="1"/>
        <v>0</v>
      </c>
      <c r="I236" s="49">
        <f ca="1"/>
        <v>0</v>
      </c>
      <c r="J236" s="49">
        <f ca="1"/>
        <v>0</v>
      </c>
      <c r="K236" s="49">
        <f ca="1"/>
        <v>0</v>
      </c>
      <c r="L236" s="49">
        <f ca="1"/>
        <v>0</v>
      </c>
      <c r="M236" s="49">
        <f ca="1"/>
        <v>0</v>
      </c>
      <c r="N236" s="49">
        <f ca="1"/>
        <v>0</v>
      </c>
      <c r="O236" s="49">
        <f ca="1"/>
        <v>0</v>
      </c>
      <c r="P236" s="49">
        <f ca="1"/>
        <v>0</v>
      </c>
      <c r="Q236" s="49">
        <f ca="1"/>
        <v>0</v>
      </c>
      <c r="R236" s="49">
        <f ca="1"/>
        <v>0</v>
      </c>
      <c r="S236" s="49">
        <f ca="1"/>
        <v>0</v>
      </c>
      <c r="T236" s="49">
        <f ca="1"/>
        <v>0</v>
      </c>
      <c r="U236" s="49">
        <f ca="1"/>
        <v>0</v>
      </c>
      <c r="V236" s="49">
        <f ca="1"/>
        <v>0</v>
      </c>
      <c r="W236" s="49">
        <f ca="1"/>
        <v>0</v>
      </c>
      <c r="X236" s="49">
        <f ca="1"/>
        <v>0</v>
      </c>
      <c r="Y236" s="49">
        <f ca="1"/>
        <v>0</v>
      </c>
      <c r="Z236" s="49">
        <f ca="1"/>
        <v>0</v>
      </c>
      <c r="AA236" s="49">
        <f ca="1"/>
        <v>0</v>
      </c>
      <c r="AB236" s="49">
        <f ca="1"/>
        <v>0</v>
      </c>
      <c r="AC236" s="49">
        <f ca="1"/>
        <v>0</v>
      </c>
      <c r="AD236" s="49">
        <f ca="1"/>
        <v>0</v>
      </c>
      <c r="AE236" s="49">
        <f ca="1"/>
        <v>0</v>
      </c>
      <c r="AF236" s="49">
        <f ca="1"/>
        <v>0</v>
      </c>
      <c r="AG236" s="49">
        <f ca="1"/>
        <v>0</v>
      </c>
      <c r="AH236" s="49">
        <f ca="1"/>
        <v>0</v>
      </c>
      <c r="AI236" s="49">
        <f ca="1"/>
        <v>0</v>
      </c>
      <c r="AJ236" s="49">
        <f ca="1"/>
        <v>0</v>
      </c>
      <c r="AK236" s="49">
        <f ca="1"/>
        <v>0</v>
      </c>
      <c r="AL236" s="49">
        <f ca="1"/>
        <v>0</v>
      </c>
      <c r="AM236" s="49">
        <f ca="1"/>
        <v>0</v>
      </c>
      <c r="AN236" s="49">
        <f ca="1"/>
        <v>0</v>
      </c>
      <c r="AO236" s="49">
        <f ca="1"/>
        <v>0</v>
      </c>
      <c r="AP236" s="49">
        <f ca="1"/>
        <v>0</v>
      </c>
      <c r="AQ236" s="49">
        <f ca="1"/>
        <v>0</v>
      </c>
      <c r="AR236" s="49">
        <f ca="1"/>
        <v>0</v>
      </c>
      <c r="AS236" s="49">
        <f ca="1"/>
        <v>0</v>
      </c>
      <c r="AT236" s="49">
        <f ca="1"/>
        <v>0</v>
      </c>
      <c r="AU236" s="49">
        <f ca="1"/>
        <v>0</v>
      </c>
      <c r="AV236" s="49">
        <f ca="1"/>
        <v>0</v>
      </c>
      <c r="AW236" s="49">
        <f ca="1"/>
        <v>0</v>
      </c>
      <c r="AX236" s="49">
        <f ca="1"/>
        <v>0</v>
      </c>
      <c r="AY236" s="49">
        <f ca="1"/>
        <v>0</v>
      </c>
      <c r="AZ236" s="49">
        <f ca="1"/>
        <v>0</v>
      </c>
      <c r="BA236" s="49">
        <f ca="1"/>
        <v>0</v>
      </c>
      <c r="BB236" s="49">
        <f ca="1"/>
        <v>0</v>
      </c>
      <c r="BC236" s="49">
        <f ca="1"/>
        <v>0</v>
      </c>
      <c r="BD236" s="49">
        <f ca="1"/>
        <v>0</v>
      </c>
      <c r="BE236" s="49">
        <f ca="1"/>
        <v>0</v>
      </c>
      <c r="BF236" s="49">
        <f ca="1"/>
        <v>0</v>
      </c>
      <c r="BG236" s="49">
        <f ca="1"/>
        <v>0</v>
      </c>
      <c r="BH236" s="49">
        <f ca="1"/>
        <v>0</v>
      </c>
      <c r="BI236" s="49">
        <f ca="1"/>
        <v>0</v>
      </c>
      <c r="BJ236" s="49">
        <f ca="1"/>
        <v>0</v>
      </c>
      <c r="BK236" s="49">
        <f ca="1"/>
        <v>0</v>
      </c>
      <c r="BL236" s="49">
        <f ca="1"/>
        <v>0</v>
      </c>
      <c r="BM236" s="49">
        <f ca="1"/>
        <v>0</v>
      </c>
      <c r="BN236" s="49">
        <f ca="1"/>
        <v>0</v>
      </c>
      <c r="BO236" s="49">
        <f ca="1"/>
        <v>0</v>
      </c>
      <c r="BP236" s="49">
        <f ca="1"/>
        <v>0</v>
      </c>
      <c r="BQ236" s="49">
        <f ca="1"/>
        <v>0</v>
      </c>
      <c r="BR236" s="49">
        <f ca="1"/>
        <v>0</v>
      </c>
      <c r="BS236" s="49">
        <f ca="1"/>
        <v>0</v>
      </c>
      <c r="BT236" s="49">
        <f ca="1"/>
        <v>0</v>
      </c>
      <c r="BU236" s="49">
        <f ca="1"/>
        <v>0</v>
      </c>
      <c r="BV236" s="49">
        <f ca="1"/>
        <v>0</v>
      </c>
      <c r="BW236" s="49">
        <f ca="1"/>
        <v>0</v>
      </c>
      <c r="BX236" s="49">
        <f ca="1"/>
        <v>0</v>
      </c>
      <c r="BY236" s="49">
        <f ca="1"/>
        <v>0</v>
      </c>
      <c r="BZ236" s="49">
        <f ca="1"/>
        <v>0</v>
      </c>
      <c r="CA236" s="49">
        <f ca="1"/>
        <v>0</v>
      </c>
      <c r="CB236" s="49">
        <f ca="1"/>
        <v>0</v>
      </c>
      <c r="CC236" s="49">
        <f ca="1"/>
        <v>0</v>
      </c>
      <c r="CD236" s="49">
        <f ca="1"/>
        <v>0</v>
      </c>
      <c r="CE236" s="49">
        <f ca="1"/>
        <v>0</v>
      </c>
      <c r="CF236" s="49">
        <f ca="1"/>
        <v>0</v>
      </c>
      <c r="CG236" s="49">
        <f ca="1"/>
        <v>0</v>
      </c>
      <c r="CH236" s="49">
        <f ca="1"/>
        <v>0</v>
      </c>
      <c r="CI236" s="49">
        <f ca="1"/>
        <v>0</v>
      </c>
      <c r="CJ236" s="49">
        <f ca="1"/>
        <v>0</v>
      </c>
      <c r="CK236" s="49">
        <f ca="1"/>
        <v>0</v>
      </c>
    </row>
    <row r="237" spans="2:89">
      <c r="B237" s="86" t="str">
        <v>Пусто</v>
      </c>
      <c r="C237" s="46"/>
      <c r="D237" s="47">
        <f t="shared" ref="D237:D238" ca="1" si="275">SUM(F237:CK237)</f>
        <v>0</v>
      </c>
      <c r="E237" s="48"/>
      <c r="F237" s="176">
        <f ca="1"/>
        <v>0</v>
      </c>
      <c r="G237" s="176">
        <f ca="1"/>
        <v>0</v>
      </c>
      <c r="H237" s="176">
        <f ca="1"/>
        <v>0</v>
      </c>
      <c r="I237" s="176">
        <f ca="1"/>
        <v>0</v>
      </c>
      <c r="J237" s="176">
        <f ca="1"/>
        <v>0</v>
      </c>
      <c r="K237" s="176">
        <f ca="1"/>
        <v>0</v>
      </c>
      <c r="L237" s="176">
        <f ca="1"/>
        <v>0</v>
      </c>
      <c r="M237" s="176">
        <f ca="1"/>
        <v>0</v>
      </c>
      <c r="N237" s="176">
        <f ca="1"/>
        <v>0</v>
      </c>
      <c r="O237" s="176">
        <f ca="1"/>
        <v>0</v>
      </c>
      <c r="P237" s="176">
        <f ca="1"/>
        <v>0</v>
      </c>
      <c r="Q237" s="176">
        <f ca="1"/>
        <v>0</v>
      </c>
      <c r="R237" s="176">
        <f ca="1"/>
        <v>0</v>
      </c>
      <c r="S237" s="176">
        <f ca="1"/>
        <v>0</v>
      </c>
      <c r="T237" s="176">
        <f ca="1"/>
        <v>0</v>
      </c>
      <c r="U237" s="176">
        <f ca="1"/>
        <v>0</v>
      </c>
      <c r="V237" s="176">
        <f ca="1"/>
        <v>0</v>
      </c>
      <c r="W237" s="176">
        <f ca="1"/>
        <v>0</v>
      </c>
      <c r="X237" s="176">
        <f ca="1"/>
        <v>0</v>
      </c>
      <c r="Y237" s="176">
        <f ca="1"/>
        <v>0</v>
      </c>
      <c r="Z237" s="176">
        <f ca="1"/>
        <v>0</v>
      </c>
      <c r="AA237" s="176">
        <f ca="1"/>
        <v>0</v>
      </c>
      <c r="AB237" s="176">
        <f ca="1"/>
        <v>0</v>
      </c>
      <c r="AC237" s="176">
        <f ca="1"/>
        <v>0</v>
      </c>
      <c r="AD237" s="176">
        <f ca="1"/>
        <v>0</v>
      </c>
      <c r="AE237" s="176">
        <f ca="1"/>
        <v>0</v>
      </c>
      <c r="AF237" s="176">
        <f ca="1"/>
        <v>0</v>
      </c>
      <c r="AG237" s="176">
        <f ca="1"/>
        <v>0</v>
      </c>
      <c r="AH237" s="176">
        <f ca="1"/>
        <v>0</v>
      </c>
      <c r="AI237" s="176">
        <f ca="1"/>
        <v>0</v>
      </c>
      <c r="AJ237" s="176">
        <f ca="1"/>
        <v>0</v>
      </c>
      <c r="AK237" s="176">
        <f ca="1"/>
        <v>0</v>
      </c>
      <c r="AL237" s="176">
        <f ca="1"/>
        <v>0</v>
      </c>
      <c r="AM237" s="176">
        <f ca="1"/>
        <v>0</v>
      </c>
      <c r="AN237" s="176">
        <f ca="1"/>
        <v>0</v>
      </c>
      <c r="AO237" s="176">
        <f ca="1"/>
        <v>0</v>
      </c>
      <c r="AP237" s="176">
        <f ca="1"/>
        <v>0</v>
      </c>
      <c r="AQ237" s="176">
        <f ca="1"/>
        <v>0</v>
      </c>
      <c r="AR237" s="176">
        <f ca="1"/>
        <v>0</v>
      </c>
      <c r="AS237" s="176">
        <f ca="1"/>
        <v>0</v>
      </c>
      <c r="AT237" s="176">
        <f ca="1"/>
        <v>0</v>
      </c>
      <c r="AU237" s="176">
        <f ca="1"/>
        <v>0</v>
      </c>
      <c r="AV237" s="176">
        <f ca="1"/>
        <v>0</v>
      </c>
      <c r="AW237" s="176">
        <f ca="1"/>
        <v>0</v>
      </c>
      <c r="AX237" s="176">
        <f ca="1"/>
        <v>0</v>
      </c>
      <c r="AY237" s="176">
        <f ca="1"/>
        <v>0</v>
      </c>
      <c r="AZ237" s="176">
        <f ca="1"/>
        <v>0</v>
      </c>
      <c r="BA237" s="176">
        <f ca="1"/>
        <v>0</v>
      </c>
      <c r="BB237" s="176">
        <f ca="1"/>
        <v>0</v>
      </c>
      <c r="BC237" s="176">
        <f ca="1"/>
        <v>0</v>
      </c>
      <c r="BD237" s="176">
        <f ca="1"/>
        <v>0</v>
      </c>
      <c r="BE237" s="176">
        <f ca="1"/>
        <v>0</v>
      </c>
      <c r="BF237" s="176">
        <f ca="1"/>
        <v>0</v>
      </c>
      <c r="BG237" s="176">
        <f ca="1"/>
        <v>0</v>
      </c>
      <c r="BH237" s="176">
        <f ca="1"/>
        <v>0</v>
      </c>
      <c r="BI237" s="176">
        <f ca="1"/>
        <v>0</v>
      </c>
      <c r="BJ237" s="176">
        <f ca="1"/>
        <v>0</v>
      </c>
      <c r="BK237" s="176">
        <f ca="1"/>
        <v>0</v>
      </c>
      <c r="BL237" s="176">
        <f ca="1"/>
        <v>0</v>
      </c>
      <c r="BM237" s="176">
        <f ca="1"/>
        <v>0</v>
      </c>
      <c r="BN237" s="176">
        <f ca="1"/>
        <v>0</v>
      </c>
      <c r="BO237" s="176">
        <f ca="1"/>
        <v>0</v>
      </c>
      <c r="BP237" s="176">
        <f ca="1"/>
        <v>0</v>
      </c>
      <c r="BQ237" s="176">
        <f ca="1"/>
        <v>0</v>
      </c>
      <c r="BR237" s="176">
        <f ca="1"/>
        <v>0</v>
      </c>
      <c r="BS237" s="176">
        <f ca="1"/>
        <v>0</v>
      </c>
      <c r="BT237" s="176">
        <f ca="1"/>
        <v>0</v>
      </c>
      <c r="BU237" s="176">
        <f ca="1"/>
        <v>0</v>
      </c>
      <c r="BV237" s="176">
        <f ca="1"/>
        <v>0</v>
      </c>
      <c r="BW237" s="176">
        <f ca="1"/>
        <v>0</v>
      </c>
      <c r="BX237" s="176">
        <f ca="1"/>
        <v>0</v>
      </c>
      <c r="BY237" s="176">
        <f ca="1"/>
        <v>0</v>
      </c>
      <c r="BZ237" s="176">
        <f ca="1"/>
        <v>0</v>
      </c>
      <c r="CA237" s="176">
        <f ca="1"/>
        <v>0</v>
      </c>
      <c r="CB237" s="176">
        <f ca="1"/>
        <v>0</v>
      </c>
      <c r="CC237" s="176">
        <f ca="1"/>
        <v>0</v>
      </c>
      <c r="CD237" s="176">
        <f ca="1"/>
        <v>0</v>
      </c>
      <c r="CE237" s="176">
        <f ca="1"/>
        <v>0</v>
      </c>
      <c r="CF237" s="176">
        <f ca="1"/>
        <v>0</v>
      </c>
      <c r="CG237" s="176">
        <f ca="1"/>
        <v>0</v>
      </c>
      <c r="CH237" s="176">
        <f ca="1"/>
        <v>0</v>
      </c>
      <c r="CI237" s="176">
        <f ca="1"/>
        <v>0</v>
      </c>
      <c r="CJ237" s="176">
        <f ca="1"/>
        <v>0</v>
      </c>
      <c r="CK237" s="176">
        <f ca="1"/>
        <v>0</v>
      </c>
    </row>
    <row r="238" spans="2:89" ht="15.75" thickBot="1">
      <c r="B238" s="86" t="str">
        <v>Пусто</v>
      </c>
      <c r="C238" s="46"/>
      <c r="D238" s="47">
        <f t="shared" ca="1" si="275"/>
        <v>0</v>
      </c>
      <c r="E238" s="48"/>
      <c r="F238" s="176">
        <f ca="1"/>
        <v>0</v>
      </c>
      <c r="G238" s="176">
        <f ca="1"/>
        <v>0</v>
      </c>
      <c r="H238" s="176">
        <f ca="1"/>
        <v>0</v>
      </c>
      <c r="I238" s="176">
        <f ca="1"/>
        <v>0</v>
      </c>
      <c r="J238" s="176">
        <f ca="1"/>
        <v>0</v>
      </c>
      <c r="K238" s="176">
        <f ca="1"/>
        <v>0</v>
      </c>
      <c r="L238" s="176">
        <f ca="1"/>
        <v>0</v>
      </c>
      <c r="M238" s="176">
        <f ca="1"/>
        <v>0</v>
      </c>
      <c r="N238" s="176">
        <f ca="1"/>
        <v>0</v>
      </c>
      <c r="O238" s="176">
        <f ca="1"/>
        <v>0</v>
      </c>
      <c r="P238" s="176">
        <f ca="1"/>
        <v>0</v>
      </c>
      <c r="Q238" s="176">
        <f ca="1"/>
        <v>0</v>
      </c>
      <c r="R238" s="176">
        <f ca="1"/>
        <v>0</v>
      </c>
      <c r="S238" s="176">
        <f ca="1"/>
        <v>0</v>
      </c>
      <c r="T238" s="176">
        <f ca="1"/>
        <v>0</v>
      </c>
      <c r="U238" s="176">
        <f ca="1"/>
        <v>0</v>
      </c>
      <c r="V238" s="176">
        <f ca="1"/>
        <v>0</v>
      </c>
      <c r="W238" s="176">
        <f ca="1"/>
        <v>0</v>
      </c>
      <c r="X238" s="176">
        <f ca="1"/>
        <v>0</v>
      </c>
      <c r="Y238" s="176">
        <f ca="1"/>
        <v>0</v>
      </c>
      <c r="Z238" s="176">
        <f ca="1"/>
        <v>0</v>
      </c>
      <c r="AA238" s="176">
        <f ca="1"/>
        <v>0</v>
      </c>
      <c r="AB238" s="176">
        <f ca="1"/>
        <v>0</v>
      </c>
      <c r="AC238" s="176">
        <f ca="1"/>
        <v>0</v>
      </c>
      <c r="AD238" s="176">
        <f ca="1"/>
        <v>0</v>
      </c>
      <c r="AE238" s="176">
        <f ca="1"/>
        <v>0</v>
      </c>
      <c r="AF238" s="176">
        <f ca="1"/>
        <v>0</v>
      </c>
      <c r="AG238" s="176">
        <f ca="1"/>
        <v>0</v>
      </c>
      <c r="AH238" s="176">
        <f ca="1"/>
        <v>0</v>
      </c>
      <c r="AI238" s="176">
        <f ca="1"/>
        <v>0</v>
      </c>
      <c r="AJ238" s="176">
        <f ca="1"/>
        <v>0</v>
      </c>
      <c r="AK238" s="176">
        <f ca="1"/>
        <v>0</v>
      </c>
      <c r="AL238" s="176">
        <f ca="1"/>
        <v>0</v>
      </c>
      <c r="AM238" s="176">
        <f ca="1"/>
        <v>0</v>
      </c>
      <c r="AN238" s="176">
        <f ca="1"/>
        <v>0</v>
      </c>
      <c r="AO238" s="176">
        <f ca="1"/>
        <v>0</v>
      </c>
      <c r="AP238" s="176">
        <f ca="1"/>
        <v>0</v>
      </c>
      <c r="AQ238" s="176">
        <f ca="1"/>
        <v>0</v>
      </c>
      <c r="AR238" s="176">
        <f ca="1"/>
        <v>0</v>
      </c>
      <c r="AS238" s="176">
        <f ca="1"/>
        <v>0</v>
      </c>
      <c r="AT238" s="176">
        <f ca="1"/>
        <v>0</v>
      </c>
      <c r="AU238" s="176">
        <f ca="1"/>
        <v>0</v>
      </c>
      <c r="AV238" s="176">
        <f ca="1"/>
        <v>0</v>
      </c>
      <c r="AW238" s="176">
        <f ca="1"/>
        <v>0</v>
      </c>
      <c r="AX238" s="176">
        <f ca="1"/>
        <v>0</v>
      </c>
      <c r="AY238" s="176">
        <f ca="1"/>
        <v>0</v>
      </c>
      <c r="AZ238" s="176">
        <f ca="1"/>
        <v>0</v>
      </c>
      <c r="BA238" s="176">
        <f ca="1"/>
        <v>0</v>
      </c>
      <c r="BB238" s="176">
        <f ca="1"/>
        <v>0</v>
      </c>
      <c r="BC238" s="176">
        <f ca="1"/>
        <v>0</v>
      </c>
      <c r="BD238" s="176">
        <f ca="1"/>
        <v>0</v>
      </c>
      <c r="BE238" s="176">
        <f ca="1"/>
        <v>0</v>
      </c>
      <c r="BF238" s="176">
        <f ca="1"/>
        <v>0</v>
      </c>
      <c r="BG238" s="176">
        <f ca="1"/>
        <v>0</v>
      </c>
      <c r="BH238" s="176">
        <f ca="1"/>
        <v>0</v>
      </c>
      <c r="BI238" s="176">
        <f ca="1"/>
        <v>0</v>
      </c>
      <c r="BJ238" s="176">
        <f ca="1"/>
        <v>0</v>
      </c>
      <c r="BK238" s="176">
        <f ca="1"/>
        <v>0</v>
      </c>
      <c r="BL238" s="176">
        <f ca="1"/>
        <v>0</v>
      </c>
      <c r="BM238" s="176">
        <f ca="1"/>
        <v>0</v>
      </c>
      <c r="BN238" s="176">
        <f ca="1"/>
        <v>0</v>
      </c>
      <c r="BO238" s="176">
        <f ca="1"/>
        <v>0</v>
      </c>
      <c r="BP238" s="176">
        <f ca="1"/>
        <v>0</v>
      </c>
      <c r="BQ238" s="176">
        <f ca="1"/>
        <v>0</v>
      </c>
      <c r="BR238" s="176">
        <f ca="1"/>
        <v>0</v>
      </c>
      <c r="BS238" s="176">
        <f ca="1"/>
        <v>0</v>
      </c>
      <c r="BT238" s="176">
        <f ca="1"/>
        <v>0</v>
      </c>
      <c r="BU238" s="176">
        <f ca="1"/>
        <v>0</v>
      </c>
      <c r="BV238" s="176">
        <f ca="1"/>
        <v>0</v>
      </c>
      <c r="BW238" s="176">
        <f ca="1"/>
        <v>0</v>
      </c>
      <c r="BX238" s="176">
        <f ca="1"/>
        <v>0</v>
      </c>
      <c r="BY238" s="176">
        <f ca="1"/>
        <v>0</v>
      </c>
      <c r="BZ238" s="176">
        <f ca="1"/>
        <v>0</v>
      </c>
      <c r="CA238" s="176">
        <f ca="1"/>
        <v>0</v>
      </c>
      <c r="CB238" s="176">
        <f ca="1"/>
        <v>0</v>
      </c>
      <c r="CC238" s="176">
        <f ca="1"/>
        <v>0</v>
      </c>
      <c r="CD238" s="176">
        <f ca="1"/>
        <v>0</v>
      </c>
      <c r="CE238" s="176">
        <f ca="1"/>
        <v>0</v>
      </c>
      <c r="CF238" s="176">
        <f ca="1"/>
        <v>0</v>
      </c>
      <c r="CG238" s="176">
        <f ca="1"/>
        <v>0</v>
      </c>
      <c r="CH238" s="176">
        <f ca="1"/>
        <v>0</v>
      </c>
      <c r="CI238" s="176">
        <f ca="1"/>
        <v>0</v>
      </c>
      <c r="CJ238" s="176">
        <f ca="1"/>
        <v>0</v>
      </c>
      <c r="CK238" s="176">
        <f ca="1"/>
        <v>0</v>
      </c>
    </row>
    <row r="239" spans="2:89" ht="15.75" thickTop="1">
      <c r="B239" s="50" t="s">
        <v>50</v>
      </c>
      <c r="C239" s="51"/>
      <c r="D239" s="52">
        <f ca="1">SUM(D236:D238)</f>
        <v>0</v>
      </c>
      <c r="E239" s="53"/>
      <c r="F239" s="54">
        <f ca="1">SUM(F236:F238)</f>
        <v>0</v>
      </c>
      <c r="G239" s="54">
        <f t="shared" ref="G239:AG239" ca="1" si="276">SUM(G236:G238)</f>
        <v>0</v>
      </c>
      <c r="H239" s="54">
        <f t="shared" ca="1" si="276"/>
        <v>0</v>
      </c>
      <c r="I239" s="54">
        <f t="shared" ca="1" si="276"/>
        <v>0</v>
      </c>
      <c r="J239" s="54">
        <f t="shared" ca="1" si="276"/>
        <v>0</v>
      </c>
      <c r="K239" s="54">
        <f t="shared" ca="1" si="276"/>
        <v>0</v>
      </c>
      <c r="L239" s="54">
        <f t="shared" ca="1" si="276"/>
        <v>0</v>
      </c>
      <c r="M239" s="54">
        <f t="shared" ca="1" si="276"/>
        <v>0</v>
      </c>
      <c r="N239" s="54">
        <f t="shared" ca="1" si="276"/>
        <v>0</v>
      </c>
      <c r="O239" s="54">
        <f t="shared" ca="1" si="276"/>
        <v>0</v>
      </c>
      <c r="P239" s="54">
        <f t="shared" ca="1" si="276"/>
        <v>0</v>
      </c>
      <c r="Q239" s="54">
        <f t="shared" ca="1" si="276"/>
        <v>0</v>
      </c>
      <c r="R239" s="54">
        <f t="shared" ca="1" si="276"/>
        <v>0</v>
      </c>
      <c r="S239" s="54">
        <f t="shared" ca="1" si="276"/>
        <v>0</v>
      </c>
      <c r="T239" s="54">
        <f t="shared" ca="1" si="276"/>
        <v>0</v>
      </c>
      <c r="U239" s="54">
        <f t="shared" ca="1" si="276"/>
        <v>0</v>
      </c>
      <c r="V239" s="54">
        <f t="shared" ca="1" si="276"/>
        <v>0</v>
      </c>
      <c r="W239" s="54">
        <f t="shared" ca="1" si="276"/>
        <v>0</v>
      </c>
      <c r="X239" s="54">
        <f t="shared" ca="1" si="276"/>
        <v>0</v>
      </c>
      <c r="Y239" s="54">
        <f t="shared" ca="1" si="276"/>
        <v>0</v>
      </c>
      <c r="Z239" s="54">
        <f t="shared" ca="1" si="276"/>
        <v>0</v>
      </c>
      <c r="AA239" s="54">
        <f t="shared" ca="1" si="276"/>
        <v>0</v>
      </c>
      <c r="AB239" s="54">
        <f t="shared" ca="1" si="276"/>
        <v>0</v>
      </c>
      <c r="AC239" s="54">
        <f t="shared" ca="1" si="276"/>
        <v>0</v>
      </c>
      <c r="AD239" s="54">
        <f t="shared" ca="1" si="276"/>
        <v>0</v>
      </c>
      <c r="AE239" s="54">
        <f t="shared" ca="1" si="276"/>
        <v>0</v>
      </c>
      <c r="AF239" s="54">
        <f t="shared" ca="1" si="276"/>
        <v>0</v>
      </c>
      <c r="AG239" s="54">
        <f t="shared" ca="1" si="276"/>
        <v>0</v>
      </c>
      <c r="AH239" s="54">
        <f t="shared" ref="AH239:BM239" ca="1" si="277">SUM(AH236:AH238)</f>
        <v>0</v>
      </c>
      <c r="AI239" s="54">
        <f t="shared" ca="1" si="277"/>
        <v>0</v>
      </c>
      <c r="AJ239" s="54">
        <f t="shared" ca="1" si="277"/>
        <v>0</v>
      </c>
      <c r="AK239" s="54">
        <f t="shared" ca="1" si="277"/>
        <v>0</v>
      </c>
      <c r="AL239" s="54">
        <f t="shared" ca="1" si="277"/>
        <v>0</v>
      </c>
      <c r="AM239" s="54">
        <f t="shared" ca="1" si="277"/>
        <v>0</v>
      </c>
      <c r="AN239" s="54">
        <f t="shared" ca="1" si="277"/>
        <v>0</v>
      </c>
      <c r="AO239" s="54">
        <f t="shared" ca="1" si="277"/>
        <v>0</v>
      </c>
      <c r="AP239" s="54">
        <f t="shared" ca="1" si="277"/>
        <v>0</v>
      </c>
      <c r="AQ239" s="54">
        <f t="shared" ca="1" si="277"/>
        <v>0</v>
      </c>
      <c r="AR239" s="54">
        <f t="shared" ca="1" si="277"/>
        <v>0</v>
      </c>
      <c r="AS239" s="54">
        <f t="shared" ca="1" si="277"/>
        <v>0</v>
      </c>
      <c r="AT239" s="54">
        <f t="shared" ca="1" si="277"/>
        <v>0</v>
      </c>
      <c r="AU239" s="54">
        <f t="shared" ca="1" si="277"/>
        <v>0</v>
      </c>
      <c r="AV239" s="54">
        <f t="shared" ca="1" si="277"/>
        <v>0</v>
      </c>
      <c r="AW239" s="54">
        <f t="shared" ca="1" si="277"/>
        <v>0</v>
      </c>
      <c r="AX239" s="54">
        <f t="shared" ca="1" si="277"/>
        <v>0</v>
      </c>
      <c r="AY239" s="54">
        <f t="shared" ca="1" si="277"/>
        <v>0</v>
      </c>
      <c r="AZ239" s="54">
        <f t="shared" ca="1" si="277"/>
        <v>0</v>
      </c>
      <c r="BA239" s="54">
        <f t="shared" ca="1" si="277"/>
        <v>0</v>
      </c>
      <c r="BB239" s="54">
        <f t="shared" ca="1" si="277"/>
        <v>0</v>
      </c>
      <c r="BC239" s="54">
        <f t="shared" ca="1" si="277"/>
        <v>0</v>
      </c>
      <c r="BD239" s="54">
        <f t="shared" ca="1" si="277"/>
        <v>0</v>
      </c>
      <c r="BE239" s="54">
        <f t="shared" ca="1" si="277"/>
        <v>0</v>
      </c>
      <c r="BF239" s="54">
        <f t="shared" ca="1" si="277"/>
        <v>0</v>
      </c>
      <c r="BG239" s="54">
        <f t="shared" ca="1" si="277"/>
        <v>0</v>
      </c>
      <c r="BH239" s="54">
        <f t="shared" ca="1" si="277"/>
        <v>0</v>
      </c>
      <c r="BI239" s="54">
        <f t="shared" ca="1" si="277"/>
        <v>0</v>
      </c>
      <c r="BJ239" s="54">
        <f t="shared" ca="1" si="277"/>
        <v>0</v>
      </c>
      <c r="BK239" s="54">
        <f t="shared" ca="1" si="277"/>
        <v>0</v>
      </c>
      <c r="BL239" s="54">
        <f t="shared" ca="1" si="277"/>
        <v>0</v>
      </c>
      <c r="BM239" s="54">
        <f t="shared" ca="1" si="277"/>
        <v>0</v>
      </c>
      <c r="BN239" s="54">
        <f t="shared" ref="BN239:CK239" ca="1" si="278">SUM(BN236:BN238)</f>
        <v>0</v>
      </c>
      <c r="BO239" s="54">
        <f t="shared" ca="1" si="278"/>
        <v>0</v>
      </c>
      <c r="BP239" s="54">
        <f t="shared" ca="1" si="278"/>
        <v>0</v>
      </c>
      <c r="BQ239" s="54">
        <f t="shared" ca="1" si="278"/>
        <v>0</v>
      </c>
      <c r="BR239" s="54">
        <f t="shared" ca="1" si="278"/>
        <v>0</v>
      </c>
      <c r="BS239" s="54">
        <f t="shared" ca="1" si="278"/>
        <v>0</v>
      </c>
      <c r="BT239" s="54">
        <f t="shared" ca="1" si="278"/>
        <v>0</v>
      </c>
      <c r="BU239" s="54">
        <f t="shared" ca="1" si="278"/>
        <v>0</v>
      </c>
      <c r="BV239" s="54">
        <f t="shared" ca="1" si="278"/>
        <v>0</v>
      </c>
      <c r="BW239" s="54">
        <f t="shared" ca="1" si="278"/>
        <v>0</v>
      </c>
      <c r="BX239" s="54">
        <f t="shared" ca="1" si="278"/>
        <v>0</v>
      </c>
      <c r="BY239" s="54">
        <f t="shared" ca="1" si="278"/>
        <v>0</v>
      </c>
      <c r="BZ239" s="54">
        <f t="shared" ca="1" si="278"/>
        <v>0</v>
      </c>
      <c r="CA239" s="54">
        <f t="shared" ca="1" si="278"/>
        <v>0</v>
      </c>
      <c r="CB239" s="54">
        <f t="shared" ca="1" si="278"/>
        <v>0</v>
      </c>
      <c r="CC239" s="54">
        <f t="shared" ca="1" si="278"/>
        <v>0</v>
      </c>
      <c r="CD239" s="54">
        <f t="shared" ca="1" si="278"/>
        <v>0</v>
      </c>
      <c r="CE239" s="54">
        <f t="shared" ca="1" si="278"/>
        <v>0</v>
      </c>
      <c r="CF239" s="54">
        <f t="shared" ca="1" si="278"/>
        <v>0</v>
      </c>
      <c r="CG239" s="54">
        <f t="shared" ca="1" si="278"/>
        <v>0</v>
      </c>
      <c r="CH239" s="54">
        <f t="shared" ca="1" si="278"/>
        <v>0</v>
      </c>
      <c r="CI239" s="54">
        <f t="shared" ca="1" si="278"/>
        <v>0</v>
      </c>
      <c r="CJ239" s="54">
        <f t="shared" ca="1" si="278"/>
        <v>0</v>
      </c>
      <c r="CK239" s="54">
        <f t="shared" ca="1" si="278"/>
        <v>0</v>
      </c>
    </row>
    <row r="240" spans="2:89">
      <c r="B240" s="14"/>
      <c r="C240" s="14"/>
      <c r="D240" s="14"/>
      <c r="E240" s="1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  <c r="BI240" s="154"/>
      <c r="BJ240" s="154"/>
      <c r="BK240" s="154"/>
      <c r="BL240" s="154"/>
      <c r="BM240" s="15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</row>
    <row r="241" spans="2:89" ht="18" thickBot="1">
      <c r="B241" s="100" t="str">
        <f>"Итого переменные затраты, в "&amp;Ед_измерения_денег&amp;" в т.ч. НДС"</f>
        <v>Итого переменные затраты, в  руб. в т.ч. НДС</v>
      </c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</row>
    <row r="242" spans="2:89" ht="15.75" thickTop="1">
      <c r="B242" s="14"/>
      <c r="C242" s="14"/>
      <c r="D242" s="14"/>
      <c r="E242" s="1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  <c r="BI242" s="154"/>
      <c r="BJ242" s="154"/>
      <c r="BK242" s="154"/>
      <c r="BL242" s="154"/>
      <c r="BM242" s="15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</row>
    <row r="243" spans="2:89">
      <c r="B243" s="45" t="s">
        <v>234</v>
      </c>
      <c r="C243" s="46"/>
      <c r="D243" s="47">
        <f ca="1">SUM(F243:CK243)</f>
        <v>5466888307.9396038</v>
      </c>
      <c r="E243" s="48"/>
      <c r="F243" s="49">
        <f t="shared" ref="F243:AK243" ca="1" si="279">F212</f>
        <v>0</v>
      </c>
      <c r="G243" s="49">
        <f t="shared" ca="1" si="279"/>
        <v>0</v>
      </c>
      <c r="H243" s="49">
        <f t="shared" ca="1" si="279"/>
        <v>0</v>
      </c>
      <c r="I243" s="49">
        <f t="shared" ca="1" si="279"/>
        <v>0</v>
      </c>
      <c r="J243" s="49">
        <f t="shared" ca="1" si="279"/>
        <v>0</v>
      </c>
      <c r="K243" s="49">
        <f t="shared" ca="1" si="279"/>
        <v>0</v>
      </c>
      <c r="L243" s="49">
        <f t="shared" ca="1" si="279"/>
        <v>0</v>
      </c>
      <c r="M243" s="49">
        <f t="shared" ca="1" si="279"/>
        <v>0</v>
      </c>
      <c r="N243" s="49">
        <f t="shared" ca="1" si="279"/>
        <v>0</v>
      </c>
      <c r="O243" s="49">
        <f t="shared" ca="1" si="279"/>
        <v>0</v>
      </c>
      <c r="P243" s="49">
        <f t="shared" ca="1" si="279"/>
        <v>0</v>
      </c>
      <c r="Q243" s="49">
        <f t="shared" ca="1" si="279"/>
        <v>0</v>
      </c>
      <c r="R243" s="49">
        <f t="shared" ca="1" si="279"/>
        <v>48248462.580845043</v>
      </c>
      <c r="S243" s="49">
        <f t="shared" ca="1" si="279"/>
        <v>48456071.379163176</v>
      </c>
      <c r="T243" s="49">
        <f t="shared" ca="1" si="279"/>
        <v>48657833.641691647</v>
      </c>
      <c r="U243" s="49">
        <f t="shared" ca="1" si="279"/>
        <v>48867203.926893763</v>
      </c>
      <c r="V243" s="49">
        <f t="shared" ca="1" si="279"/>
        <v>49077475.11361666</v>
      </c>
      <c r="W243" s="49">
        <f t="shared" ca="1" si="279"/>
        <v>49281824.788203895</v>
      </c>
      <c r="X243" s="49">
        <f t="shared" ca="1" si="279"/>
        <v>49493880.051230356</v>
      </c>
      <c r="Y243" s="49">
        <f t="shared" ca="1" si="279"/>
        <v>49699963.56019479</v>
      </c>
      <c r="Z243" s="49">
        <f t="shared" ca="1" si="279"/>
        <v>49913818.036778331</v>
      </c>
      <c r="AA243" s="49">
        <f t="shared" ca="1" si="279"/>
        <v>50129182.401341096</v>
      </c>
      <c r="AB243" s="49">
        <f t="shared" ca="1" si="279"/>
        <v>50324503.641933039</v>
      </c>
      <c r="AC243" s="49">
        <f t="shared" ca="1" si="279"/>
        <v>50541640.001664042</v>
      </c>
      <c r="AD243" s="49">
        <f t="shared" ca="1" si="279"/>
        <v>52389996.283895656</v>
      </c>
      <c r="AE243" s="49">
        <f t="shared" ca="1" si="279"/>
        <v>54007825.306815989</v>
      </c>
      <c r="AF243" s="49">
        <f t="shared" ca="1" si="279"/>
        <v>55647691.920678675</v>
      </c>
      <c r="AG243" s="49">
        <f t="shared" ca="1" si="279"/>
        <v>57424852.761638716</v>
      </c>
      <c r="AH243" s="49">
        <f t="shared" ca="1" si="279"/>
        <v>59292714.091241717</v>
      </c>
      <c r="AI243" s="49">
        <f t="shared" ca="1" si="279"/>
        <v>61193812.011145599</v>
      </c>
      <c r="AJ243" s="49">
        <f t="shared" ca="1" si="279"/>
        <v>63263136.824907243</v>
      </c>
      <c r="AK243" s="49">
        <f t="shared" ca="1" si="279"/>
        <v>65376041.635035962</v>
      </c>
      <c r="AL243" s="49">
        <f t="shared" ref="AL243:BM243" ca="1" si="280">AL212</f>
        <v>67683794.144931942</v>
      </c>
      <c r="AM243" s="49">
        <f t="shared" ca="1" si="280"/>
        <v>70129943.506263748</v>
      </c>
      <c r="AN243" s="49">
        <f t="shared" ca="1" si="280"/>
        <v>72469649.352139443</v>
      </c>
      <c r="AO243" s="49">
        <f t="shared" ca="1" si="280"/>
        <v>75218472.490454465</v>
      </c>
      <c r="AP243" s="49">
        <f t="shared" ca="1" si="280"/>
        <v>75668604.132933304</v>
      </c>
      <c r="AQ243" s="49">
        <f t="shared" ca="1" si="280"/>
        <v>76144733.938533425</v>
      </c>
      <c r="AR243" s="49">
        <f t="shared" ca="1" si="280"/>
        <v>76616745.340131313</v>
      </c>
      <c r="AS243" s="49">
        <f t="shared" ca="1" si="280"/>
        <v>77116774.088111371</v>
      </c>
      <c r="AT243" s="49">
        <f t="shared" ca="1" si="280"/>
        <v>77630010.700704634</v>
      </c>
      <c r="AU243" s="49">
        <f t="shared" ca="1" si="280"/>
        <v>78139999.003545493</v>
      </c>
      <c r="AV243" s="49">
        <f t="shared" ca="1" si="280"/>
        <v>78681543.253068268</v>
      </c>
      <c r="AW243" s="49">
        <f t="shared" ca="1" si="280"/>
        <v>79220524.790023282</v>
      </c>
      <c r="AX243" s="49">
        <f t="shared" ca="1" si="280"/>
        <v>79793786.59797433</v>
      </c>
      <c r="AY243" s="49">
        <f t="shared" ca="1" si="280"/>
        <v>80384615.403284848</v>
      </c>
      <c r="AZ243" s="49">
        <f t="shared" ca="1" si="280"/>
        <v>80934246.859631836</v>
      </c>
      <c r="BA243" s="49">
        <f t="shared" ca="1" si="280"/>
        <v>81561495.531344801</v>
      </c>
      <c r="BB243" s="49">
        <f t="shared" ca="1" si="280"/>
        <v>81902035.125514165</v>
      </c>
      <c r="BC243" s="49">
        <f t="shared" ca="1" si="280"/>
        <v>82255419.828287393</v>
      </c>
      <c r="BD243" s="49">
        <f t="shared" ca="1" si="280"/>
        <v>82598856.729536831</v>
      </c>
      <c r="BE243" s="49">
        <f t="shared" ca="1" si="280"/>
        <v>82955248.025431305</v>
      </c>
      <c r="BF243" s="49">
        <f t="shared" ca="1" si="280"/>
        <v>83313177.051517397</v>
      </c>
      <c r="BG243" s="49">
        <f t="shared" ca="1" si="280"/>
        <v>83661030.353093773</v>
      </c>
      <c r="BH243" s="49">
        <f t="shared" ca="1" si="280"/>
        <v>84022004.635353327</v>
      </c>
      <c r="BI243" s="49">
        <f t="shared" ca="1" si="280"/>
        <v>84372817.468951061</v>
      </c>
      <c r="BJ243" s="49">
        <f t="shared" ca="1" si="280"/>
        <v>84736862.916389719</v>
      </c>
      <c r="BK243" s="49">
        <f t="shared" ca="1" si="280"/>
        <v>85101478.022080243</v>
      </c>
      <c r="BL243" s="49">
        <f t="shared" ca="1" si="280"/>
        <v>85443989.782851189</v>
      </c>
      <c r="BM243" s="49">
        <f t="shared" ca="1" si="280"/>
        <v>85811647.591897458</v>
      </c>
      <c r="BN243" s="49">
        <f t="shared" ref="BN243:CK243" ca="1" si="281">BN212</f>
        <v>86168951.67530036</v>
      </c>
      <c r="BO243" s="49">
        <f t="shared" ca="1" si="281"/>
        <v>86539728.930216342</v>
      </c>
      <c r="BP243" s="49">
        <f t="shared" ca="1" si="281"/>
        <v>86900064.611805871</v>
      </c>
      <c r="BQ243" s="49">
        <f t="shared" ca="1" si="281"/>
        <v>87273987.77998133</v>
      </c>
      <c r="BR243" s="49">
        <f t="shared" ca="1" si="281"/>
        <v>87649519.905944377</v>
      </c>
      <c r="BS243" s="49">
        <f t="shared" ca="1" si="281"/>
        <v>88014476.55518198</v>
      </c>
      <c r="BT243" s="49">
        <f t="shared" ca="1" si="281"/>
        <v>88393194.937795788</v>
      </c>
      <c r="BU243" s="49">
        <f t="shared" ca="1" si="281"/>
        <v>88761248.114521921</v>
      </c>
      <c r="BV243" s="49">
        <f t="shared" ca="1" si="281"/>
        <v>89143179.788042009</v>
      </c>
      <c r="BW243" s="49">
        <f t="shared" ca="1" si="281"/>
        <v>89527808.033791721</v>
      </c>
      <c r="BX243" s="49">
        <f t="shared" ca="1" si="281"/>
        <v>89876640.424326986</v>
      </c>
      <c r="BY243" s="49">
        <f t="shared" ca="1" si="281"/>
        <v>90264433.35052146</v>
      </c>
      <c r="BZ243" s="49">
        <f t="shared" ca="1" si="281"/>
        <v>90641309.881547093</v>
      </c>
      <c r="CA243" s="49">
        <f t="shared" ca="1" si="281"/>
        <v>91032402.145645022</v>
      </c>
      <c r="CB243" s="49">
        <f t="shared" ca="1" si="281"/>
        <v>91412485.138005391</v>
      </c>
      <c r="CC243" s="49">
        <f t="shared" ca="1" si="281"/>
        <v>91806904.810736984</v>
      </c>
      <c r="CD243" s="49">
        <f t="shared" ca="1" si="281"/>
        <v>92203026.295622572</v>
      </c>
      <c r="CE243" s="49">
        <f t="shared" ca="1" si="281"/>
        <v>92587996.935890362</v>
      </c>
      <c r="CF243" s="49">
        <f t="shared" ca="1" si="281"/>
        <v>92987488.617964149</v>
      </c>
      <c r="CG243" s="49">
        <f t="shared" ca="1" si="281"/>
        <v>93375734.584158093</v>
      </c>
      <c r="CH243" s="49">
        <f t="shared" ca="1" si="281"/>
        <v>93778625.13702026</v>
      </c>
      <c r="CI243" s="49">
        <f t="shared" ca="1" si="281"/>
        <v>94183254.051548943</v>
      </c>
      <c r="CJ243" s="49">
        <f t="shared" ca="1" si="281"/>
        <v>94550225.726392031</v>
      </c>
      <c r="CK243" s="49">
        <f t="shared" ca="1" si="281"/>
        <v>94958183.884748638</v>
      </c>
    </row>
    <row r="244" spans="2:89" ht="15.75" thickBot="1">
      <c r="B244" s="45" t="s">
        <v>235</v>
      </c>
      <c r="C244" s="46"/>
      <c r="D244" s="47">
        <f ca="1">SUM(F244:CK244)</f>
        <v>0</v>
      </c>
      <c r="E244" s="48"/>
      <c r="F244" s="49">
        <f t="shared" ref="F244:AK244" ca="1" si="282">F239</f>
        <v>0</v>
      </c>
      <c r="G244" s="49">
        <f t="shared" ca="1" si="282"/>
        <v>0</v>
      </c>
      <c r="H244" s="49">
        <f t="shared" ca="1" si="282"/>
        <v>0</v>
      </c>
      <c r="I244" s="49">
        <f t="shared" ca="1" si="282"/>
        <v>0</v>
      </c>
      <c r="J244" s="49">
        <f t="shared" ca="1" si="282"/>
        <v>0</v>
      </c>
      <c r="K244" s="49">
        <f t="shared" ca="1" si="282"/>
        <v>0</v>
      </c>
      <c r="L244" s="49">
        <f t="shared" ca="1" si="282"/>
        <v>0</v>
      </c>
      <c r="M244" s="49">
        <f t="shared" ca="1" si="282"/>
        <v>0</v>
      </c>
      <c r="N244" s="49">
        <f t="shared" ca="1" si="282"/>
        <v>0</v>
      </c>
      <c r="O244" s="49">
        <f t="shared" ca="1" si="282"/>
        <v>0</v>
      </c>
      <c r="P244" s="49">
        <f t="shared" ca="1" si="282"/>
        <v>0</v>
      </c>
      <c r="Q244" s="49">
        <f t="shared" ca="1" si="282"/>
        <v>0</v>
      </c>
      <c r="R244" s="49">
        <f t="shared" ca="1" si="282"/>
        <v>0</v>
      </c>
      <c r="S244" s="49">
        <f t="shared" ca="1" si="282"/>
        <v>0</v>
      </c>
      <c r="T244" s="49">
        <f t="shared" ca="1" si="282"/>
        <v>0</v>
      </c>
      <c r="U244" s="49">
        <f t="shared" ca="1" si="282"/>
        <v>0</v>
      </c>
      <c r="V244" s="49">
        <f t="shared" ca="1" si="282"/>
        <v>0</v>
      </c>
      <c r="W244" s="49">
        <f t="shared" ca="1" si="282"/>
        <v>0</v>
      </c>
      <c r="X244" s="49">
        <f t="shared" ca="1" si="282"/>
        <v>0</v>
      </c>
      <c r="Y244" s="49">
        <f t="shared" ca="1" si="282"/>
        <v>0</v>
      </c>
      <c r="Z244" s="49">
        <f t="shared" ca="1" si="282"/>
        <v>0</v>
      </c>
      <c r="AA244" s="49">
        <f t="shared" ca="1" si="282"/>
        <v>0</v>
      </c>
      <c r="AB244" s="49">
        <f t="shared" ca="1" si="282"/>
        <v>0</v>
      </c>
      <c r="AC244" s="49">
        <f t="shared" ca="1" si="282"/>
        <v>0</v>
      </c>
      <c r="AD244" s="49">
        <f t="shared" ca="1" si="282"/>
        <v>0</v>
      </c>
      <c r="AE244" s="49">
        <f t="shared" ca="1" si="282"/>
        <v>0</v>
      </c>
      <c r="AF244" s="49">
        <f t="shared" ca="1" si="282"/>
        <v>0</v>
      </c>
      <c r="AG244" s="49">
        <f t="shared" ca="1" si="282"/>
        <v>0</v>
      </c>
      <c r="AH244" s="49">
        <f t="shared" ca="1" si="282"/>
        <v>0</v>
      </c>
      <c r="AI244" s="49">
        <f t="shared" ca="1" si="282"/>
        <v>0</v>
      </c>
      <c r="AJ244" s="49">
        <f t="shared" ca="1" si="282"/>
        <v>0</v>
      </c>
      <c r="AK244" s="49">
        <f t="shared" ca="1" si="282"/>
        <v>0</v>
      </c>
      <c r="AL244" s="49">
        <f t="shared" ref="AL244:BM244" ca="1" si="283">AL239</f>
        <v>0</v>
      </c>
      <c r="AM244" s="49">
        <f t="shared" ca="1" si="283"/>
        <v>0</v>
      </c>
      <c r="AN244" s="49">
        <f t="shared" ca="1" si="283"/>
        <v>0</v>
      </c>
      <c r="AO244" s="49">
        <f t="shared" ca="1" si="283"/>
        <v>0</v>
      </c>
      <c r="AP244" s="49">
        <f t="shared" ca="1" si="283"/>
        <v>0</v>
      </c>
      <c r="AQ244" s="49">
        <f t="shared" ca="1" si="283"/>
        <v>0</v>
      </c>
      <c r="AR244" s="49">
        <f t="shared" ca="1" si="283"/>
        <v>0</v>
      </c>
      <c r="AS244" s="49">
        <f t="shared" ca="1" si="283"/>
        <v>0</v>
      </c>
      <c r="AT244" s="49">
        <f t="shared" ca="1" si="283"/>
        <v>0</v>
      </c>
      <c r="AU244" s="49">
        <f t="shared" ca="1" si="283"/>
        <v>0</v>
      </c>
      <c r="AV244" s="49">
        <f t="shared" ca="1" si="283"/>
        <v>0</v>
      </c>
      <c r="AW244" s="49">
        <f t="shared" ca="1" si="283"/>
        <v>0</v>
      </c>
      <c r="AX244" s="49">
        <f t="shared" ca="1" si="283"/>
        <v>0</v>
      </c>
      <c r="AY244" s="49">
        <f t="shared" ca="1" si="283"/>
        <v>0</v>
      </c>
      <c r="AZ244" s="49">
        <f t="shared" ca="1" si="283"/>
        <v>0</v>
      </c>
      <c r="BA244" s="49">
        <f t="shared" ca="1" si="283"/>
        <v>0</v>
      </c>
      <c r="BB244" s="49">
        <f t="shared" ca="1" si="283"/>
        <v>0</v>
      </c>
      <c r="BC244" s="49">
        <f t="shared" ca="1" si="283"/>
        <v>0</v>
      </c>
      <c r="BD244" s="49">
        <f t="shared" ca="1" si="283"/>
        <v>0</v>
      </c>
      <c r="BE244" s="49">
        <f t="shared" ca="1" si="283"/>
        <v>0</v>
      </c>
      <c r="BF244" s="49">
        <f t="shared" ca="1" si="283"/>
        <v>0</v>
      </c>
      <c r="BG244" s="49">
        <f t="shared" ca="1" si="283"/>
        <v>0</v>
      </c>
      <c r="BH244" s="49">
        <f t="shared" ca="1" si="283"/>
        <v>0</v>
      </c>
      <c r="BI244" s="49">
        <f t="shared" ca="1" si="283"/>
        <v>0</v>
      </c>
      <c r="BJ244" s="49">
        <f t="shared" ca="1" si="283"/>
        <v>0</v>
      </c>
      <c r="BK244" s="49">
        <f t="shared" ca="1" si="283"/>
        <v>0</v>
      </c>
      <c r="BL244" s="49">
        <f t="shared" ca="1" si="283"/>
        <v>0</v>
      </c>
      <c r="BM244" s="49">
        <f t="shared" ca="1" si="283"/>
        <v>0</v>
      </c>
      <c r="BN244" s="49">
        <f t="shared" ref="BN244:CK244" ca="1" si="284">BN239</f>
        <v>0</v>
      </c>
      <c r="BO244" s="49">
        <f t="shared" ca="1" si="284"/>
        <v>0</v>
      </c>
      <c r="BP244" s="49">
        <f t="shared" ca="1" si="284"/>
        <v>0</v>
      </c>
      <c r="BQ244" s="49">
        <f t="shared" ca="1" si="284"/>
        <v>0</v>
      </c>
      <c r="BR244" s="49">
        <f t="shared" ca="1" si="284"/>
        <v>0</v>
      </c>
      <c r="BS244" s="49">
        <f t="shared" ca="1" si="284"/>
        <v>0</v>
      </c>
      <c r="BT244" s="49">
        <f t="shared" ca="1" si="284"/>
        <v>0</v>
      </c>
      <c r="BU244" s="49">
        <f t="shared" ca="1" si="284"/>
        <v>0</v>
      </c>
      <c r="BV244" s="49">
        <f t="shared" ca="1" si="284"/>
        <v>0</v>
      </c>
      <c r="BW244" s="49">
        <f t="shared" ca="1" si="284"/>
        <v>0</v>
      </c>
      <c r="BX244" s="49">
        <f t="shared" ca="1" si="284"/>
        <v>0</v>
      </c>
      <c r="BY244" s="49">
        <f t="shared" ca="1" si="284"/>
        <v>0</v>
      </c>
      <c r="BZ244" s="49">
        <f t="shared" ca="1" si="284"/>
        <v>0</v>
      </c>
      <c r="CA244" s="49">
        <f t="shared" ca="1" si="284"/>
        <v>0</v>
      </c>
      <c r="CB244" s="49">
        <f t="shared" ca="1" si="284"/>
        <v>0</v>
      </c>
      <c r="CC244" s="49">
        <f t="shared" ca="1" si="284"/>
        <v>0</v>
      </c>
      <c r="CD244" s="49">
        <f t="shared" ca="1" si="284"/>
        <v>0</v>
      </c>
      <c r="CE244" s="49">
        <f t="shared" ca="1" si="284"/>
        <v>0</v>
      </c>
      <c r="CF244" s="49">
        <f t="shared" ca="1" si="284"/>
        <v>0</v>
      </c>
      <c r="CG244" s="49">
        <f t="shared" ca="1" si="284"/>
        <v>0</v>
      </c>
      <c r="CH244" s="49">
        <f t="shared" ca="1" si="284"/>
        <v>0</v>
      </c>
      <c r="CI244" s="49">
        <f t="shared" ca="1" si="284"/>
        <v>0</v>
      </c>
      <c r="CJ244" s="49">
        <f t="shared" ca="1" si="284"/>
        <v>0</v>
      </c>
      <c r="CK244" s="49">
        <f t="shared" ca="1" si="284"/>
        <v>0</v>
      </c>
    </row>
    <row r="245" spans="2:89" ht="15.75" thickTop="1">
      <c r="B245" s="50" t="s">
        <v>50</v>
      </c>
      <c r="C245" s="51"/>
      <c r="D245" s="52">
        <f ca="1">SUM(D243:D244)</f>
        <v>5466888307.9396038</v>
      </c>
      <c r="E245" s="53"/>
      <c r="F245" s="54">
        <f t="shared" ref="F245:AG245" ca="1" si="285">SUM(F243:F244)</f>
        <v>0</v>
      </c>
      <c r="G245" s="54">
        <f t="shared" ca="1" si="285"/>
        <v>0</v>
      </c>
      <c r="H245" s="54">
        <f t="shared" ca="1" si="285"/>
        <v>0</v>
      </c>
      <c r="I245" s="54">
        <f t="shared" ca="1" si="285"/>
        <v>0</v>
      </c>
      <c r="J245" s="54">
        <f t="shared" ca="1" si="285"/>
        <v>0</v>
      </c>
      <c r="K245" s="54">
        <f t="shared" ca="1" si="285"/>
        <v>0</v>
      </c>
      <c r="L245" s="54">
        <f t="shared" ca="1" si="285"/>
        <v>0</v>
      </c>
      <c r="M245" s="54">
        <f t="shared" ca="1" si="285"/>
        <v>0</v>
      </c>
      <c r="N245" s="54">
        <f t="shared" ca="1" si="285"/>
        <v>0</v>
      </c>
      <c r="O245" s="54">
        <f t="shared" ca="1" si="285"/>
        <v>0</v>
      </c>
      <c r="P245" s="54">
        <f t="shared" ca="1" si="285"/>
        <v>0</v>
      </c>
      <c r="Q245" s="54">
        <f t="shared" ca="1" si="285"/>
        <v>0</v>
      </c>
      <c r="R245" s="54">
        <f t="shared" ca="1" si="285"/>
        <v>48248462.580845043</v>
      </c>
      <c r="S245" s="54">
        <f t="shared" ca="1" si="285"/>
        <v>48456071.379163176</v>
      </c>
      <c r="T245" s="54">
        <f t="shared" ca="1" si="285"/>
        <v>48657833.641691647</v>
      </c>
      <c r="U245" s="54">
        <f t="shared" ca="1" si="285"/>
        <v>48867203.926893763</v>
      </c>
      <c r="V245" s="54">
        <f t="shared" ca="1" si="285"/>
        <v>49077475.11361666</v>
      </c>
      <c r="W245" s="54">
        <f t="shared" ca="1" si="285"/>
        <v>49281824.788203895</v>
      </c>
      <c r="X245" s="54">
        <f t="shared" ca="1" si="285"/>
        <v>49493880.051230356</v>
      </c>
      <c r="Y245" s="54">
        <f t="shared" ca="1" si="285"/>
        <v>49699963.56019479</v>
      </c>
      <c r="Z245" s="54">
        <f t="shared" ca="1" si="285"/>
        <v>49913818.036778331</v>
      </c>
      <c r="AA245" s="54">
        <f t="shared" ca="1" si="285"/>
        <v>50129182.401341096</v>
      </c>
      <c r="AB245" s="54">
        <f t="shared" ca="1" si="285"/>
        <v>50324503.641933039</v>
      </c>
      <c r="AC245" s="54">
        <f t="shared" ca="1" si="285"/>
        <v>50541640.001664042</v>
      </c>
      <c r="AD245" s="54">
        <f t="shared" ca="1" si="285"/>
        <v>52389996.283895656</v>
      </c>
      <c r="AE245" s="54">
        <f t="shared" ca="1" si="285"/>
        <v>54007825.306815989</v>
      </c>
      <c r="AF245" s="54">
        <f t="shared" ca="1" si="285"/>
        <v>55647691.920678675</v>
      </c>
      <c r="AG245" s="54">
        <f t="shared" ca="1" si="285"/>
        <v>57424852.761638716</v>
      </c>
      <c r="AH245" s="54">
        <f t="shared" ref="AH245:BM245" ca="1" si="286">SUM(AH243:AH244)</f>
        <v>59292714.091241717</v>
      </c>
      <c r="AI245" s="54">
        <f t="shared" ca="1" si="286"/>
        <v>61193812.011145599</v>
      </c>
      <c r="AJ245" s="54">
        <f t="shared" ca="1" si="286"/>
        <v>63263136.824907243</v>
      </c>
      <c r="AK245" s="54">
        <f t="shared" ca="1" si="286"/>
        <v>65376041.635035962</v>
      </c>
      <c r="AL245" s="54">
        <f t="shared" ca="1" si="286"/>
        <v>67683794.144931942</v>
      </c>
      <c r="AM245" s="54">
        <f t="shared" ca="1" si="286"/>
        <v>70129943.506263748</v>
      </c>
      <c r="AN245" s="54">
        <f t="shared" ca="1" si="286"/>
        <v>72469649.352139443</v>
      </c>
      <c r="AO245" s="54">
        <f t="shared" ca="1" si="286"/>
        <v>75218472.490454465</v>
      </c>
      <c r="AP245" s="54">
        <f t="shared" ca="1" si="286"/>
        <v>75668604.132933304</v>
      </c>
      <c r="AQ245" s="54">
        <f t="shared" ca="1" si="286"/>
        <v>76144733.938533425</v>
      </c>
      <c r="AR245" s="54">
        <f t="shared" ca="1" si="286"/>
        <v>76616745.340131313</v>
      </c>
      <c r="AS245" s="54">
        <f t="shared" ca="1" si="286"/>
        <v>77116774.088111371</v>
      </c>
      <c r="AT245" s="54">
        <f t="shared" ca="1" si="286"/>
        <v>77630010.700704634</v>
      </c>
      <c r="AU245" s="54">
        <f t="shared" ca="1" si="286"/>
        <v>78139999.003545493</v>
      </c>
      <c r="AV245" s="54">
        <f t="shared" ca="1" si="286"/>
        <v>78681543.253068268</v>
      </c>
      <c r="AW245" s="54">
        <f t="shared" ca="1" si="286"/>
        <v>79220524.790023282</v>
      </c>
      <c r="AX245" s="54">
        <f t="shared" ca="1" si="286"/>
        <v>79793786.59797433</v>
      </c>
      <c r="AY245" s="54">
        <f t="shared" ca="1" si="286"/>
        <v>80384615.403284848</v>
      </c>
      <c r="AZ245" s="54">
        <f t="shared" ca="1" si="286"/>
        <v>80934246.859631836</v>
      </c>
      <c r="BA245" s="54">
        <f t="shared" ca="1" si="286"/>
        <v>81561495.531344801</v>
      </c>
      <c r="BB245" s="54">
        <f t="shared" ca="1" si="286"/>
        <v>81902035.125514165</v>
      </c>
      <c r="BC245" s="54">
        <f t="shared" ca="1" si="286"/>
        <v>82255419.828287393</v>
      </c>
      <c r="BD245" s="54">
        <f t="shared" ca="1" si="286"/>
        <v>82598856.729536831</v>
      </c>
      <c r="BE245" s="54">
        <f t="shared" ca="1" si="286"/>
        <v>82955248.025431305</v>
      </c>
      <c r="BF245" s="54">
        <f t="shared" ca="1" si="286"/>
        <v>83313177.051517397</v>
      </c>
      <c r="BG245" s="54">
        <f t="shared" ca="1" si="286"/>
        <v>83661030.353093773</v>
      </c>
      <c r="BH245" s="54">
        <f t="shared" ca="1" si="286"/>
        <v>84022004.635353327</v>
      </c>
      <c r="BI245" s="54">
        <f t="shared" ca="1" si="286"/>
        <v>84372817.468951061</v>
      </c>
      <c r="BJ245" s="54">
        <f t="shared" ca="1" si="286"/>
        <v>84736862.916389719</v>
      </c>
      <c r="BK245" s="54">
        <f t="shared" ca="1" si="286"/>
        <v>85101478.022080243</v>
      </c>
      <c r="BL245" s="54">
        <f t="shared" ca="1" si="286"/>
        <v>85443989.782851189</v>
      </c>
      <c r="BM245" s="54">
        <f t="shared" ca="1" si="286"/>
        <v>85811647.591897458</v>
      </c>
      <c r="BN245" s="54">
        <f t="shared" ref="BN245:CK245" ca="1" si="287">SUM(BN243:BN244)</f>
        <v>86168951.67530036</v>
      </c>
      <c r="BO245" s="54">
        <f t="shared" ca="1" si="287"/>
        <v>86539728.930216342</v>
      </c>
      <c r="BP245" s="54">
        <f t="shared" ca="1" si="287"/>
        <v>86900064.611805871</v>
      </c>
      <c r="BQ245" s="54">
        <f t="shared" ca="1" si="287"/>
        <v>87273987.77998133</v>
      </c>
      <c r="BR245" s="54">
        <f t="shared" ca="1" si="287"/>
        <v>87649519.905944377</v>
      </c>
      <c r="BS245" s="54">
        <f t="shared" ca="1" si="287"/>
        <v>88014476.55518198</v>
      </c>
      <c r="BT245" s="54">
        <f t="shared" ca="1" si="287"/>
        <v>88393194.937795788</v>
      </c>
      <c r="BU245" s="54">
        <f t="shared" ca="1" si="287"/>
        <v>88761248.114521921</v>
      </c>
      <c r="BV245" s="54">
        <f t="shared" ca="1" si="287"/>
        <v>89143179.788042009</v>
      </c>
      <c r="BW245" s="54">
        <f t="shared" ca="1" si="287"/>
        <v>89527808.033791721</v>
      </c>
      <c r="BX245" s="54">
        <f t="shared" ca="1" si="287"/>
        <v>89876640.424326986</v>
      </c>
      <c r="BY245" s="54">
        <f t="shared" ca="1" si="287"/>
        <v>90264433.35052146</v>
      </c>
      <c r="BZ245" s="54">
        <f t="shared" ca="1" si="287"/>
        <v>90641309.881547093</v>
      </c>
      <c r="CA245" s="54">
        <f t="shared" ca="1" si="287"/>
        <v>91032402.145645022</v>
      </c>
      <c r="CB245" s="54">
        <f t="shared" ca="1" si="287"/>
        <v>91412485.138005391</v>
      </c>
      <c r="CC245" s="54">
        <f t="shared" ca="1" si="287"/>
        <v>91806904.810736984</v>
      </c>
      <c r="CD245" s="54">
        <f t="shared" ca="1" si="287"/>
        <v>92203026.295622572</v>
      </c>
      <c r="CE245" s="54">
        <f t="shared" ca="1" si="287"/>
        <v>92587996.935890362</v>
      </c>
      <c r="CF245" s="54">
        <f t="shared" ca="1" si="287"/>
        <v>92987488.617964149</v>
      </c>
      <c r="CG245" s="54">
        <f t="shared" ca="1" si="287"/>
        <v>93375734.584158093</v>
      </c>
      <c r="CH245" s="54">
        <f t="shared" ca="1" si="287"/>
        <v>93778625.13702026</v>
      </c>
      <c r="CI245" s="54">
        <f t="shared" ca="1" si="287"/>
        <v>94183254.051548943</v>
      </c>
      <c r="CJ245" s="54">
        <f t="shared" ca="1" si="287"/>
        <v>94550225.726392031</v>
      </c>
      <c r="CK245" s="54">
        <f t="shared" ca="1" si="287"/>
        <v>94958183.884748638</v>
      </c>
    </row>
    <row r="246" spans="2:89">
      <c r="B246" s="14"/>
      <c r="C246" s="14"/>
      <c r="D246" s="14"/>
      <c r="E246" s="1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  <c r="BI246" s="154"/>
      <c r="BJ246" s="154"/>
      <c r="BK246" s="154"/>
      <c r="BL246" s="154"/>
      <c r="BM246" s="15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</row>
    <row r="247" spans="2:89" ht="18" thickBot="1">
      <c r="B247" s="100" t="s">
        <v>16</v>
      </c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</row>
    <row r="248" spans="2:89" ht="15.75" thickTop="1">
      <c r="B248" s="14"/>
      <c r="C248" s="14"/>
      <c r="D248" s="14"/>
      <c r="E248" s="1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  <c r="BI248" s="154"/>
      <c r="BJ248" s="154"/>
      <c r="BK248" s="154"/>
      <c r="BL248" s="154"/>
      <c r="BM248" s="15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</row>
    <row r="249" spans="2:89" ht="15.75" thickBot="1">
      <c r="B249" s="96" t="str">
        <f>"Затраты в текущих ценах, в "&amp;Ед_измерения_денег&amp;" в т.ч. НДС"</f>
        <v>Затраты в текущих ценах, в  руб. в т.ч. НДС</v>
      </c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</row>
    <row r="250" spans="2:89">
      <c r="B250" s="14"/>
      <c r="C250" s="14"/>
      <c r="D250" s="14"/>
      <c r="E250" s="1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  <c r="BI250" s="154"/>
      <c r="BJ250" s="154"/>
      <c r="BK250" s="154"/>
      <c r="BL250" s="154"/>
      <c r="BM250" s="15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</row>
    <row r="251" spans="2:89">
      <c r="B251" s="45" t="str">
        <f t="array" ref="B251:B259">Постоянные_затраты_наименования</f>
        <v>Вощина для отстройки сотов</v>
      </c>
      <c r="C251" s="46"/>
      <c r="D251" s="47">
        <f>SUM(F251:CKM251)</f>
        <v>3816000</v>
      </c>
      <c r="E251" s="48"/>
      <c r="F251" s="49">
        <f t="array" ref="F251:CK259">Постоянные_затраты_суммы*F14:CK14</f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49">
        <v>0</v>
      </c>
      <c r="O251" s="49">
        <v>0</v>
      </c>
      <c r="P251" s="49">
        <v>0</v>
      </c>
      <c r="Q251" s="49">
        <v>0</v>
      </c>
      <c r="R251" s="49">
        <v>53000</v>
      </c>
      <c r="S251" s="49">
        <v>53000</v>
      </c>
      <c r="T251" s="49">
        <v>53000</v>
      </c>
      <c r="U251" s="49">
        <v>53000</v>
      </c>
      <c r="V251" s="49">
        <v>53000</v>
      </c>
      <c r="W251" s="49">
        <v>53000</v>
      </c>
      <c r="X251" s="49">
        <v>53000</v>
      </c>
      <c r="Y251" s="49">
        <v>53000</v>
      </c>
      <c r="Z251" s="49">
        <v>53000</v>
      </c>
      <c r="AA251" s="49">
        <v>53000</v>
      </c>
      <c r="AB251" s="49">
        <v>53000</v>
      </c>
      <c r="AC251" s="49">
        <v>53000</v>
      </c>
      <c r="AD251" s="49">
        <v>53000</v>
      </c>
      <c r="AE251" s="49">
        <v>53000</v>
      </c>
      <c r="AF251" s="49">
        <v>53000</v>
      </c>
      <c r="AG251" s="49">
        <v>53000</v>
      </c>
      <c r="AH251" s="49">
        <v>53000</v>
      </c>
      <c r="AI251" s="49">
        <v>53000</v>
      </c>
      <c r="AJ251" s="49">
        <v>53000</v>
      </c>
      <c r="AK251" s="49">
        <v>53000</v>
      </c>
      <c r="AL251" s="49">
        <v>53000</v>
      </c>
      <c r="AM251" s="49">
        <v>53000</v>
      </c>
      <c r="AN251" s="49">
        <v>53000</v>
      </c>
      <c r="AO251" s="49">
        <v>53000</v>
      </c>
      <c r="AP251" s="49">
        <v>53000</v>
      </c>
      <c r="AQ251" s="49">
        <v>53000</v>
      </c>
      <c r="AR251" s="49">
        <v>53000</v>
      </c>
      <c r="AS251" s="49">
        <v>53000</v>
      </c>
      <c r="AT251" s="49">
        <v>53000</v>
      </c>
      <c r="AU251" s="49">
        <v>53000</v>
      </c>
      <c r="AV251" s="49">
        <v>53000</v>
      </c>
      <c r="AW251" s="49">
        <v>53000</v>
      </c>
      <c r="AX251" s="49">
        <v>53000</v>
      </c>
      <c r="AY251" s="49">
        <v>53000</v>
      </c>
      <c r="AZ251" s="49">
        <v>53000</v>
      </c>
      <c r="BA251" s="49">
        <v>53000</v>
      </c>
      <c r="BB251" s="49">
        <v>53000</v>
      </c>
      <c r="BC251" s="49">
        <v>53000</v>
      </c>
      <c r="BD251" s="49">
        <v>53000</v>
      </c>
      <c r="BE251" s="49">
        <v>53000</v>
      </c>
      <c r="BF251" s="49">
        <v>53000</v>
      </c>
      <c r="BG251" s="49">
        <v>53000</v>
      </c>
      <c r="BH251" s="49">
        <v>53000</v>
      </c>
      <c r="BI251" s="49">
        <v>53000</v>
      </c>
      <c r="BJ251" s="49">
        <v>53000</v>
      </c>
      <c r="BK251" s="49">
        <v>53000</v>
      </c>
      <c r="BL251" s="49">
        <v>53000</v>
      </c>
      <c r="BM251" s="49">
        <v>53000</v>
      </c>
      <c r="BN251" s="49">
        <v>53000</v>
      </c>
      <c r="BO251" s="49">
        <v>53000</v>
      </c>
      <c r="BP251" s="49">
        <v>53000</v>
      </c>
      <c r="BQ251" s="49">
        <v>53000</v>
      </c>
      <c r="BR251" s="49">
        <v>53000</v>
      </c>
      <c r="BS251" s="49">
        <v>53000</v>
      </c>
      <c r="BT251" s="49">
        <v>53000</v>
      </c>
      <c r="BU251" s="49">
        <v>53000</v>
      </c>
      <c r="BV251" s="49">
        <v>53000</v>
      </c>
      <c r="BW251" s="49">
        <v>53000</v>
      </c>
      <c r="BX251" s="49">
        <v>53000</v>
      </c>
      <c r="BY251" s="49">
        <v>53000</v>
      </c>
      <c r="BZ251" s="49">
        <v>53000</v>
      </c>
      <c r="CA251" s="49">
        <v>53000</v>
      </c>
      <c r="CB251" s="49">
        <v>53000</v>
      </c>
      <c r="CC251" s="49">
        <v>53000</v>
      </c>
      <c r="CD251" s="49">
        <v>53000</v>
      </c>
      <c r="CE251" s="49">
        <v>53000</v>
      </c>
      <c r="CF251" s="49">
        <v>53000</v>
      </c>
      <c r="CG251" s="49">
        <v>53000</v>
      </c>
      <c r="CH251" s="49">
        <v>53000</v>
      </c>
      <c r="CI251" s="49">
        <v>53000</v>
      </c>
      <c r="CJ251" s="49">
        <v>53000</v>
      </c>
      <c r="CK251" s="49">
        <v>53000</v>
      </c>
    </row>
    <row r="252" spans="2:89">
      <c r="B252" s="45" t="str">
        <v>Медикаменты для лечения пчел</v>
      </c>
      <c r="C252" s="46"/>
      <c r="D252" s="47">
        <f t="shared" ref="D252:D259" si="288">SUM(F252:CKM252)</f>
        <v>450000</v>
      </c>
      <c r="E252" s="48"/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49">
        <v>0</v>
      </c>
      <c r="O252" s="49">
        <v>0</v>
      </c>
      <c r="P252" s="49">
        <v>0</v>
      </c>
      <c r="Q252" s="49">
        <v>0</v>
      </c>
      <c r="R252" s="49">
        <v>6250</v>
      </c>
      <c r="S252" s="49">
        <v>6250</v>
      </c>
      <c r="T252" s="49">
        <v>6250</v>
      </c>
      <c r="U252" s="49">
        <v>6250</v>
      </c>
      <c r="V252" s="49">
        <v>6250</v>
      </c>
      <c r="W252" s="49">
        <v>6250</v>
      </c>
      <c r="X252" s="49">
        <v>6250</v>
      </c>
      <c r="Y252" s="49">
        <v>6250</v>
      </c>
      <c r="Z252" s="49">
        <v>6250</v>
      </c>
      <c r="AA252" s="49">
        <v>6250</v>
      </c>
      <c r="AB252" s="49">
        <v>6250</v>
      </c>
      <c r="AC252" s="49">
        <v>6250</v>
      </c>
      <c r="AD252" s="49">
        <v>6250</v>
      </c>
      <c r="AE252" s="49">
        <v>6250</v>
      </c>
      <c r="AF252" s="49">
        <v>6250</v>
      </c>
      <c r="AG252" s="49">
        <v>6250</v>
      </c>
      <c r="AH252" s="49">
        <v>6250</v>
      </c>
      <c r="AI252" s="49">
        <v>6250</v>
      </c>
      <c r="AJ252" s="49">
        <v>6250</v>
      </c>
      <c r="AK252" s="49">
        <v>6250</v>
      </c>
      <c r="AL252" s="49">
        <v>6250</v>
      </c>
      <c r="AM252" s="49">
        <v>6250</v>
      </c>
      <c r="AN252" s="49">
        <v>6250</v>
      </c>
      <c r="AO252" s="49">
        <v>6250</v>
      </c>
      <c r="AP252" s="49">
        <v>6250</v>
      </c>
      <c r="AQ252" s="49">
        <v>6250</v>
      </c>
      <c r="AR252" s="49">
        <v>6250</v>
      </c>
      <c r="AS252" s="49">
        <v>6250</v>
      </c>
      <c r="AT252" s="49">
        <v>6250</v>
      </c>
      <c r="AU252" s="49">
        <v>6250</v>
      </c>
      <c r="AV252" s="49">
        <v>6250</v>
      </c>
      <c r="AW252" s="49">
        <v>6250</v>
      </c>
      <c r="AX252" s="49">
        <v>6250</v>
      </c>
      <c r="AY252" s="49">
        <v>6250</v>
      </c>
      <c r="AZ252" s="49">
        <v>6250</v>
      </c>
      <c r="BA252" s="49">
        <v>6250</v>
      </c>
      <c r="BB252" s="49">
        <v>6250</v>
      </c>
      <c r="BC252" s="49">
        <v>6250</v>
      </c>
      <c r="BD252" s="49">
        <v>6250</v>
      </c>
      <c r="BE252" s="49">
        <v>6250</v>
      </c>
      <c r="BF252" s="49">
        <v>6250</v>
      </c>
      <c r="BG252" s="49">
        <v>6250</v>
      </c>
      <c r="BH252" s="49">
        <v>6250</v>
      </c>
      <c r="BI252" s="49">
        <v>6250</v>
      </c>
      <c r="BJ252" s="49">
        <v>6250</v>
      </c>
      <c r="BK252" s="49">
        <v>6250</v>
      </c>
      <c r="BL252" s="49">
        <v>6250</v>
      </c>
      <c r="BM252" s="49">
        <v>6250</v>
      </c>
      <c r="BN252" s="49">
        <v>6250</v>
      </c>
      <c r="BO252" s="49">
        <v>6250</v>
      </c>
      <c r="BP252" s="49">
        <v>6250</v>
      </c>
      <c r="BQ252" s="49">
        <v>6250</v>
      </c>
      <c r="BR252" s="49">
        <v>6250</v>
      </c>
      <c r="BS252" s="49">
        <v>6250</v>
      </c>
      <c r="BT252" s="49">
        <v>6250</v>
      </c>
      <c r="BU252" s="49">
        <v>6250</v>
      </c>
      <c r="BV252" s="49">
        <v>6250</v>
      </c>
      <c r="BW252" s="49">
        <v>6250</v>
      </c>
      <c r="BX252" s="49">
        <v>6250</v>
      </c>
      <c r="BY252" s="49">
        <v>6250</v>
      </c>
      <c r="BZ252" s="49">
        <v>6250</v>
      </c>
      <c r="CA252" s="49">
        <v>6250</v>
      </c>
      <c r="CB252" s="49">
        <v>6250</v>
      </c>
      <c r="CC252" s="49">
        <v>6250</v>
      </c>
      <c r="CD252" s="49">
        <v>6250</v>
      </c>
      <c r="CE252" s="49">
        <v>6250</v>
      </c>
      <c r="CF252" s="49">
        <v>6250</v>
      </c>
      <c r="CG252" s="49">
        <v>6250</v>
      </c>
      <c r="CH252" s="49">
        <v>6250</v>
      </c>
      <c r="CI252" s="49">
        <v>6250</v>
      </c>
      <c r="CJ252" s="49">
        <v>6250</v>
      </c>
      <c r="CK252" s="49">
        <v>6250</v>
      </c>
    </row>
    <row r="253" spans="2:89">
      <c r="B253" s="45" t="str">
        <v>Сахар для осенней подкормки</v>
      </c>
      <c r="C253" s="46"/>
      <c r="D253" s="47">
        <f t="shared" si="288"/>
        <v>1800000</v>
      </c>
      <c r="E253" s="48"/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49">
        <v>0</v>
      </c>
      <c r="O253" s="49">
        <v>0</v>
      </c>
      <c r="P253" s="49">
        <v>0</v>
      </c>
      <c r="Q253" s="49">
        <v>0</v>
      </c>
      <c r="R253" s="49">
        <v>25000</v>
      </c>
      <c r="S253" s="49">
        <v>25000</v>
      </c>
      <c r="T253" s="49">
        <v>25000</v>
      </c>
      <c r="U253" s="49">
        <v>25000</v>
      </c>
      <c r="V253" s="49">
        <v>25000</v>
      </c>
      <c r="W253" s="49">
        <v>25000</v>
      </c>
      <c r="X253" s="49">
        <v>25000</v>
      </c>
      <c r="Y253" s="49">
        <v>25000</v>
      </c>
      <c r="Z253" s="49">
        <v>25000</v>
      </c>
      <c r="AA253" s="49">
        <v>25000</v>
      </c>
      <c r="AB253" s="49">
        <v>25000</v>
      </c>
      <c r="AC253" s="49">
        <v>25000</v>
      </c>
      <c r="AD253" s="49">
        <v>25000</v>
      </c>
      <c r="AE253" s="49">
        <v>25000</v>
      </c>
      <c r="AF253" s="49">
        <v>25000</v>
      </c>
      <c r="AG253" s="49">
        <v>25000</v>
      </c>
      <c r="AH253" s="49">
        <v>25000</v>
      </c>
      <c r="AI253" s="49">
        <v>25000</v>
      </c>
      <c r="AJ253" s="49">
        <v>25000</v>
      </c>
      <c r="AK253" s="49">
        <v>25000</v>
      </c>
      <c r="AL253" s="49">
        <v>25000</v>
      </c>
      <c r="AM253" s="49">
        <v>25000</v>
      </c>
      <c r="AN253" s="49">
        <v>25000</v>
      </c>
      <c r="AO253" s="49">
        <v>25000</v>
      </c>
      <c r="AP253" s="49">
        <v>25000</v>
      </c>
      <c r="AQ253" s="49">
        <v>25000</v>
      </c>
      <c r="AR253" s="49">
        <v>25000</v>
      </c>
      <c r="AS253" s="49">
        <v>25000</v>
      </c>
      <c r="AT253" s="49">
        <v>25000</v>
      </c>
      <c r="AU253" s="49">
        <v>25000</v>
      </c>
      <c r="AV253" s="49">
        <v>25000</v>
      </c>
      <c r="AW253" s="49">
        <v>25000</v>
      </c>
      <c r="AX253" s="49">
        <v>25000</v>
      </c>
      <c r="AY253" s="49">
        <v>25000</v>
      </c>
      <c r="AZ253" s="49">
        <v>25000</v>
      </c>
      <c r="BA253" s="49">
        <v>25000</v>
      </c>
      <c r="BB253" s="49">
        <v>25000</v>
      </c>
      <c r="BC253" s="49">
        <v>25000</v>
      </c>
      <c r="BD253" s="49">
        <v>25000</v>
      </c>
      <c r="BE253" s="49">
        <v>25000</v>
      </c>
      <c r="BF253" s="49">
        <v>25000</v>
      </c>
      <c r="BG253" s="49">
        <v>25000</v>
      </c>
      <c r="BH253" s="49">
        <v>25000</v>
      </c>
      <c r="BI253" s="49">
        <v>25000</v>
      </c>
      <c r="BJ253" s="49">
        <v>25000</v>
      </c>
      <c r="BK253" s="49">
        <v>25000</v>
      </c>
      <c r="BL253" s="49">
        <v>25000</v>
      </c>
      <c r="BM253" s="49">
        <v>25000</v>
      </c>
      <c r="BN253" s="49">
        <v>25000</v>
      </c>
      <c r="BO253" s="49">
        <v>25000</v>
      </c>
      <c r="BP253" s="49">
        <v>25000</v>
      </c>
      <c r="BQ253" s="49">
        <v>25000</v>
      </c>
      <c r="BR253" s="49">
        <v>25000</v>
      </c>
      <c r="BS253" s="49">
        <v>25000</v>
      </c>
      <c r="BT253" s="49">
        <v>25000</v>
      </c>
      <c r="BU253" s="49">
        <v>25000</v>
      </c>
      <c r="BV253" s="49">
        <v>25000</v>
      </c>
      <c r="BW253" s="49">
        <v>25000</v>
      </c>
      <c r="BX253" s="49">
        <v>25000</v>
      </c>
      <c r="BY253" s="49">
        <v>25000</v>
      </c>
      <c r="BZ253" s="49">
        <v>25000</v>
      </c>
      <c r="CA253" s="49">
        <v>25000</v>
      </c>
      <c r="CB253" s="49">
        <v>25000</v>
      </c>
      <c r="CC253" s="49">
        <v>25000</v>
      </c>
      <c r="CD253" s="49">
        <v>25000</v>
      </c>
      <c r="CE253" s="49">
        <v>25000</v>
      </c>
      <c r="CF253" s="49">
        <v>25000</v>
      </c>
      <c r="CG253" s="49">
        <v>25000</v>
      </c>
      <c r="CH253" s="49">
        <v>25000</v>
      </c>
      <c r="CI253" s="49">
        <v>25000</v>
      </c>
      <c r="CJ253" s="49">
        <v>25000</v>
      </c>
      <c r="CK253" s="49">
        <v>25000</v>
      </c>
    </row>
    <row r="254" spans="2:89">
      <c r="B254" s="45" t="str">
        <v>Инвентарь и инструменты</v>
      </c>
      <c r="C254" s="46"/>
      <c r="D254" s="47">
        <f t="shared" si="288"/>
        <v>225000</v>
      </c>
      <c r="E254" s="48"/>
      <c r="F254" s="49">
        <v>0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49">
        <v>0</v>
      </c>
      <c r="O254" s="49">
        <v>0</v>
      </c>
      <c r="P254" s="49">
        <v>0</v>
      </c>
      <c r="Q254" s="49">
        <v>0</v>
      </c>
      <c r="R254" s="49">
        <v>3125</v>
      </c>
      <c r="S254" s="49">
        <v>3125</v>
      </c>
      <c r="T254" s="49">
        <v>3125</v>
      </c>
      <c r="U254" s="49">
        <v>3125</v>
      </c>
      <c r="V254" s="49">
        <v>3125</v>
      </c>
      <c r="W254" s="49">
        <v>3125</v>
      </c>
      <c r="X254" s="49">
        <v>3125</v>
      </c>
      <c r="Y254" s="49">
        <v>3125</v>
      </c>
      <c r="Z254" s="49">
        <v>3125</v>
      </c>
      <c r="AA254" s="49">
        <v>3125</v>
      </c>
      <c r="AB254" s="49">
        <v>3125</v>
      </c>
      <c r="AC254" s="49">
        <v>3125</v>
      </c>
      <c r="AD254" s="49">
        <v>3125</v>
      </c>
      <c r="AE254" s="49">
        <v>3125</v>
      </c>
      <c r="AF254" s="49">
        <v>3125</v>
      </c>
      <c r="AG254" s="49">
        <v>3125</v>
      </c>
      <c r="AH254" s="49">
        <v>3125</v>
      </c>
      <c r="AI254" s="49">
        <v>3125</v>
      </c>
      <c r="AJ254" s="49">
        <v>3125</v>
      </c>
      <c r="AK254" s="49">
        <v>3125</v>
      </c>
      <c r="AL254" s="49">
        <v>3125</v>
      </c>
      <c r="AM254" s="49">
        <v>3125</v>
      </c>
      <c r="AN254" s="49">
        <v>3125</v>
      </c>
      <c r="AO254" s="49">
        <v>3125</v>
      </c>
      <c r="AP254" s="49">
        <v>3125</v>
      </c>
      <c r="AQ254" s="49">
        <v>3125</v>
      </c>
      <c r="AR254" s="49">
        <v>3125</v>
      </c>
      <c r="AS254" s="49">
        <v>3125</v>
      </c>
      <c r="AT254" s="49">
        <v>3125</v>
      </c>
      <c r="AU254" s="49">
        <v>3125</v>
      </c>
      <c r="AV254" s="49">
        <v>3125</v>
      </c>
      <c r="AW254" s="49">
        <v>3125</v>
      </c>
      <c r="AX254" s="49">
        <v>3125</v>
      </c>
      <c r="AY254" s="49">
        <v>3125</v>
      </c>
      <c r="AZ254" s="49">
        <v>3125</v>
      </c>
      <c r="BA254" s="49">
        <v>3125</v>
      </c>
      <c r="BB254" s="49">
        <v>3125</v>
      </c>
      <c r="BC254" s="49">
        <v>3125</v>
      </c>
      <c r="BD254" s="49">
        <v>3125</v>
      </c>
      <c r="BE254" s="49">
        <v>3125</v>
      </c>
      <c r="BF254" s="49">
        <v>3125</v>
      </c>
      <c r="BG254" s="49">
        <v>3125</v>
      </c>
      <c r="BH254" s="49">
        <v>3125</v>
      </c>
      <c r="BI254" s="49">
        <v>3125</v>
      </c>
      <c r="BJ254" s="49">
        <v>3125</v>
      </c>
      <c r="BK254" s="49">
        <v>3125</v>
      </c>
      <c r="BL254" s="49">
        <v>3125</v>
      </c>
      <c r="BM254" s="49">
        <v>3125</v>
      </c>
      <c r="BN254" s="49">
        <v>3125</v>
      </c>
      <c r="BO254" s="49">
        <v>3125</v>
      </c>
      <c r="BP254" s="49">
        <v>3125</v>
      </c>
      <c r="BQ254" s="49">
        <v>3125</v>
      </c>
      <c r="BR254" s="49">
        <v>3125</v>
      </c>
      <c r="BS254" s="49">
        <v>3125</v>
      </c>
      <c r="BT254" s="49">
        <v>3125</v>
      </c>
      <c r="BU254" s="49">
        <v>3125</v>
      </c>
      <c r="BV254" s="49">
        <v>3125</v>
      </c>
      <c r="BW254" s="49">
        <v>3125</v>
      </c>
      <c r="BX254" s="49">
        <v>3125</v>
      </c>
      <c r="BY254" s="49">
        <v>3125</v>
      </c>
      <c r="BZ254" s="49">
        <v>3125</v>
      </c>
      <c r="CA254" s="49">
        <v>3125</v>
      </c>
      <c r="CB254" s="49">
        <v>3125</v>
      </c>
      <c r="CC254" s="49">
        <v>3125</v>
      </c>
      <c r="CD254" s="49">
        <v>3125</v>
      </c>
      <c r="CE254" s="49">
        <v>3125</v>
      </c>
      <c r="CF254" s="49">
        <v>3125</v>
      </c>
      <c r="CG254" s="49">
        <v>3125</v>
      </c>
      <c r="CH254" s="49">
        <v>3125</v>
      </c>
      <c r="CI254" s="49">
        <v>3125</v>
      </c>
      <c r="CJ254" s="49">
        <v>3125</v>
      </c>
      <c r="CK254" s="49">
        <v>3125</v>
      </c>
    </row>
    <row r="255" spans="2:89">
      <c r="B255" s="45" t="str">
        <v>Топливно-энергетические ресурсы</v>
      </c>
      <c r="C255" s="46"/>
      <c r="D255" s="47">
        <f t="shared" si="288"/>
        <v>27900000</v>
      </c>
      <c r="E255" s="48"/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49">
        <v>0</v>
      </c>
      <c r="O255" s="49">
        <v>0</v>
      </c>
      <c r="P255" s="49">
        <v>0</v>
      </c>
      <c r="Q255" s="49">
        <v>0</v>
      </c>
      <c r="R255" s="49">
        <v>387500</v>
      </c>
      <c r="S255" s="49">
        <v>387500</v>
      </c>
      <c r="T255" s="49">
        <v>387500</v>
      </c>
      <c r="U255" s="49">
        <v>387500</v>
      </c>
      <c r="V255" s="49">
        <v>387500</v>
      </c>
      <c r="W255" s="49">
        <v>387500</v>
      </c>
      <c r="X255" s="49">
        <v>387500</v>
      </c>
      <c r="Y255" s="49">
        <v>387500</v>
      </c>
      <c r="Z255" s="49">
        <v>387500</v>
      </c>
      <c r="AA255" s="49">
        <v>387500</v>
      </c>
      <c r="AB255" s="49">
        <v>387500</v>
      </c>
      <c r="AC255" s="49">
        <v>387500</v>
      </c>
      <c r="AD255" s="49">
        <v>387500</v>
      </c>
      <c r="AE255" s="49">
        <v>387500</v>
      </c>
      <c r="AF255" s="49">
        <v>387500</v>
      </c>
      <c r="AG255" s="49">
        <v>387500</v>
      </c>
      <c r="AH255" s="49">
        <v>387500</v>
      </c>
      <c r="AI255" s="49">
        <v>387500</v>
      </c>
      <c r="AJ255" s="49">
        <v>387500</v>
      </c>
      <c r="AK255" s="49">
        <v>387500</v>
      </c>
      <c r="AL255" s="49">
        <v>387500</v>
      </c>
      <c r="AM255" s="49">
        <v>387500</v>
      </c>
      <c r="AN255" s="49">
        <v>387500</v>
      </c>
      <c r="AO255" s="49">
        <v>387500</v>
      </c>
      <c r="AP255" s="49">
        <v>387500</v>
      </c>
      <c r="AQ255" s="49">
        <v>387500</v>
      </c>
      <c r="AR255" s="49">
        <v>387500</v>
      </c>
      <c r="AS255" s="49">
        <v>387500</v>
      </c>
      <c r="AT255" s="49">
        <v>387500</v>
      </c>
      <c r="AU255" s="49">
        <v>387500</v>
      </c>
      <c r="AV255" s="49">
        <v>387500</v>
      </c>
      <c r="AW255" s="49">
        <v>387500</v>
      </c>
      <c r="AX255" s="49">
        <v>387500</v>
      </c>
      <c r="AY255" s="49">
        <v>387500</v>
      </c>
      <c r="AZ255" s="49">
        <v>387500</v>
      </c>
      <c r="BA255" s="49">
        <v>387500</v>
      </c>
      <c r="BB255" s="49">
        <v>387500</v>
      </c>
      <c r="BC255" s="49">
        <v>387500</v>
      </c>
      <c r="BD255" s="49">
        <v>387500</v>
      </c>
      <c r="BE255" s="49">
        <v>387500</v>
      </c>
      <c r="BF255" s="49">
        <v>387500</v>
      </c>
      <c r="BG255" s="49">
        <v>387500</v>
      </c>
      <c r="BH255" s="49">
        <v>387500</v>
      </c>
      <c r="BI255" s="49">
        <v>387500</v>
      </c>
      <c r="BJ255" s="49">
        <v>387500</v>
      </c>
      <c r="BK255" s="49">
        <v>387500</v>
      </c>
      <c r="BL255" s="49">
        <v>387500</v>
      </c>
      <c r="BM255" s="49">
        <v>387500</v>
      </c>
      <c r="BN255" s="49">
        <v>387500</v>
      </c>
      <c r="BO255" s="49">
        <v>387500</v>
      </c>
      <c r="BP255" s="49">
        <v>387500</v>
      </c>
      <c r="BQ255" s="49">
        <v>387500</v>
      </c>
      <c r="BR255" s="49">
        <v>387500</v>
      </c>
      <c r="BS255" s="49">
        <v>387500</v>
      </c>
      <c r="BT255" s="49">
        <v>387500</v>
      </c>
      <c r="BU255" s="49">
        <v>387500</v>
      </c>
      <c r="BV255" s="49">
        <v>387500</v>
      </c>
      <c r="BW255" s="49">
        <v>387500</v>
      </c>
      <c r="BX255" s="49">
        <v>387500</v>
      </c>
      <c r="BY255" s="49">
        <v>387500</v>
      </c>
      <c r="BZ255" s="49">
        <v>387500</v>
      </c>
      <c r="CA255" s="49">
        <v>387500</v>
      </c>
      <c r="CB255" s="49">
        <v>387500</v>
      </c>
      <c r="CC255" s="49">
        <v>387500</v>
      </c>
      <c r="CD255" s="49">
        <v>387500</v>
      </c>
      <c r="CE255" s="49">
        <v>387500</v>
      </c>
      <c r="CF255" s="49">
        <v>387500</v>
      </c>
      <c r="CG255" s="49">
        <v>387500</v>
      </c>
      <c r="CH255" s="49">
        <v>387500</v>
      </c>
      <c r="CI255" s="49">
        <v>387500</v>
      </c>
      <c r="CJ255" s="49">
        <v>387500</v>
      </c>
      <c r="CK255" s="49">
        <v>387500</v>
      </c>
    </row>
    <row r="256" spans="2:89">
      <c r="B256" s="45" t="str">
        <v>Прочие постоянные затраты</v>
      </c>
      <c r="C256" s="46"/>
      <c r="D256" s="47">
        <f t="shared" si="288"/>
        <v>72000000</v>
      </c>
      <c r="E256" s="48"/>
      <c r="F256" s="49">
        <v>0</v>
      </c>
      <c r="G256" s="49">
        <v>0</v>
      </c>
      <c r="H256" s="49">
        <v>0</v>
      </c>
      <c r="I256" s="49">
        <v>0</v>
      </c>
      <c r="J256" s="49">
        <v>0</v>
      </c>
      <c r="K256" s="49">
        <v>0</v>
      </c>
      <c r="L256" s="49">
        <v>0</v>
      </c>
      <c r="M256" s="49">
        <v>0</v>
      </c>
      <c r="N256" s="49">
        <v>0</v>
      </c>
      <c r="O256" s="49">
        <v>0</v>
      </c>
      <c r="P256" s="49">
        <v>0</v>
      </c>
      <c r="Q256" s="49">
        <v>0</v>
      </c>
      <c r="R256" s="49">
        <v>1000000</v>
      </c>
      <c r="S256" s="49">
        <v>1000000</v>
      </c>
      <c r="T256" s="49">
        <v>1000000</v>
      </c>
      <c r="U256" s="49">
        <v>1000000</v>
      </c>
      <c r="V256" s="49">
        <v>1000000</v>
      </c>
      <c r="W256" s="49">
        <v>1000000</v>
      </c>
      <c r="X256" s="49">
        <v>1000000</v>
      </c>
      <c r="Y256" s="49">
        <v>1000000</v>
      </c>
      <c r="Z256" s="49">
        <v>1000000</v>
      </c>
      <c r="AA256" s="49">
        <v>1000000</v>
      </c>
      <c r="AB256" s="49">
        <v>1000000</v>
      </c>
      <c r="AC256" s="49">
        <v>1000000</v>
      </c>
      <c r="AD256" s="49">
        <v>1000000</v>
      </c>
      <c r="AE256" s="49">
        <v>1000000</v>
      </c>
      <c r="AF256" s="49">
        <v>1000000</v>
      </c>
      <c r="AG256" s="49">
        <v>1000000</v>
      </c>
      <c r="AH256" s="49">
        <v>1000000</v>
      </c>
      <c r="AI256" s="49">
        <v>1000000</v>
      </c>
      <c r="AJ256" s="49">
        <v>1000000</v>
      </c>
      <c r="AK256" s="49">
        <v>1000000</v>
      </c>
      <c r="AL256" s="49">
        <v>1000000</v>
      </c>
      <c r="AM256" s="49">
        <v>1000000</v>
      </c>
      <c r="AN256" s="49">
        <v>1000000</v>
      </c>
      <c r="AO256" s="49">
        <v>1000000</v>
      </c>
      <c r="AP256" s="49">
        <v>1000000</v>
      </c>
      <c r="AQ256" s="49">
        <v>1000000</v>
      </c>
      <c r="AR256" s="49">
        <v>1000000</v>
      </c>
      <c r="AS256" s="49">
        <v>1000000</v>
      </c>
      <c r="AT256" s="49">
        <v>1000000</v>
      </c>
      <c r="AU256" s="49">
        <v>1000000</v>
      </c>
      <c r="AV256" s="49">
        <v>1000000</v>
      </c>
      <c r="AW256" s="49">
        <v>1000000</v>
      </c>
      <c r="AX256" s="49">
        <v>1000000</v>
      </c>
      <c r="AY256" s="49">
        <v>1000000</v>
      </c>
      <c r="AZ256" s="49">
        <v>1000000</v>
      </c>
      <c r="BA256" s="49">
        <v>1000000</v>
      </c>
      <c r="BB256" s="49">
        <v>1000000</v>
      </c>
      <c r="BC256" s="49">
        <v>1000000</v>
      </c>
      <c r="BD256" s="49">
        <v>1000000</v>
      </c>
      <c r="BE256" s="49">
        <v>1000000</v>
      </c>
      <c r="BF256" s="49">
        <v>1000000</v>
      </c>
      <c r="BG256" s="49">
        <v>1000000</v>
      </c>
      <c r="BH256" s="49">
        <v>1000000</v>
      </c>
      <c r="BI256" s="49">
        <v>1000000</v>
      </c>
      <c r="BJ256" s="49">
        <v>1000000</v>
      </c>
      <c r="BK256" s="49">
        <v>1000000</v>
      </c>
      <c r="BL256" s="49">
        <v>1000000</v>
      </c>
      <c r="BM256" s="49">
        <v>1000000</v>
      </c>
      <c r="BN256" s="49">
        <v>1000000</v>
      </c>
      <c r="BO256" s="49">
        <v>1000000</v>
      </c>
      <c r="BP256" s="49">
        <v>1000000</v>
      </c>
      <c r="BQ256" s="49">
        <v>1000000</v>
      </c>
      <c r="BR256" s="49">
        <v>1000000</v>
      </c>
      <c r="BS256" s="49">
        <v>1000000</v>
      </c>
      <c r="BT256" s="49">
        <v>1000000</v>
      </c>
      <c r="BU256" s="49">
        <v>1000000</v>
      </c>
      <c r="BV256" s="49">
        <v>1000000</v>
      </c>
      <c r="BW256" s="49">
        <v>1000000</v>
      </c>
      <c r="BX256" s="49">
        <v>1000000</v>
      </c>
      <c r="BY256" s="49">
        <v>1000000</v>
      </c>
      <c r="BZ256" s="49">
        <v>1000000</v>
      </c>
      <c r="CA256" s="49">
        <v>1000000</v>
      </c>
      <c r="CB256" s="49">
        <v>1000000</v>
      </c>
      <c r="CC256" s="49">
        <v>1000000</v>
      </c>
      <c r="CD256" s="49">
        <v>1000000</v>
      </c>
      <c r="CE256" s="49">
        <v>1000000</v>
      </c>
      <c r="CF256" s="49">
        <v>1000000</v>
      </c>
      <c r="CG256" s="49">
        <v>1000000</v>
      </c>
      <c r="CH256" s="49">
        <v>1000000</v>
      </c>
      <c r="CI256" s="49">
        <v>1000000</v>
      </c>
      <c r="CJ256" s="49">
        <v>1000000</v>
      </c>
      <c r="CK256" s="49">
        <v>1000000</v>
      </c>
    </row>
    <row r="257" spans="2:89">
      <c r="B257" s="45" t="str">
        <v>Пусто</v>
      </c>
      <c r="C257" s="46"/>
      <c r="D257" s="47">
        <f t="shared" si="288"/>
        <v>0</v>
      </c>
      <c r="E257" s="48"/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49">
        <v>0</v>
      </c>
      <c r="O257" s="49">
        <v>0</v>
      </c>
      <c r="P257" s="49">
        <v>0</v>
      </c>
      <c r="Q257" s="49">
        <v>0</v>
      </c>
      <c r="R257" s="49">
        <v>0</v>
      </c>
      <c r="S257" s="49">
        <v>0</v>
      </c>
      <c r="T257" s="49">
        <v>0</v>
      </c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0</v>
      </c>
      <c r="AB257" s="49">
        <v>0</v>
      </c>
      <c r="AC257" s="49">
        <v>0</v>
      </c>
      <c r="AD257" s="49">
        <v>0</v>
      </c>
      <c r="AE257" s="49">
        <v>0</v>
      </c>
      <c r="AF257" s="49">
        <v>0</v>
      </c>
      <c r="AG257" s="49">
        <v>0</v>
      </c>
      <c r="AH257" s="49">
        <v>0</v>
      </c>
      <c r="AI257" s="49">
        <v>0</v>
      </c>
      <c r="AJ257" s="49">
        <v>0</v>
      </c>
      <c r="AK257" s="49">
        <v>0</v>
      </c>
      <c r="AL257" s="49">
        <v>0</v>
      </c>
      <c r="AM257" s="49">
        <v>0</v>
      </c>
      <c r="AN257" s="49">
        <v>0</v>
      </c>
      <c r="AO257" s="49">
        <v>0</v>
      </c>
      <c r="AP257" s="49">
        <v>0</v>
      </c>
      <c r="AQ257" s="49">
        <v>0</v>
      </c>
      <c r="AR257" s="49">
        <v>0</v>
      </c>
      <c r="AS257" s="49">
        <v>0</v>
      </c>
      <c r="AT257" s="49">
        <v>0</v>
      </c>
      <c r="AU257" s="49">
        <v>0</v>
      </c>
      <c r="AV257" s="49">
        <v>0</v>
      </c>
      <c r="AW257" s="49">
        <v>0</v>
      </c>
      <c r="AX257" s="49">
        <v>0</v>
      </c>
      <c r="AY257" s="49">
        <v>0</v>
      </c>
      <c r="AZ257" s="49">
        <v>0</v>
      </c>
      <c r="BA257" s="49">
        <v>0</v>
      </c>
      <c r="BB257" s="49">
        <v>0</v>
      </c>
      <c r="BC257" s="49">
        <v>0</v>
      </c>
      <c r="BD257" s="49">
        <v>0</v>
      </c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9">
        <v>0</v>
      </c>
      <c r="BK257" s="49">
        <v>0</v>
      </c>
      <c r="BL257" s="49">
        <v>0</v>
      </c>
      <c r="BM257" s="49">
        <v>0</v>
      </c>
      <c r="BN257" s="49">
        <v>0</v>
      </c>
      <c r="BO257" s="49">
        <v>0</v>
      </c>
      <c r="BP257" s="49">
        <v>0</v>
      </c>
      <c r="BQ257" s="49">
        <v>0</v>
      </c>
      <c r="BR257" s="49">
        <v>0</v>
      </c>
      <c r="BS257" s="49">
        <v>0</v>
      </c>
      <c r="BT257" s="49">
        <v>0</v>
      </c>
      <c r="BU257" s="49">
        <v>0</v>
      </c>
      <c r="BV257" s="49">
        <v>0</v>
      </c>
      <c r="BW257" s="49">
        <v>0</v>
      </c>
      <c r="BX257" s="49">
        <v>0</v>
      </c>
      <c r="BY257" s="49">
        <v>0</v>
      </c>
      <c r="BZ257" s="49">
        <v>0</v>
      </c>
      <c r="CA257" s="49">
        <v>0</v>
      </c>
      <c r="CB257" s="49">
        <v>0</v>
      </c>
      <c r="CC257" s="49">
        <v>0</v>
      </c>
      <c r="CD257" s="49">
        <v>0</v>
      </c>
      <c r="CE257" s="49">
        <v>0</v>
      </c>
      <c r="CF257" s="49">
        <v>0</v>
      </c>
      <c r="CG257" s="49">
        <v>0</v>
      </c>
      <c r="CH257" s="49">
        <v>0</v>
      </c>
      <c r="CI257" s="49">
        <v>0</v>
      </c>
      <c r="CJ257" s="49">
        <v>0</v>
      </c>
      <c r="CK257" s="49">
        <v>0</v>
      </c>
    </row>
    <row r="258" spans="2:89">
      <c r="B258" s="86" t="str">
        <v>Пусто</v>
      </c>
      <c r="C258" s="46"/>
      <c r="D258" s="47">
        <f t="shared" si="288"/>
        <v>0</v>
      </c>
      <c r="E258" s="48"/>
      <c r="F258" s="176">
        <v>0</v>
      </c>
      <c r="G258" s="176">
        <v>0</v>
      </c>
      <c r="H258" s="176">
        <v>0</v>
      </c>
      <c r="I258" s="176">
        <v>0</v>
      </c>
      <c r="J258" s="176">
        <v>0</v>
      </c>
      <c r="K258" s="176">
        <v>0</v>
      </c>
      <c r="L258" s="176">
        <v>0</v>
      </c>
      <c r="M258" s="176">
        <v>0</v>
      </c>
      <c r="N258" s="176">
        <v>0</v>
      </c>
      <c r="O258" s="176">
        <v>0</v>
      </c>
      <c r="P258" s="176">
        <v>0</v>
      </c>
      <c r="Q258" s="176">
        <v>0</v>
      </c>
      <c r="R258" s="176">
        <v>0</v>
      </c>
      <c r="S258" s="176">
        <v>0</v>
      </c>
      <c r="T258" s="176">
        <v>0</v>
      </c>
      <c r="U258" s="176">
        <v>0</v>
      </c>
      <c r="V258" s="176">
        <v>0</v>
      </c>
      <c r="W258" s="176">
        <v>0</v>
      </c>
      <c r="X258" s="176">
        <v>0</v>
      </c>
      <c r="Y258" s="176">
        <v>0</v>
      </c>
      <c r="Z258" s="176">
        <v>0</v>
      </c>
      <c r="AA258" s="176">
        <v>0</v>
      </c>
      <c r="AB258" s="176">
        <v>0</v>
      </c>
      <c r="AC258" s="176">
        <v>0</v>
      </c>
      <c r="AD258" s="176">
        <v>0</v>
      </c>
      <c r="AE258" s="176">
        <v>0</v>
      </c>
      <c r="AF258" s="176">
        <v>0</v>
      </c>
      <c r="AG258" s="176">
        <v>0</v>
      </c>
      <c r="AH258" s="176">
        <v>0</v>
      </c>
      <c r="AI258" s="176">
        <v>0</v>
      </c>
      <c r="AJ258" s="176">
        <v>0</v>
      </c>
      <c r="AK258" s="176">
        <v>0</v>
      </c>
      <c r="AL258" s="176">
        <v>0</v>
      </c>
      <c r="AM258" s="176">
        <v>0</v>
      </c>
      <c r="AN258" s="176">
        <v>0</v>
      </c>
      <c r="AO258" s="176">
        <v>0</v>
      </c>
      <c r="AP258" s="176">
        <v>0</v>
      </c>
      <c r="AQ258" s="176">
        <v>0</v>
      </c>
      <c r="AR258" s="176">
        <v>0</v>
      </c>
      <c r="AS258" s="176">
        <v>0</v>
      </c>
      <c r="AT258" s="176">
        <v>0</v>
      </c>
      <c r="AU258" s="176">
        <v>0</v>
      </c>
      <c r="AV258" s="176">
        <v>0</v>
      </c>
      <c r="AW258" s="176">
        <v>0</v>
      </c>
      <c r="AX258" s="176">
        <v>0</v>
      </c>
      <c r="AY258" s="176">
        <v>0</v>
      </c>
      <c r="AZ258" s="176">
        <v>0</v>
      </c>
      <c r="BA258" s="176">
        <v>0</v>
      </c>
      <c r="BB258" s="176">
        <v>0</v>
      </c>
      <c r="BC258" s="176">
        <v>0</v>
      </c>
      <c r="BD258" s="176">
        <v>0</v>
      </c>
      <c r="BE258" s="176">
        <v>0</v>
      </c>
      <c r="BF258" s="176">
        <v>0</v>
      </c>
      <c r="BG258" s="176">
        <v>0</v>
      </c>
      <c r="BH258" s="176">
        <v>0</v>
      </c>
      <c r="BI258" s="176">
        <v>0</v>
      </c>
      <c r="BJ258" s="176">
        <v>0</v>
      </c>
      <c r="BK258" s="176">
        <v>0</v>
      </c>
      <c r="BL258" s="176">
        <v>0</v>
      </c>
      <c r="BM258" s="176">
        <v>0</v>
      </c>
      <c r="BN258" s="176">
        <v>0</v>
      </c>
      <c r="BO258" s="176">
        <v>0</v>
      </c>
      <c r="BP258" s="176">
        <v>0</v>
      </c>
      <c r="BQ258" s="176">
        <v>0</v>
      </c>
      <c r="BR258" s="176">
        <v>0</v>
      </c>
      <c r="BS258" s="176">
        <v>0</v>
      </c>
      <c r="BT258" s="176">
        <v>0</v>
      </c>
      <c r="BU258" s="176">
        <v>0</v>
      </c>
      <c r="BV258" s="176">
        <v>0</v>
      </c>
      <c r="BW258" s="176">
        <v>0</v>
      </c>
      <c r="BX258" s="176">
        <v>0</v>
      </c>
      <c r="BY258" s="176">
        <v>0</v>
      </c>
      <c r="BZ258" s="176">
        <v>0</v>
      </c>
      <c r="CA258" s="176">
        <v>0</v>
      </c>
      <c r="CB258" s="176">
        <v>0</v>
      </c>
      <c r="CC258" s="176">
        <v>0</v>
      </c>
      <c r="CD258" s="176">
        <v>0</v>
      </c>
      <c r="CE258" s="176">
        <v>0</v>
      </c>
      <c r="CF258" s="176">
        <v>0</v>
      </c>
      <c r="CG258" s="176">
        <v>0</v>
      </c>
      <c r="CH258" s="176">
        <v>0</v>
      </c>
      <c r="CI258" s="176">
        <v>0</v>
      </c>
      <c r="CJ258" s="176">
        <v>0</v>
      </c>
      <c r="CK258" s="176">
        <v>0</v>
      </c>
    </row>
    <row r="259" spans="2:89" ht="15.75" thickBot="1">
      <c r="B259" s="86" t="str">
        <v>Пусто</v>
      </c>
      <c r="C259" s="46"/>
      <c r="D259" s="47">
        <f t="shared" si="288"/>
        <v>0</v>
      </c>
      <c r="E259" s="48"/>
      <c r="F259" s="176">
        <v>0</v>
      </c>
      <c r="G259" s="176">
        <v>0</v>
      </c>
      <c r="H259" s="176">
        <v>0</v>
      </c>
      <c r="I259" s="176">
        <v>0</v>
      </c>
      <c r="J259" s="176">
        <v>0</v>
      </c>
      <c r="K259" s="176">
        <v>0</v>
      </c>
      <c r="L259" s="176">
        <v>0</v>
      </c>
      <c r="M259" s="176">
        <v>0</v>
      </c>
      <c r="N259" s="176">
        <v>0</v>
      </c>
      <c r="O259" s="176">
        <v>0</v>
      </c>
      <c r="P259" s="176">
        <v>0</v>
      </c>
      <c r="Q259" s="176">
        <v>0</v>
      </c>
      <c r="R259" s="176">
        <v>0</v>
      </c>
      <c r="S259" s="176">
        <v>0</v>
      </c>
      <c r="T259" s="176">
        <v>0</v>
      </c>
      <c r="U259" s="176">
        <v>0</v>
      </c>
      <c r="V259" s="176">
        <v>0</v>
      </c>
      <c r="W259" s="176">
        <v>0</v>
      </c>
      <c r="X259" s="176">
        <v>0</v>
      </c>
      <c r="Y259" s="176">
        <v>0</v>
      </c>
      <c r="Z259" s="176">
        <v>0</v>
      </c>
      <c r="AA259" s="176">
        <v>0</v>
      </c>
      <c r="AB259" s="176">
        <v>0</v>
      </c>
      <c r="AC259" s="176">
        <v>0</v>
      </c>
      <c r="AD259" s="176">
        <v>0</v>
      </c>
      <c r="AE259" s="176">
        <v>0</v>
      </c>
      <c r="AF259" s="176">
        <v>0</v>
      </c>
      <c r="AG259" s="176">
        <v>0</v>
      </c>
      <c r="AH259" s="176">
        <v>0</v>
      </c>
      <c r="AI259" s="176">
        <v>0</v>
      </c>
      <c r="AJ259" s="176">
        <v>0</v>
      </c>
      <c r="AK259" s="176">
        <v>0</v>
      </c>
      <c r="AL259" s="176">
        <v>0</v>
      </c>
      <c r="AM259" s="176">
        <v>0</v>
      </c>
      <c r="AN259" s="176">
        <v>0</v>
      </c>
      <c r="AO259" s="176">
        <v>0</v>
      </c>
      <c r="AP259" s="176">
        <v>0</v>
      </c>
      <c r="AQ259" s="176">
        <v>0</v>
      </c>
      <c r="AR259" s="176">
        <v>0</v>
      </c>
      <c r="AS259" s="176">
        <v>0</v>
      </c>
      <c r="AT259" s="176">
        <v>0</v>
      </c>
      <c r="AU259" s="176">
        <v>0</v>
      </c>
      <c r="AV259" s="176">
        <v>0</v>
      </c>
      <c r="AW259" s="176">
        <v>0</v>
      </c>
      <c r="AX259" s="176">
        <v>0</v>
      </c>
      <c r="AY259" s="176">
        <v>0</v>
      </c>
      <c r="AZ259" s="176">
        <v>0</v>
      </c>
      <c r="BA259" s="176">
        <v>0</v>
      </c>
      <c r="BB259" s="176">
        <v>0</v>
      </c>
      <c r="BC259" s="176">
        <v>0</v>
      </c>
      <c r="BD259" s="176">
        <v>0</v>
      </c>
      <c r="BE259" s="176">
        <v>0</v>
      </c>
      <c r="BF259" s="176">
        <v>0</v>
      </c>
      <c r="BG259" s="176">
        <v>0</v>
      </c>
      <c r="BH259" s="176">
        <v>0</v>
      </c>
      <c r="BI259" s="176">
        <v>0</v>
      </c>
      <c r="BJ259" s="176">
        <v>0</v>
      </c>
      <c r="BK259" s="176">
        <v>0</v>
      </c>
      <c r="BL259" s="176">
        <v>0</v>
      </c>
      <c r="BM259" s="176">
        <v>0</v>
      </c>
      <c r="BN259" s="176">
        <v>0</v>
      </c>
      <c r="BO259" s="176">
        <v>0</v>
      </c>
      <c r="BP259" s="176">
        <v>0</v>
      </c>
      <c r="BQ259" s="176">
        <v>0</v>
      </c>
      <c r="BR259" s="176">
        <v>0</v>
      </c>
      <c r="BS259" s="176">
        <v>0</v>
      </c>
      <c r="BT259" s="176">
        <v>0</v>
      </c>
      <c r="BU259" s="176">
        <v>0</v>
      </c>
      <c r="BV259" s="176">
        <v>0</v>
      </c>
      <c r="BW259" s="176">
        <v>0</v>
      </c>
      <c r="BX259" s="176">
        <v>0</v>
      </c>
      <c r="BY259" s="176">
        <v>0</v>
      </c>
      <c r="BZ259" s="176">
        <v>0</v>
      </c>
      <c r="CA259" s="176">
        <v>0</v>
      </c>
      <c r="CB259" s="176">
        <v>0</v>
      </c>
      <c r="CC259" s="176">
        <v>0</v>
      </c>
      <c r="CD259" s="176">
        <v>0</v>
      </c>
      <c r="CE259" s="176">
        <v>0</v>
      </c>
      <c r="CF259" s="176">
        <v>0</v>
      </c>
      <c r="CG259" s="176">
        <v>0</v>
      </c>
      <c r="CH259" s="176">
        <v>0</v>
      </c>
      <c r="CI259" s="176">
        <v>0</v>
      </c>
      <c r="CJ259" s="176">
        <v>0</v>
      </c>
      <c r="CK259" s="176">
        <v>0</v>
      </c>
    </row>
    <row r="260" spans="2:89" ht="15.75" thickTop="1">
      <c r="B260" s="50" t="s">
        <v>50</v>
      </c>
      <c r="C260" s="51"/>
      <c r="D260" s="52">
        <f>SUM(D251:D259)</f>
        <v>106191000</v>
      </c>
      <c r="E260" s="53"/>
      <c r="F260" s="54">
        <f>SUM(F251:F259)</f>
        <v>0</v>
      </c>
      <c r="G260" s="54">
        <f t="shared" ref="G260:AG260" si="289">SUM(G251:G259)</f>
        <v>0</v>
      </c>
      <c r="H260" s="54">
        <f t="shared" si="289"/>
        <v>0</v>
      </c>
      <c r="I260" s="54">
        <f t="shared" si="289"/>
        <v>0</v>
      </c>
      <c r="J260" s="54">
        <f t="shared" si="289"/>
        <v>0</v>
      </c>
      <c r="K260" s="54">
        <f t="shared" si="289"/>
        <v>0</v>
      </c>
      <c r="L260" s="54">
        <f t="shared" si="289"/>
        <v>0</v>
      </c>
      <c r="M260" s="54">
        <f t="shared" si="289"/>
        <v>0</v>
      </c>
      <c r="N260" s="54">
        <f t="shared" si="289"/>
        <v>0</v>
      </c>
      <c r="O260" s="54">
        <f t="shared" si="289"/>
        <v>0</v>
      </c>
      <c r="P260" s="54">
        <f t="shared" si="289"/>
        <v>0</v>
      </c>
      <c r="Q260" s="54">
        <f t="shared" si="289"/>
        <v>0</v>
      </c>
      <c r="R260" s="54">
        <f t="shared" si="289"/>
        <v>1474875</v>
      </c>
      <c r="S260" s="54">
        <f t="shared" si="289"/>
        <v>1474875</v>
      </c>
      <c r="T260" s="54">
        <f t="shared" si="289"/>
        <v>1474875</v>
      </c>
      <c r="U260" s="54">
        <f t="shared" si="289"/>
        <v>1474875</v>
      </c>
      <c r="V260" s="54">
        <f t="shared" si="289"/>
        <v>1474875</v>
      </c>
      <c r="W260" s="54">
        <f t="shared" si="289"/>
        <v>1474875</v>
      </c>
      <c r="X260" s="54">
        <f t="shared" si="289"/>
        <v>1474875</v>
      </c>
      <c r="Y260" s="54">
        <f t="shared" si="289"/>
        <v>1474875</v>
      </c>
      <c r="Z260" s="54">
        <f t="shared" si="289"/>
        <v>1474875</v>
      </c>
      <c r="AA260" s="54">
        <f t="shared" si="289"/>
        <v>1474875</v>
      </c>
      <c r="AB260" s="54">
        <f t="shared" si="289"/>
        <v>1474875</v>
      </c>
      <c r="AC260" s="54">
        <f t="shared" si="289"/>
        <v>1474875</v>
      </c>
      <c r="AD260" s="54">
        <f t="shared" si="289"/>
        <v>1474875</v>
      </c>
      <c r="AE260" s="54">
        <f t="shared" si="289"/>
        <v>1474875</v>
      </c>
      <c r="AF260" s="54">
        <f t="shared" si="289"/>
        <v>1474875</v>
      </c>
      <c r="AG260" s="54">
        <f t="shared" si="289"/>
        <v>1474875</v>
      </c>
      <c r="AH260" s="54">
        <f t="shared" ref="AH260:BM260" si="290">SUM(AH251:AH259)</f>
        <v>1474875</v>
      </c>
      <c r="AI260" s="54">
        <f t="shared" si="290"/>
        <v>1474875</v>
      </c>
      <c r="AJ260" s="54">
        <f t="shared" si="290"/>
        <v>1474875</v>
      </c>
      <c r="AK260" s="54">
        <f t="shared" si="290"/>
        <v>1474875</v>
      </c>
      <c r="AL260" s="54">
        <f t="shared" si="290"/>
        <v>1474875</v>
      </c>
      <c r="AM260" s="54">
        <f t="shared" si="290"/>
        <v>1474875</v>
      </c>
      <c r="AN260" s="54">
        <f t="shared" si="290"/>
        <v>1474875</v>
      </c>
      <c r="AO260" s="54">
        <f t="shared" si="290"/>
        <v>1474875</v>
      </c>
      <c r="AP260" s="54">
        <f t="shared" si="290"/>
        <v>1474875</v>
      </c>
      <c r="AQ260" s="54">
        <f t="shared" si="290"/>
        <v>1474875</v>
      </c>
      <c r="AR260" s="54">
        <f t="shared" si="290"/>
        <v>1474875</v>
      </c>
      <c r="AS260" s="54">
        <f t="shared" si="290"/>
        <v>1474875</v>
      </c>
      <c r="AT260" s="54">
        <f t="shared" si="290"/>
        <v>1474875</v>
      </c>
      <c r="AU260" s="54">
        <f t="shared" si="290"/>
        <v>1474875</v>
      </c>
      <c r="AV260" s="54">
        <f t="shared" si="290"/>
        <v>1474875</v>
      </c>
      <c r="AW260" s="54">
        <f t="shared" si="290"/>
        <v>1474875</v>
      </c>
      <c r="AX260" s="54">
        <f t="shared" si="290"/>
        <v>1474875</v>
      </c>
      <c r="AY260" s="54">
        <f t="shared" si="290"/>
        <v>1474875</v>
      </c>
      <c r="AZ260" s="54">
        <f t="shared" si="290"/>
        <v>1474875</v>
      </c>
      <c r="BA260" s="54">
        <f t="shared" si="290"/>
        <v>1474875</v>
      </c>
      <c r="BB260" s="54">
        <f t="shared" si="290"/>
        <v>1474875</v>
      </c>
      <c r="BC260" s="54">
        <f t="shared" si="290"/>
        <v>1474875</v>
      </c>
      <c r="BD260" s="54">
        <f t="shared" si="290"/>
        <v>1474875</v>
      </c>
      <c r="BE260" s="54">
        <f t="shared" si="290"/>
        <v>1474875</v>
      </c>
      <c r="BF260" s="54">
        <f t="shared" si="290"/>
        <v>1474875</v>
      </c>
      <c r="BG260" s="54">
        <f t="shared" si="290"/>
        <v>1474875</v>
      </c>
      <c r="BH260" s="54">
        <f t="shared" si="290"/>
        <v>1474875</v>
      </c>
      <c r="BI260" s="54">
        <f t="shared" si="290"/>
        <v>1474875</v>
      </c>
      <c r="BJ260" s="54">
        <f t="shared" si="290"/>
        <v>1474875</v>
      </c>
      <c r="BK260" s="54">
        <f t="shared" si="290"/>
        <v>1474875</v>
      </c>
      <c r="BL260" s="54">
        <f t="shared" si="290"/>
        <v>1474875</v>
      </c>
      <c r="BM260" s="54">
        <f t="shared" si="290"/>
        <v>1474875</v>
      </c>
      <c r="BN260" s="54">
        <f t="shared" ref="BN260:CK260" si="291">SUM(BN251:BN259)</f>
        <v>1474875</v>
      </c>
      <c r="BO260" s="54">
        <f t="shared" si="291"/>
        <v>1474875</v>
      </c>
      <c r="BP260" s="54">
        <f t="shared" si="291"/>
        <v>1474875</v>
      </c>
      <c r="BQ260" s="54">
        <f t="shared" si="291"/>
        <v>1474875</v>
      </c>
      <c r="BR260" s="54">
        <f t="shared" si="291"/>
        <v>1474875</v>
      </c>
      <c r="BS260" s="54">
        <f t="shared" si="291"/>
        <v>1474875</v>
      </c>
      <c r="BT260" s="54">
        <f t="shared" si="291"/>
        <v>1474875</v>
      </c>
      <c r="BU260" s="54">
        <f t="shared" si="291"/>
        <v>1474875</v>
      </c>
      <c r="BV260" s="54">
        <f t="shared" si="291"/>
        <v>1474875</v>
      </c>
      <c r="BW260" s="54">
        <f t="shared" si="291"/>
        <v>1474875</v>
      </c>
      <c r="BX260" s="54">
        <f t="shared" si="291"/>
        <v>1474875</v>
      </c>
      <c r="BY260" s="54">
        <f t="shared" si="291"/>
        <v>1474875</v>
      </c>
      <c r="BZ260" s="54">
        <f t="shared" si="291"/>
        <v>1474875</v>
      </c>
      <c r="CA260" s="54">
        <f t="shared" si="291"/>
        <v>1474875</v>
      </c>
      <c r="CB260" s="54">
        <f t="shared" si="291"/>
        <v>1474875</v>
      </c>
      <c r="CC260" s="54">
        <f t="shared" si="291"/>
        <v>1474875</v>
      </c>
      <c r="CD260" s="54">
        <f t="shared" si="291"/>
        <v>1474875</v>
      </c>
      <c r="CE260" s="54">
        <f t="shared" si="291"/>
        <v>1474875</v>
      </c>
      <c r="CF260" s="54">
        <f t="shared" si="291"/>
        <v>1474875</v>
      </c>
      <c r="CG260" s="54">
        <f t="shared" si="291"/>
        <v>1474875</v>
      </c>
      <c r="CH260" s="54">
        <f t="shared" si="291"/>
        <v>1474875</v>
      </c>
      <c r="CI260" s="54">
        <f t="shared" si="291"/>
        <v>1474875</v>
      </c>
      <c r="CJ260" s="54">
        <f t="shared" si="291"/>
        <v>1474875</v>
      </c>
      <c r="CK260" s="54">
        <f t="shared" si="291"/>
        <v>1474875</v>
      </c>
    </row>
    <row r="261" spans="2:89">
      <c r="B261" s="14"/>
      <c r="C261" s="14"/>
      <c r="D261" s="14"/>
      <c r="E261" s="14"/>
      <c r="F261" s="95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</row>
    <row r="262" spans="2:89" ht="15.75" thickBot="1">
      <c r="B262" s="96" t="s">
        <v>37</v>
      </c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</row>
    <row r="263" spans="2:89">
      <c r="B263" s="14"/>
      <c r="C263" s="14"/>
      <c r="D263" s="14"/>
      <c r="E263" s="1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  <c r="BI263" s="154"/>
      <c r="BJ263" s="154"/>
      <c r="BK263" s="154"/>
      <c r="BL263" s="154"/>
      <c r="BM263" s="15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</row>
    <row r="264" spans="2:89">
      <c r="B264" s="155" t="s">
        <v>39</v>
      </c>
      <c r="C264" s="156"/>
      <c r="D264" s="160"/>
      <c r="E264" s="158"/>
      <c r="F264" s="159">
        <f t="shared" ref="F264:AK264" ca="1" si="292">IFERROR(LOOKUP(F$19,Постоянные_затраты_год_инфляции,Постоянные_затраты_уровень_инфляции),0)</f>
        <v>4.7E-2</v>
      </c>
      <c r="G264" s="159">
        <f t="shared" ca="1" si="292"/>
        <v>4.7E-2</v>
      </c>
      <c r="H264" s="159">
        <f t="shared" ca="1" si="292"/>
        <v>4.7E-2</v>
      </c>
      <c r="I264" s="159">
        <f t="shared" ca="1" si="292"/>
        <v>4.7E-2</v>
      </c>
      <c r="J264" s="159">
        <f t="shared" ca="1" si="292"/>
        <v>4.7E-2</v>
      </c>
      <c r="K264" s="159">
        <f t="shared" ca="1" si="292"/>
        <v>4.7E-2</v>
      </c>
      <c r="L264" s="159">
        <f t="shared" ca="1" si="292"/>
        <v>4.7E-2</v>
      </c>
      <c r="M264" s="159">
        <f t="shared" ca="1" si="292"/>
        <v>4.7E-2</v>
      </c>
      <c r="N264" s="159">
        <f t="shared" ca="1" si="292"/>
        <v>4.7E-2</v>
      </c>
      <c r="O264" s="159">
        <f t="shared" ca="1" si="292"/>
        <v>4.7E-2</v>
      </c>
      <c r="P264" s="159">
        <f t="shared" ca="1" si="292"/>
        <v>4.7E-2</v>
      </c>
      <c r="Q264" s="159">
        <f t="shared" ca="1" si="292"/>
        <v>4.7E-2</v>
      </c>
      <c r="R264" s="159">
        <f t="shared" ca="1" si="292"/>
        <v>4.7E-2</v>
      </c>
      <c r="S264" s="159">
        <f t="shared" ca="1" si="292"/>
        <v>4.7E-2</v>
      </c>
      <c r="T264" s="159">
        <f t="shared" ca="1" si="292"/>
        <v>4.7E-2</v>
      </c>
      <c r="U264" s="159">
        <f t="shared" ca="1" si="292"/>
        <v>4.7E-2</v>
      </c>
      <c r="V264" s="159">
        <f t="shared" ca="1" si="292"/>
        <v>4.7E-2</v>
      </c>
      <c r="W264" s="159">
        <f t="shared" ca="1" si="292"/>
        <v>4.7E-2</v>
      </c>
      <c r="X264" s="159">
        <f t="shared" ca="1" si="292"/>
        <v>4.7E-2</v>
      </c>
      <c r="Y264" s="159">
        <f t="shared" ca="1" si="292"/>
        <v>4.7E-2</v>
      </c>
      <c r="Z264" s="159">
        <f t="shared" ca="1" si="292"/>
        <v>4.7E-2</v>
      </c>
      <c r="AA264" s="159">
        <f t="shared" ca="1" si="292"/>
        <v>4.7E-2</v>
      </c>
      <c r="AB264" s="159">
        <f t="shared" ca="1" si="292"/>
        <v>4.7E-2</v>
      </c>
      <c r="AC264" s="159">
        <f t="shared" ca="1" si="292"/>
        <v>4.7E-2</v>
      </c>
      <c r="AD264" s="159">
        <f t="shared" ca="1" si="292"/>
        <v>4.7E-2</v>
      </c>
      <c r="AE264" s="159">
        <f t="shared" ca="1" si="292"/>
        <v>4.7E-2</v>
      </c>
      <c r="AF264" s="159">
        <f t="shared" ca="1" si="292"/>
        <v>4.7E-2</v>
      </c>
      <c r="AG264" s="159">
        <f t="shared" ca="1" si="292"/>
        <v>4.7E-2</v>
      </c>
      <c r="AH264" s="159">
        <f t="shared" ca="1" si="292"/>
        <v>4.7E-2</v>
      </c>
      <c r="AI264" s="159">
        <f t="shared" ca="1" si="292"/>
        <v>4.7E-2</v>
      </c>
      <c r="AJ264" s="159">
        <f t="shared" ca="1" si="292"/>
        <v>4.7E-2</v>
      </c>
      <c r="AK264" s="159">
        <f t="shared" ca="1" si="292"/>
        <v>4.7E-2</v>
      </c>
      <c r="AL264" s="159">
        <f t="shared" ref="AL264:CK264" ca="1" si="293">IFERROR(LOOKUP(AL$19,Постоянные_затраты_год_инфляции,Постоянные_затраты_уровень_инфляции),0)</f>
        <v>4.7E-2</v>
      </c>
      <c r="AM264" s="159">
        <f t="shared" ca="1" si="293"/>
        <v>4.7E-2</v>
      </c>
      <c r="AN264" s="159">
        <f t="shared" ca="1" si="293"/>
        <v>4.7E-2</v>
      </c>
      <c r="AO264" s="159">
        <f t="shared" ca="1" si="293"/>
        <v>4.7E-2</v>
      </c>
      <c r="AP264" s="159">
        <f t="shared" ca="1" si="293"/>
        <v>4.7E-2</v>
      </c>
      <c r="AQ264" s="159">
        <f t="shared" ca="1" si="293"/>
        <v>4.7E-2</v>
      </c>
      <c r="AR264" s="159">
        <f t="shared" ca="1" si="293"/>
        <v>4.7E-2</v>
      </c>
      <c r="AS264" s="159">
        <f t="shared" ca="1" si="293"/>
        <v>4.7E-2</v>
      </c>
      <c r="AT264" s="159">
        <f t="shared" ca="1" si="293"/>
        <v>4.7E-2</v>
      </c>
      <c r="AU264" s="159">
        <f t="shared" ca="1" si="293"/>
        <v>4.7E-2</v>
      </c>
      <c r="AV264" s="159">
        <f t="shared" ca="1" si="293"/>
        <v>4.7E-2</v>
      </c>
      <c r="AW264" s="159">
        <f t="shared" ca="1" si="293"/>
        <v>4.7E-2</v>
      </c>
      <c r="AX264" s="159">
        <f t="shared" ca="1" si="293"/>
        <v>4.7E-2</v>
      </c>
      <c r="AY264" s="159">
        <f t="shared" ca="1" si="293"/>
        <v>4.7E-2</v>
      </c>
      <c r="AZ264" s="159">
        <f t="shared" ca="1" si="293"/>
        <v>4.7E-2</v>
      </c>
      <c r="BA264" s="159">
        <f t="shared" ca="1" si="293"/>
        <v>4.7E-2</v>
      </c>
      <c r="BB264" s="159">
        <f t="shared" ca="1" si="293"/>
        <v>4.7E-2</v>
      </c>
      <c r="BC264" s="159">
        <f t="shared" ca="1" si="293"/>
        <v>4.7E-2</v>
      </c>
      <c r="BD264" s="159">
        <f t="shared" ca="1" si="293"/>
        <v>4.7E-2</v>
      </c>
      <c r="BE264" s="159">
        <f t="shared" ca="1" si="293"/>
        <v>4.7E-2</v>
      </c>
      <c r="BF264" s="159">
        <f t="shared" ca="1" si="293"/>
        <v>4.7E-2</v>
      </c>
      <c r="BG264" s="159">
        <f t="shared" ca="1" si="293"/>
        <v>4.7E-2</v>
      </c>
      <c r="BH264" s="159">
        <f t="shared" ca="1" si="293"/>
        <v>4.7E-2</v>
      </c>
      <c r="BI264" s="159">
        <f t="shared" ca="1" si="293"/>
        <v>4.7E-2</v>
      </c>
      <c r="BJ264" s="159">
        <f t="shared" ca="1" si="293"/>
        <v>4.7E-2</v>
      </c>
      <c r="BK264" s="159">
        <f t="shared" ca="1" si="293"/>
        <v>4.7E-2</v>
      </c>
      <c r="BL264" s="159">
        <f t="shared" ca="1" si="293"/>
        <v>4.7E-2</v>
      </c>
      <c r="BM264" s="159">
        <f t="shared" ca="1" si="293"/>
        <v>4.7E-2</v>
      </c>
      <c r="BN264" s="159">
        <f t="shared" ca="1" si="293"/>
        <v>4.7E-2</v>
      </c>
      <c r="BO264" s="159">
        <f t="shared" ca="1" si="293"/>
        <v>4.7E-2</v>
      </c>
      <c r="BP264" s="159">
        <f t="shared" ca="1" si="293"/>
        <v>4.7E-2</v>
      </c>
      <c r="BQ264" s="159">
        <f t="shared" ca="1" si="293"/>
        <v>4.7E-2</v>
      </c>
      <c r="BR264" s="159">
        <f t="shared" ca="1" si="293"/>
        <v>4.7E-2</v>
      </c>
      <c r="BS264" s="159">
        <f t="shared" ca="1" si="293"/>
        <v>4.7E-2</v>
      </c>
      <c r="BT264" s="159">
        <f t="shared" ca="1" si="293"/>
        <v>4.7E-2</v>
      </c>
      <c r="BU264" s="159">
        <f t="shared" ca="1" si="293"/>
        <v>4.7E-2</v>
      </c>
      <c r="BV264" s="159">
        <f t="shared" ca="1" si="293"/>
        <v>4.7E-2</v>
      </c>
      <c r="BW264" s="159">
        <f t="shared" ca="1" si="293"/>
        <v>4.7E-2</v>
      </c>
      <c r="BX264" s="159">
        <f t="shared" ca="1" si="293"/>
        <v>4.7E-2</v>
      </c>
      <c r="BY264" s="159">
        <f t="shared" ca="1" si="293"/>
        <v>4.7E-2</v>
      </c>
      <c r="BZ264" s="159">
        <f t="shared" ca="1" si="293"/>
        <v>4.7E-2</v>
      </c>
      <c r="CA264" s="159">
        <f t="shared" ca="1" si="293"/>
        <v>4.7E-2</v>
      </c>
      <c r="CB264" s="159">
        <f t="shared" ca="1" si="293"/>
        <v>4.7E-2</v>
      </c>
      <c r="CC264" s="159">
        <f t="shared" ca="1" si="293"/>
        <v>4.7E-2</v>
      </c>
      <c r="CD264" s="159">
        <f t="shared" ca="1" si="293"/>
        <v>4.7E-2</v>
      </c>
      <c r="CE264" s="159">
        <f t="shared" ca="1" si="293"/>
        <v>4.7E-2</v>
      </c>
      <c r="CF264" s="159">
        <f t="shared" ca="1" si="293"/>
        <v>4.7E-2</v>
      </c>
      <c r="CG264" s="159">
        <f t="shared" ca="1" si="293"/>
        <v>4.7E-2</v>
      </c>
      <c r="CH264" s="159">
        <f t="shared" ca="1" si="293"/>
        <v>4.7E-2</v>
      </c>
      <c r="CI264" s="159">
        <f t="shared" ca="1" si="293"/>
        <v>4.7E-2</v>
      </c>
      <c r="CJ264" s="159">
        <f t="shared" ca="1" si="293"/>
        <v>4.7E-2</v>
      </c>
      <c r="CK264" s="159">
        <f t="shared" ca="1" si="293"/>
        <v>4.7E-2</v>
      </c>
    </row>
    <row r="265" spans="2:89" ht="15.75" thickBot="1">
      <c r="B265" s="155" t="s">
        <v>40</v>
      </c>
      <c r="C265" s="156"/>
      <c r="D265" s="160"/>
      <c r="E265" s="158"/>
      <c r="F265" s="159">
        <f ca="1">(1+F264)^(F$26/F$20)-1</f>
        <v>3.782114917159296E-3</v>
      </c>
      <c r="G265" s="159">
        <f t="shared" ref="G265:BR265" ca="1" si="294">(1+G264)^(G$26/G$20)-1</f>
        <v>3.9084314681678833E-3</v>
      </c>
      <c r="H265" s="159">
        <f t="shared" ca="1" si="294"/>
        <v>3.782114917159296E-3</v>
      </c>
      <c r="I265" s="159">
        <f t="shared" ca="1" si="294"/>
        <v>3.9084314681678833E-3</v>
      </c>
      <c r="J265" s="159">
        <f t="shared" ca="1" si="294"/>
        <v>3.9084314681678833E-3</v>
      </c>
      <c r="K265" s="159">
        <f t="shared" ca="1" si="294"/>
        <v>3.782114917159296E-3</v>
      </c>
      <c r="L265" s="159">
        <f t="shared" ca="1" si="294"/>
        <v>3.9084314681678833E-3</v>
      </c>
      <c r="M265" s="159">
        <f t="shared" ca="1" si="294"/>
        <v>3.782114917159296E-3</v>
      </c>
      <c r="N265" s="159">
        <f t="shared" ca="1" si="294"/>
        <v>3.9084314681678833E-3</v>
      </c>
      <c r="O265" s="159">
        <f t="shared" ca="1" si="294"/>
        <v>3.8977319091881846E-3</v>
      </c>
      <c r="P265" s="159">
        <f t="shared" ca="1" si="294"/>
        <v>3.6458075102785426E-3</v>
      </c>
      <c r="Q265" s="159">
        <f t="shared" ca="1" si="294"/>
        <v>3.8977319091881846E-3</v>
      </c>
      <c r="R265" s="159">
        <f t="shared" ca="1" si="294"/>
        <v>3.7717618063053404E-3</v>
      </c>
      <c r="S265" s="159">
        <f t="shared" ca="1" si="294"/>
        <v>3.8977319091881846E-3</v>
      </c>
      <c r="T265" s="159">
        <f t="shared" ca="1" si="294"/>
        <v>3.7717618063053404E-3</v>
      </c>
      <c r="U265" s="159">
        <f t="shared" ca="1" si="294"/>
        <v>3.8977319091881846E-3</v>
      </c>
      <c r="V265" s="159">
        <f t="shared" ca="1" si="294"/>
        <v>3.8977319091881846E-3</v>
      </c>
      <c r="W265" s="159">
        <f t="shared" ca="1" si="294"/>
        <v>3.7717618063053404E-3</v>
      </c>
      <c r="X265" s="159">
        <f t="shared" ca="1" si="294"/>
        <v>3.8977319091881846E-3</v>
      </c>
      <c r="Y265" s="159">
        <f t="shared" ca="1" si="294"/>
        <v>3.7717618063053404E-3</v>
      </c>
      <c r="Z265" s="159">
        <f t="shared" ca="1" si="294"/>
        <v>3.8977319091881846E-3</v>
      </c>
      <c r="AA265" s="159">
        <f t="shared" ca="1" si="294"/>
        <v>3.9084314681678833E-3</v>
      </c>
      <c r="AB265" s="159">
        <f t="shared" ca="1" si="294"/>
        <v>3.529529494396666E-3</v>
      </c>
      <c r="AC265" s="159">
        <f t="shared" ca="1" si="294"/>
        <v>3.9084314681678833E-3</v>
      </c>
      <c r="AD265" s="159">
        <f t="shared" ca="1" si="294"/>
        <v>3.782114917159296E-3</v>
      </c>
      <c r="AE265" s="159">
        <f t="shared" ca="1" si="294"/>
        <v>3.9084314681678833E-3</v>
      </c>
      <c r="AF265" s="159">
        <f t="shared" ca="1" si="294"/>
        <v>3.782114917159296E-3</v>
      </c>
      <c r="AG265" s="159">
        <f t="shared" ca="1" si="294"/>
        <v>3.9084314681678833E-3</v>
      </c>
      <c r="AH265" s="159">
        <f t="shared" ca="1" si="294"/>
        <v>3.9084314681678833E-3</v>
      </c>
      <c r="AI265" s="159">
        <f t="shared" ca="1" si="294"/>
        <v>3.782114917159296E-3</v>
      </c>
      <c r="AJ265" s="159">
        <f t="shared" ca="1" si="294"/>
        <v>3.9084314681678833E-3</v>
      </c>
      <c r="AK265" s="159">
        <f t="shared" ca="1" si="294"/>
        <v>3.782114917159296E-3</v>
      </c>
      <c r="AL265" s="159">
        <f t="shared" ca="1" si="294"/>
        <v>3.9084314681678833E-3</v>
      </c>
      <c r="AM265" s="159">
        <f t="shared" ca="1" si="294"/>
        <v>3.9084314681678833E-3</v>
      </c>
      <c r="AN265" s="159">
        <f t="shared" ca="1" si="294"/>
        <v>3.529529494396666E-3</v>
      </c>
      <c r="AO265" s="159">
        <f t="shared" ca="1" si="294"/>
        <v>3.9084314681678833E-3</v>
      </c>
      <c r="AP265" s="159">
        <f t="shared" ca="1" si="294"/>
        <v>3.782114917159296E-3</v>
      </c>
      <c r="AQ265" s="159">
        <f t="shared" ca="1" si="294"/>
        <v>3.9084314681678833E-3</v>
      </c>
      <c r="AR265" s="159">
        <f t="shared" ca="1" si="294"/>
        <v>3.782114917159296E-3</v>
      </c>
      <c r="AS265" s="159">
        <f t="shared" ca="1" si="294"/>
        <v>3.9084314681678833E-3</v>
      </c>
      <c r="AT265" s="159">
        <f t="shared" ca="1" si="294"/>
        <v>3.9084314681678833E-3</v>
      </c>
      <c r="AU265" s="159">
        <f t="shared" ca="1" si="294"/>
        <v>3.782114917159296E-3</v>
      </c>
      <c r="AV265" s="159">
        <f t="shared" ca="1" si="294"/>
        <v>3.9084314681678833E-3</v>
      </c>
      <c r="AW265" s="159">
        <f t="shared" ca="1" si="294"/>
        <v>3.782114917159296E-3</v>
      </c>
      <c r="AX265" s="159">
        <f t="shared" ca="1" si="294"/>
        <v>3.9084314681678833E-3</v>
      </c>
      <c r="AY265" s="159">
        <f t="shared" ca="1" si="294"/>
        <v>3.9084314681678833E-3</v>
      </c>
      <c r="AZ265" s="159">
        <f t="shared" ca="1" si="294"/>
        <v>3.529529494396666E-3</v>
      </c>
      <c r="BA265" s="159">
        <f t="shared" ca="1" si="294"/>
        <v>3.9084314681678833E-3</v>
      </c>
      <c r="BB265" s="159">
        <f t="shared" ca="1" si="294"/>
        <v>3.782114917159296E-3</v>
      </c>
      <c r="BC265" s="159">
        <f t="shared" ca="1" si="294"/>
        <v>3.9084314681678833E-3</v>
      </c>
      <c r="BD265" s="159">
        <f t="shared" ca="1" si="294"/>
        <v>3.782114917159296E-3</v>
      </c>
      <c r="BE265" s="159">
        <f t="shared" ca="1" si="294"/>
        <v>3.9084314681678833E-3</v>
      </c>
      <c r="BF265" s="159">
        <f t="shared" ca="1" si="294"/>
        <v>3.9084314681678833E-3</v>
      </c>
      <c r="BG265" s="159">
        <f t="shared" ca="1" si="294"/>
        <v>3.782114917159296E-3</v>
      </c>
      <c r="BH265" s="159">
        <f t="shared" ca="1" si="294"/>
        <v>3.9084314681678833E-3</v>
      </c>
      <c r="BI265" s="159">
        <f t="shared" ca="1" si="294"/>
        <v>3.782114917159296E-3</v>
      </c>
      <c r="BJ265" s="159">
        <f t="shared" ca="1" si="294"/>
        <v>3.9084314681678833E-3</v>
      </c>
      <c r="BK265" s="159">
        <f t="shared" ca="1" si="294"/>
        <v>3.8977319091881846E-3</v>
      </c>
      <c r="BL265" s="159">
        <f t="shared" ca="1" si="294"/>
        <v>3.6458075102785426E-3</v>
      </c>
      <c r="BM265" s="159">
        <f t="shared" ca="1" si="294"/>
        <v>3.8977319091881846E-3</v>
      </c>
      <c r="BN265" s="159">
        <f t="shared" ca="1" si="294"/>
        <v>3.7717618063053404E-3</v>
      </c>
      <c r="BO265" s="159">
        <f t="shared" ca="1" si="294"/>
        <v>3.8977319091881846E-3</v>
      </c>
      <c r="BP265" s="159">
        <f t="shared" ca="1" si="294"/>
        <v>3.7717618063053404E-3</v>
      </c>
      <c r="BQ265" s="159">
        <f t="shared" ca="1" si="294"/>
        <v>3.8977319091881846E-3</v>
      </c>
      <c r="BR265" s="159">
        <f t="shared" ca="1" si="294"/>
        <v>3.8977319091881846E-3</v>
      </c>
      <c r="BS265" s="159">
        <f t="shared" ref="BS265:CK265" ca="1" si="295">(1+BS264)^(BS$26/BS$20)-1</f>
        <v>3.7717618063053404E-3</v>
      </c>
      <c r="BT265" s="159">
        <f t="shared" ca="1" si="295"/>
        <v>3.8977319091881846E-3</v>
      </c>
      <c r="BU265" s="159">
        <f t="shared" ca="1" si="295"/>
        <v>3.7717618063053404E-3</v>
      </c>
      <c r="BV265" s="159">
        <f t="shared" ca="1" si="295"/>
        <v>3.8977319091881846E-3</v>
      </c>
      <c r="BW265" s="159">
        <f t="shared" ca="1" si="295"/>
        <v>3.9084314681678833E-3</v>
      </c>
      <c r="BX265" s="159">
        <f t="shared" ca="1" si="295"/>
        <v>3.529529494396666E-3</v>
      </c>
      <c r="BY265" s="159">
        <f t="shared" ca="1" si="295"/>
        <v>3.9084314681678833E-3</v>
      </c>
      <c r="BZ265" s="159">
        <f t="shared" ca="1" si="295"/>
        <v>3.782114917159296E-3</v>
      </c>
      <c r="CA265" s="159">
        <f t="shared" ca="1" si="295"/>
        <v>3.9084314681678833E-3</v>
      </c>
      <c r="CB265" s="159">
        <f t="shared" ca="1" si="295"/>
        <v>3.782114917159296E-3</v>
      </c>
      <c r="CC265" s="159">
        <f t="shared" ca="1" si="295"/>
        <v>3.9084314681678833E-3</v>
      </c>
      <c r="CD265" s="159">
        <f t="shared" ca="1" si="295"/>
        <v>3.9084314681678833E-3</v>
      </c>
      <c r="CE265" s="159">
        <f t="shared" ca="1" si="295"/>
        <v>3.782114917159296E-3</v>
      </c>
      <c r="CF265" s="159">
        <f t="shared" ca="1" si="295"/>
        <v>3.9084314681678833E-3</v>
      </c>
      <c r="CG265" s="159">
        <f t="shared" ca="1" si="295"/>
        <v>3.782114917159296E-3</v>
      </c>
      <c r="CH265" s="159">
        <f t="shared" ca="1" si="295"/>
        <v>3.9084314681678833E-3</v>
      </c>
      <c r="CI265" s="159">
        <f t="shared" ca="1" si="295"/>
        <v>3.9084314681678833E-3</v>
      </c>
      <c r="CJ265" s="159">
        <f t="shared" ca="1" si="295"/>
        <v>3.529529494396666E-3</v>
      </c>
      <c r="CK265" s="159">
        <f t="shared" ca="1" si="295"/>
        <v>3.9084314681678833E-3</v>
      </c>
    </row>
    <row r="266" spans="2:89" ht="15.75" thickTop="1">
      <c r="B266" s="161" t="s">
        <v>41</v>
      </c>
      <c r="C266" s="162"/>
      <c r="D266" s="163"/>
      <c r="E266" s="164">
        <v>1</v>
      </c>
      <c r="F266" s="165">
        <f ca="1">E266*(1+F265)</f>
        <v>1.0037821149171593</v>
      </c>
      <c r="G266" s="165">
        <f t="shared" ref="G266:AG266" ca="1" si="296">F266*(1+G265)</f>
        <v>1.0077053285222857</v>
      </c>
      <c r="H266" s="165">
        <f t="shared" ca="1" si="296"/>
        <v>1.0115165858773907</v>
      </c>
      <c r="I266" s="165">
        <f t="shared" ca="1" si="296"/>
        <v>1.0154700291322076</v>
      </c>
      <c r="J266" s="165">
        <f t="shared" ca="1" si="296"/>
        <v>1.0194389241490494</v>
      </c>
      <c r="K266" s="165">
        <f t="shared" ca="1" si="296"/>
        <v>1.0232945593112064</v>
      </c>
      <c r="L266" s="165">
        <f t="shared" ca="1" si="296"/>
        <v>1.0272940359680234</v>
      </c>
      <c r="M266" s="165">
        <f t="shared" ca="1" si="296"/>
        <v>1.0311793800657669</v>
      </c>
      <c r="N266" s="165">
        <f t="shared" ca="1" si="296"/>
        <v>1.0352096740041419</v>
      </c>
      <c r="O266" s="165">
        <f t="shared" ca="1" si="296"/>
        <v>1.0392446437832081</v>
      </c>
      <c r="P266" s="165">
        <f t="shared" ca="1" si="296"/>
        <v>1.0430335297105298</v>
      </c>
      <c r="Q266" s="165">
        <f t="shared" ca="1" si="296"/>
        <v>1.0470989947816356</v>
      </c>
      <c r="R266" s="165">
        <f t="shared" ca="1" si="296"/>
        <v>1.0510484027775737</v>
      </c>
      <c r="S266" s="165">
        <f t="shared" ca="1" si="296"/>
        <v>1.0551451076751812</v>
      </c>
      <c r="T266" s="165">
        <f t="shared" ca="1" si="296"/>
        <v>1.0591248636924204</v>
      </c>
      <c r="U266" s="165">
        <f t="shared" ca="1" si="296"/>
        <v>1.0632530484694489</v>
      </c>
      <c r="V266" s="165">
        <f t="shared" ca="1" si="296"/>
        <v>1.06739732380401</v>
      </c>
      <c r="W266" s="165">
        <f t="shared" ca="1" si="296"/>
        <v>1.0714232922620865</v>
      </c>
      <c r="X266" s="165">
        <f t="shared" ca="1" si="296"/>
        <v>1.075599413016584</v>
      </c>
      <c r="Y266" s="165">
        <f t="shared" ca="1" si="296"/>
        <v>1.0796563178014844</v>
      </c>
      <c r="Z266" s="165">
        <f t="shared" ca="1" si="296"/>
        <v>1.0838645286823358</v>
      </c>
      <c r="AA266" s="165">
        <f t="shared" ca="1" si="296"/>
        <v>1.0881007389134689</v>
      </c>
      <c r="AB266" s="165">
        <f t="shared" ca="1" si="296"/>
        <v>1.0919412225643388</v>
      </c>
      <c r="AC266" s="165">
        <f t="shared" ca="1" si="296"/>
        <v>1.0962089999999989</v>
      </c>
      <c r="AD266" s="165">
        <f t="shared" ca="1" si="296"/>
        <v>1.1003549884112231</v>
      </c>
      <c r="AE266" s="165">
        <f t="shared" ca="1" si="296"/>
        <v>1.104655650474085</v>
      </c>
      <c r="AF266" s="165">
        <f t="shared" ca="1" si="296"/>
        <v>1.1088335850880673</v>
      </c>
      <c r="AG266" s="165">
        <f t="shared" ca="1" si="296"/>
        <v>1.1131673851649868</v>
      </c>
      <c r="AH266" s="165">
        <f t="shared" ref="AH266:BM266" ca="1" si="297">AG266*(1+AH265)</f>
        <v>1.1175181236025038</v>
      </c>
      <c r="AI266" s="165">
        <f t="shared" ca="1" si="297"/>
        <v>1.1217447055679768</v>
      </c>
      <c r="AJ266" s="165">
        <f t="shared" ca="1" si="297"/>
        <v>1.1261289678744695</v>
      </c>
      <c r="AK266" s="165">
        <f t="shared" ca="1" si="297"/>
        <v>1.1303881170425127</v>
      </c>
      <c r="AL266" s="165">
        <f t="shared" ca="1" si="297"/>
        <v>1.1348061615304048</v>
      </c>
      <c r="AM266" s="165">
        <f t="shared" ca="1" si="297"/>
        <v>1.139241473642401</v>
      </c>
      <c r="AN266" s="165">
        <f t="shared" ca="1" si="297"/>
        <v>1.1432624600248618</v>
      </c>
      <c r="AO266" s="165">
        <f t="shared" ca="1" si="297"/>
        <v>1.1477308229999978</v>
      </c>
      <c r="AP266" s="165">
        <f t="shared" ca="1" si="297"/>
        <v>1.1520716728665497</v>
      </c>
      <c r="AQ266" s="165">
        <f t="shared" ca="1" si="297"/>
        <v>1.1565744660463662</v>
      </c>
      <c r="AR266" s="165">
        <f t="shared" ca="1" si="297"/>
        <v>1.1609487635872056</v>
      </c>
      <c r="AS266" s="165">
        <f t="shared" ca="1" si="297"/>
        <v>1.1654862522677405</v>
      </c>
      <c r="AT266" s="165">
        <f t="shared" ca="1" si="297"/>
        <v>1.1700414754118207</v>
      </c>
      <c r="AU266" s="165">
        <f t="shared" ca="1" si="297"/>
        <v>1.1744667067296708</v>
      </c>
      <c r="AV266" s="165">
        <f t="shared" ca="1" si="297"/>
        <v>1.1790570293645686</v>
      </c>
      <c r="AW266" s="165">
        <f t="shared" ca="1" si="297"/>
        <v>1.1835163585435098</v>
      </c>
      <c r="AX266" s="165">
        <f t="shared" ca="1" si="297"/>
        <v>1.1881420511223326</v>
      </c>
      <c r="AY266" s="165">
        <f t="shared" ca="1" si="297"/>
        <v>1.1927858229035926</v>
      </c>
      <c r="AZ266" s="165">
        <f t="shared" ca="1" si="297"/>
        <v>1.1969957956460291</v>
      </c>
      <c r="BA266" s="165">
        <f t="shared" ca="1" si="297"/>
        <v>1.2016741716809967</v>
      </c>
      <c r="BB266" s="165">
        <f t="shared" ca="1" si="297"/>
        <v>1.2062190414912763</v>
      </c>
      <c r="BC266" s="165">
        <f t="shared" ca="1" si="297"/>
        <v>1.2109334659505442</v>
      </c>
      <c r="BD266" s="165">
        <f t="shared" ca="1" si="297"/>
        <v>1.2155133554758031</v>
      </c>
      <c r="BE266" s="165">
        <f t="shared" ca="1" si="297"/>
        <v>1.2202641061243231</v>
      </c>
      <c r="BF266" s="165">
        <f t="shared" ca="1" si="297"/>
        <v>1.2250334247561752</v>
      </c>
      <c r="BG266" s="165">
        <f t="shared" ca="1" si="297"/>
        <v>1.2296666419459643</v>
      </c>
      <c r="BH266" s="165">
        <f t="shared" ca="1" si="297"/>
        <v>1.2344727097447024</v>
      </c>
      <c r="BI266" s="165">
        <f t="shared" ca="1" si="297"/>
        <v>1.239141627395054</v>
      </c>
      <c r="BJ266" s="165">
        <f t="shared" ca="1" si="297"/>
        <v>1.2439847275250815</v>
      </c>
      <c r="BK266" s="165">
        <f t="shared" ca="1" si="297"/>
        <v>1.2488334464920987</v>
      </c>
      <c r="BL266" s="165">
        <f t="shared" ca="1" si="297"/>
        <v>1.2533864528504066</v>
      </c>
      <c r="BM266" s="165">
        <f t="shared" ca="1" si="297"/>
        <v>1.2582718172222258</v>
      </c>
      <c r="BN266" s="165">
        <f t="shared" ref="BN266" ca="1" si="298">BM266*(1+BN265)</f>
        <v>1.263017718804375</v>
      </c>
      <c r="BO266" s="165">
        <f t="shared" ref="BO266" ca="1" si="299">BN266*(1+BO265)</f>
        <v>1.2679406232688288</v>
      </c>
      <c r="BP266" s="165">
        <f t="shared" ref="BP266" ca="1" si="300">BO266*(1+BP265)</f>
        <v>1.2727229932843371</v>
      </c>
      <c r="BQ266" s="165">
        <f t="shared" ref="BQ266" ca="1" si="301">BP266*(1+BQ265)</f>
        <v>1.277683726306819</v>
      </c>
      <c r="BR266" s="165">
        <f t="shared" ref="BR266" ca="1" si="302">BQ266*(1+BR265)</f>
        <v>1.2826637949366957</v>
      </c>
      <c r="BS266" s="165">
        <f t="shared" ref="BS266" ca="1" si="303">BR266*(1+BS265)</f>
        <v>1.2875016972487685</v>
      </c>
      <c r="BT266" s="165">
        <f t="shared" ref="BT266" ca="1" si="304">BS266*(1+BT265)</f>
        <v>1.2925200336972689</v>
      </c>
      <c r="BU266" s="165">
        <f t="shared" ref="BU266" ca="1" si="305">BT266*(1+BU265)</f>
        <v>1.2973951113942528</v>
      </c>
      <c r="BV266" s="165">
        <f t="shared" ref="BV266" ca="1" si="306">BU266*(1+BV265)</f>
        <v>1.3024520097187589</v>
      </c>
      <c r="BW266" s="165">
        <f t="shared" ref="BW266" ca="1" si="307">BV266*(1+BW265)</f>
        <v>1.3075425541393222</v>
      </c>
      <c r="BX266" s="165">
        <f t="shared" ref="BX266" ca="1" si="308">BW266*(1+BX265)</f>
        <v>1.3121575641493357</v>
      </c>
      <c r="BY266" s="165">
        <f t="shared" ref="BY266" ca="1" si="309">BX266*(1+BY265)</f>
        <v>1.3172860420642516</v>
      </c>
      <c r="BZ266" s="165">
        <f t="shared" ref="BZ266" ca="1" si="310">BY266*(1+BZ265)</f>
        <v>1.3222681692541085</v>
      </c>
      <c r="CA266" s="165">
        <f t="shared" ref="CA266" ca="1" si="311">BZ266*(1+CA265)</f>
        <v>1.327436163776178</v>
      </c>
      <c r="CB266" s="165">
        <f t="shared" ref="CB266" ca="1" si="312">CA266*(1+CB265)</f>
        <v>1.3324566798927726</v>
      </c>
      <c r="CC266" s="165">
        <f t="shared" ref="CC266" ca="1" si="313">CB266*(1+CC265)</f>
        <v>1.337664495510436</v>
      </c>
      <c r="CD266" s="165">
        <f t="shared" ref="CD266" ca="1" si="314">CC266*(1+CD265)</f>
        <v>1.3428926655185398</v>
      </c>
      <c r="CE266" s="165">
        <f t="shared" ref="CE266" ca="1" si="315">CD266*(1+CE265)</f>
        <v>1.3479716399009414</v>
      </c>
      <c r="CF266" s="165">
        <f t="shared" ref="CF266" ca="1" si="316">CE266*(1+CF265)</f>
        <v>1.3532400946765282</v>
      </c>
      <c r="CG266" s="165">
        <f t="shared" ref="CG266" ca="1" si="317">CF266*(1+CG265)</f>
        <v>1.3583582042251023</v>
      </c>
      <c r="CH266" s="165">
        <f t="shared" ref="CH266" ca="1" si="318">CG266*(1+CH265)</f>
        <v>1.3636672541755397</v>
      </c>
      <c r="CI266" s="165">
        <f t="shared" ref="CI266" ca="1" si="319">CH266*(1+CI265)</f>
        <v>1.3689970541838694</v>
      </c>
      <c r="CJ266" s="165">
        <f t="shared" ref="CJ266" ca="1" si="320">CI266*(1+CJ265)</f>
        <v>1.3738289696643535</v>
      </c>
      <c r="CK266" s="165">
        <f t="shared" ref="CK266" ca="1" si="321">CJ266*(1+CK265)</f>
        <v>1.3791984860412703</v>
      </c>
    </row>
    <row r="267" spans="2:89">
      <c r="B267" s="14"/>
      <c r="C267" s="14"/>
      <c r="D267" s="14"/>
      <c r="E267" s="1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  <c r="BI267" s="154"/>
      <c r="BJ267" s="154"/>
      <c r="BK267" s="154"/>
      <c r="BL267" s="154"/>
      <c r="BM267" s="15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</row>
    <row r="268" spans="2:89" ht="15.75" thickBot="1">
      <c r="B268" s="96" t="str">
        <f>"Затраты с учетом инфляции, в "&amp;Ед_измерения_денег&amp;" в т.ч. НДС"</f>
        <v>Затраты с учетом инфляции, в  руб. в т.ч. НДС</v>
      </c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</row>
    <row r="269" spans="2:89">
      <c r="B269" s="14"/>
      <c r="C269" s="14"/>
      <c r="D269" s="14"/>
      <c r="E269" s="1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  <c r="BI269" s="154"/>
      <c r="BJ269" s="154"/>
      <c r="BK269" s="154"/>
      <c r="BL269" s="154"/>
      <c r="BM269" s="15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</row>
    <row r="270" spans="2:89">
      <c r="B270" s="45" t="str">
        <f t="array" ref="B270:B278">Постоянные_затраты_наименования</f>
        <v>Вощина для отстройки сотов</v>
      </c>
      <c r="C270" s="46"/>
      <c r="D270" s="47">
        <f ca="1">SUM(F270:CK270)</f>
        <v>4609247.8639931334</v>
      </c>
      <c r="E270" s="48"/>
      <c r="F270" s="49">
        <f t="array" ref="F270:CK278" ca="1">F251:CK259*F266:CK266</f>
        <v>0</v>
      </c>
      <c r="G270" s="49">
        <f ca="1"/>
        <v>0</v>
      </c>
      <c r="H270" s="49">
        <f ca="1"/>
        <v>0</v>
      </c>
      <c r="I270" s="49">
        <f ca="1"/>
        <v>0</v>
      </c>
      <c r="J270" s="49">
        <f ca="1"/>
        <v>0</v>
      </c>
      <c r="K270" s="49">
        <f ca="1"/>
        <v>0</v>
      </c>
      <c r="L270" s="49">
        <f ca="1"/>
        <v>0</v>
      </c>
      <c r="M270" s="49">
        <f ca="1"/>
        <v>0</v>
      </c>
      <c r="N270" s="49">
        <f ca="1"/>
        <v>0</v>
      </c>
      <c r="O270" s="49">
        <f ca="1"/>
        <v>0</v>
      </c>
      <c r="P270" s="49">
        <f ca="1"/>
        <v>0</v>
      </c>
      <c r="Q270" s="49">
        <f ca="1"/>
        <v>0</v>
      </c>
      <c r="R270" s="49">
        <f ca="1"/>
        <v>55705.565347211406</v>
      </c>
      <c r="S270" s="49">
        <f ca="1"/>
        <v>55922.690706784604</v>
      </c>
      <c r="T270" s="49">
        <f ca="1"/>
        <v>56133.61777569828</v>
      </c>
      <c r="U270" s="49">
        <f ca="1"/>
        <v>56352.411568880794</v>
      </c>
      <c r="V270" s="49">
        <f ca="1"/>
        <v>56572.058161612527</v>
      </c>
      <c r="W270" s="49">
        <f ca="1"/>
        <v>56785.434489890584</v>
      </c>
      <c r="X270" s="49">
        <f ca="1"/>
        <v>57006.768889878949</v>
      </c>
      <c r="Y270" s="49">
        <f ca="1"/>
        <v>57221.784843478672</v>
      </c>
      <c r="Z270" s="49">
        <f ca="1"/>
        <v>57444.820020163803</v>
      </c>
      <c r="AA270" s="49">
        <f ca="1"/>
        <v>57669.339162413853</v>
      </c>
      <c r="AB270" s="49">
        <f ca="1"/>
        <v>57872.884795909958</v>
      </c>
      <c r="AC270" s="49">
        <f ca="1"/>
        <v>58099.076999999939</v>
      </c>
      <c r="AD270" s="49">
        <f ca="1"/>
        <v>58318.814385794823</v>
      </c>
      <c r="AE270" s="49">
        <f ca="1"/>
        <v>58546.749475126504</v>
      </c>
      <c r="AF270" s="49">
        <f ca="1"/>
        <v>58768.180009667565</v>
      </c>
      <c r="AG270" s="49">
        <f ca="1"/>
        <v>58997.871413744302</v>
      </c>
      <c r="AH270" s="49">
        <f ca="1"/>
        <v>59228.460550932701</v>
      </c>
      <c r="AI270" s="49">
        <f ca="1"/>
        <v>59452.469395102773</v>
      </c>
      <c r="AJ270" s="49">
        <f ca="1"/>
        <v>59684.835297346879</v>
      </c>
      <c r="AK270" s="49">
        <f ca="1"/>
        <v>59910.570203253177</v>
      </c>
      <c r="AL270" s="49">
        <f ca="1"/>
        <v>60144.726561111456</v>
      </c>
      <c r="AM270" s="49">
        <f ca="1"/>
        <v>60379.798103047251</v>
      </c>
      <c r="AN270" s="49">
        <f ca="1"/>
        <v>60592.91038131767</v>
      </c>
      <c r="AO270" s="49">
        <f ca="1"/>
        <v>60829.733618999882</v>
      </c>
      <c r="AP270" s="49">
        <f ca="1"/>
        <v>61059.798661927132</v>
      </c>
      <c r="AQ270" s="49">
        <f ca="1"/>
        <v>61298.446700457403</v>
      </c>
      <c r="AR270" s="49">
        <f ca="1"/>
        <v>61530.284470121893</v>
      </c>
      <c r="AS270" s="49">
        <f ca="1"/>
        <v>61770.771370190247</v>
      </c>
      <c r="AT270" s="49">
        <f ca="1"/>
        <v>62012.198196826495</v>
      </c>
      <c r="AU270" s="49">
        <f ca="1"/>
        <v>62246.735456672555</v>
      </c>
      <c r="AV270" s="49">
        <f ca="1"/>
        <v>62490.022556322132</v>
      </c>
      <c r="AW270" s="49">
        <f ca="1"/>
        <v>62726.367002806015</v>
      </c>
      <c r="AX270" s="49">
        <f ca="1"/>
        <v>62971.528709483631</v>
      </c>
      <c r="AY270" s="49">
        <f ca="1"/>
        <v>63217.648613890407</v>
      </c>
      <c r="AZ270" s="49">
        <f ca="1"/>
        <v>63440.77716923954</v>
      </c>
      <c r="BA270" s="49">
        <f ca="1"/>
        <v>63688.731099092824</v>
      </c>
      <c r="BB270" s="49">
        <f ca="1"/>
        <v>63929.609199037644</v>
      </c>
      <c r="BC270" s="49">
        <f ca="1"/>
        <v>64179.473695378845</v>
      </c>
      <c r="BD270" s="49">
        <f ca="1"/>
        <v>64422.207840217561</v>
      </c>
      <c r="BE270" s="49">
        <f ca="1"/>
        <v>64673.997624589123</v>
      </c>
      <c r="BF270" s="49">
        <f ca="1"/>
        <v>64926.771512077285</v>
      </c>
      <c r="BG270" s="49">
        <f ca="1"/>
        <v>65172.332023136107</v>
      </c>
      <c r="BH270" s="49">
        <f ca="1"/>
        <v>65427.053616469224</v>
      </c>
      <c r="BI270" s="49">
        <f ca="1"/>
        <v>65674.506251937855</v>
      </c>
      <c r="BJ270" s="49">
        <f ca="1"/>
        <v>65931.190558829316</v>
      </c>
      <c r="BK270" s="49">
        <f ca="1"/>
        <v>66188.172664081227</v>
      </c>
      <c r="BL270" s="49">
        <f ca="1"/>
        <v>66429.482001071548</v>
      </c>
      <c r="BM270" s="49">
        <f ca="1"/>
        <v>66688.406312777966</v>
      </c>
      <c r="BN270" s="49">
        <f ca="1"/>
        <v>66939.939096631875</v>
      </c>
      <c r="BO270" s="49">
        <f ca="1"/>
        <v>67200.853033247928</v>
      </c>
      <c r="BP270" s="49">
        <f ca="1"/>
        <v>67454.318644069863</v>
      </c>
      <c r="BQ270" s="49">
        <f ca="1"/>
        <v>67717.237494261411</v>
      </c>
      <c r="BR270" s="49">
        <f ca="1"/>
        <v>67981.181131644873</v>
      </c>
      <c r="BS270" s="49">
        <f ca="1"/>
        <v>68237.589954184732</v>
      </c>
      <c r="BT270" s="49">
        <f ca="1"/>
        <v>68503.561785955244</v>
      </c>
      <c r="BU270" s="49">
        <f ca="1"/>
        <v>68761.940903895404</v>
      </c>
      <c r="BV270" s="49">
        <f ca="1"/>
        <v>69029.956515094222</v>
      </c>
      <c r="BW270" s="49">
        <f ca="1"/>
        <v>69299.755369384075</v>
      </c>
      <c r="BX270" s="49">
        <f ca="1"/>
        <v>69544.350899914789</v>
      </c>
      <c r="BY270" s="49">
        <f ca="1"/>
        <v>69816.16022940533</v>
      </c>
      <c r="BZ270" s="49">
        <f ca="1"/>
        <v>70080.21297046775</v>
      </c>
      <c r="CA270" s="49">
        <f ca="1"/>
        <v>70354.116680137435</v>
      </c>
      <c r="CB270" s="49">
        <f ca="1"/>
        <v>70620.20403431695</v>
      </c>
      <c r="CC270" s="49">
        <f ca="1"/>
        <v>70896.218262053109</v>
      </c>
      <c r="CD270" s="49">
        <f ca="1"/>
        <v>71173.311272482606</v>
      </c>
      <c r="CE270" s="49">
        <f ca="1"/>
        <v>71442.496914749892</v>
      </c>
      <c r="CF270" s="49">
        <f ca="1"/>
        <v>71721.725017855992</v>
      </c>
      <c r="CG270" s="49">
        <f ca="1"/>
        <v>71992.984823930427</v>
      </c>
      <c r="CH270" s="49">
        <f ca="1"/>
        <v>72274.364471303605</v>
      </c>
      <c r="CI270" s="49">
        <f ca="1"/>
        <v>72556.843871745077</v>
      </c>
      <c r="CJ270" s="49">
        <f ca="1"/>
        <v>72812.93539221074</v>
      </c>
      <c r="CK270" s="49">
        <f ca="1"/>
        <v>73097.519760187322</v>
      </c>
    </row>
    <row r="271" spans="2:89">
      <c r="B271" s="45" t="str">
        <v>Медикаменты для лечения пчел</v>
      </c>
      <c r="C271" s="46"/>
      <c r="D271" s="47">
        <f t="shared" ref="D271:D278" ca="1" si="322">SUM(F271:CK271)</f>
        <v>543543.38018786954</v>
      </c>
      <c r="E271" s="48"/>
      <c r="F271" s="49">
        <f ca="1"/>
        <v>0</v>
      </c>
      <c r="G271" s="49">
        <f ca="1"/>
        <v>0</v>
      </c>
      <c r="H271" s="49">
        <f ca="1"/>
        <v>0</v>
      </c>
      <c r="I271" s="49">
        <f ca="1"/>
        <v>0</v>
      </c>
      <c r="J271" s="49">
        <f ca="1"/>
        <v>0</v>
      </c>
      <c r="K271" s="49">
        <f ca="1"/>
        <v>0</v>
      </c>
      <c r="L271" s="49">
        <f ca="1"/>
        <v>0</v>
      </c>
      <c r="M271" s="49">
        <f ca="1"/>
        <v>0</v>
      </c>
      <c r="N271" s="49">
        <f ca="1"/>
        <v>0</v>
      </c>
      <c r="O271" s="49">
        <f ca="1"/>
        <v>0</v>
      </c>
      <c r="P271" s="49">
        <f ca="1"/>
        <v>0</v>
      </c>
      <c r="Q271" s="49">
        <f ca="1"/>
        <v>0</v>
      </c>
      <c r="R271" s="49">
        <f ca="1"/>
        <v>6569.0525173598362</v>
      </c>
      <c r="S271" s="49">
        <f ca="1"/>
        <v>6594.6569229698825</v>
      </c>
      <c r="T271" s="49">
        <f ca="1"/>
        <v>6619.530398077628</v>
      </c>
      <c r="U271" s="49">
        <f ca="1"/>
        <v>6645.3315529340553</v>
      </c>
      <c r="V271" s="49">
        <f ca="1"/>
        <v>6671.2332737750621</v>
      </c>
      <c r="W271" s="49">
        <f ca="1"/>
        <v>6696.3955766380413</v>
      </c>
      <c r="X271" s="49">
        <f ca="1"/>
        <v>6722.49633135365</v>
      </c>
      <c r="Y271" s="49">
        <f ca="1"/>
        <v>6747.8519862592775</v>
      </c>
      <c r="Z271" s="49">
        <f ca="1"/>
        <v>6774.1533042645988</v>
      </c>
      <c r="AA271" s="49">
        <f ca="1"/>
        <v>6800.629618209181</v>
      </c>
      <c r="AB271" s="49">
        <f ca="1"/>
        <v>6824.6326410271176</v>
      </c>
      <c r="AC271" s="49">
        <f ca="1"/>
        <v>6851.3062499999933</v>
      </c>
      <c r="AD271" s="49">
        <f ca="1"/>
        <v>6877.2186775701448</v>
      </c>
      <c r="AE271" s="49">
        <f ca="1"/>
        <v>6904.0978154630311</v>
      </c>
      <c r="AF271" s="49">
        <f ca="1"/>
        <v>6930.2099068004209</v>
      </c>
      <c r="AG271" s="49">
        <f ca="1"/>
        <v>6957.2961572811673</v>
      </c>
      <c r="AH271" s="49">
        <f ca="1"/>
        <v>6984.4882725156485</v>
      </c>
      <c r="AI271" s="49">
        <f ca="1"/>
        <v>7010.9044097998549</v>
      </c>
      <c r="AJ271" s="49">
        <f ca="1"/>
        <v>7038.3060492154345</v>
      </c>
      <c r="AK271" s="49">
        <f ca="1"/>
        <v>7064.9257315157047</v>
      </c>
      <c r="AL271" s="49">
        <f ca="1"/>
        <v>7092.5385095650299</v>
      </c>
      <c r="AM271" s="49">
        <f ca="1"/>
        <v>7120.259210265006</v>
      </c>
      <c r="AN271" s="49">
        <f ca="1"/>
        <v>7145.3903751553862</v>
      </c>
      <c r="AO271" s="49">
        <f ca="1"/>
        <v>7173.3176437499869</v>
      </c>
      <c r="AP271" s="49">
        <f ca="1"/>
        <v>7200.4479554159352</v>
      </c>
      <c r="AQ271" s="49">
        <f ca="1"/>
        <v>7228.5904127897884</v>
      </c>
      <c r="AR271" s="49">
        <f ca="1"/>
        <v>7255.9297724200351</v>
      </c>
      <c r="AS271" s="49">
        <f ca="1"/>
        <v>7284.2890766733781</v>
      </c>
      <c r="AT271" s="49">
        <f ca="1"/>
        <v>7312.7592213238795</v>
      </c>
      <c r="AU271" s="49">
        <f ca="1"/>
        <v>7340.4169170604428</v>
      </c>
      <c r="AV271" s="49">
        <f ca="1"/>
        <v>7369.1064335285537</v>
      </c>
      <c r="AW271" s="49">
        <f ca="1"/>
        <v>7396.9772408969366</v>
      </c>
      <c r="AX271" s="49">
        <f ca="1"/>
        <v>7425.887819514579</v>
      </c>
      <c r="AY271" s="49">
        <f ca="1"/>
        <v>7454.911393147454</v>
      </c>
      <c r="AZ271" s="49">
        <f ca="1"/>
        <v>7481.2237227876822</v>
      </c>
      <c r="BA271" s="49">
        <f ca="1"/>
        <v>7510.4635730062291</v>
      </c>
      <c r="BB271" s="49">
        <f ca="1"/>
        <v>7538.8690093204768</v>
      </c>
      <c r="BC271" s="49">
        <f ca="1"/>
        <v>7568.3341621909012</v>
      </c>
      <c r="BD271" s="49">
        <f ca="1"/>
        <v>7596.9584717237694</v>
      </c>
      <c r="BE271" s="49">
        <f ca="1"/>
        <v>7626.6506632770197</v>
      </c>
      <c r="BF271" s="49">
        <f ca="1"/>
        <v>7656.4589047260952</v>
      </c>
      <c r="BG271" s="49">
        <f ca="1"/>
        <v>7685.4165121622773</v>
      </c>
      <c r="BH271" s="49">
        <f ca="1"/>
        <v>7715.4544359043894</v>
      </c>
      <c r="BI271" s="49">
        <f ca="1"/>
        <v>7744.6351712190872</v>
      </c>
      <c r="BJ271" s="49">
        <f ca="1"/>
        <v>7774.9045470317596</v>
      </c>
      <c r="BK271" s="49">
        <f ca="1"/>
        <v>7805.2090405756171</v>
      </c>
      <c r="BL271" s="49">
        <f ca="1"/>
        <v>7833.6653303150415</v>
      </c>
      <c r="BM271" s="49">
        <f ca="1"/>
        <v>7864.1988576389112</v>
      </c>
      <c r="BN271" s="49">
        <f ca="1"/>
        <v>7893.860742527344</v>
      </c>
      <c r="BO271" s="49">
        <f ca="1"/>
        <v>7924.6288954301799</v>
      </c>
      <c r="BP271" s="49">
        <f ca="1"/>
        <v>7954.5187080271071</v>
      </c>
      <c r="BQ271" s="49">
        <f ca="1"/>
        <v>7985.5232894176188</v>
      </c>
      <c r="BR271" s="49">
        <f ca="1"/>
        <v>8016.6487183543477</v>
      </c>
      <c r="BS271" s="49">
        <f ca="1"/>
        <v>8046.8856078048029</v>
      </c>
      <c r="BT271" s="49">
        <f ca="1"/>
        <v>8078.2502106079301</v>
      </c>
      <c r="BU271" s="49">
        <f ca="1"/>
        <v>8108.7194462140797</v>
      </c>
      <c r="BV271" s="49">
        <f ca="1"/>
        <v>8140.3250607422424</v>
      </c>
      <c r="BW271" s="49">
        <f ca="1"/>
        <v>8172.1409633707635</v>
      </c>
      <c r="BX271" s="49">
        <f ca="1"/>
        <v>8200.9847759333479</v>
      </c>
      <c r="BY271" s="49">
        <f ca="1"/>
        <v>8233.0377629015729</v>
      </c>
      <c r="BZ271" s="49">
        <f ca="1"/>
        <v>8264.1760578381782</v>
      </c>
      <c r="CA271" s="49">
        <f ca="1"/>
        <v>8296.4760236011134</v>
      </c>
      <c r="CB271" s="49">
        <f ca="1"/>
        <v>8327.8542493298282</v>
      </c>
      <c r="CC271" s="49">
        <f ca="1"/>
        <v>8360.4030969402247</v>
      </c>
      <c r="CD271" s="49">
        <f ca="1"/>
        <v>8393.0791594908733</v>
      </c>
      <c r="CE271" s="49">
        <f ca="1"/>
        <v>8424.8227493808845</v>
      </c>
      <c r="CF271" s="49">
        <f ca="1"/>
        <v>8457.7505917283015</v>
      </c>
      <c r="CG271" s="49">
        <f ca="1"/>
        <v>8489.7387764068899</v>
      </c>
      <c r="CH271" s="49">
        <f ca="1"/>
        <v>8522.9203385971232</v>
      </c>
      <c r="CI271" s="49">
        <f ca="1"/>
        <v>8556.2315886491833</v>
      </c>
      <c r="CJ271" s="49">
        <f ca="1"/>
        <v>8586.4310604022103</v>
      </c>
      <c r="CK271" s="49">
        <f ca="1"/>
        <v>8619.9905377579398</v>
      </c>
    </row>
    <row r="272" spans="2:89">
      <c r="B272" s="45" t="str">
        <v>Сахар для осенней подкормки</v>
      </c>
      <c r="C272" s="46"/>
      <c r="D272" s="47">
        <f t="shared" ca="1" si="322"/>
        <v>2174173.5207514782</v>
      </c>
      <c r="E272" s="48"/>
      <c r="F272" s="49">
        <f ca="1"/>
        <v>0</v>
      </c>
      <c r="G272" s="49">
        <f ca="1"/>
        <v>0</v>
      </c>
      <c r="H272" s="49">
        <f ca="1"/>
        <v>0</v>
      </c>
      <c r="I272" s="49">
        <f ca="1"/>
        <v>0</v>
      </c>
      <c r="J272" s="49">
        <f ca="1"/>
        <v>0</v>
      </c>
      <c r="K272" s="49">
        <f ca="1"/>
        <v>0</v>
      </c>
      <c r="L272" s="49">
        <f ca="1"/>
        <v>0</v>
      </c>
      <c r="M272" s="49">
        <f ca="1"/>
        <v>0</v>
      </c>
      <c r="N272" s="49">
        <f ca="1"/>
        <v>0</v>
      </c>
      <c r="O272" s="49">
        <f ca="1"/>
        <v>0</v>
      </c>
      <c r="P272" s="49">
        <f ca="1"/>
        <v>0</v>
      </c>
      <c r="Q272" s="49">
        <f ca="1"/>
        <v>0</v>
      </c>
      <c r="R272" s="49">
        <f ca="1"/>
        <v>26276.210069439345</v>
      </c>
      <c r="S272" s="49">
        <f ca="1"/>
        <v>26378.62769187953</v>
      </c>
      <c r="T272" s="49">
        <f ca="1"/>
        <v>26478.121592310512</v>
      </c>
      <c r="U272" s="49">
        <f ca="1"/>
        <v>26581.326211736221</v>
      </c>
      <c r="V272" s="49">
        <f ca="1"/>
        <v>26684.933095100248</v>
      </c>
      <c r="W272" s="49">
        <f ca="1"/>
        <v>26785.582306552165</v>
      </c>
      <c r="X272" s="49">
        <f ca="1"/>
        <v>26889.9853254146</v>
      </c>
      <c r="Y272" s="49">
        <f ca="1"/>
        <v>26991.40794503711</v>
      </c>
      <c r="Z272" s="49">
        <f ca="1"/>
        <v>27096.613217058395</v>
      </c>
      <c r="AA272" s="49">
        <f ca="1"/>
        <v>27202.518472836724</v>
      </c>
      <c r="AB272" s="49">
        <f ca="1"/>
        <v>27298.530564108471</v>
      </c>
      <c r="AC272" s="49">
        <f ca="1"/>
        <v>27405.224999999973</v>
      </c>
      <c r="AD272" s="49">
        <f ca="1"/>
        <v>27508.874710280579</v>
      </c>
      <c r="AE272" s="49">
        <f ca="1"/>
        <v>27616.391261852124</v>
      </c>
      <c r="AF272" s="49">
        <f ca="1"/>
        <v>27720.839627201683</v>
      </c>
      <c r="AG272" s="49">
        <f ca="1"/>
        <v>27829.184629124669</v>
      </c>
      <c r="AH272" s="49">
        <f ca="1"/>
        <v>27937.953090062594</v>
      </c>
      <c r="AI272" s="49">
        <f ca="1"/>
        <v>28043.61763919942</v>
      </c>
      <c r="AJ272" s="49">
        <f ca="1"/>
        <v>28153.224196861738</v>
      </c>
      <c r="AK272" s="49">
        <f ca="1"/>
        <v>28259.702926062819</v>
      </c>
      <c r="AL272" s="49">
        <f ca="1"/>
        <v>28370.15403826012</v>
      </c>
      <c r="AM272" s="49">
        <f ca="1"/>
        <v>28481.036841060024</v>
      </c>
      <c r="AN272" s="49">
        <f ca="1"/>
        <v>28581.561500621545</v>
      </c>
      <c r="AO272" s="49">
        <f ca="1"/>
        <v>28693.270574999948</v>
      </c>
      <c r="AP272" s="49">
        <f ca="1"/>
        <v>28801.791821663741</v>
      </c>
      <c r="AQ272" s="49">
        <f ca="1"/>
        <v>28914.361651159154</v>
      </c>
      <c r="AR272" s="49">
        <f ca="1"/>
        <v>29023.71908968014</v>
      </c>
      <c r="AS272" s="49">
        <f ca="1"/>
        <v>29137.156306693512</v>
      </c>
      <c r="AT272" s="49">
        <f ca="1"/>
        <v>29251.036885295518</v>
      </c>
      <c r="AU272" s="49">
        <f ca="1"/>
        <v>29361.667668241771</v>
      </c>
      <c r="AV272" s="49">
        <f ca="1"/>
        <v>29476.425734114215</v>
      </c>
      <c r="AW272" s="49">
        <f ca="1"/>
        <v>29587.908963587746</v>
      </c>
      <c r="AX272" s="49">
        <f ca="1"/>
        <v>29703.551278058316</v>
      </c>
      <c r="AY272" s="49">
        <f ca="1"/>
        <v>29819.645572589816</v>
      </c>
      <c r="AZ272" s="49">
        <f ca="1"/>
        <v>29924.894891150729</v>
      </c>
      <c r="BA272" s="49">
        <f ca="1"/>
        <v>30041.854292024917</v>
      </c>
      <c r="BB272" s="49">
        <f ca="1"/>
        <v>30155.476037281907</v>
      </c>
      <c r="BC272" s="49">
        <f ca="1"/>
        <v>30273.336648763605</v>
      </c>
      <c r="BD272" s="49">
        <f ca="1"/>
        <v>30387.833886895078</v>
      </c>
      <c r="BE272" s="49">
        <f ca="1"/>
        <v>30506.602653108079</v>
      </c>
      <c r="BF272" s="49">
        <f ca="1"/>
        <v>30625.835618904381</v>
      </c>
      <c r="BG272" s="49">
        <f ca="1"/>
        <v>30741.666048649109</v>
      </c>
      <c r="BH272" s="49">
        <f ca="1"/>
        <v>30861.817743617557</v>
      </c>
      <c r="BI272" s="49">
        <f ca="1"/>
        <v>30978.540684876349</v>
      </c>
      <c r="BJ272" s="49">
        <f ca="1"/>
        <v>31099.618188127039</v>
      </c>
      <c r="BK272" s="49">
        <f ca="1"/>
        <v>31220.836162302468</v>
      </c>
      <c r="BL272" s="49">
        <f ca="1"/>
        <v>31334.661321260166</v>
      </c>
      <c r="BM272" s="49">
        <f ca="1"/>
        <v>31456.795430555645</v>
      </c>
      <c r="BN272" s="49">
        <f ca="1"/>
        <v>31575.442970109376</v>
      </c>
      <c r="BO272" s="49">
        <f ca="1"/>
        <v>31698.51558172072</v>
      </c>
      <c r="BP272" s="49">
        <f ca="1"/>
        <v>31818.074832108428</v>
      </c>
      <c r="BQ272" s="49">
        <f ca="1"/>
        <v>31942.093157670475</v>
      </c>
      <c r="BR272" s="49">
        <f ca="1"/>
        <v>32066.594873417391</v>
      </c>
      <c r="BS272" s="49">
        <f ca="1"/>
        <v>32187.542431219212</v>
      </c>
      <c r="BT272" s="49">
        <f ca="1"/>
        <v>32313.00084243172</v>
      </c>
      <c r="BU272" s="49">
        <f ca="1"/>
        <v>32434.877784856319</v>
      </c>
      <c r="BV272" s="49">
        <f ca="1"/>
        <v>32561.30024296897</v>
      </c>
      <c r="BW272" s="49">
        <f ca="1"/>
        <v>32688.563853483054</v>
      </c>
      <c r="BX272" s="49">
        <f ca="1"/>
        <v>32803.939103733392</v>
      </c>
      <c r="BY272" s="49">
        <f ca="1"/>
        <v>32932.151051606292</v>
      </c>
      <c r="BZ272" s="49">
        <f ca="1"/>
        <v>33056.704231352713</v>
      </c>
      <c r="CA272" s="49">
        <f ca="1"/>
        <v>33185.904094404454</v>
      </c>
      <c r="CB272" s="49">
        <f ca="1"/>
        <v>33311.416997319313</v>
      </c>
      <c r="CC272" s="49">
        <f ca="1"/>
        <v>33441.612387760899</v>
      </c>
      <c r="CD272" s="49">
        <f ca="1"/>
        <v>33572.316637963493</v>
      </c>
      <c r="CE272" s="49">
        <f ca="1"/>
        <v>33699.290997523538</v>
      </c>
      <c r="CF272" s="49">
        <f ca="1"/>
        <v>33831.002366913206</v>
      </c>
      <c r="CG272" s="49">
        <f ca="1"/>
        <v>33958.95510562756</v>
      </c>
      <c r="CH272" s="49">
        <f ca="1"/>
        <v>34091.681354388493</v>
      </c>
      <c r="CI272" s="49">
        <f ca="1"/>
        <v>34224.926354596733</v>
      </c>
      <c r="CJ272" s="49">
        <f ca="1"/>
        <v>34345.724241608841</v>
      </c>
      <c r="CK272" s="49">
        <f ca="1"/>
        <v>34479.962151031759</v>
      </c>
    </row>
    <row r="273" spans="2:89">
      <c r="B273" s="45" t="str">
        <v>Инвентарь и инструменты</v>
      </c>
      <c r="C273" s="46"/>
      <c r="D273" s="47">
        <f t="shared" ca="1" si="322"/>
        <v>271771.69009393477</v>
      </c>
      <c r="E273" s="48"/>
      <c r="F273" s="49">
        <f ca="1"/>
        <v>0</v>
      </c>
      <c r="G273" s="49">
        <f ca="1"/>
        <v>0</v>
      </c>
      <c r="H273" s="49">
        <f ca="1"/>
        <v>0</v>
      </c>
      <c r="I273" s="49">
        <f ca="1"/>
        <v>0</v>
      </c>
      <c r="J273" s="49">
        <f ca="1"/>
        <v>0</v>
      </c>
      <c r="K273" s="49">
        <f ca="1"/>
        <v>0</v>
      </c>
      <c r="L273" s="49">
        <f ca="1"/>
        <v>0</v>
      </c>
      <c r="M273" s="49">
        <f ca="1"/>
        <v>0</v>
      </c>
      <c r="N273" s="49">
        <f ca="1"/>
        <v>0</v>
      </c>
      <c r="O273" s="49">
        <f ca="1"/>
        <v>0</v>
      </c>
      <c r="P273" s="49">
        <f ca="1"/>
        <v>0</v>
      </c>
      <c r="Q273" s="49">
        <f ca="1"/>
        <v>0</v>
      </c>
      <c r="R273" s="49">
        <f ca="1"/>
        <v>3284.5262586799181</v>
      </c>
      <c r="S273" s="49">
        <f ca="1"/>
        <v>3297.3284614849413</v>
      </c>
      <c r="T273" s="49">
        <f ca="1"/>
        <v>3309.765199038814</v>
      </c>
      <c r="U273" s="49">
        <f ca="1"/>
        <v>3322.6657764670276</v>
      </c>
      <c r="V273" s="49">
        <f ca="1"/>
        <v>3335.6166368875311</v>
      </c>
      <c r="W273" s="49">
        <f ca="1"/>
        <v>3348.1977883190207</v>
      </c>
      <c r="X273" s="49">
        <f ca="1"/>
        <v>3361.248165676825</v>
      </c>
      <c r="Y273" s="49">
        <f ca="1"/>
        <v>3373.9259931296388</v>
      </c>
      <c r="Z273" s="49">
        <f ca="1"/>
        <v>3387.0766521322994</v>
      </c>
      <c r="AA273" s="49">
        <f ca="1"/>
        <v>3400.3148091045905</v>
      </c>
      <c r="AB273" s="49">
        <f ca="1"/>
        <v>3412.3163205135588</v>
      </c>
      <c r="AC273" s="49">
        <f ca="1"/>
        <v>3425.6531249999966</v>
      </c>
      <c r="AD273" s="49">
        <f ca="1"/>
        <v>3438.6093387850724</v>
      </c>
      <c r="AE273" s="49">
        <f ca="1"/>
        <v>3452.0489077315156</v>
      </c>
      <c r="AF273" s="49">
        <f ca="1"/>
        <v>3465.1049534002104</v>
      </c>
      <c r="AG273" s="49">
        <f ca="1"/>
        <v>3478.6480786405837</v>
      </c>
      <c r="AH273" s="49">
        <f ca="1"/>
        <v>3492.2441362578243</v>
      </c>
      <c r="AI273" s="49">
        <f ca="1"/>
        <v>3505.4522048999274</v>
      </c>
      <c r="AJ273" s="49">
        <f ca="1"/>
        <v>3519.1530246077173</v>
      </c>
      <c r="AK273" s="49">
        <f ca="1"/>
        <v>3532.4628657578523</v>
      </c>
      <c r="AL273" s="49">
        <f ca="1"/>
        <v>3546.269254782515</v>
      </c>
      <c r="AM273" s="49">
        <f ca="1"/>
        <v>3560.129605132503</v>
      </c>
      <c r="AN273" s="49">
        <f ca="1"/>
        <v>3572.6951875776931</v>
      </c>
      <c r="AO273" s="49">
        <f ca="1"/>
        <v>3586.6588218749935</v>
      </c>
      <c r="AP273" s="49">
        <f ca="1"/>
        <v>3600.2239777079676</v>
      </c>
      <c r="AQ273" s="49">
        <f ca="1"/>
        <v>3614.2952063948942</v>
      </c>
      <c r="AR273" s="49">
        <f ca="1"/>
        <v>3627.9648862100175</v>
      </c>
      <c r="AS273" s="49">
        <f ca="1"/>
        <v>3642.144538336689</v>
      </c>
      <c r="AT273" s="49">
        <f ca="1"/>
        <v>3656.3796106619398</v>
      </c>
      <c r="AU273" s="49">
        <f ca="1"/>
        <v>3670.2084585302214</v>
      </c>
      <c r="AV273" s="49">
        <f ca="1"/>
        <v>3684.5532167642768</v>
      </c>
      <c r="AW273" s="49">
        <f ca="1"/>
        <v>3698.4886204484683</v>
      </c>
      <c r="AX273" s="49">
        <f ca="1"/>
        <v>3712.9439097572895</v>
      </c>
      <c r="AY273" s="49">
        <f ca="1"/>
        <v>3727.455696573727</v>
      </c>
      <c r="AZ273" s="49">
        <f ca="1"/>
        <v>3740.6118613938411</v>
      </c>
      <c r="BA273" s="49">
        <f ca="1"/>
        <v>3755.2317865031146</v>
      </c>
      <c r="BB273" s="49">
        <f ca="1"/>
        <v>3769.4345046602384</v>
      </c>
      <c r="BC273" s="49">
        <f ca="1"/>
        <v>3784.1670810954506</v>
      </c>
      <c r="BD273" s="49">
        <f ca="1"/>
        <v>3798.4792358618847</v>
      </c>
      <c r="BE273" s="49">
        <f ca="1"/>
        <v>3813.3253316385099</v>
      </c>
      <c r="BF273" s="49">
        <f ca="1"/>
        <v>3828.2294523630476</v>
      </c>
      <c r="BG273" s="49">
        <f ca="1"/>
        <v>3842.7082560811386</v>
      </c>
      <c r="BH273" s="49">
        <f ca="1"/>
        <v>3857.7272179521947</v>
      </c>
      <c r="BI273" s="49">
        <f ca="1"/>
        <v>3872.3175856095436</v>
      </c>
      <c r="BJ273" s="49">
        <f ca="1"/>
        <v>3887.4522735158798</v>
      </c>
      <c r="BK273" s="49">
        <f ca="1"/>
        <v>3902.6045202878086</v>
      </c>
      <c r="BL273" s="49">
        <f ca="1"/>
        <v>3916.8326651575208</v>
      </c>
      <c r="BM273" s="49">
        <f ca="1"/>
        <v>3932.0994288194556</v>
      </c>
      <c r="BN273" s="49">
        <f ca="1"/>
        <v>3946.930371263672</v>
      </c>
      <c r="BO273" s="49">
        <f ca="1"/>
        <v>3962.31444771509</v>
      </c>
      <c r="BP273" s="49">
        <f ca="1"/>
        <v>3977.2593540135535</v>
      </c>
      <c r="BQ273" s="49">
        <f ca="1"/>
        <v>3992.7616447088094</v>
      </c>
      <c r="BR273" s="49">
        <f ca="1"/>
        <v>4008.3243591771738</v>
      </c>
      <c r="BS273" s="49">
        <f ca="1"/>
        <v>4023.4428039024015</v>
      </c>
      <c r="BT273" s="49">
        <f ca="1"/>
        <v>4039.125105303965</v>
      </c>
      <c r="BU273" s="49">
        <f ca="1"/>
        <v>4054.3597231070398</v>
      </c>
      <c r="BV273" s="49">
        <f ca="1"/>
        <v>4070.1625303711212</v>
      </c>
      <c r="BW273" s="49">
        <f ca="1"/>
        <v>4086.0704816853818</v>
      </c>
      <c r="BX273" s="49">
        <f ca="1"/>
        <v>4100.492387966674</v>
      </c>
      <c r="BY273" s="49">
        <f ca="1"/>
        <v>4116.5188814507865</v>
      </c>
      <c r="BZ273" s="49">
        <f ca="1"/>
        <v>4132.0880289190891</v>
      </c>
      <c r="CA273" s="49">
        <f ca="1"/>
        <v>4148.2380118005567</v>
      </c>
      <c r="CB273" s="49">
        <f ca="1"/>
        <v>4163.9271246649141</v>
      </c>
      <c r="CC273" s="49">
        <f ca="1"/>
        <v>4180.2015484701124</v>
      </c>
      <c r="CD273" s="49">
        <f ca="1"/>
        <v>4196.5395797454366</v>
      </c>
      <c r="CE273" s="49">
        <f ca="1"/>
        <v>4212.4113746904422</v>
      </c>
      <c r="CF273" s="49">
        <f ca="1"/>
        <v>4228.8752958641508</v>
      </c>
      <c r="CG273" s="49">
        <f ca="1"/>
        <v>4244.8693882034449</v>
      </c>
      <c r="CH273" s="49">
        <f ca="1"/>
        <v>4261.4601692985616</v>
      </c>
      <c r="CI273" s="49">
        <f ca="1"/>
        <v>4278.1157943245917</v>
      </c>
      <c r="CJ273" s="49">
        <f ca="1"/>
        <v>4293.2155302011051</v>
      </c>
      <c r="CK273" s="49">
        <f ca="1"/>
        <v>4309.9952688789699</v>
      </c>
    </row>
    <row r="274" spans="2:89">
      <c r="B274" s="45" t="str">
        <v>Топливно-энергетические ресурсы</v>
      </c>
      <c r="C274" s="46"/>
      <c r="D274" s="47">
        <f t="shared" ca="1" si="322"/>
        <v>33699689.571647905</v>
      </c>
      <c r="E274" s="48"/>
      <c r="F274" s="49">
        <f ca="1"/>
        <v>0</v>
      </c>
      <c r="G274" s="49">
        <f ca="1"/>
        <v>0</v>
      </c>
      <c r="H274" s="49">
        <f ca="1"/>
        <v>0</v>
      </c>
      <c r="I274" s="49">
        <f ca="1"/>
        <v>0</v>
      </c>
      <c r="J274" s="49">
        <f ca="1"/>
        <v>0</v>
      </c>
      <c r="K274" s="49">
        <f ca="1"/>
        <v>0</v>
      </c>
      <c r="L274" s="49">
        <f ca="1"/>
        <v>0</v>
      </c>
      <c r="M274" s="49">
        <f ca="1"/>
        <v>0</v>
      </c>
      <c r="N274" s="49">
        <f ca="1"/>
        <v>0</v>
      </c>
      <c r="O274" s="49">
        <f ca="1"/>
        <v>0</v>
      </c>
      <c r="P274" s="49">
        <f ca="1"/>
        <v>0</v>
      </c>
      <c r="Q274" s="49">
        <f ca="1"/>
        <v>0</v>
      </c>
      <c r="R274" s="49">
        <f ca="1"/>
        <v>407281.25607630983</v>
      </c>
      <c r="S274" s="49">
        <f ca="1"/>
        <v>408868.72922413272</v>
      </c>
      <c r="T274" s="49">
        <f ca="1"/>
        <v>410410.88468081289</v>
      </c>
      <c r="U274" s="49">
        <f ca="1"/>
        <v>412010.55628191144</v>
      </c>
      <c r="V274" s="49">
        <f ca="1"/>
        <v>413616.46297405387</v>
      </c>
      <c r="W274" s="49">
        <f ca="1"/>
        <v>415176.52575155854</v>
      </c>
      <c r="X274" s="49">
        <f ca="1"/>
        <v>416794.77254392632</v>
      </c>
      <c r="Y274" s="49">
        <f ca="1"/>
        <v>418366.8231480752</v>
      </c>
      <c r="Z274" s="49">
        <f ca="1"/>
        <v>419997.50486440514</v>
      </c>
      <c r="AA274" s="49">
        <f ca="1"/>
        <v>421639.03632896923</v>
      </c>
      <c r="AB274" s="49">
        <f ca="1"/>
        <v>423127.22374368127</v>
      </c>
      <c r="AC274" s="49">
        <f ca="1"/>
        <v>424780.98749999958</v>
      </c>
      <c r="AD274" s="49">
        <f ca="1"/>
        <v>426387.55800934898</v>
      </c>
      <c r="AE274" s="49">
        <f ca="1"/>
        <v>428054.06455870793</v>
      </c>
      <c r="AF274" s="49">
        <f ca="1"/>
        <v>429673.0142216261</v>
      </c>
      <c r="AG274" s="49">
        <f ca="1"/>
        <v>431352.36175143241</v>
      </c>
      <c r="AH274" s="49">
        <f ca="1"/>
        <v>433038.27289597021</v>
      </c>
      <c r="AI274" s="49">
        <f ca="1"/>
        <v>434676.07340759103</v>
      </c>
      <c r="AJ274" s="49">
        <f ca="1"/>
        <v>436374.97505135695</v>
      </c>
      <c r="AK274" s="49">
        <f ca="1"/>
        <v>438025.39535397367</v>
      </c>
      <c r="AL274" s="49">
        <f ca="1"/>
        <v>439737.38759303186</v>
      </c>
      <c r="AM274" s="49">
        <f ca="1"/>
        <v>441456.07103643043</v>
      </c>
      <c r="AN274" s="49">
        <f ca="1"/>
        <v>443014.20325963391</v>
      </c>
      <c r="AO274" s="49">
        <f ca="1"/>
        <v>444745.69391249918</v>
      </c>
      <c r="AP274" s="49">
        <f ca="1"/>
        <v>446427.77323578799</v>
      </c>
      <c r="AQ274" s="49">
        <f ca="1"/>
        <v>448172.60559296689</v>
      </c>
      <c r="AR274" s="49">
        <f ca="1"/>
        <v>449867.64589004213</v>
      </c>
      <c r="AS274" s="49">
        <f ca="1"/>
        <v>451625.92275374942</v>
      </c>
      <c r="AT274" s="49">
        <f ca="1"/>
        <v>453391.07172208052</v>
      </c>
      <c r="AU274" s="49">
        <f ca="1"/>
        <v>455105.84885774745</v>
      </c>
      <c r="AV274" s="49">
        <f ca="1"/>
        <v>456884.59887877031</v>
      </c>
      <c r="AW274" s="49">
        <f ca="1"/>
        <v>458612.58893561002</v>
      </c>
      <c r="AX274" s="49">
        <f ca="1"/>
        <v>460405.04480990389</v>
      </c>
      <c r="AY274" s="49">
        <f ca="1"/>
        <v>462204.50637514214</v>
      </c>
      <c r="AZ274" s="49">
        <f ca="1"/>
        <v>463835.87081283628</v>
      </c>
      <c r="BA274" s="49">
        <f ca="1"/>
        <v>465648.74152638623</v>
      </c>
      <c r="BB274" s="49">
        <f ca="1"/>
        <v>467409.87857786956</v>
      </c>
      <c r="BC274" s="49">
        <f ca="1"/>
        <v>469236.71805583587</v>
      </c>
      <c r="BD274" s="49">
        <f ca="1"/>
        <v>471011.4252468737</v>
      </c>
      <c r="BE274" s="49">
        <f ca="1"/>
        <v>472852.34112317523</v>
      </c>
      <c r="BF274" s="49">
        <f ca="1"/>
        <v>474700.45209301787</v>
      </c>
      <c r="BG274" s="49">
        <f ca="1"/>
        <v>476495.82375406119</v>
      </c>
      <c r="BH274" s="49">
        <f ca="1"/>
        <v>478358.17502607219</v>
      </c>
      <c r="BI274" s="49">
        <f ca="1"/>
        <v>480167.38061558339</v>
      </c>
      <c r="BJ274" s="49">
        <f ca="1"/>
        <v>482044.08191596909</v>
      </c>
      <c r="BK274" s="49">
        <f ca="1"/>
        <v>483922.96051568823</v>
      </c>
      <c r="BL274" s="49">
        <f ca="1"/>
        <v>485687.25047953258</v>
      </c>
      <c r="BM274" s="49">
        <f ca="1"/>
        <v>487580.32917361252</v>
      </c>
      <c r="BN274" s="49">
        <f ca="1"/>
        <v>489419.36603669531</v>
      </c>
      <c r="BO274" s="49">
        <f ca="1"/>
        <v>491326.9915166712</v>
      </c>
      <c r="BP274" s="49">
        <f ca="1"/>
        <v>493180.15989768063</v>
      </c>
      <c r="BQ274" s="49">
        <f ca="1"/>
        <v>495102.44394389237</v>
      </c>
      <c r="BR274" s="49">
        <f ca="1"/>
        <v>497032.22053796955</v>
      </c>
      <c r="BS274" s="49">
        <f ca="1"/>
        <v>498906.90768389782</v>
      </c>
      <c r="BT274" s="49">
        <f ca="1"/>
        <v>500851.51305769169</v>
      </c>
      <c r="BU274" s="49">
        <f ca="1"/>
        <v>502740.60566527297</v>
      </c>
      <c r="BV274" s="49">
        <f ca="1"/>
        <v>504700.15376601904</v>
      </c>
      <c r="BW274" s="49">
        <f ca="1"/>
        <v>506672.73972898733</v>
      </c>
      <c r="BX274" s="49">
        <f ca="1"/>
        <v>508461.05610786757</v>
      </c>
      <c r="BY274" s="49">
        <f ca="1"/>
        <v>510448.34129989747</v>
      </c>
      <c r="BZ274" s="49">
        <f ca="1"/>
        <v>512378.91558596707</v>
      </c>
      <c r="CA274" s="49">
        <f ca="1"/>
        <v>514381.51346326899</v>
      </c>
      <c r="CB274" s="49">
        <f ca="1"/>
        <v>516326.96345844941</v>
      </c>
      <c r="CC274" s="49">
        <f ca="1"/>
        <v>518344.99201029394</v>
      </c>
      <c r="CD274" s="49">
        <f ca="1"/>
        <v>520370.90788843419</v>
      </c>
      <c r="CE274" s="49">
        <f ca="1"/>
        <v>522339.01046161476</v>
      </c>
      <c r="CF274" s="49">
        <f ca="1"/>
        <v>524380.53668715467</v>
      </c>
      <c r="CG274" s="49">
        <f ca="1"/>
        <v>526363.80413722713</v>
      </c>
      <c r="CH274" s="49">
        <f ca="1"/>
        <v>528421.06099302159</v>
      </c>
      <c r="CI274" s="49">
        <f ca="1"/>
        <v>530486.35849624942</v>
      </c>
      <c r="CJ274" s="49">
        <f ca="1"/>
        <v>532358.72574493696</v>
      </c>
      <c r="CK274" s="49">
        <f ca="1"/>
        <v>534439.41334099218</v>
      </c>
    </row>
    <row r="275" spans="2:89">
      <c r="B275" s="45" t="str">
        <v>Прочие постоянные затраты</v>
      </c>
      <c r="C275" s="46"/>
      <c r="D275" s="47">
        <f t="shared" ca="1" si="322"/>
        <v>86966940.830059111</v>
      </c>
      <c r="E275" s="48"/>
      <c r="F275" s="49">
        <f ca="1"/>
        <v>0</v>
      </c>
      <c r="G275" s="49">
        <f ca="1"/>
        <v>0</v>
      </c>
      <c r="H275" s="49">
        <f ca="1"/>
        <v>0</v>
      </c>
      <c r="I275" s="49">
        <f ca="1"/>
        <v>0</v>
      </c>
      <c r="J275" s="49">
        <f ca="1"/>
        <v>0</v>
      </c>
      <c r="K275" s="49">
        <f ca="1"/>
        <v>0</v>
      </c>
      <c r="L275" s="49">
        <f ca="1"/>
        <v>0</v>
      </c>
      <c r="M275" s="49">
        <f ca="1"/>
        <v>0</v>
      </c>
      <c r="N275" s="49">
        <f ca="1"/>
        <v>0</v>
      </c>
      <c r="O275" s="49">
        <f ca="1"/>
        <v>0</v>
      </c>
      <c r="P275" s="49">
        <f ca="1"/>
        <v>0</v>
      </c>
      <c r="Q275" s="49">
        <f ca="1"/>
        <v>0</v>
      </c>
      <c r="R275" s="49">
        <f ca="1"/>
        <v>1051048.4027775738</v>
      </c>
      <c r="S275" s="49">
        <f ca="1"/>
        <v>1055145.1076751812</v>
      </c>
      <c r="T275" s="49">
        <f ca="1"/>
        <v>1059124.8636924205</v>
      </c>
      <c r="U275" s="49">
        <f ca="1"/>
        <v>1063253.0484694489</v>
      </c>
      <c r="V275" s="49">
        <f ca="1"/>
        <v>1067397.3238040099</v>
      </c>
      <c r="W275" s="49">
        <f ca="1"/>
        <v>1071423.2922620866</v>
      </c>
      <c r="X275" s="49">
        <f ca="1"/>
        <v>1075599.413016584</v>
      </c>
      <c r="Y275" s="49">
        <f ca="1"/>
        <v>1079656.3178014844</v>
      </c>
      <c r="Z275" s="49">
        <f ca="1"/>
        <v>1083864.5286823357</v>
      </c>
      <c r="AA275" s="49">
        <f ca="1"/>
        <v>1088100.738913469</v>
      </c>
      <c r="AB275" s="49">
        <f ca="1"/>
        <v>1091941.2225643387</v>
      </c>
      <c r="AC275" s="49">
        <f ca="1"/>
        <v>1096208.9999999988</v>
      </c>
      <c r="AD275" s="49">
        <f ca="1"/>
        <v>1100354.9884112231</v>
      </c>
      <c r="AE275" s="49">
        <f ca="1"/>
        <v>1104655.650474085</v>
      </c>
      <c r="AF275" s="49">
        <f ca="1"/>
        <v>1108833.5850880672</v>
      </c>
      <c r="AG275" s="49">
        <f ca="1"/>
        <v>1113167.3851649868</v>
      </c>
      <c r="AH275" s="49">
        <f ca="1"/>
        <v>1117518.1236025039</v>
      </c>
      <c r="AI275" s="49">
        <f ca="1"/>
        <v>1121744.7055679767</v>
      </c>
      <c r="AJ275" s="49">
        <f ca="1"/>
        <v>1126128.9678744695</v>
      </c>
      <c r="AK275" s="49">
        <f ca="1"/>
        <v>1130388.1170425126</v>
      </c>
      <c r="AL275" s="49">
        <f ca="1"/>
        <v>1134806.1615304048</v>
      </c>
      <c r="AM275" s="49">
        <f ca="1"/>
        <v>1139241.4736424009</v>
      </c>
      <c r="AN275" s="49">
        <f ca="1"/>
        <v>1143262.4600248619</v>
      </c>
      <c r="AO275" s="49">
        <f ca="1"/>
        <v>1147730.8229999978</v>
      </c>
      <c r="AP275" s="49">
        <f ca="1"/>
        <v>1152071.6728665496</v>
      </c>
      <c r="AQ275" s="49">
        <f ca="1"/>
        <v>1156574.4660463661</v>
      </c>
      <c r="AR275" s="49">
        <f ca="1"/>
        <v>1160948.7635872057</v>
      </c>
      <c r="AS275" s="49">
        <f ca="1"/>
        <v>1165486.2522677404</v>
      </c>
      <c r="AT275" s="49">
        <f ca="1"/>
        <v>1170041.4754118207</v>
      </c>
      <c r="AU275" s="49">
        <f ca="1"/>
        <v>1174466.7067296708</v>
      </c>
      <c r="AV275" s="49">
        <f ca="1"/>
        <v>1179057.0293645686</v>
      </c>
      <c r="AW275" s="49">
        <f ca="1"/>
        <v>1183516.3585435099</v>
      </c>
      <c r="AX275" s="49">
        <f ca="1"/>
        <v>1188142.0511223327</v>
      </c>
      <c r="AY275" s="49">
        <f ca="1"/>
        <v>1192785.8229035926</v>
      </c>
      <c r="AZ275" s="49">
        <f ca="1"/>
        <v>1196995.7956460291</v>
      </c>
      <c r="BA275" s="49">
        <f ca="1"/>
        <v>1201674.1716809967</v>
      </c>
      <c r="BB275" s="49">
        <f ca="1"/>
        <v>1206219.0414912764</v>
      </c>
      <c r="BC275" s="49">
        <f ca="1"/>
        <v>1210933.4659505442</v>
      </c>
      <c r="BD275" s="49">
        <f ca="1"/>
        <v>1215513.3554758031</v>
      </c>
      <c r="BE275" s="49">
        <f ca="1"/>
        <v>1220264.1061243231</v>
      </c>
      <c r="BF275" s="49">
        <f ca="1"/>
        <v>1225033.4247561751</v>
      </c>
      <c r="BG275" s="49">
        <f ca="1"/>
        <v>1229666.6419459644</v>
      </c>
      <c r="BH275" s="49">
        <f ca="1"/>
        <v>1234472.7097447023</v>
      </c>
      <c r="BI275" s="49">
        <f ca="1"/>
        <v>1239141.6273950539</v>
      </c>
      <c r="BJ275" s="49">
        <f ca="1"/>
        <v>1243984.7275250815</v>
      </c>
      <c r="BK275" s="49">
        <f ca="1"/>
        <v>1248833.4464920987</v>
      </c>
      <c r="BL275" s="49">
        <f ca="1"/>
        <v>1253386.4528504065</v>
      </c>
      <c r="BM275" s="49">
        <f ca="1"/>
        <v>1258271.8172222257</v>
      </c>
      <c r="BN275" s="49">
        <f ca="1"/>
        <v>1263017.718804375</v>
      </c>
      <c r="BO275" s="49">
        <f ca="1"/>
        <v>1267940.6232688287</v>
      </c>
      <c r="BP275" s="49">
        <f ca="1"/>
        <v>1272722.9932843372</v>
      </c>
      <c r="BQ275" s="49">
        <f ca="1"/>
        <v>1277683.7263068191</v>
      </c>
      <c r="BR275" s="49">
        <f ca="1"/>
        <v>1282663.7949366956</v>
      </c>
      <c r="BS275" s="49">
        <f ca="1"/>
        <v>1287501.6972487685</v>
      </c>
      <c r="BT275" s="49">
        <f ca="1"/>
        <v>1292520.0336972689</v>
      </c>
      <c r="BU275" s="49">
        <f ca="1"/>
        <v>1297395.1113942529</v>
      </c>
      <c r="BV275" s="49">
        <f ca="1"/>
        <v>1302452.0097187588</v>
      </c>
      <c r="BW275" s="49">
        <f ca="1"/>
        <v>1307542.5541393221</v>
      </c>
      <c r="BX275" s="49">
        <f ca="1"/>
        <v>1312157.5641493357</v>
      </c>
      <c r="BY275" s="49">
        <f ca="1"/>
        <v>1317286.0420642516</v>
      </c>
      <c r="BZ275" s="49">
        <f ca="1"/>
        <v>1322268.1692541086</v>
      </c>
      <c r="CA275" s="49">
        <f ca="1"/>
        <v>1327436.1637761779</v>
      </c>
      <c r="CB275" s="49">
        <f ca="1"/>
        <v>1332456.6798927726</v>
      </c>
      <c r="CC275" s="49">
        <f ca="1"/>
        <v>1337664.4955104359</v>
      </c>
      <c r="CD275" s="49">
        <f ca="1"/>
        <v>1342892.6655185397</v>
      </c>
      <c r="CE275" s="49">
        <f ca="1"/>
        <v>1347971.6399009414</v>
      </c>
      <c r="CF275" s="49">
        <f ca="1"/>
        <v>1353240.0946765281</v>
      </c>
      <c r="CG275" s="49">
        <f ca="1"/>
        <v>1358358.2042251024</v>
      </c>
      <c r="CH275" s="49">
        <f ca="1"/>
        <v>1363667.2541755396</v>
      </c>
      <c r="CI275" s="49">
        <f ca="1"/>
        <v>1368997.0541838694</v>
      </c>
      <c r="CJ275" s="49">
        <f ca="1"/>
        <v>1373828.9696643534</v>
      </c>
      <c r="CK275" s="49">
        <f ca="1"/>
        <v>1379198.4860412702</v>
      </c>
    </row>
    <row r="276" spans="2:89">
      <c r="B276" s="45" t="str">
        <v>Пусто</v>
      </c>
      <c r="C276" s="46"/>
      <c r="D276" s="47">
        <f t="shared" ca="1" si="322"/>
        <v>0</v>
      </c>
      <c r="E276" s="48"/>
      <c r="F276" s="49">
        <f ca="1"/>
        <v>0</v>
      </c>
      <c r="G276" s="49">
        <f ca="1"/>
        <v>0</v>
      </c>
      <c r="H276" s="49">
        <f ca="1"/>
        <v>0</v>
      </c>
      <c r="I276" s="49">
        <f ca="1"/>
        <v>0</v>
      </c>
      <c r="J276" s="49">
        <f ca="1"/>
        <v>0</v>
      </c>
      <c r="K276" s="49">
        <f ca="1"/>
        <v>0</v>
      </c>
      <c r="L276" s="49">
        <f ca="1"/>
        <v>0</v>
      </c>
      <c r="M276" s="49">
        <f ca="1"/>
        <v>0</v>
      </c>
      <c r="N276" s="49">
        <f ca="1"/>
        <v>0</v>
      </c>
      <c r="O276" s="49">
        <f ca="1"/>
        <v>0</v>
      </c>
      <c r="P276" s="49">
        <f ca="1"/>
        <v>0</v>
      </c>
      <c r="Q276" s="49">
        <f ca="1"/>
        <v>0</v>
      </c>
      <c r="R276" s="49">
        <f ca="1"/>
        <v>0</v>
      </c>
      <c r="S276" s="49">
        <f ca="1"/>
        <v>0</v>
      </c>
      <c r="T276" s="49">
        <f ca="1"/>
        <v>0</v>
      </c>
      <c r="U276" s="49">
        <f ca="1"/>
        <v>0</v>
      </c>
      <c r="V276" s="49">
        <f ca="1"/>
        <v>0</v>
      </c>
      <c r="W276" s="49">
        <f ca="1"/>
        <v>0</v>
      </c>
      <c r="X276" s="49">
        <f ca="1"/>
        <v>0</v>
      </c>
      <c r="Y276" s="49">
        <f ca="1"/>
        <v>0</v>
      </c>
      <c r="Z276" s="49">
        <f ca="1"/>
        <v>0</v>
      </c>
      <c r="AA276" s="49">
        <f ca="1"/>
        <v>0</v>
      </c>
      <c r="AB276" s="49">
        <f ca="1"/>
        <v>0</v>
      </c>
      <c r="AC276" s="49">
        <f ca="1"/>
        <v>0</v>
      </c>
      <c r="AD276" s="49">
        <f ca="1"/>
        <v>0</v>
      </c>
      <c r="AE276" s="49">
        <f ca="1"/>
        <v>0</v>
      </c>
      <c r="AF276" s="49">
        <f ca="1"/>
        <v>0</v>
      </c>
      <c r="AG276" s="49">
        <f ca="1"/>
        <v>0</v>
      </c>
      <c r="AH276" s="49">
        <f ca="1"/>
        <v>0</v>
      </c>
      <c r="AI276" s="49">
        <f ca="1"/>
        <v>0</v>
      </c>
      <c r="AJ276" s="49">
        <f ca="1"/>
        <v>0</v>
      </c>
      <c r="AK276" s="49">
        <f ca="1"/>
        <v>0</v>
      </c>
      <c r="AL276" s="49">
        <f ca="1"/>
        <v>0</v>
      </c>
      <c r="AM276" s="49">
        <f ca="1"/>
        <v>0</v>
      </c>
      <c r="AN276" s="49">
        <f ca="1"/>
        <v>0</v>
      </c>
      <c r="AO276" s="49">
        <f ca="1"/>
        <v>0</v>
      </c>
      <c r="AP276" s="49">
        <f ca="1"/>
        <v>0</v>
      </c>
      <c r="AQ276" s="49">
        <f ca="1"/>
        <v>0</v>
      </c>
      <c r="AR276" s="49">
        <f ca="1"/>
        <v>0</v>
      </c>
      <c r="AS276" s="49">
        <f ca="1"/>
        <v>0</v>
      </c>
      <c r="AT276" s="49">
        <f ca="1"/>
        <v>0</v>
      </c>
      <c r="AU276" s="49">
        <f ca="1"/>
        <v>0</v>
      </c>
      <c r="AV276" s="49">
        <f ca="1"/>
        <v>0</v>
      </c>
      <c r="AW276" s="49">
        <f ca="1"/>
        <v>0</v>
      </c>
      <c r="AX276" s="49">
        <f ca="1"/>
        <v>0</v>
      </c>
      <c r="AY276" s="49">
        <f ca="1"/>
        <v>0</v>
      </c>
      <c r="AZ276" s="49">
        <f ca="1"/>
        <v>0</v>
      </c>
      <c r="BA276" s="49">
        <f ca="1"/>
        <v>0</v>
      </c>
      <c r="BB276" s="49">
        <f ca="1"/>
        <v>0</v>
      </c>
      <c r="BC276" s="49">
        <f ca="1"/>
        <v>0</v>
      </c>
      <c r="BD276" s="49">
        <f ca="1"/>
        <v>0</v>
      </c>
      <c r="BE276" s="49">
        <f ca="1"/>
        <v>0</v>
      </c>
      <c r="BF276" s="49">
        <f ca="1"/>
        <v>0</v>
      </c>
      <c r="BG276" s="49">
        <f ca="1"/>
        <v>0</v>
      </c>
      <c r="BH276" s="49">
        <f ca="1"/>
        <v>0</v>
      </c>
      <c r="BI276" s="49">
        <f ca="1"/>
        <v>0</v>
      </c>
      <c r="BJ276" s="49">
        <f ca="1"/>
        <v>0</v>
      </c>
      <c r="BK276" s="49">
        <f ca="1"/>
        <v>0</v>
      </c>
      <c r="BL276" s="49">
        <f ca="1"/>
        <v>0</v>
      </c>
      <c r="BM276" s="49">
        <f ca="1"/>
        <v>0</v>
      </c>
      <c r="BN276" s="49">
        <f ca="1"/>
        <v>0</v>
      </c>
      <c r="BO276" s="49">
        <f ca="1"/>
        <v>0</v>
      </c>
      <c r="BP276" s="49">
        <f ca="1"/>
        <v>0</v>
      </c>
      <c r="BQ276" s="49">
        <f ca="1"/>
        <v>0</v>
      </c>
      <c r="BR276" s="49">
        <f ca="1"/>
        <v>0</v>
      </c>
      <c r="BS276" s="49">
        <f ca="1"/>
        <v>0</v>
      </c>
      <c r="BT276" s="49">
        <f ca="1"/>
        <v>0</v>
      </c>
      <c r="BU276" s="49">
        <f ca="1"/>
        <v>0</v>
      </c>
      <c r="BV276" s="49">
        <f ca="1"/>
        <v>0</v>
      </c>
      <c r="BW276" s="49">
        <f ca="1"/>
        <v>0</v>
      </c>
      <c r="BX276" s="49">
        <f ca="1"/>
        <v>0</v>
      </c>
      <c r="BY276" s="49">
        <f ca="1"/>
        <v>0</v>
      </c>
      <c r="BZ276" s="49">
        <f ca="1"/>
        <v>0</v>
      </c>
      <c r="CA276" s="49">
        <f ca="1"/>
        <v>0</v>
      </c>
      <c r="CB276" s="49">
        <f ca="1"/>
        <v>0</v>
      </c>
      <c r="CC276" s="49">
        <f ca="1"/>
        <v>0</v>
      </c>
      <c r="CD276" s="49">
        <f ca="1"/>
        <v>0</v>
      </c>
      <c r="CE276" s="49">
        <f ca="1"/>
        <v>0</v>
      </c>
      <c r="CF276" s="49">
        <f ca="1"/>
        <v>0</v>
      </c>
      <c r="CG276" s="49">
        <f ca="1"/>
        <v>0</v>
      </c>
      <c r="CH276" s="49">
        <f ca="1"/>
        <v>0</v>
      </c>
      <c r="CI276" s="49">
        <f ca="1"/>
        <v>0</v>
      </c>
      <c r="CJ276" s="49">
        <f ca="1"/>
        <v>0</v>
      </c>
      <c r="CK276" s="49">
        <f ca="1"/>
        <v>0</v>
      </c>
    </row>
    <row r="277" spans="2:89">
      <c r="B277" s="86" t="str">
        <v>Пусто</v>
      </c>
      <c r="C277" s="46"/>
      <c r="D277" s="47">
        <f t="shared" ca="1" si="322"/>
        <v>0</v>
      </c>
      <c r="E277" s="48"/>
      <c r="F277" s="176">
        <f ca="1"/>
        <v>0</v>
      </c>
      <c r="G277" s="176">
        <f ca="1"/>
        <v>0</v>
      </c>
      <c r="H277" s="176">
        <f ca="1"/>
        <v>0</v>
      </c>
      <c r="I277" s="176">
        <f ca="1"/>
        <v>0</v>
      </c>
      <c r="J277" s="176">
        <f ca="1"/>
        <v>0</v>
      </c>
      <c r="K277" s="176">
        <f ca="1"/>
        <v>0</v>
      </c>
      <c r="L277" s="176">
        <f ca="1"/>
        <v>0</v>
      </c>
      <c r="M277" s="176">
        <f ca="1"/>
        <v>0</v>
      </c>
      <c r="N277" s="176">
        <f ca="1"/>
        <v>0</v>
      </c>
      <c r="O277" s="176">
        <f ca="1"/>
        <v>0</v>
      </c>
      <c r="P277" s="176">
        <f ca="1"/>
        <v>0</v>
      </c>
      <c r="Q277" s="176">
        <f ca="1"/>
        <v>0</v>
      </c>
      <c r="R277" s="176">
        <f ca="1"/>
        <v>0</v>
      </c>
      <c r="S277" s="176">
        <f ca="1"/>
        <v>0</v>
      </c>
      <c r="T277" s="176">
        <f ca="1"/>
        <v>0</v>
      </c>
      <c r="U277" s="176">
        <f ca="1"/>
        <v>0</v>
      </c>
      <c r="V277" s="176">
        <f ca="1"/>
        <v>0</v>
      </c>
      <c r="W277" s="176">
        <f ca="1"/>
        <v>0</v>
      </c>
      <c r="X277" s="176">
        <f ca="1"/>
        <v>0</v>
      </c>
      <c r="Y277" s="176">
        <f ca="1"/>
        <v>0</v>
      </c>
      <c r="Z277" s="176">
        <f ca="1"/>
        <v>0</v>
      </c>
      <c r="AA277" s="176">
        <f ca="1"/>
        <v>0</v>
      </c>
      <c r="AB277" s="176">
        <f ca="1"/>
        <v>0</v>
      </c>
      <c r="AC277" s="176">
        <f ca="1"/>
        <v>0</v>
      </c>
      <c r="AD277" s="176">
        <f ca="1"/>
        <v>0</v>
      </c>
      <c r="AE277" s="176">
        <f ca="1"/>
        <v>0</v>
      </c>
      <c r="AF277" s="176">
        <f ca="1"/>
        <v>0</v>
      </c>
      <c r="AG277" s="176">
        <f ca="1"/>
        <v>0</v>
      </c>
      <c r="AH277" s="176">
        <f ca="1"/>
        <v>0</v>
      </c>
      <c r="AI277" s="176">
        <f ca="1"/>
        <v>0</v>
      </c>
      <c r="AJ277" s="176">
        <f ca="1"/>
        <v>0</v>
      </c>
      <c r="AK277" s="176">
        <f ca="1"/>
        <v>0</v>
      </c>
      <c r="AL277" s="176">
        <f ca="1"/>
        <v>0</v>
      </c>
      <c r="AM277" s="176">
        <f ca="1"/>
        <v>0</v>
      </c>
      <c r="AN277" s="176">
        <f ca="1"/>
        <v>0</v>
      </c>
      <c r="AO277" s="176">
        <f ca="1"/>
        <v>0</v>
      </c>
      <c r="AP277" s="176">
        <f ca="1"/>
        <v>0</v>
      </c>
      <c r="AQ277" s="176">
        <f ca="1"/>
        <v>0</v>
      </c>
      <c r="AR277" s="176">
        <f ca="1"/>
        <v>0</v>
      </c>
      <c r="AS277" s="176">
        <f ca="1"/>
        <v>0</v>
      </c>
      <c r="AT277" s="176">
        <f ca="1"/>
        <v>0</v>
      </c>
      <c r="AU277" s="176">
        <f ca="1"/>
        <v>0</v>
      </c>
      <c r="AV277" s="176">
        <f ca="1"/>
        <v>0</v>
      </c>
      <c r="AW277" s="176">
        <f ca="1"/>
        <v>0</v>
      </c>
      <c r="AX277" s="176">
        <f ca="1"/>
        <v>0</v>
      </c>
      <c r="AY277" s="176">
        <f ca="1"/>
        <v>0</v>
      </c>
      <c r="AZ277" s="176">
        <f ca="1"/>
        <v>0</v>
      </c>
      <c r="BA277" s="176">
        <f ca="1"/>
        <v>0</v>
      </c>
      <c r="BB277" s="176">
        <f ca="1"/>
        <v>0</v>
      </c>
      <c r="BC277" s="176">
        <f ca="1"/>
        <v>0</v>
      </c>
      <c r="BD277" s="176">
        <f ca="1"/>
        <v>0</v>
      </c>
      <c r="BE277" s="176">
        <f ca="1"/>
        <v>0</v>
      </c>
      <c r="BF277" s="176">
        <f ca="1"/>
        <v>0</v>
      </c>
      <c r="BG277" s="176">
        <f ca="1"/>
        <v>0</v>
      </c>
      <c r="BH277" s="176">
        <f ca="1"/>
        <v>0</v>
      </c>
      <c r="BI277" s="176">
        <f ca="1"/>
        <v>0</v>
      </c>
      <c r="BJ277" s="176">
        <f ca="1"/>
        <v>0</v>
      </c>
      <c r="BK277" s="176">
        <f ca="1"/>
        <v>0</v>
      </c>
      <c r="BL277" s="176">
        <f ca="1"/>
        <v>0</v>
      </c>
      <c r="BM277" s="176">
        <f ca="1"/>
        <v>0</v>
      </c>
      <c r="BN277" s="176">
        <f ca="1"/>
        <v>0</v>
      </c>
      <c r="BO277" s="176">
        <f ca="1"/>
        <v>0</v>
      </c>
      <c r="BP277" s="176">
        <f ca="1"/>
        <v>0</v>
      </c>
      <c r="BQ277" s="176">
        <f ca="1"/>
        <v>0</v>
      </c>
      <c r="BR277" s="176">
        <f ca="1"/>
        <v>0</v>
      </c>
      <c r="BS277" s="176">
        <f ca="1"/>
        <v>0</v>
      </c>
      <c r="BT277" s="176">
        <f ca="1"/>
        <v>0</v>
      </c>
      <c r="BU277" s="176">
        <f ca="1"/>
        <v>0</v>
      </c>
      <c r="BV277" s="176">
        <f ca="1"/>
        <v>0</v>
      </c>
      <c r="BW277" s="176">
        <f ca="1"/>
        <v>0</v>
      </c>
      <c r="BX277" s="176">
        <f ca="1"/>
        <v>0</v>
      </c>
      <c r="BY277" s="176">
        <f ca="1"/>
        <v>0</v>
      </c>
      <c r="BZ277" s="176">
        <f ca="1"/>
        <v>0</v>
      </c>
      <c r="CA277" s="176">
        <f ca="1"/>
        <v>0</v>
      </c>
      <c r="CB277" s="176">
        <f ca="1"/>
        <v>0</v>
      </c>
      <c r="CC277" s="176">
        <f ca="1"/>
        <v>0</v>
      </c>
      <c r="CD277" s="176">
        <f ca="1"/>
        <v>0</v>
      </c>
      <c r="CE277" s="176">
        <f ca="1"/>
        <v>0</v>
      </c>
      <c r="CF277" s="176">
        <f ca="1"/>
        <v>0</v>
      </c>
      <c r="CG277" s="176">
        <f ca="1"/>
        <v>0</v>
      </c>
      <c r="CH277" s="176">
        <f ca="1"/>
        <v>0</v>
      </c>
      <c r="CI277" s="176">
        <f ca="1"/>
        <v>0</v>
      </c>
      <c r="CJ277" s="176">
        <f ca="1"/>
        <v>0</v>
      </c>
      <c r="CK277" s="176">
        <f ca="1"/>
        <v>0</v>
      </c>
    </row>
    <row r="278" spans="2:89" ht="15.75" thickBot="1">
      <c r="B278" s="86" t="str">
        <v>Пусто</v>
      </c>
      <c r="C278" s="46"/>
      <c r="D278" s="47">
        <f t="shared" ca="1" si="322"/>
        <v>0</v>
      </c>
      <c r="E278" s="48"/>
      <c r="F278" s="176">
        <f ca="1"/>
        <v>0</v>
      </c>
      <c r="G278" s="176">
        <f ca="1"/>
        <v>0</v>
      </c>
      <c r="H278" s="176">
        <f ca="1"/>
        <v>0</v>
      </c>
      <c r="I278" s="176">
        <f ca="1"/>
        <v>0</v>
      </c>
      <c r="J278" s="176">
        <f ca="1"/>
        <v>0</v>
      </c>
      <c r="K278" s="176">
        <f ca="1"/>
        <v>0</v>
      </c>
      <c r="L278" s="176">
        <f ca="1"/>
        <v>0</v>
      </c>
      <c r="M278" s="176">
        <f ca="1"/>
        <v>0</v>
      </c>
      <c r="N278" s="176">
        <f ca="1"/>
        <v>0</v>
      </c>
      <c r="O278" s="176">
        <f ca="1"/>
        <v>0</v>
      </c>
      <c r="P278" s="176">
        <f ca="1"/>
        <v>0</v>
      </c>
      <c r="Q278" s="176">
        <f ca="1"/>
        <v>0</v>
      </c>
      <c r="R278" s="176">
        <f ca="1"/>
        <v>0</v>
      </c>
      <c r="S278" s="176">
        <f ca="1"/>
        <v>0</v>
      </c>
      <c r="T278" s="176">
        <f ca="1"/>
        <v>0</v>
      </c>
      <c r="U278" s="176">
        <f ca="1"/>
        <v>0</v>
      </c>
      <c r="V278" s="176">
        <f ca="1"/>
        <v>0</v>
      </c>
      <c r="W278" s="176">
        <f ca="1"/>
        <v>0</v>
      </c>
      <c r="X278" s="176">
        <f ca="1"/>
        <v>0</v>
      </c>
      <c r="Y278" s="176">
        <f ca="1"/>
        <v>0</v>
      </c>
      <c r="Z278" s="176">
        <f ca="1"/>
        <v>0</v>
      </c>
      <c r="AA278" s="176">
        <f ca="1"/>
        <v>0</v>
      </c>
      <c r="AB278" s="176">
        <f ca="1"/>
        <v>0</v>
      </c>
      <c r="AC278" s="176">
        <f ca="1"/>
        <v>0</v>
      </c>
      <c r="AD278" s="176">
        <f ca="1"/>
        <v>0</v>
      </c>
      <c r="AE278" s="176">
        <f ca="1"/>
        <v>0</v>
      </c>
      <c r="AF278" s="176">
        <f ca="1"/>
        <v>0</v>
      </c>
      <c r="AG278" s="176">
        <f ca="1"/>
        <v>0</v>
      </c>
      <c r="AH278" s="176">
        <f ca="1"/>
        <v>0</v>
      </c>
      <c r="AI278" s="176">
        <f ca="1"/>
        <v>0</v>
      </c>
      <c r="AJ278" s="176">
        <f ca="1"/>
        <v>0</v>
      </c>
      <c r="AK278" s="176">
        <f ca="1"/>
        <v>0</v>
      </c>
      <c r="AL278" s="176">
        <f ca="1"/>
        <v>0</v>
      </c>
      <c r="AM278" s="176">
        <f ca="1"/>
        <v>0</v>
      </c>
      <c r="AN278" s="176">
        <f ca="1"/>
        <v>0</v>
      </c>
      <c r="AO278" s="176">
        <f ca="1"/>
        <v>0</v>
      </c>
      <c r="AP278" s="176">
        <f ca="1"/>
        <v>0</v>
      </c>
      <c r="AQ278" s="176">
        <f ca="1"/>
        <v>0</v>
      </c>
      <c r="AR278" s="176">
        <f ca="1"/>
        <v>0</v>
      </c>
      <c r="AS278" s="176">
        <f ca="1"/>
        <v>0</v>
      </c>
      <c r="AT278" s="176">
        <f ca="1"/>
        <v>0</v>
      </c>
      <c r="AU278" s="176">
        <f ca="1"/>
        <v>0</v>
      </c>
      <c r="AV278" s="176">
        <f ca="1"/>
        <v>0</v>
      </c>
      <c r="AW278" s="176">
        <f ca="1"/>
        <v>0</v>
      </c>
      <c r="AX278" s="176">
        <f ca="1"/>
        <v>0</v>
      </c>
      <c r="AY278" s="176">
        <f ca="1"/>
        <v>0</v>
      </c>
      <c r="AZ278" s="176">
        <f ca="1"/>
        <v>0</v>
      </c>
      <c r="BA278" s="176">
        <f ca="1"/>
        <v>0</v>
      </c>
      <c r="BB278" s="176">
        <f ca="1"/>
        <v>0</v>
      </c>
      <c r="BC278" s="176">
        <f ca="1"/>
        <v>0</v>
      </c>
      <c r="BD278" s="176">
        <f ca="1"/>
        <v>0</v>
      </c>
      <c r="BE278" s="176">
        <f ca="1"/>
        <v>0</v>
      </c>
      <c r="BF278" s="176">
        <f ca="1"/>
        <v>0</v>
      </c>
      <c r="BG278" s="176">
        <f ca="1"/>
        <v>0</v>
      </c>
      <c r="BH278" s="176">
        <f ca="1"/>
        <v>0</v>
      </c>
      <c r="BI278" s="176">
        <f ca="1"/>
        <v>0</v>
      </c>
      <c r="BJ278" s="176">
        <f ca="1"/>
        <v>0</v>
      </c>
      <c r="BK278" s="176">
        <f ca="1"/>
        <v>0</v>
      </c>
      <c r="BL278" s="176">
        <f ca="1"/>
        <v>0</v>
      </c>
      <c r="BM278" s="176">
        <f ca="1"/>
        <v>0</v>
      </c>
      <c r="BN278" s="176">
        <f ca="1"/>
        <v>0</v>
      </c>
      <c r="BO278" s="176">
        <f ca="1"/>
        <v>0</v>
      </c>
      <c r="BP278" s="176">
        <f ca="1"/>
        <v>0</v>
      </c>
      <c r="BQ278" s="176">
        <f ca="1"/>
        <v>0</v>
      </c>
      <c r="BR278" s="176">
        <f ca="1"/>
        <v>0</v>
      </c>
      <c r="BS278" s="176">
        <f ca="1"/>
        <v>0</v>
      </c>
      <c r="BT278" s="176">
        <f ca="1"/>
        <v>0</v>
      </c>
      <c r="BU278" s="176">
        <f ca="1"/>
        <v>0</v>
      </c>
      <c r="BV278" s="176">
        <f ca="1"/>
        <v>0</v>
      </c>
      <c r="BW278" s="176">
        <f ca="1"/>
        <v>0</v>
      </c>
      <c r="BX278" s="176">
        <f ca="1"/>
        <v>0</v>
      </c>
      <c r="BY278" s="176">
        <f ca="1"/>
        <v>0</v>
      </c>
      <c r="BZ278" s="176">
        <f ca="1"/>
        <v>0</v>
      </c>
      <c r="CA278" s="176">
        <f ca="1"/>
        <v>0</v>
      </c>
      <c r="CB278" s="176">
        <f ca="1"/>
        <v>0</v>
      </c>
      <c r="CC278" s="176">
        <f ca="1"/>
        <v>0</v>
      </c>
      <c r="CD278" s="176">
        <f ca="1"/>
        <v>0</v>
      </c>
      <c r="CE278" s="176">
        <f ca="1"/>
        <v>0</v>
      </c>
      <c r="CF278" s="176">
        <f ca="1"/>
        <v>0</v>
      </c>
      <c r="CG278" s="176">
        <f ca="1"/>
        <v>0</v>
      </c>
      <c r="CH278" s="176">
        <f ca="1"/>
        <v>0</v>
      </c>
      <c r="CI278" s="176">
        <f ca="1"/>
        <v>0</v>
      </c>
      <c r="CJ278" s="176">
        <f ca="1"/>
        <v>0</v>
      </c>
      <c r="CK278" s="176">
        <f ca="1"/>
        <v>0</v>
      </c>
    </row>
    <row r="279" spans="2:89" ht="15.75" thickTop="1">
      <c r="B279" s="50" t="s">
        <v>50</v>
      </c>
      <c r="C279" s="51"/>
      <c r="D279" s="52">
        <f ca="1">SUM(D270:D278)</f>
        <v>128265366.85673344</v>
      </c>
      <c r="E279" s="53"/>
      <c r="F279" s="54">
        <f ca="1">SUM(F270:F278)</f>
        <v>0</v>
      </c>
      <c r="G279" s="54">
        <f t="shared" ref="G279:AG279" ca="1" si="323">SUM(G270:G278)</f>
        <v>0</v>
      </c>
      <c r="H279" s="54">
        <f t="shared" ca="1" si="323"/>
        <v>0</v>
      </c>
      <c r="I279" s="54">
        <f t="shared" ca="1" si="323"/>
        <v>0</v>
      </c>
      <c r="J279" s="54">
        <f t="shared" ca="1" si="323"/>
        <v>0</v>
      </c>
      <c r="K279" s="54">
        <f t="shared" ca="1" si="323"/>
        <v>0</v>
      </c>
      <c r="L279" s="54">
        <f t="shared" ca="1" si="323"/>
        <v>0</v>
      </c>
      <c r="M279" s="54">
        <f t="shared" ca="1" si="323"/>
        <v>0</v>
      </c>
      <c r="N279" s="54">
        <f t="shared" ca="1" si="323"/>
        <v>0</v>
      </c>
      <c r="O279" s="54">
        <f t="shared" ca="1" si="323"/>
        <v>0</v>
      </c>
      <c r="P279" s="54">
        <f t="shared" ca="1" si="323"/>
        <v>0</v>
      </c>
      <c r="Q279" s="54">
        <f t="shared" ca="1" si="323"/>
        <v>0</v>
      </c>
      <c r="R279" s="54">
        <f t="shared" ca="1" si="323"/>
        <v>1550165.0130465741</v>
      </c>
      <c r="S279" s="54">
        <f t="shared" ca="1" si="323"/>
        <v>1556207.1406824328</v>
      </c>
      <c r="T279" s="54">
        <f t="shared" ca="1" si="323"/>
        <v>1562076.7833383586</v>
      </c>
      <c r="U279" s="54">
        <f t="shared" ca="1" si="323"/>
        <v>1568165.3398613785</v>
      </c>
      <c r="V279" s="54">
        <f t="shared" ca="1" si="323"/>
        <v>1574277.6279454392</v>
      </c>
      <c r="W279" s="54">
        <f t="shared" ca="1" si="323"/>
        <v>1580215.4281750449</v>
      </c>
      <c r="X279" s="54">
        <f t="shared" ca="1" si="323"/>
        <v>1586374.6842728343</v>
      </c>
      <c r="Y279" s="54">
        <f t="shared" ca="1" si="323"/>
        <v>1592358.1117174644</v>
      </c>
      <c r="Z279" s="54">
        <f t="shared" ca="1" si="323"/>
        <v>1598564.69674036</v>
      </c>
      <c r="AA279" s="54">
        <f t="shared" ca="1" si="323"/>
        <v>1604812.5773050026</v>
      </c>
      <c r="AB279" s="54">
        <f t="shared" ca="1" si="323"/>
        <v>1610476.8106295792</v>
      </c>
      <c r="AC279" s="54">
        <f t="shared" ca="1" si="323"/>
        <v>1616771.2488749982</v>
      </c>
      <c r="AD279" s="54">
        <f t="shared" ca="1" si="323"/>
        <v>1622886.0635330025</v>
      </c>
      <c r="AE279" s="54">
        <f t="shared" ca="1" si="323"/>
        <v>1629229.0024929661</v>
      </c>
      <c r="AF279" s="54">
        <f t="shared" ca="1" si="323"/>
        <v>1635390.9338067633</v>
      </c>
      <c r="AG279" s="54">
        <f t="shared" ca="1" si="323"/>
        <v>1641782.7471952098</v>
      </c>
      <c r="AH279" s="54">
        <f t="shared" ref="AH279:BM279" ca="1" si="324">SUM(AH270:AH278)</f>
        <v>1648199.542548243</v>
      </c>
      <c r="AI279" s="54">
        <f t="shared" ca="1" si="324"/>
        <v>1654433.2226245697</v>
      </c>
      <c r="AJ279" s="54">
        <f t="shared" ca="1" si="324"/>
        <v>1660899.4614938581</v>
      </c>
      <c r="AK279" s="54">
        <f t="shared" ca="1" si="324"/>
        <v>1667181.1741230758</v>
      </c>
      <c r="AL279" s="54">
        <f t="shared" ca="1" si="324"/>
        <v>1673697.2374871559</v>
      </c>
      <c r="AM279" s="54">
        <f t="shared" ca="1" si="324"/>
        <v>1680238.768438336</v>
      </c>
      <c r="AN279" s="54">
        <f t="shared" ca="1" si="324"/>
        <v>1686169.220729168</v>
      </c>
      <c r="AO279" s="54">
        <f t="shared" ca="1" si="324"/>
        <v>1692759.4975721217</v>
      </c>
      <c r="AP279" s="54">
        <f t="shared" ca="1" si="324"/>
        <v>1699161.7085190522</v>
      </c>
      <c r="AQ279" s="54">
        <f t="shared" ca="1" si="324"/>
        <v>1705802.7656101342</v>
      </c>
      <c r="AR279" s="54">
        <f t="shared" ca="1" si="324"/>
        <v>1712254.3076956798</v>
      </c>
      <c r="AS279" s="54">
        <f t="shared" ca="1" si="324"/>
        <v>1718946.5363133838</v>
      </c>
      <c r="AT279" s="54">
        <f t="shared" ca="1" si="324"/>
        <v>1725664.9210480091</v>
      </c>
      <c r="AU279" s="54">
        <f t="shared" ca="1" si="324"/>
        <v>1732191.5840879232</v>
      </c>
      <c r="AV279" s="54">
        <f t="shared" ca="1" si="324"/>
        <v>1738961.736184068</v>
      </c>
      <c r="AW279" s="54">
        <f t="shared" ca="1" si="324"/>
        <v>1745538.6893068589</v>
      </c>
      <c r="AX279" s="54">
        <f t="shared" ca="1" si="324"/>
        <v>1752361.0076490506</v>
      </c>
      <c r="AY279" s="54">
        <f t="shared" ca="1" si="324"/>
        <v>1759209.9905549362</v>
      </c>
      <c r="AZ279" s="54">
        <f t="shared" ca="1" si="324"/>
        <v>1765419.174103437</v>
      </c>
      <c r="BA279" s="54">
        <f t="shared" ca="1" si="324"/>
        <v>1772319.1939580101</v>
      </c>
      <c r="BB279" s="54">
        <f t="shared" ca="1" si="324"/>
        <v>1779022.3088194462</v>
      </c>
      <c r="BC279" s="54">
        <f t="shared" ca="1" si="324"/>
        <v>1785975.4955938091</v>
      </c>
      <c r="BD279" s="54">
        <f t="shared" ca="1" si="324"/>
        <v>1792730.2601573751</v>
      </c>
      <c r="BE279" s="54">
        <f t="shared" ca="1" si="324"/>
        <v>1799737.0235201111</v>
      </c>
      <c r="BF279" s="54">
        <f t="shared" ca="1" si="324"/>
        <v>1806771.1723372638</v>
      </c>
      <c r="BG279" s="54">
        <f t="shared" ca="1" si="324"/>
        <v>1813604.5885400544</v>
      </c>
      <c r="BH279" s="54">
        <f t="shared" ca="1" si="324"/>
        <v>1820692.9377847179</v>
      </c>
      <c r="BI279" s="54">
        <f t="shared" ca="1" si="324"/>
        <v>1827579.0077042801</v>
      </c>
      <c r="BJ279" s="54">
        <f t="shared" ca="1" si="324"/>
        <v>1834721.9750085545</v>
      </c>
      <c r="BK279" s="54">
        <f t="shared" ca="1" si="324"/>
        <v>1841873.229395034</v>
      </c>
      <c r="BL279" s="54">
        <f t="shared" ca="1" si="324"/>
        <v>1848588.3446477433</v>
      </c>
      <c r="BM279" s="54">
        <f t="shared" ca="1" si="324"/>
        <v>1855793.6464256302</v>
      </c>
      <c r="BN279" s="54">
        <f t="shared" ref="BN279:CK279" ca="1" si="325">SUM(BN270:BN278)</f>
        <v>1862793.2580216026</v>
      </c>
      <c r="BO279" s="54">
        <f t="shared" ca="1" si="325"/>
        <v>1870053.9267436138</v>
      </c>
      <c r="BP279" s="54">
        <f t="shared" ca="1" si="325"/>
        <v>1877107.3247202369</v>
      </c>
      <c r="BQ279" s="54">
        <f t="shared" ca="1" si="325"/>
        <v>1884423.7858367697</v>
      </c>
      <c r="BR279" s="54">
        <f t="shared" ca="1" si="325"/>
        <v>1891768.7645572589</v>
      </c>
      <c r="BS279" s="54">
        <f t="shared" ca="1" si="325"/>
        <v>1898904.0657297776</v>
      </c>
      <c r="BT279" s="54">
        <f t="shared" ca="1" si="325"/>
        <v>1906305.4846992595</v>
      </c>
      <c r="BU279" s="54">
        <f t="shared" ca="1" si="325"/>
        <v>1913495.6149175987</v>
      </c>
      <c r="BV279" s="54">
        <f t="shared" ca="1" si="325"/>
        <v>1920953.9078339543</v>
      </c>
      <c r="BW279" s="54">
        <f t="shared" ca="1" si="325"/>
        <v>1928461.8245362327</v>
      </c>
      <c r="BX279" s="54">
        <f t="shared" ca="1" si="325"/>
        <v>1935268.3874247517</v>
      </c>
      <c r="BY279" s="54">
        <f t="shared" ca="1" si="325"/>
        <v>1942832.251289513</v>
      </c>
      <c r="BZ279" s="54">
        <f t="shared" ca="1" si="325"/>
        <v>1950180.2661286532</v>
      </c>
      <c r="CA279" s="54">
        <f t="shared" ca="1" si="325"/>
        <v>1957802.4120493904</v>
      </c>
      <c r="CB279" s="54">
        <f t="shared" ca="1" si="325"/>
        <v>1965207.045756853</v>
      </c>
      <c r="CC279" s="54">
        <f t="shared" ca="1" si="325"/>
        <v>1972887.9228159543</v>
      </c>
      <c r="CD279" s="54">
        <f t="shared" ca="1" si="325"/>
        <v>1980598.8200566564</v>
      </c>
      <c r="CE279" s="54">
        <f t="shared" ca="1" si="325"/>
        <v>1988089.6723989011</v>
      </c>
      <c r="CF279" s="54">
        <f t="shared" ca="1" si="325"/>
        <v>1995859.9846360446</v>
      </c>
      <c r="CG279" s="54">
        <f t="shared" ca="1" si="325"/>
        <v>2003408.5564564979</v>
      </c>
      <c r="CH279" s="54">
        <f t="shared" ca="1" si="325"/>
        <v>2011238.741502149</v>
      </c>
      <c r="CI279" s="54">
        <f t="shared" ca="1" si="325"/>
        <v>2019099.5302894344</v>
      </c>
      <c r="CJ279" s="54">
        <f t="shared" ca="1" si="325"/>
        <v>2026226.0016337133</v>
      </c>
      <c r="CK279" s="54">
        <f t="shared" ca="1" si="325"/>
        <v>2034145.3671001184</v>
      </c>
    </row>
    <row r="280" spans="2:89">
      <c r="B280" s="14"/>
      <c r="C280" s="14"/>
      <c r="D280" s="14"/>
      <c r="E280" s="1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  <c r="BD280" s="154"/>
      <c r="BE280" s="154"/>
      <c r="BF280" s="154"/>
      <c r="BG280" s="154"/>
      <c r="BH280" s="154"/>
      <c r="BI280" s="154"/>
      <c r="BJ280" s="154"/>
      <c r="BK280" s="154"/>
      <c r="BL280" s="154"/>
      <c r="BM280" s="15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</row>
    <row r="281" spans="2:89" ht="20.25" thickBot="1">
      <c r="B281" s="188" t="s">
        <v>528</v>
      </c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</row>
    <row r="282" spans="2:89" ht="15.75" thickTop="1">
      <c r="B282" s="14"/>
      <c r="C282" s="14"/>
      <c r="D282" s="14"/>
      <c r="E282" s="1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/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  <c r="BI282" s="154"/>
      <c r="BJ282" s="154"/>
      <c r="BK282" s="154"/>
      <c r="BL282" s="154"/>
      <c r="BM282" s="15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</row>
    <row r="283" spans="2:89" ht="18" thickBot="1">
      <c r="B283" s="100" t="s">
        <v>52</v>
      </c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</row>
    <row r="284" spans="2:89" ht="15.75" thickTop="1">
      <c r="B284" s="14"/>
      <c r="C284" s="14"/>
      <c r="D284" s="14"/>
      <c r="E284" s="1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  <c r="BD284" s="154"/>
      <c r="BE284" s="154"/>
      <c r="BF284" s="154"/>
      <c r="BG284" s="154"/>
      <c r="BH284" s="154"/>
      <c r="BI284" s="154"/>
      <c r="BJ284" s="154"/>
      <c r="BK284" s="154"/>
      <c r="BL284" s="154"/>
      <c r="BM284" s="15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</row>
    <row r="285" spans="2:89" ht="15.75" thickBot="1">
      <c r="B285" s="96" t="s">
        <v>527</v>
      </c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</row>
    <row r="286" spans="2:89">
      <c r="B286" s="14"/>
      <c r="C286" s="14"/>
      <c r="D286" s="14"/>
      <c r="E286" s="1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  <c r="BH286" s="154"/>
      <c r="BI286" s="154"/>
      <c r="BJ286" s="154"/>
      <c r="BK286" s="154"/>
      <c r="BL286" s="154"/>
      <c r="BM286" s="15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</row>
    <row r="287" spans="2:89">
      <c r="B287" s="45" t="str">
        <f t="array" ref="B287:B289">ФОТ_должности</f>
        <v>рабочие</v>
      </c>
      <c r="C287" s="118"/>
      <c r="D287" s="118"/>
      <c r="E287" s="118"/>
      <c r="F287" s="49">
        <f t="array" ref="F287:CK289">IFERROR(INDEX(ФОТ_количество_персонала,MATCH($B287:$B289,ФОТ_должности,0),MATCH(F29:CK29,ФОТ_операционный_год,0)),0)</f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49">
        <v>0</v>
      </c>
      <c r="O287" s="49">
        <v>0</v>
      </c>
      <c r="P287" s="49">
        <v>0</v>
      </c>
      <c r="Q287" s="49">
        <v>0</v>
      </c>
      <c r="R287" s="49">
        <v>172</v>
      </c>
      <c r="S287" s="49">
        <v>172</v>
      </c>
      <c r="T287" s="49">
        <v>172</v>
      </c>
      <c r="U287" s="49">
        <v>172</v>
      </c>
      <c r="V287" s="49">
        <v>172</v>
      </c>
      <c r="W287" s="49">
        <v>172</v>
      </c>
      <c r="X287" s="49">
        <v>172</v>
      </c>
      <c r="Y287" s="49">
        <v>172</v>
      </c>
      <c r="Z287" s="49">
        <v>172</v>
      </c>
      <c r="AA287" s="49">
        <v>172</v>
      </c>
      <c r="AB287" s="49">
        <v>172</v>
      </c>
      <c r="AC287" s="49">
        <v>172</v>
      </c>
      <c r="AD287" s="49">
        <v>196</v>
      </c>
      <c r="AE287" s="49">
        <v>196</v>
      </c>
      <c r="AF287" s="49">
        <v>196</v>
      </c>
      <c r="AG287" s="49">
        <v>196</v>
      </c>
      <c r="AH287" s="49">
        <v>196</v>
      </c>
      <c r="AI287" s="49">
        <v>196</v>
      </c>
      <c r="AJ287" s="49">
        <v>196</v>
      </c>
      <c r="AK287" s="49">
        <v>196</v>
      </c>
      <c r="AL287" s="49">
        <v>196</v>
      </c>
      <c r="AM287" s="49">
        <v>196</v>
      </c>
      <c r="AN287" s="49">
        <v>196</v>
      </c>
      <c r="AO287" s="49">
        <v>196</v>
      </c>
      <c r="AP287" s="49">
        <v>196</v>
      </c>
      <c r="AQ287" s="49">
        <v>196</v>
      </c>
      <c r="AR287" s="49">
        <v>196</v>
      </c>
      <c r="AS287" s="49">
        <v>196</v>
      </c>
      <c r="AT287" s="49">
        <v>196</v>
      </c>
      <c r="AU287" s="49">
        <v>196</v>
      </c>
      <c r="AV287" s="49">
        <v>196</v>
      </c>
      <c r="AW287" s="49">
        <v>196</v>
      </c>
      <c r="AX287" s="49">
        <v>196</v>
      </c>
      <c r="AY287" s="49">
        <v>196</v>
      </c>
      <c r="AZ287" s="49">
        <v>196</v>
      </c>
      <c r="BA287" s="49">
        <v>196</v>
      </c>
      <c r="BB287" s="49">
        <v>196</v>
      </c>
      <c r="BC287" s="49">
        <v>196</v>
      </c>
      <c r="BD287" s="49">
        <v>196</v>
      </c>
      <c r="BE287" s="49">
        <v>196</v>
      </c>
      <c r="BF287" s="49">
        <v>196</v>
      </c>
      <c r="BG287" s="49">
        <v>196</v>
      </c>
      <c r="BH287" s="49">
        <v>196</v>
      </c>
      <c r="BI287" s="49">
        <v>196</v>
      </c>
      <c r="BJ287" s="49">
        <v>196</v>
      </c>
      <c r="BK287" s="49">
        <v>196</v>
      </c>
      <c r="BL287" s="49">
        <v>196</v>
      </c>
      <c r="BM287" s="49">
        <v>196</v>
      </c>
      <c r="BN287" s="49">
        <v>196</v>
      </c>
      <c r="BO287" s="49">
        <v>196</v>
      </c>
      <c r="BP287" s="49">
        <v>196</v>
      </c>
      <c r="BQ287" s="49">
        <v>196</v>
      </c>
      <c r="BR287" s="49">
        <v>196</v>
      </c>
      <c r="BS287" s="49">
        <v>196</v>
      </c>
      <c r="BT287" s="49">
        <v>196</v>
      </c>
      <c r="BU287" s="49">
        <v>196</v>
      </c>
      <c r="BV287" s="49">
        <v>196</v>
      </c>
      <c r="BW287" s="49">
        <v>196</v>
      </c>
      <c r="BX287" s="49">
        <v>196</v>
      </c>
      <c r="BY287" s="49">
        <v>196</v>
      </c>
      <c r="BZ287" s="49">
        <v>196</v>
      </c>
      <c r="CA287" s="49">
        <v>196</v>
      </c>
      <c r="CB287" s="49">
        <v>196</v>
      </c>
      <c r="CC287" s="49">
        <v>196</v>
      </c>
      <c r="CD287" s="49">
        <v>196</v>
      </c>
      <c r="CE287" s="49">
        <v>196</v>
      </c>
      <c r="CF287" s="49">
        <v>196</v>
      </c>
      <c r="CG287" s="49">
        <v>196</v>
      </c>
      <c r="CH287" s="49">
        <v>196</v>
      </c>
      <c r="CI287" s="49">
        <v>196</v>
      </c>
      <c r="CJ287" s="49">
        <v>196</v>
      </c>
      <c r="CK287" s="49">
        <v>196</v>
      </c>
    </row>
    <row r="288" spans="2:89">
      <c r="B288" s="86" t="str">
        <v xml:space="preserve">руководители </v>
      </c>
      <c r="C288" s="118"/>
      <c r="D288" s="118"/>
      <c r="E288" s="118"/>
      <c r="F288" s="176">
        <v>0</v>
      </c>
      <c r="G288" s="176">
        <v>0</v>
      </c>
      <c r="H288" s="176">
        <v>0</v>
      </c>
      <c r="I288" s="176">
        <v>0</v>
      </c>
      <c r="J288" s="176">
        <v>0</v>
      </c>
      <c r="K288" s="176">
        <v>0</v>
      </c>
      <c r="L288" s="176">
        <v>0</v>
      </c>
      <c r="M288" s="176">
        <v>0</v>
      </c>
      <c r="N288" s="176">
        <v>0</v>
      </c>
      <c r="O288" s="176">
        <v>0</v>
      </c>
      <c r="P288" s="176">
        <v>0</v>
      </c>
      <c r="Q288" s="176">
        <v>0</v>
      </c>
      <c r="R288" s="176">
        <v>9</v>
      </c>
      <c r="S288" s="176">
        <v>9</v>
      </c>
      <c r="T288" s="176">
        <v>9</v>
      </c>
      <c r="U288" s="176">
        <v>9</v>
      </c>
      <c r="V288" s="176">
        <v>9</v>
      </c>
      <c r="W288" s="176">
        <v>9</v>
      </c>
      <c r="X288" s="176">
        <v>9</v>
      </c>
      <c r="Y288" s="176">
        <v>9</v>
      </c>
      <c r="Z288" s="176">
        <v>9</v>
      </c>
      <c r="AA288" s="176">
        <v>9</v>
      </c>
      <c r="AB288" s="176">
        <v>9</v>
      </c>
      <c r="AC288" s="176">
        <v>9</v>
      </c>
      <c r="AD288" s="176">
        <v>13</v>
      </c>
      <c r="AE288" s="176">
        <v>13</v>
      </c>
      <c r="AF288" s="176">
        <v>13</v>
      </c>
      <c r="AG288" s="176">
        <v>13</v>
      </c>
      <c r="AH288" s="176">
        <v>13</v>
      </c>
      <c r="AI288" s="176">
        <v>13</v>
      </c>
      <c r="AJ288" s="176">
        <v>13</v>
      </c>
      <c r="AK288" s="176">
        <v>13</v>
      </c>
      <c r="AL288" s="176">
        <v>13</v>
      </c>
      <c r="AM288" s="176">
        <v>13</v>
      </c>
      <c r="AN288" s="176">
        <v>13</v>
      </c>
      <c r="AO288" s="176">
        <v>13</v>
      </c>
      <c r="AP288" s="176">
        <v>13</v>
      </c>
      <c r="AQ288" s="176">
        <v>13</v>
      </c>
      <c r="AR288" s="176">
        <v>13</v>
      </c>
      <c r="AS288" s="176">
        <v>13</v>
      </c>
      <c r="AT288" s="176">
        <v>13</v>
      </c>
      <c r="AU288" s="176">
        <v>13</v>
      </c>
      <c r="AV288" s="176">
        <v>13</v>
      </c>
      <c r="AW288" s="176">
        <v>13</v>
      </c>
      <c r="AX288" s="176">
        <v>13</v>
      </c>
      <c r="AY288" s="176">
        <v>13</v>
      </c>
      <c r="AZ288" s="176">
        <v>13</v>
      </c>
      <c r="BA288" s="176">
        <v>13</v>
      </c>
      <c r="BB288" s="176">
        <v>13</v>
      </c>
      <c r="BC288" s="176">
        <v>13</v>
      </c>
      <c r="BD288" s="176">
        <v>13</v>
      </c>
      <c r="BE288" s="176">
        <v>13</v>
      </c>
      <c r="BF288" s="176">
        <v>13</v>
      </c>
      <c r="BG288" s="176">
        <v>13</v>
      </c>
      <c r="BH288" s="176">
        <v>13</v>
      </c>
      <c r="BI288" s="176">
        <v>13</v>
      </c>
      <c r="BJ288" s="176">
        <v>13</v>
      </c>
      <c r="BK288" s="176">
        <v>13</v>
      </c>
      <c r="BL288" s="176">
        <v>13</v>
      </c>
      <c r="BM288" s="176">
        <v>13</v>
      </c>
      <c r="BN288" s="176">
        <v>13</v>
      </c>
      <c r="BO288" s="176">
        <v>13</v>
      </c>
      <c r="BP288" s="176">
        <v>13</v>
      </c>
      <c r="BQ288" s="176">
        <v>13</v>
      </c>
      <c r="BR288" s="176">
        <v>13</v>
      </c>
      <c r="BS288" s="176">
        <v>13</v>
      </c>
      <c r="BT288" s="176">
        <v>13</v>
      </c>
      <c r="BU288" s="176">
        <v>13</v>
      </c>
      <c r="BV288" s="176">
        <v>13</v>
      </c>
      <c r="BW288" s="176">
        <v>13</v>
      </c>
      <c r="BX288" s="176">
        <v>13</v>
      </c>
      <c r="BY288" s="176">
        <v>13</v>
      </c>
      <c r="BZ288" s="176">
        <v>13</v>
      </c>
      <c r="CA288" s="176">
        <v>13</v>
      </c>
      <c r="CB288" s="176">
        <v>13</v>
      </c>
      <c r="CC288" s="176">
        <v>13</v>
      </c>
      <c r="CD288" s="176">
        <v>13</v>
      </c>
      <c r="CE288" s="176">
        <v>13</v>
      </c>
      <c r="CF288" s="176">
        <v>13</v>
      </c>
      <c r="CG288" s="176">
        <v>13</v>
      </c>
      <c r="CH288" s="176">
        <v>13</v>
      </c>
      <c r="CI288" s="176">
        <v>13</v>
      </c>
      <c r="CJ288" s="176">
        <v>13</v>
      </c>
      <c r="CK288" s="176">
        <v>13</v>
      </c>
    </row>
    <row r="289" spans="2:89" ht="15.75" thickBot="1">
      <c r="B289" s="86" t="str">
        <v>специалисты и другие служащие</v>
      </c>
      <c r="C289" s="118"/>
      <c r="D289" s="118"/>
      <c r="E289" s="118"/>
      <c r="F289" s="176">
        <v>0</v>
      </c>
      <c r="G289" s="176">
        <v>0</v>
      </c>
      <c r="H289" s="176">
        <v>0</v>
      </c>
      <c r="I289" s="176">
        <v>0</v>
      </c>
      <c r="J289" s="176">
        <v>0</v>
      </c>
      <c r="K289" s="176">
        <v>0</v>
      </c>
      <c r="L289" s="176">
        <v>0</v>
      </c>
      <c r="M289" s="176">
        <v>0</v>
      </c>
      <c r="N289" s="176">
        <v>0</v>
      </c>
      <c r="O289" s="176">
        <v>0</v>
      </c>
      <c r="P289" s="176">
        <v>0</v>
      </c>
      <c r="Q289" s="176">
        <v>0</v>
      </c>
      <c r="R289" s="176">
        <v>15</v>
      </c>
      <c r="S289" s="176">
        <v>15</v>
      </c>
      <c r="T289" s="176">
        <v>15</v>
      </c>
      <c r="U289" s="176">
        <v>15</v>
      </c>
      <c r="V289" s="176">
        <v>15</v>
      </c>
      <c r="W289" s="176">
        <v>15</v>
      </c>
      <c r="X289" s="176">
        <v>15</v>
      </c>
      <c r="Y289" s="176">
        <v>15</v>
      </c>
      <c r="Z289" s="176">
        <v>15</v>
      </c>
      <c r="AA289" s="176">
        <v>15</v>
      </c>
      <c r="AB289" s="176">
        <v>15</v>
      </c>
      <c r="AC289" s="176">
        <v>15</v>
      </c>
      <c r="AD289" s="176">
        <v>13</v>
      </c>
      <c r="AE289" s="176">
        <v>13</v>
      </c>
      <c r="AF289" s="176">
        <v>13</v>
      </c>
      <c r="AG289" s="176">
        <v>13</v>
      </c>
      <c r="AH289" s="176">
        <v>13</v>
      </c>
      <c r="AI289" s="176">
        <v>13</v>
      </c>
      <c r="AJ289" s="176">
        <v>13</v>
      </c>
      <c r="AK289" s="176">
        <v>13</v>
      </c>
      <c r="AL289" s="176">
        <v>13</v>
      </c>
      <c r="AM289" s="176">
        <v>13</v>
      </c>
      <c r="AN289" s="176">
        <v>13</v>
      </c>
      <c r="AO289" s="176">
        <v>13</v>
      </c>
      <c r="AP289" s="176">
        <v>13</v>
      </c>
      <c r="AQ289" s="176">
        <v>13</v>
      </c>
      <c r="AR289" s="176">
        <v>13</v>
      </c>
      <c r="AS289" s="176">
        <v>13</v>
      </c>
      <c r="AT289" s="176">
        <v>13</v>
      </c>
      <c r="AU289" s="176">
        <v>13</v>
      </c>
      <c r="AV289" s="176">
        <v>13</v>
      </c>
      <c r="AW289" s="176">
        <v>13</v>
      </c>
      <c r="AX289" s="176">
        <v>13</v>
      </c>
      <c r="AY289" s="176">
        <v>13</v>
      </c>
      <c r="AZ289" s="176">
        <v>13</v>
      </c>
      <c r="BA289" s="176">
        <v>13</v>
      </c>
      <c r="BB289" s="176">
        <v>13</v>
      </c>
      <c r="BC289" s="176">
        <v>13</v>
      </c>
      <c r="BD289" s="176">
        <v>13</v>
      </c>
      <c r="BE289" s="176">
        <v>13</v>
      </c>
      <c r="BF289" s="176">
        <v>13</v>
      </c>
      <c r="BG289" s="176">
        <v>13</v>
      </c>
      <c r="BH289" s="176">
        <v>13</v>
      </c>
      <c r="BI289" s="176">
        <v>13</v>
      </c>
      <c r="BJ289" s="176">
        <v>13</v>
      </c>
      <c r="BK289" s="176">
        <v>13</v>
      </c>
      <c r="BL289" s="176">
        <v>13</v>
      </c>
      <c r="BM289" s="176">
        <v>13</v>
      </c>
      <c r="BN289" s="176">
        <v>13</v>
      </c>
      <c r="BO289" s="176">
        <v>13</v>
      </c>
      <c r="BP289" s="176">
        <v>13</v>
      </c>
      <c r="BQ289" s="176">
        <v>13</v>
      </c>
      <c r="BR289" s="176">
        <v>13</v>
      </c>
      <c r="BS289" s="176">
        <v>13</v>
      </c>
      <c r="BT289" s="176">
        <v>13</v>
      </c>
      <c r="BU289" s="176">
        <v>13</v>
      </c>
      <c r="BV289" s="176">
        <v>13</v>
      </c>
      <c r="BW289" s="176">
        <v>13</v>
      </c>
      <c r="BX289" s="176">
        <v>13</v>
      </c>
      <c r="BY289" s="176">
        <v>13</v>
      </c>
      <c r="BZ289" s="176">
        <v>13</v>
      </c>
      <c r="CA289" s="176">
        <v>13</v>
      </c>
      <c r="CB289" s="176">
        <v>13</v>
      </c>
      <c r="CC289" s="176">
        <v>13</v>
      </c>
      <c r="CD289" s="176">
        <v>13</v>
      </c>
      <c r="CE289" s="176">
        <v>13</v>
      </c>
      <c r="CF289" s="176">
        <v>13</v>
      </c>
      <c r="CG289" s="176">
        <v>13</v>
      </c>
      <c r="CH289" s="176">
        <v>13</v>
      </c>
      <c r="CI289" s="176">
        <v>13</v>
      </c>
      <c r="CJ289" s="176">
        <v>13</v>
      </c>
      <c r="CK289" s="176">
        <v>13</v>
      </c>
    </row>
    <row r="290" spans="2:89" ht="15.75" thickTop="1">
      <c r="B290" s="50" t="s">
        <v>50</v>
      </c>
      <c r="C290" s="58"/>
      <c r="D290" s="59"/>
      <c r="E290" s="60"/>
      <c r="F290" s="54">
        <f>SUM(F287:F289)</f>
        <v>0</v>
      </c>
      <c r="G290" s="54">
        <f t="shared" ref="G290:AG290" si="326">SUM(G287:G289)</f>
        <v>0</v>
      </c>
      <c r="H290" s="54">
        <f t="shared" si="326"/>
        <v>0</v>
      </c>
      <c r="I290" s="54">
        <f t="shared" si="326"/>
        <v>0</v>
      </c>
      <c r="J290" s="54">
        <f t="shared" si="326"/>
        <v>0</v>
      </c>
      <c r="K290" s="54">
        <f t="shared" si="326"/>
        <v>0</v>
      </c>
      <c r="L290" s="54">
        <f t="shared" si="326"/>
        <v>0</v>
      </c>
      <c r="M290" s="54">
        <f t="shared" si="326"/>
        <v>0</v>
      </c>
      <c r="N290" s="54">
        <f t="shared" si="326"/>
        <v>0</v>
      </c>
      <c r="O290" s="54">
        <f t="shared" si="326"/>
        <v>0</v>
      </c>
      <c r="P290" s="54">
        <f t="shared" si="326"/>
        <v>0</v>
      </c>
      <c r="Q290" s="54">
        <f t="shared" si="326"/>
        <v>0</v>
      </c>
      <c r="R290" s="54">
        <f t="shared" si="326"/>
        <v>196</v>
      </c>
      <c r="S290" s="54">
        <f t="shared" si="326"/>
        <v>196</v>
      </c>
      <c r="T290" s="54">
        <f t="shared" si="326"/>
        <v>196</v>
      </c>
      <c r="U290" s="54">
        <f t="shared" si="326"/>
        <v>196</v>
      </c>
      <c r="V290" s="54">
        <f t="shared" si="326"/>
        <v>196</v>
      </c>
      <c r="W290" s="54">
        <f t="shared" si="326"/>
        <v>196</v>
      </c>
      <c r="X290" s="54">
        <f t="shared" si="326"/>
        <v>196</v>
      </c>
      <c r="Y290" s="54">
        <f t="shared" si="326"/>
        <v>196</v>
      </c>
      <c r="Z290" s="54">
        <f t="shared" si="326"/>
        <v>196</v>
      </c>
      <c r="AA290" s="54">
        <f t="shared" si="326"/>
        <v>196</v>
      </c>
      <c r="AB290" s="54">
        <f t="shared" si="326"/>
        <v>196</v>
      </c>
      <c r="AC290" s="54">
        <f t="shared" si="326"/>
        <v>196</v>
      </c>
      <c r="AD290" s="54">
        <f t="shared" si="326"/>
        <v>222</v>
      </c>
      <c r="AE290" s="54">
        <f t="shared" si="326"/>
        <v>222</v>
      </c>
      <c r="AF290" s="54">
        <f t="shared" si="326"/>
        <v>222</v>
      </c>
      <c r="AG290" s="54">
        <f t="shared" si="326"/>
        <v>222</v>
      </c>
      <c r="AH290" s="54">
        <f t="shared" ref="AH290:BM290" si="327">SUM(AH287:AH289)</f>
        <v>222</v>
      </c>
      <c r="AI290" s="54">
        <f t="shared" si="327"/>
        <v>222</v>
      </c>
      <c r="AJ290" s="54">
        <f t="shared" si="327"/>
        <v>222</v>
      </c>
      <c r="AK290" s="54">
        <f t="shared" si="327"/>
        <v>222</v>
      </c>
      <c r="AL290" s="54">
        <f t="shared" si="327"/>
        <v>222</v>
      </c>
      <c r="AM290" s="54">
        <f t="shared" si="327"/>
        <v>222</v>
      </c>
      <c r="AN290" s="54">
        <f t="shared" si="327"/>
        <v>222</v>
      </c>
      <c r="AO290" s="54">
        <f t="shared" si="327"/>
        <v>222</v>
      </c>
      <c r="AP290" s="54">
        <f t="shared" si="327"/>
        <v>222</v>
      </c>
      <c r="AQ290" s="54">
        <f t="shared" si="327"/>
        <v>222</v>
      </c>
      <c r="AR290" s="54">
        <f t="shared" si="327"/>
        <v>222</v>
      </c>
      <c r="AS290" s="54">
        <f t="shared" si="327"/>
        <v>222</v>
      </c>
      <c r="AT290" s="54">
        <f t="shared" si="327"/>
        <v>222</v>
      </c>
      <c r="AU290" s="54">
        <f t="shared" si="327"/>
        <v>222</v>
      </c>
      <c r="AV290" s="54">
        <f t="shared" si="327"/>
        <v>222</v>
      </c>
      <c r="AW290" s="54">
        <f t="shared" si="327"/>
        <v>222</v>
      </c>
      <c r="AX290" s="54">
        <f t="shared" si="327"/>
        <v>222</v>
      </c>
      <c r="AY290" s="54">
        <f t="shared" si="327"/>
        <v>222</v>
      </c>
      <c r="AZ290" s="54">
        <f t="shared" si="327"/>
        <v>222</v>
      </c>
      <c r="BA290" s="54">
        <f t="shared" si="327"/>
        <v>222</v>
      </c>
      <c r="BB290" s="54">
        <f t="shared" si="327"/>
        <v>222</v>
      </c>
      <c r="BC290" s="54">
        <f t="shared" si="327"/>
        <v>222</v>
      </c>
      <c r="BD290" s="54">
        <f t="shared" si="327"/>
        <v>222</v>
      </c>
      <c r="BE290" s="54">
        <f t="shared" si="327"/>
        <v>222</v>
      </c>
      <c r="BF290" s="54">
        <f t="shared" si="327"/>
        <v>222</v>
      </c>
      <c r="BG290" s="54">
        <f t="shared" si="327"/>
        <v>222</v>
      </c>
      <c r="BH290" s="54">
        <f t="shared" si="327"/>
        <v>222</v>
      </c>
      <c r="BI290" s="54">
        <f t="shared" si="327"/>
        <v>222</v>
      </c>
      <c r="BJ290" s="54">
        <f t="shared" si="327"/>
        <v>222</v>
      </c>
      <c r="BK290" s="54">
        <f t="shared" si="327"/>
        <v>222</v>
      </c>
      <c r="BL290" s="54">
        <f t="shared" si="327"/>
        <v>222</v>
      </c>
      <c r="BM290" s="54">
        <f t="shared" si="327"/>
        <v>222</v>
      </c>
      <c r="BN290" s="54">
        <f t="shared" ref="BN290:CK290" si="328">SUM(BN287:BN289)</f>
        <v>222</v>
      </c>
      <c r="BO290" s="54">
        <f t="shared" si="328"/>
        <v>222</v>
      </c>
      <c r="BP290" s="54">
        <f t="shared" si="328"/>
        <v>222</v>
      </c>
      <c r="BQ290" s="54">
        <f t="shared" si="328"/>
        <v>222</v>
      </c>
      <c r="BR290" s="54">
        <f t="shared" si="328"/>
        <v>222</v>
      </c>
      <c r="BS290" s="54">
        <f t="shared" si="328"/>
        <v>222</v>
      </c>
      <c r="BT290" s="54">
        <f t="shared" si="328"/>
        <v>222</v>
      </c>
      <c r="BU290" s="54">
        <f t="shared" si="328"/>
        <v>222</v>
      </c>
      <c r="BV290" s="54">
        <f t="shared" si="328"/>
        <v>222</v>
      </c>
      <c r="BW290" s="54">
        <f t="shared" si="328"/>
        <v>222</v>
      </c>
      <c r="BX290" s="54">
        <f t="shared" si="328"/>
        <v>222</v>
      </c>
      <c r="BY290" s="54">
        <f t="shared" si="328"/>
        <v>222</v>
      </c>
      <c r="BZ290" s="54">
        <f t="shared" si="328"/>
        <v>222</v>
      </c>
      <c r="CA290" s="54">
        <f t="shared" si="328"/>
        <v>222</v>
      </c>
      <c r="CB290" s="54">
        <f t="shared" si="328"/>
        <v>222</v>
      </c>
      <c r="CC290" s="54">
        <f t="shared" si="328"/>
        <v>222</v>
      </c>
      <c r="CD290" s="54">
        <f t="shared" si="328"/>
        <v>222</v>
      </c>
      <c r="CE290" s="54">
        <f t="shared" si="328"/>
        <v>222</v>
      </c>
      <c r="CF290" s="54">
        <f t="shared" si="328"/>
        <v>222</v>
      </c>
      <c r="CG290" s="54">
        <f t="shared" si="328"/>
        <v>222</v>
      </c>
      <c r="CH290" s="54">
        <f t="shared" si="328"/>
        <v>222</v>
      </c>
      <c r="CI290" s="54">
        <f t="shared" si="328"/>
        <v>222</v>
      </c>
      <c r="CJ290" s="54">
        <f t="shared" si="328"/>
        <v>222</v>
      </c>
      <c r="CK290" s="54">
        <f t="shared" si="328"/>
        <v>222</v>
      </c>
    </row>
    <row r="291" spans="2:89">
      <c r="B291" s="14"/>
      <c r="C291" s="14"/>
      <c r="D291" s="14"/>
      <c r="E291" s="1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  <c r="BD291" s="154"/>
      <c r="BE291" s="154"/>
      <c r="BF291" s="154"/>
      <c r="BG291" s="154"/>
      <c r="BH291" s="154"/>
      <c r="BI291" s="154"/>
      <c r="BJ291" s="154"/>
      <c r="BK291" s="154"/>
      <c r="BL291" s="154"/>
      <c r="BM291" s="15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</row>
    <row r="292" spans="2:89" ht="15.75" thickBot="1">
      <c r="B292" s="96" t="str">
        <f>"Ставка ЗП без учета индексации, в "&amp;Ед_измерения_регулярных_платежей</f>
        <v>Ставка ЗП без учета индексации, в  руб./мес.</v>
      </c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</row>
    <row r="293" spans="2:89">
      <c r="B293" s="14"/>
      <c r="C293" s="14"/>
      <c r="D293" s="14"/>
      <c r="E293" s="1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  <c r="BI293" s="154"/>
      <c r="BJ293" s="154"/>
      <c r="BK293" s="154"/>
      <c r="BL293" s="154"/>
      <c r="BM293" s="15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</row>
    <row r="294" spans="2:89">
      <c r="B294" s="45" t="str">
        <f t="array" ref="B294:B296">ФОТ_должности</f>
        <v>рабочие</v>
      </c>
      <c r="C294" s="118"/>
      <c r="D294" s="118"/>
      <c r="E294" s="118"/>
      <c r="F294" s="49">
        <f t="array" ref="F294:CK296">ФОТ_ставки_ЗП*F14:CK14</f>
        <v>0</v>
      </c>
      <c r="G294" s="49">
        <v>0</v>
      </c>
      <c r="H294" s="49">
        <v>0</v>
      </c>
      <c r="I294" s="49">
        <v>0</v>
      </c>
      <c r="J294" s="49">
        <v>0</v>
      </c>
      <c r="K294" s="49">
        <v>0</v>
      </c>
      <c r="L294" s="49">
        <v>0</v>
      </c>
      <c r="M294" s="49">
        <v>0</v>
      </c>
      <c r="N294" s="49">
        <v>0</v>
      </c>
      <c r="O294" s="49">
        <v>0</v>
      </c>
      <c r="P294" s="49">
        <v>0</v>
      </c>
      <c r="Q294" s="49">
        <v>0</v>
      </c>
      <c r="R294" s="49">
        <v>40000</v>
      </c>
      <c r="S294" s="49">
        <v>40000</v>
      </c>
      <c r="T294" s="49">
        <v>40000</v>
      </c>
      <c r="U294" s="49">
        <v>40000</v>
      </c>
      <c r="V294" s="49">
        <v>40000</v>
      </c>
      <c r="W294" s="49">
        <v>40000</v>
      </c>
      <c r="X294" s="49">
        <v>40000</v>
      </c>
      <c r="Y294" s="49">
        <v>40000</v>
      </c>
      <c r="Z294" s="49">
        <v>40000</v>
      </c>
      <c r="AA294" s="49">
        <v>40000</v>
      </c>
      <c r="AB294" s="49">
        <v>40000</v>
      </c>
      <c r="AC294" s="49">
        <v>40000</v>
      </c>
      <c r="AD294" s="49">
        <v>40000</v>
      </c>
      <c r="AE294" s="49">
        <v>40000</v>
      </c>
      <c r="AF294" s="49">
        <v>40000</v>
      </c>
      <c r="AG294" s="49">
        <v>40000</v>
      </c>
      <c r="AH294" s="49">
        <v>40000</v>
      </c>
      <c r="AI294" s="49">
        <v>40000</v>
      </c>
      <c r="AJ294" s="49">
        <v>40000</v>
      </c>
      <c r="AK294" s="49">
        <v>40000</v>
      </c>
      <c r="AL294" s="49">
        <v>40000</v>
      </c>
      <c r="AM294" s="49">
        <v>40000</v>
      </c>
      <c r="AN294" s="49">
        <v>40000</v>
      </c>
      <c r="AO294" s="49">
        <v>40000</v>
      </c>
      <c r="AP294" s="49">
        <v>40000</v>
      </c>
      <c r="AQ294" s="49">
        <v>40000</v>
      </c>
      <c r="AR294" s="49">
        <v>40000</v>
      </c>
      <c r="AS294" s="49">
        <v>40000</v>
      </c>
      <c r="AT294" s="49">
        <v>40000</v>
      </c>
      <c r="AU294" s="49">
        <v>40000</v>
      </c>
      <c r="AV294" s="49">
        <v>40000</v>
      </c>
      <c r="AW294" s="49">
        <v>40000</v>
      </c>
      <c r="AX294" s="49">
        <v>40000</v>
      </c>
      <c r="AY294" s="49">
        <v>40000</v>
      </c>
      <c r="AZ294" s="49">
        <v>40000</v>
      </c>
      <c r="BA294" s="49">
        <v>40000</v>
      </c>
      <c r="BB294" s="49">
        <v>40000</v>
      </c>
      <c r="BC294" s="49">
        <v>40000</v>
      </c>
      <c r="BD294" s="49">
        <v>40000</v>
      </c>
      <c r="BE294" s="49">
        <v>40000</v>
      </c>
      <c r="BF294" s="49">
        <v>40000</v>
      </c>
      <c r="BG294" s="49">
        <v>40000</v>
      </c>
      <c r="BH294" s="49">
        <v>40000</v>
      </c>
      <c r="BI294" s="49">
        <v>40000</v>
      </c>
      <c r="BJ294" s="49">
        <v>40000</v>
      </c>
      <c r="BK294" s="49">
        <v>40000</v>
      </c>
      <c r="BL294" s="49">
        <v>40000</v>
      </c>
      <c r="BM294" s="49">
        <v>40000</v>
      </c>
      <c r="BN294" s="49">
        <v>40000</v>
      </c>
      <c r="BO294" s="49">
        <v>40000</v>
      </c>
      <c r="BP294" s="49">
        <v>40000</v>
      </c>
      <c r="BQ294" s="49">
        <v>40000</v>
      </c>
      <c r="BR294" s="49">
        <v>40000</v>
      </c>
      <c r="BS294" s="49">
        <v>40000</v>
      </c>
      <c r="BT294" s="49">
        <v>40000</v>
      </c>
      <c r="BU294" s="49">
        <v>40000</v>
      </c>
      <c r="BV294" s="49">
        <v>40000</v>
      </c>
      <c r="BW294" s="49">
        <v>40000</v>
      </c>
      <c r="BX294" s="49">
        <v>40000</v>
      </c>
      <c r="BY294" s="49">
        <v>40000</v>
      </c>
      <c r="BZ294" s="49">
        <v>40000</v>
      </c>
      <c r="CA294" s="49">
        <v>40000</v>
      </c>
      <c r="CB294" s="49">
        <v>40000</v>
      </c>
      <c r="CC294" s="49">
        <v>40000</v>
      </c>
      <c r="CD294" s="49">
        <v>40000</v>
      </c>
      <c r="CE294" s="49">
        <v>40000</v>
      </c>
      <c r="CF294" s="49">
        <v>40000</v>
      </c>
      <c r="CG294" s="49">
        <v>40000</v>
      </c>
      <c r="CH294" s="49">
        <v>40000</v>
      </c>
      <c r="CI294" s="49">
        <v>40000</v>
      </c>
      <c r="CJ294" s="49">
        <v>40000</v>
      </c>
      <c r="CK294" s="49">
        <v>40000</v>
      </c>
    </row>
    <row r="295" spans="2:89">
      <c r="B295" s="86" t="str">
        <v xml:space="preserve">руководители </v>
      </c>
      <c r="C295" s="118"/>
      <c r="D295" s="118"/>
      <c r="E295" s="118"/>
      <c r="F295" s="176">
        <v>0</v>
      </c>
      <c r="G295" s="176">
        <v>0</v>
      </c>
      <c r="H295" s="176">
        <v>0</v>
      </c>
      <c r="I295" s="176">
        <v>0</v>
      </c>
      <c r="J295" s="176">
        <v>0</v>
      </c>
      <c r="K295" s="176">
        <v>0</v>
      </c>
      <c r="L295" s="176">
        <v>0</v>
      </c>
      <c r="M295" s="176">
        <v>0</v>
      </c>
      <c r="N295" s="176">
        <v>0</v>
      </c>
      <c r="O295" s="176">
        <v>0</v>
      </c>
      <c r="P295" s="176">
        <v>0</v>
      </c>
      <c r="Q295" s="176">
        <v>0</v>
      </c>
      <c r="R295" s="176">
        <v>120000</v>
      </c>
      <c r="S295" s="176">
        <v>120000</v>
      </c>
      <c r="T295" s="176">
        <v>120000</v>
      </c>
      <c r="U295" s="176">
        <v>120000</v>
      </c>
      <c r="V295" s="176">
        <v>120000</v>
      </c>
      <c r="W295" s="176">
        <v>120000</v>
      </c>
      <c r="X295" s="176">
        <v>120000</v>
      </c>
      <c r="Y295" s="176">
        <v>120000</v>
      </c>
      <c r="Z295" s="176">
        <v>120000</v>
      </c>
      <c r="AA295" s="176">
        <v>120000</v>
      </c>
      <c r="AB295" s="176">
        <v>120000</v>
      </c>
      <c r="AC295" s="176">
        <v>120000</v>
      </c>
      <c r="AD295" s="176">
        <v>120000</v>
      </c>
      <c r="AE295" s="176">
        <v>120000</v>
      </c>
      <c r="AF295" s="176">
        <v>120000</v>
      </c>
      <c r="AG295" s="176">
        <v>120000</v>
      </c>
      <c r="AH295" s="176">
        <v>120000</v>
      </c>
      <c r="AI295" s="176">
        <v>120000</v>
      </c>
      <c r="AJ295" s="176">
        <v>120000</v>
      </c>
      <c r="AK295" s="176">
        <v>120000</v>
      </c>
      <c r="AL295" s="176">
        <v>120000</v>
      </c>
      <c r="AM295" s="176">
        <v>120000</v>
      </c>
      <c r="AN295" s="176">
        <v>120000</v>
      </c>
      <c r="AO295" s="176">
        <v>120000</v>
      </c>
      <c r="AP295" s="176">
        <v>120000</v>
      </c>
      <c r="AQ295" s="176">
        <v>120000</v>
      </c>
      <c r="AR295" s="176">
        <v>120000</v>
      </c>
      <c r="AS295" s="176">
        <v>120000</v>
      </c>
      <c r="AT295" s="176">
        <v>120000</v>
      </c>
      <c r="AU295" s="176">
        <v>120000</v>
      </c>
      <c r="AV295" s="176">
        <v>120000</v>
      </c>
      <c r="AW295" s="176">
        <v>120000</v>
      </c>
      <c r="AX295" s="176">
        <v>120000</v>
      </c>
      <c r="AY295" s="176">
        <v>120000</v>
      </c>
      <c r="AZ295" s="176">
        <v>120000</v>
      </c>
      <c r="BA295" s="176">
        <v>120000</v>
      </c>
      <c r="BB295" s="176">
        <v>120000</v>
      </c>
      <c r="BC295" s="176">
        <v>120000</v>
      </c>
      <c r="BD295" s="176">
        <v>120000</v>
      </c>
      <c r="BE295" s="176">
        <v>120000</v>
      </c>
      <c r="BF295" s="176">
        <v>120000</v>
      </c>
      <c r="BG295" s="176">
        <v>120000</v>
      </c>
      <c r="BH295" s="176">
        <v>120000</v>
      </c>
      <c r="BI295" s="176">
        <v>120000</v>
      </c>
      <c r="BJ295" s="176">
        <v>120000</v>
      </c>
      <c r="BK295" s="176">
        <v>120000</v>
      </c>
      <c r="BL295" s="176">
        <v>120000</v>
      </c>
      <c r="BM295" s="176">
        <v>120000</v>
      </c>
      <c r="BN295" s="176">
        <v>120000</v>
      </c>
      <c r="BO295" s="176">
        <v>120000</v>
      </c>
      <c r="BP295" s="176">
        <v>120000</v>
      </c>
      <c r="BQ295" s="176">
        <v>120000</v>
      </c>
      <c r="BR295" s="176">
        <v>120000</v>
      </c>
      <c r="BS295" s="176">
        <v>120000</v>
      </c>
      <c r="BT295" s="176">
        <v>120000</v>
      </c>
      <c r="BU295" s="176">
        <v>120000</v>
      </c>
      <c r="BV295" s="176">
        <v>120000</v>
      </c>
      <c r="BW295" s="176">
        <v>120000</v>
      </c>
      <c r="BX295" s="176">
        <v>120000</v>
      </c>
      <c r="BY295" s="176">
        <v>120000</v>
      </c>
      <c r="BZ295" s="176">
        <v>120000</v>
      </c>
      <c r="CA295" s="176">
        <v>120000</v>
      </c>
      <c r="CB295" s="176">
        <v>120000</v>
      </c>
      <c r="CC295" s="176">
        <v>120000</v>
      </c>
      <c r="CD295" s="176">
        <v>120000</v>
      </c>
      <c r="CE295" s="176">
        <v>120000</v>
      </c>
      <c r="CF295" s="176">
        <v>120000</v>
      </c>
      <c r="CG295" s="176">
        <v>120000</v>
      </c>
      <c r="CH295" s="176">
        <v>120000</v>
      </c>
      <c r="CI295" s="176">
        <v>120000</v>
      </c>
      <c r="CJ295" s="176">
        <v>120000</v>
      </c>
      <c r="CK295" s="176">
        <v>120000</v>
      </c>
    </row>
    <row r="296" spans="2:89">
      <c r="B296" s="128" t="str">
        <v>специалисты и другие служащие</v>
      </c>
      <c r="C296" s="124"/>
      <c r="D296" s="124"/>
      <c r="E296" s="124"/>
      <c r="F296" s="185">
        <v>0</v>
      </c>
      <c r="G296" s="185">
        <v>0</v>
      </c>
      <c r="H296" s="185">
        <v>0</v>
      </c>
      <c r="I296" s="185">
        <v>0</v>
      </c>
      <c r="J296" s="185">
        <v>0</v>
      </c>
      <c r="K296" s="185">
        <v>0</v>
      </c>
      <c r="L296" s="185">
        <v>0</v>
      </c>
      <c r="M296" s="185">
        <v>0</v>
      </c>
      <c r="N296" s="185">
        <v>0</v>
      </c>
      <c r="O296" s="185">
        <v>0</v>
      </c>
      <c r="P296" s="185">
        <v>0</v>
      </c>
      <c r="Q296" s="185">
        <v>0</v>
      </c>
      <c r="R296" s="185">
        <v>60000</v>
      </c>
      <c r="S296" s="185">
        <v>60000</v>
      </c>
      <c r="T296" s="185">
        <v>60000</v>
      </c>
      <c r="U296" s="185">
        <v>60000</v>
      </c>
      <c r="V296" s="185">
        <v>60000</v>
      </c>
      <c r="W296" s="185">
        <v>60000</v>
      </c>
      <c r="X296" s="185">
        <v>60000</v>
      </c>
      <c r="Y296" s="185">
        <v>60000</v>
      </c>
      <c r="Z296" s="185">
        <v>60000</v>
      </c>
      <c r="AA296" s="185">
        <v>60000</v>
      </c>
      <c r="AB296" s="185">
        <v>60000</v>
      </c>
      <c r="AC296" s="185">
        <v>60000</v>
      </c>
      <c r="AD296" s="185">
        <v>60000</v>
      </c>
      <c r="AE296" s="185">
        <v>60000</v>
      </c>
      <c r="AF296" s="185">
        <v>60000</v>
      </c>
      <c r="AG296" s="185">
        <v>60000</v>
      </c>
      <c r="AH296" s="185">
        <v>60000</v>
      </c>
      <c r="AI296" s="185">
        <v>60000</v>
      </c>
      <c r="AJ296" s="185">
        <v>60000</v>
      </c>
      <c r="AK296" s="185">
        <v>60000</v>
      </c>
      <c r="AL296" s="185">
        <v>60000</v>
      </c>
      <c r="AM296" s="185">
        <v>60000</v>
      </c>
      <c r="AN296" s="185">
        <v>60000</v>
      </c>
      <c r="AO296" s="185">
        <v>60000</v>
      </c>
      <c r="AP296" s="185">
        <v>60000</v>
      </c>
      <c r="AQ296" s="185">
        <v>60000</v>
      </c>
      <c r="AR296" s="185">
        <v>60000</v>
      </c>
      <c r="AS296" s="185">
        <v>60000</v>
      </c>
      <c r="AT296" s="185">
        <v>60000</v>
      </c>
      <c r="AU296" s="185">
        <v>60000</v>
      </c>
      <c r="AV296" s="185">
        <v>60000</v>
      </c>
      <c r="AW296" s="185">
        <v>60000</v>
      </c>
      <c r="AX296" s="185">
        <v>60000</v>
      </c>
      <c r="AY296" s="185">
        <v>60000</v>
      </c>
      <c r="AZ296" s="185">
        <v>60000</v>
      </c>
      <c r="BA296" s="185">
        <v>60000</v>
      </c>
      <c r="BB296" s="185">
        <v>60000</v>
      </c>
      <c r="BC296" s="185">
        <v>60000</v>
      </c>
      <c r="BD296" s="185">
        <v>60000</v>
      </c>
      <c r="BE296" s="185">
        <v>60000</v>
      </c>
      <c r="BF296" s="185">
        <v>60000</v>
      </c>
      <c r="BG296" s="185">
        <v>60000</v>
      </c>
      <c r="BH296" s="185">
        <v>60000</v>
      </c>
      <c r="BI296" s="185">
        <v>60000</v>
      </c>
      <c r="BJ296" s="185">
        <v>60000</v>
      </c>
      <c r="BK296" s="185">
        <v>60000</v>
      </c>
      <c r="BL296" s="185">
        <v>60000</v>
      </c>
      <c r="BM296" s="185">
        <v>60000</v>
      </c>
      <c r="BN296" s="185">
        <v>60000</v>
      </c>
      <c r="BO296" s="185">
        <v>60000</v>
      </c>
      <c r="BP296" s="185">
        <v>60000</v>
      </c>
      <c r="BQ296" s="185">
        <v>60000</v>
      </c>
      <c r="BR296" s="185">
        <v>60000</v>
      </c>
      <c r="BS296" s="185">
        <v>60000</v>
      </c>
      <c r="BT296" s="185">
        <v>60000</v>
      </c>
      <c r="BU296" s="185">
        <v>60000</v>
      </c>
      <c r="BV296" s="185">
        <v>60000</v>
      </c>
      <c r="BW296" s="185">
        <v>60000</v>
      </c>
      <c r="BX296" s="185">
        <v>60000</v>
      </c>
      <c r="BY296" s="185">
        <v>60000</v>
      </c>
      <c r="BZ296" s="185">
        <v>60000</v>
      </c>
      <c r="CA296" s="185">
        <v>60000</v>
      </c>
      <c r="CB296" s="185">
        <v>60000</v>
      </c>
      <c r="CC296" s="185">
        <v>60000</v>
      </c>
      <c r="CD296" s="185">
        <v>60000</v>
      </c>
      <c r="CE296" s="185">
        <v>60000</v>
      </c>
      <c r="CF296" s="185">
        <v>60000</v>
      </c>
      <c r="CG296" s="185">
        <v>60000</v>
      </c>
      <c r="CH296" s="185">
        <v>60000</v>
      </c>
      <c r="CI296" s="185">
        <v>60000</v>
      </c>
      <c r="CJ296" s="185">
        <v>60000</v>
      </c>
      <c r="CK296" s="185">
        <v>60000</v>
      </c>
    </row>
    <row r="297" spans="2:89">
      <c r="B297" s="14"/>
      <c r="C297" s="14"/>
      <c r="D297" s="14"/>
      <c r="E297" s="1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  <c r="BD297" s="154"/>
      <c r="BE297" s="154"/>
      <c r="BF297" s="154"/>
      <c r="BG297" s="154"/>
      <c r="BH297" s="154"/>
      <c r="BI297" s="154"/>
      <c r="BJ297" s="154"/>
      <c r="BK297" s="154"/>
      <c r="BL297" s="154"/>
      <c r="BM297" s="15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</row>
    <row r="298" spans="2:89" ht="15.75" thickBot="1">
      <c r="B298" s="96" t="s">
        <v>51</v>
      </c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</row>
    <row r="299" spans="2:89">
      <c r="B299" s="14"/>
      <c r="C299" s="14"/>
      <c r="D299" s="14"/>
      <c r="E299" s="1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</row>
    <row r="300" spans="2:89">
      <c r="B300" s="155" t="s">
        <v>39</v>
      </c>
      <c r="C300" s="156"/>
      <c r="D300" s="160"/>
      <c r="E300" s="158"/>
      <c r="F300" s="159">
        <f t="shared" ref="F300:AK300" ca="1" si="329">IFERROR(LOOKUP(F$19,ФОТ_год_инфляции,ФОТ_уровень_инфляции),0)</f>
        <v>0</v>
      </c>
      <c r="G300" s="159">
        <f t="shared" ca="1" si="329"/>
        <v>0</v>
      </c>
      <c r="H300" s="159">
        <f t="shared" ca="1" si="329"/>
        <v>0</v>
      </c>
      <c r="I300" s="159">
        <f t="shared" ca="1" si="329"/>
        <v>0</v>
      </c>
      <c r="J300" s="159">
        <f t="shared" ca="1" si="329"/>
        <v>0</v>
      </c>
      <c r="K300" s="159">
        <f t="shared" ca="1" si="329"/>
        <v>0</v>
      </c>
      <c r="L300" s="159">
        <f t="shared" ca="1" si="329"/>
        <v>0</v>
      </c>
      <c r="M300" s="159">
        <f t="shared" ca="1" si="329"/>
        <v>0</v>
      </c>
      <c r="N300" s="159">
        <f t="shared" ca="1" si="329"/>
        <v>0</v>
      </c>
      <c r="O300" s="159">
        <f t="shared" ca="1" si="329"/>
        <v>0.04</v>
      </c>
      <c r="P300" s="159">
        <f t="shared" ca="1" si="329"/>
        <v>0.04</v>
      </c>
      <c r="Q300" s="159">
        <f t="shared" ca="1" si="329"/>
        <v>0.04</v>
      </c>
      <c r="R300" s="159">
        <f t="shared" ca="1" si="329"/>
        <v>0.04</v>
      </c>
      <c r="S300" s="159">
        <f t="shared" ca="1" si="329"/>
        <v>0.04</v>
      </c>
      <c r="T300" s="159">
        <f t="shared" ca="1" si="329"/>
        <v>0.04</v>
      </c>
      <c r="U300" s="159">
        <f t="shared" ca="1" si="329"/>
        <v>0.04</v>
      </c>
      <c r="V300" s="159">
        <f t="shared" ca="1" si="329"/>
        <v>0.04</v>
      </c>
      <c r="W300" s="159">
        <f t="shared" ca="1" si="329"/>
        <v>0.04</v>
      </c>
      <c r="X300" s="159">
        <f t="shared" ca="1" si="329"/>
        <v>0.04</v>
      </c>
      <c r="Y300" s="159">
        <f t="shared" ca="1" si="329"/>
        <v>0.04</v>
      </c>
      <c r="Z300" s="159">
        <f t="shared" ca="1" si="329"/>
        <v>0.04</v>
      </c>
      <c r="AA300" s="159">
        <f t="shared" ca="1" si="329"/>
        <v>0.04</v>
      </c>
      <c r="AB300" s="159">
        <f t="shared" ca="1" si="329"/>
        <v>0.04</v>
      </c>
      <c r="AC300" s="159">
        <f t="shared" ca="1" si="329"/>
        <v>0.04</v>
      </c>
      <c r="AD300" s="159">
        <f t="shared" ca="1" si="329"/>
        <v>0.04</v>
      </c>
      <c r="AE300" s="159">
        <f t="shared" ca="1" si="329"/>
        <v>0.04</v>
      </c>
      <c r="AF300" s="159">
        <f t="shared" ca="1" si="329"/>
        <v>0.04</v>
      </c>
      <c r="AG300" s="159">
        <f t="shared" ca="1" si="329"/>
        <v>0.04</v>
      </c>
      <c r="AH300" s="159">
        <f t="shared" ca="1" si="329"/>
        <v>0.04</v>
      </c>
      <c r="AI300" s="159">
        <f t="shared" ca="1" si="329"/>
        <v>0.04</v>
      </c>
      <c r="AJ300" s="159">
        <f t="shared" ca="1" si="329"/>
        <v>0.04</v>
      </c>
      <c r="AK300" s="159">
        <f t="shared" ca="1" si="329"/>
        <v>0.04</v>
      </c>
      <c r="AL300" s="159">
        <f t="shared" ref="AL300:CK300" ca="1" si="330">IFERROR(LOOKUP(AL$19,ФОТ_год_инфляции,ФОТ_уровень_инфляции),0)</f>
        <v>0.04</v>
      </c>
      <c r="AM300" s="159">
        <f t="shared" ca="1" si="330"/>
        <v>0.04</v>
      </c>
      <c r="AN300" s="159">
        <f t="shared" ca="1" si="330"/>
        <v>0.04</v>
      </c>
      <c r="AO300" s="159">
        <f t="shared" ca="1" si="330"/>
        <v>0.04</v>
      </c>
      <c r="AP300" s="159">
        <f t="shared" ca="1" si="330"/>
        <v>0.04</v>
      </c>
      <c r="AQ300" s="159">
        <f t="shared" ca="1" si="330"/>
        <v>0.04</v>
      </c>
      <c r="AR300" s="159">
        <f t="shared" ca="1" si="330"/>
        <v>0.04</v>
      </c>
      <c r="AS300" s="159">
        <f t="shared" ca="1" si="330"/>
        <v>0.04</v>
      </c>
      <c r="AT300" s="159">
        <f t="shared" ca="1" si="330"/>
        <v>0.04</v>
      </c>
      <c r="AU300" s="159">
        <f t="shared" ca="1" si="330"/>
        <v>0.04</v>
      </c>
      <c r="AV300" s="159">
        <f t="shared" ca="1" si="330"/>
        <v>0.04</v>
      </c>
      <c r="AW300" s="159">
        <f t="shared" ca="1" si="330"/>
        <v>0.04</v>
      </c>
      <c r="AX300" s="159">
        <f t="shared" ca="1" si="330"/>
        <v>0.04</v>
      </c>
      <c r="AY300" s="159">
        <f t="shared" ca="1" si="330"/>
        <v>0.04</v>
      </c>
      <c r="AZ300" s="159">
        <f t="shared" ca="1" si="330"/>
        <v>0.04</v>
      </c>
      <c r="BA300" s="159">
        <f t="shared" ca="1" si="330"/>
        <v>0.04</v>
      </c>
      <c r="BB300" s="159">
        <f t="shared" ca="1" si="330"/>
        <v>0.04</v>
      </c>
      <c r="BC300" s="159">
        <f t="shared" ca="1" si="330"/>
        <v>0.04</v>
      </c>
      <c r="BD300" s="159">
        <f t="shared" ca="1" si="330"/>
        <v>0.04</v>
      </c>
      <c r="BE300" s="159">
        <f t="shared" ca="1" si="330"/>
        <v>0.04</v>
      </c>
      <c r="BF300" s="159">
        <f t="shared" ca="1" si="330"/>
        <v>0.04</v>
      </c>
      <c r="BG300" s="159">
        <f t="shared" ca="1" si="330"/>
        <v>0.04</v>
      </c>
      <c r="BH300" s="159">
        <f t="shared" ca="1" si="330"/>
        <v>0.04</v>
      </c>
      <c r="BI300" s="159">
        <f t="shared" ca="1" si="330"/>
        <v>0.04</v>
      </c>
      <c r="BJ300" s="159">
        <f t="shared" ca="1" si="330"/>
        <v>0.04</v>
      </c>
      <c r="BK300" s="159">
        <f t="shared" ca="1" si="330"/>
        <v>0.04</v>
      </c>
      <c r="BL300" s="159">
        <f t="shared" ca="1" si="330"/>
        <v>0.04</v>
      </c>
      <c r="BM300" s="159">
        <f t="shared" ca="1" si="330"/>
        <v>0.04</v>
      </c>
      <c r="BN300" s="159">
        <f t="shared" ca="1" si="330"/>
        <v>0.04</v>
      </c>
      <c r="BO300" s="159">
        <f t="shared" ca="1" si="330"/>
        <v>0.04</v>
      </c>
      <c r="BP300" s="159">
        <f t="shared" ca="1" si="330"/>
        <v>0.04</v>
      </c>
      <c r="BQ300" s="159">
        <f t="shared" ca="1" si="330"/>
        <v>0.04</v>
      </c>
      <c r="BR300" s="159">
        <f t="shared" ca="1" si="330"/>
        <v>0.04</v>
      </c>
      <c r="BS300" s="159">
        <f t="shared" ca="1" si="330"/>
        <v>0.04</v>
      </c>
      <c r="BT300" s="159">
        <f t="shared" ca="1" si="330"/>
        <v>0.04</v>
      </c>
      <c r="BU300" s="159">
        <f t="shared" ca="1" si="330"/>
        <v>0.04</v>
      </c>
      <c r="BV300" s="159">
        <f t="shared" ca="1" si="330"/>
        <v>0.04</v>
      </c>
      <c r="BW300" s="159">
        <f t="shared" ca="1" si="330"/>
        <v>0.04</v>
      </c>
      <c r="BX300" s="159">
        <f t="shared" ca="1" si="330"/>
        <v>0.04</v>
      </c>
      <c r="BY300" s="159">
        <f t="shared" ca="1" si="330"/>
        <v>0.04</v>
      </c>
      <c r="BZ300" s="159">
        <f t="shared" ca="1" si="330"/>
        <v>0.04</v>
      </c>
      <c r="CA300" s="159">
        <f t="shared" ca="1" si="330"/>
        <v>0.04</v>
      </c>
      <c r="CB300" s="159">
        <f t="shared" ca="1" si="330"/>
        <v>0.04</v>
      </c>
      <c r="CC300" s="159">
        <f t="shared" ca="1" si="330"/>
        <v>0.04</v>
      </c>
      <c r="CD300" s="159">
        <f t="shared" ca="1" si="330"/>
        <v>0.04</v>
      </c>
      <c r="CE300" s="159">
        <f t="shared" ca="1" si="330"/>
        <v>0.04</v>
      </c>
      <c r="CF300" s="159">
        <f t="shared" ca="1" si="330"/>
        <v>0.04</v>
      </c>
      <c r="CG300" s="159">
        <f t="shared" ca="1" si="330"/>
        <v>0.04</v>
      </c>
      <c r="CH300" s="159">
        <f t="shared" ca="1" si="330"/>
        <v>0.04</v>
      </c>
      <c r="CI300" s="159">
        <f t="shared" ca="1" si="330"/>
        <v>0.04</v>
      </c>
      <c r="CJ300" s="159">
        <f t="shared" ca="1" si="330"/>
        <v>0.04</v>
      </c>
      <c r="CK300" s="159">
        <f t="shared" ca="1" si="330"/>
        <v>0.04</v>
      </c>
    </row>
    <row r="301" spans="2:89" ht="15.75" thickBot="1">
      <c r="B301" s="155" t="s">
        <v>40</v>
      </c>
      <c r="C301" s="156"/>
      <c r="D301" s="160"/>
      <c r="E301" s="158"/>
      <c r="F301" s="159">
        <f ca="1">(1+F300)^(F$26/F$20)-1</f>
        <v>0</v>
      </c>
      <c r="G301" s="159">
        <f t="shared" ref="G301:BR301" ca="1" si="331">(1+G300)^(G$26/G$20)-1</f>
        <v>0</v>
      </c>
      <c r="H301" s="159">
        <f t="shared" ca="1" si="331"/>
        <v>0</v>
      </c>
      <c r="I301" s="159">
        <f t="shared" ca="1" si="331"/>
        <v>0</v>
      </c>
      <c r="J301" s="159">
        <f t="shared" ca="1" si="331"/>
        <v>0</v>
      </c>
      <c r="K301" s="159">
        <f t="shared" ca="1" si="331"/>
        <v>0</v>
      </c>
      <c r="L301" s="159">
        <f t="shared" ca="1" si="331"/>
        <v>0</v>
      </c>
      <c r="M301" s="159">
        <f t="shared" ca="1" si="331"/>
        <v>0</v>
      </c>
      <c r="N301" s="159">
        <f t="shared" ca="1" si="331"/>
        <v>0</v>
      </c>
      <c r="O301" s="159">
        <f t="shared" ca="1" si="331"/>
        <v>3.3274968392313919E-3</v>
      </c>
      <c r="P301" s="159">
        <f t="shared" ca="1" si="331"/>
        <v>3.1124858919069354E-3</v>
      </c>
      <c r="Q301" s="159">
        <f t="shared" ca="1" si="331"/>
        <v>3.3274968392313919E-3</v>
      </c>
      <c r="R301" s="159">
        <f t="shared" ca="1" si="331"/>
        <v>3.2199856054033749E-3</v>
      </c>
      <c r="S301" s="159">
        <f t="shared" ca="1" si="331"/>
        <v>3.3274968392313919E-3</v>
      </c>
      <c r="T301" s="159">
        <f t="shared" ca="1" si="331"/>
        <v>3.2199856054033749E-3</v>
      </c>
      <c r="U301" s="159">
        <f t="shared" ca="1" si="331"/>
        <v>3.3274968392313919E-3</v>
      </c>
      <c r="V301" s="159">
        <f t="shared" ca="1" si="331"/>
        <v>3.3274968392313919E-3</v>
      </c>
      <c r="W301" s="159">
        <f t="shared" ca="1" si="331"/>
        <v>3.2199856054033749E-3</v>
      </c>
      <c r="X301" s="159">
        <f t="shared" ca="1" si="331"/>
        <v>3.3274968392313919E-3</v>
      </c>
      <c r="Y301" s="159">
        <f t="shared" ca="1" si="331"/>
        <v>3.2199856054033749E-3</v>
      </c>
      <c r="Z301" s="159">
        <f t="shared" ca="1" si="331"/>
        <v>3.3274968392313919E-3</v>
      </c>
      <c r="AA301" s="159">
        <f t="shared" ca="1" si="331"/>
        <v>3.3366284611329178E-3</v>
      </c>
      <c r="AB301" s="159">
        <f t="shared" ca="1" si="331"/>
        <v>3.013242959308382E-3</v>
      </c>
      <c r="AC301" s="159">
        <f t="shared" ca="1" si="331"/>
        <v>3.3366284611329178E-3</v>
      </c>
      <c r="AD301" s="159">
        <f t="shared" ca="1" si="331"/>
        <v>3.2288217106277717E-3</v>
      </c>
      <c r="AE301" s="159">
        <f t="shared" ca="1" si="331"/>
        <v>3.3366284611329178E-3</v>
      </c>
      <c r="AF301" s="159">
        <f t="shared" ca="1" si="331"/>
        <v>3.2288217106277717E-3</v>
      </c>
      <c r="AG301" s="159">
        <f t="shared" ca="1" si="331"/>
        <v>3.3366284611329178E-3</v>
      </c>
      <c r="AH301" s="159">
        <f t="shared" ca="1" si="331"/>
        <v>3.3366284611329178E-3</v>
      </c>
      <c r="AI301" s="159">
        <f t="shared" ca="1" si="331"/>
        <v>3.2288217106277717E-3</v>
      </c>
      <c r="AJ301" s="159">
        <f t="shared" ca="1" si="331"/>
        <v>3.3366284611329178E-3</v>
      </c>
      <c r="AK301" s="159">
        <f t="shared" ca="1" si="331"/>
        <v>3.2288217106277717E-3</v>
      </c>
      <c r="AL301" s="159">
        <f t="shared" ca="1" si="331"/>
        <v>3.3366284611329178E-3</v>
      </c>
      <c r="AM301" s="159">
        <f t="shared" ca="1" si="331"/>
        <v>3.3366284611329178E-3</v>
      </c>
      <c r="AN301" s="159">
        <f t="shared" ca="1" si="331"/>
        <v>3.013242959308382E-3</v>
      </c>
      <c r="AO301" s="159">
        <f t="shared" ca="1" si="331"/>
        <v>3.3366284611329178E-3</v>
      </c>
      <c r="AP301" s="159">
        <f t="shared" ca="1" si="331"/>
        <v>3.2288217106277717E-3</v>
      </c>
      <c r="AQ301" s="159">
        <f t="shared" ca="1" si="331"/>
        <v>3.3366284611329178E-3</v>
      </c>
      <c r="AR301" s="159">
        <f t="shared" ca="1" si="331"/>
        <v>3.2288217106277717E-3</v>
      </c>
      <c r="AS301" s="159">
        <f t="shared" ca="1" si="331"/>
        <v>3.3366284611329178E-3</v>
      </c>
      <c r="AT301" s="159">
        <f t="shared" ca="1" si="331"/>
        <v>3.3366284611329178E-3</v>
      </c>
      <c r="AU301" s="159">
        <f t="shared" ca="1" si="331"/>
        <v>3.2288217106277717E-3</v>
      </c>
      <c r="AV301" s="159">
        <f t="shared" ca="1" si="331"/>
        <v>3.3366284611329178E-3</v>
      </c>
      <c r="AW301" s="159">
        <f t="shared" ca="1" si="331"/>
        <v>3.2288217106277717E-3</v>
      </c>
      <c r="AX301" s="159">
        <f t="shared" ca="1" si="331"/>
        <v>3.3366284611329178E-3</v>
      </c>
      <c r="AY301" s="159">
        <f t="shared" ca="1" si="331"/>
        <v>3.3366284611329178E-3</v>
      </c>
      <c r="AZ301" s="159">
        <f t="shared" ca="1" si="331"/>
        <v>3.013242959308382E-3</v>
      </c>
      <c r="BA301" s="159">
        <f t="shared" ca="1" si="331"/>
        <v>3.3366284611329178E-3</v>
      </c>
      <c r="BB301" s="159">
        <f t="shared" ca="1" si="331"/>
        <v>3.2288217106277717E-3</v>
      </c>
      <c r="BC301" s="159">
        <f t="shared" ca="1" si="331"/>
        <v>3.3366284611329178E-3</v>
      </c>
      <c r="BD301" s="159">
        <f t="shared" ca="1" si="331"/>
        <v>3.2288217106277717E-3</v>
      </c>
      <c r="BE301" s="159">
        <f t="shared" ca="1" si="331"/>
        <v>3.3366284611329178E-3</v>
      </c>
      <c r="BF301" s="159">
        <f t="shared" ca="1" si="331"/>
        <v>3.3366284611329178E-3</v>
      </c>
      <c r="BG301" s="159">
        <f t="shared" ca="1" si="331"/>
        <v>3.2288217106277717E-3</v>
      </c>
      <c r="BH301" s="159">
        <f t="shared" ca="1" si="331"/>
        <v>3.3366284611329178E-3</v>
      </c>
      <c r="BI301" s="159">
        <f t="shared" ca="1" si="331"/>
        <v>3.2288217106277717E-3</v>
      </c>
      <c r="BJ301" s="159">
        <f t="shared" ca="1" si="331"/>
        <v>3.3366284611329178E-3</v>
      </c>
      <c r="BK301" s="159">
        <f t="shared" ca="1" si="331"/>
        <v>3.3274968392313919E-3</v>
      </c>
      <c r="BL301" s="159">
        <f t="shared" ca="1" si="331"/>
        <v>3.1124858919069354E-3</v>
      </c>
      <c r="BM301" s="159">
        <f t="shared" ca="1" si="331"/>
        <v>3.3274968392313919E-3</v>
      </c>
      <c r="BN301" s="159">
        <f t="shared" ca="1" si="331"/>
        <v>3.2199856054033749E-3</v>
      </c>
      <c r="BO301" s="159">
        <f t="shared" ca="1" si="331"/>
        <v>3.3274968392313919E-3</v>
      </c>
      <c r="BP301" s="159">
        <f t="shared" ca="1" si="331"/>
        <v>3.2199856054033749E-3</v>
      </c>
      <c r="BQ301" s="159">
        <f t="shared" ca="1" si="331"/>
        <v>3.3274968392313919E-3</v>
      </c>
      <c r="BR301" s="159">
        <f t="shared" ca="1" si="331"/>
        <v>3.3274968392313919E-3</v>
      </c>
      <c r="BS301" s="159">
        <f t="shared" ref="BS301:CK301" ca="1" si="332">(1+BS300)^(BS$26/BS$20)-1</f>
        <v>3.2199856054033749E-3</v>
      </c>
      <c r="BT301" s="159">
        <f t="shared" ca="1" si="332"/>
        <v>3.3274968392313919E-3</v>
      </c>
      <c r="BU301" s="159">
        <f t="shared" ca="1" si="332"/>
        <v>3.2199856054033749E-3</v>
      </c>
      <c r="BV301" s="159">
        <f t="shared" ca="1" si="332"/>
        <v>3.3274968392313919E-3</v>
      </c>
      <c r="BW301" s="159">
        <f t="shared" ca="1" si="332"/>
        <v>3.3366284611329178E-3</v>
      </c>
      <c r="BX301" s="159">
        <f t="shared" ca="1" si="332"/>
        <v>3.013242959308382E-3</v>
      </c>
      <c r="BY301" s="159">
        <f t="shared" ca="1" si="332"/>
        <v>3.3366284611329178E-3</v>
      </c>
      <c r="BZ301" s="159">
        <f t="shared" ca="1" si="332"/>
        <v>3.2288217106277717E-3</v>
      </c>
      <c r="CA301" s="159">
        <f t="shared" ca="1" si="332"/>
        <v>3.3366284611329178E-3</v>
      </c>
      <c r="CB301" s="159">
        <f t="shared" ca="1" si="332"/>
        <v>3.2288217106277717E-3</v>
      </c>
      <c r="CC301" s="159">
        <f t="shared" ca="1" si="332"/>
        <v>3.3366284611329178E-3</v>
      </c>
      <c r="CD301" s="159">
        <f t="shared" ca="1" si="332"/>
        <v>3.3366284611329178E-3</v>
      </c>
      <c r="CE301" s="159">
        <f t="shared" ca="1" si="332"/>
        <v>3.2288217106277717E-3</v>
      </c>
      <c r="CF301" s="159">
        <f t="shared" ca="1" si="332"/>
        <v>3.3366284611329178E-3</v>
      </c>
      <c r="CG301" s="159">
        <f t="shared" ca="1" si="332"/>
        <v>3.2288217106277717E-3</v>
      </c>
      <c r="CH301" s="159">
        <f t="shared" ca="1" si="332"/>
        <v>3.3366284611329178E-3</v>
      </c>
      <c r="CI301" s="159">
        <f t="shared" ca="1" si="332"/>
        <v>3.3366284611329178E-3</v>
      </c>
      <c r="CJ301" s="159">
        <f t="shared" ca="1" si="332"/>
        <v>3.013242959308382E-3</v>
      </c>
      <c r="CK301" s="159">
        <f t="shared" ca="1" si="332"/>
        <v>3.3366284611329178E-3</v>
      </c>
    </row>
    <row r="302" spans="2:89" ht="15.75" thickTop="1">
      <c r="B302" s="161" t="s">
        <v>41</v>
      </c>
      <c r="C302" s="162"/>
      <c r="D302" s="163"/>
      <c r="E302" s="164">
        <v>1</v>
      </c>
      <c r="F302" s="165">
        <f ca="1">E302*(1+F301)</f>
        <v>1</v>
      </c>
      <c r="G302" s="165">
        <f t="shared" ref="G302:AG302" ca="1" si="333">F302*(1+G301)</f>
        <v>1</v>
      </c>
      <c r="H302" s="165">
        <f t="shared" ca="1" si="333"/>
        <v>1</v>
      </c>
      <c r="I302" s="165">
        <f t="shared" ca="1" si="333"/>
        <v>1</v>
      </c>
      <c r="J302" s="165">
        <f t="shared" ca="1" si="333"/>
        <v>1</v>
      </c>
      <c r="K302" s="165">
        <f t="shared" ca="1" si="333"/>
        <v>1</v>
      </c>
      <c r="L302" s="165">
        <f t="shared" ca="1" si="333"/>
        <v>1</v>
      </c>
      <c r="M302" s="165">
        <f t="shared" ca="1" si="333"/>
        <v>1</v>
      </c>
      <c r="N302" s="165">
        <f t="shared" ca="1" si="333"/>
        <v>1</v>
      </c>
      <c r="O302" s="165">
        <f t="shared" ca="1" si="333"/>
        <v>1.0033274968392314</v>
      </c>
      <c r="P302" s="165">
        <f t="shared" ca="1" si="333"/>
        <v>1.0064503395181057</v>
      </c>
      <c r="Q302" s="165">
        <f t="shared" ca="1" si="333"/>
        <v>1.0097992998416956</v>
      </c>
      <c r="R302" s="165">
        <f t="shared" ca="1" si="333"/>
        <v>1.0130508390515323</v>
      </c>
      <c r="S302" s="165">
        <f t="shared" ca="1" si="333"/>
        <v>1.0164217625164569</v>
      </c>
      <c r="T302" s="165">
        <f t="shared" ca="1" si="333"/>
        <v>1.0196946259607786</v>
      </c>
      <c r="U302" s="165">
        <f t="shared" ca="1" si="333"/>
        <v>1.0230876566056444</v>
      </c>
      <c r="V302" s="165">
        <f t="shared" ca="1" si="333"/>
        <v>1.0264919775492563</v>
      </c>
      <c r="W302" s="165">
        <f t="shared" ca="1" si="333"/>
        <v>1.0297972669410269</v>
      </c>
      <c r="X302" s="165">
        <f t="shared" ca="1" si="333"/>
        <v>1.0332239140918222</v>
      </c>
      <c r="Y302" s="165">
        <f t="shared" ca="1" si="333"/>
        <v>1.0365508802223564</v>
      </c>
      <c r="Z302" s="165">
        <f t="shared" ca="1" si="333"/>
        <v>1.0399999999999989</v>
      </c>
      <c r="AA302" s="165">
        <f t="shared" ca="1" si="333"/>
        <v>1.0434700935995771</v>
      </c>
      <c r="AB302" s="165">
        <f t="shared" ca="1" si="333"/>
        <v>1.046614322512365</v>
      </c>
      <c r="AC302" s="165">
        <f t="shared" ca="1" si="333"/>
        <v>1.050106485648689</v>
      </c>
      <c r="AD302" s="165">
        <f t="shared" ca="1" si="333"/>
        <v>1.0534970922680225</v>
      </c>
      <c r="AE302" s="165">
        <f t="shared" ca="1" si="333"/>
        <v>1.0570122206498047</v>
      </c>
      <c r="AF302" s="165">
        <f t="shared" ca="1" si="333"/>
        <v>1.0604251246562377</v>
      </c>
      <c r="AG302" s="165">
        <f t="shared" ca="1" si="333"/>
        <v>1.0639633693080661</v>
      </c>
      <c r="AH302" s="165">
        <f t="shared" ref="AH302:BM302" ca="1" si="334">AG302*(1+AH301)</f>
        <v>1.0675134197677023</v>
      </c>
      <c r="AI302" s="165">
        <f t="shared" ca="1" si="334"/>
        <v>1.0709602302738348</v>
      </c>
      <c r="AJ302" s="165">
        <f t="shared" ca="1" si="334"/>
        <v>1.0745336266589078</v>
      </c>
      <c r="AK302" s="165">
        <f t="shared" ca="1" si="334"/>
        <v>1.0780031041614637</v>
      </c>
      <c r="AL302" s="165">
        <f t="shared" ca="1" si="334"/>
        <v>1.0815999999999986</v>
      </c>
      <c r="AM302" s="165">
        <f t="shared" ca="1" si="334"/>
        <v>1.0852088973435599</v>
      </c>
      <c r="AN302" s="165">
        <f t="shared" ca="1" si="334"/>
        <v>1.0884788954128592</v>
      </c>
      <c r="AO302" s="165">
        <f t="shared" ca="1" si="334"/>
        <v>1.0921107450746363</v>
      </c>
      <c r="AP302" s="165">
        <f t="shared" ca="1" si="334"/>
        <v>1.0956369759587432</v>
      </c>
      <c r="AQ302" s="165">
        <f t="shared" ca="1" si="334"/>
        <v>1.0992927094757967</v>
      </c>
      <c r="AR302" s="165">
        <f t="shared" ca="1" si="334"/>
        <v>1.1028421296424871</v>
      </c>
      <c r="AS302" s="165">
        <f t="shared" ca="1" si="334"/>
        <v>1.1065219040803886</v>
      </c>
      <c r="AT302" s="165">
        <f t="shared" ca="1" si="334"/>
        <v>1.1102139565584102</v>
      </c>
      <c r="AU302" s="165">
        <f t="shared" ca="1" si="334"/>
        <v>1.1137986394847879</v>
      </c>
      <c r="AV302" s="165">
        <f t="shared" ca="1" si="334"/>
        <v>1.1175149717252639</v>
      </c>
      <c r="AW302" s="165">
        <f t="shared" ca="1" si="334"/>
        <v>1.121123228327922</v>
      </c>
      <c r="AX302" s="165">
        <f t="shared" ca="1" si="334"/>
        <v>1.1248639999999981</v>
      </c>
      <c r="AY302" s="165">
        <f t="shared" ca="1" si="334"/>
        <v>1.128617253237302</v>
      </c>
      <c r="AZ302" s="165">
        <f t="shared" ca="1" si="334"/>
        <v>1.1320180512293732</v>
      </c>
      <c r="BA302" s="165">
        <f t="shared" ca="1" si="334"/>
        <v>1.1357951748776214</v>
      </c>
      <c r="BB302" s="165">
        <f t="shared" ca="1" si="334"/>
        <v>1.1394624549970924</v>
      </c>
      <c r="BC302" s="165">
        <f t="shared" ca="1" si="334"/>
        <v>1.1432644178548281</v>
      </c>
      <c r="BD302" s="165">
        <f t="shared" ca="1" si="334"/>
        <v>1.146955814828186</v>
      </c>
      <c r="BE302" s="165">
        <f t="shared" ca="1" si="334"/>
        <v>1.1507827802436037</v>
      </c>
      <c r="BF302" s="165">
        <f t="shared" ca="1" si="334"/>
        <v>1.1546225148207461</v>
      </c>
      <c r="BG302" s="165">
        <f t="shared" ca="1" si="334"/>
        <v>1.1583505850641789</v>
      </c>
      <c r="BH302" s="165">
        <f t="shared" ca="1" si="334"/>
        <v>1.1622155705942741</v>
      </c>
      <c r="BI302" s="165">
        <f t="shared" ca="1" si="334"/>
        <v>1.1659681574610385</v>
      </c>
      <c r="BJ302" s="165">
        <f t="shared" ca="1" si="334"/>
        <v>1.1698585599999978</v>
      </c>
      <c r="BK302" s="165">
        <f t="shared" ca="1" si="334"/>
        <v>1.1737512606607456</v>
      </c>
      <c r="BL302" s="165">
        <f t="shared" ca="1" si="334"/>
        <v>1.1774045449001602</v>
      </c>
      <c r="BM302" s="165">
        <f t="shared" ca="1" si="334"/>
        <v>1.1813223548018121</v>
      </c>
      <c r="BN302" s="165">
        <f t="shared" ref="BN302" ca="1" si="335">BM302*(1+BN301)</f>
        <v>1.1851261957796151</v>
      </c>
      <c r="BO302" s="165">
        <f t="shared" ref="BO302" ca="1" si="336">BN302*(1+BO301)</f>
        <v>1.1890696994501622</v>
      </c>
      <c r="BP302" s="165">
        <f t="shared" ref="BP302" ca="1" si="337">BO302*(1+BP301)</f>
        <v>1.1928984867662129</v>
      </c>
      <c r="BQ302" s="165">
        <f t="shared" ref="BQ302" ca="1" si="338">BP302*(1+BQ301)</f>
        <v>1.1968678527104515</v>
      </c>
      <c r="BR302" s="165">
        <f t="shared" ref="BR302" ca="1" si="339">BQ302*(1+BR301)</f>
        <v>1.2008504267073232</v>
      </c>
      <c r="BS302" s="165">
        <f t="shared" ref="BS302" ca="1" si="340">BR302*(1+BS301)</f>
        <v>1.2047171477955634</v>
      </c>
      <c r="BT302" s="165">
        <f t="shared" ref="BT302" ca="1" si="341">BS302*(1+BT301)</f>
        <v>1.2087258402970209</v>
      </c>
      <c r="BU302" s="165">
        <f t="shared" ref="BU302" ca="1" si="342">BT302*(1+BU301)</f>
        <v>1.2126179201036564</v>
      </c>
      <c r="BV302" s="165">
        <f t="shared" ref="BV302" ca="1" si="343">BU302*(1+BV301)</f>
        <v>1.2166529023999968</v>
      </c>
      <c r="BW302" s="165">
        <f t="shared" ref="BW302" ca="1" si="344">BV302*(1+BW301)</f>
        <v>1.2207124211014646</v>
      </c>
      <c r="BX302" s="165">
        <f t="shared" ref="BX302" ca="1" si="345">BW302*(1+BX301)</f>
        <v>1.224390724209689</v>
      </c>
      <c r="BY302" s="165">
        <f t="shared" ref="BY302" ca="1" si="346">BX302*(1+BY301)</f>
        <v>1.2284760611476342</v>
      </c>
      <c r="BZ302" s="165">
        <f t="shared" ref="BZ302" ca="1" si="347">BY302*(1+BZ301)</f>
        <v>1.2324425913248542</v>
      </c>
      <c r="CA302" s="165">
        <f t="shared" ref="CA302" ca="1" si="348">BZ302*(1+CA301)</f>
        <v>1.2365547943517812</v>
      </c>
      <c r="CB302" s="165">
        <f t="shared" ref="CB302" ca="1" si="349">CA302*(1+CB301)</f>
        <v>1.240547409318165</v>
      </c>
      <c r="CC302" s="165">
        <f t="shared" ref="CC302" ca="1" si="350">CB302*(1+CC301)</f>
        <v>1.2446866551114806</v>
      </c>
      <c r="CD302" s="165">
        <f t="shared" ref="CD302" ca="1" si="351">CC302*(1+CD301)</f>
        <v>1.2488397120301178</v>
      </c>
      <c r="CE302" s="165">
        <f t="shared" ref="CE302" ca="1" si="352">CD302*(1+CE301)</f>
        <v>1.2528719928054148</v>
      </c>
      <c r="CF302" s="165">
        <f t="shared" ref="CF302" ca="1" si="353">CE302*(1+CF301)</f>
        <v>1.2570523611547657</v>
      </c>
      <c r="CG302" s="165">
        <f t="shared" ref="CG302" ca="1" si="354">CF302*(1+CG301)</f>
        <v>1.261111159109858</v>
      </c>
      <c r="CH302" s="165">
        <f t="shared" ref="CH302" ca="1" si="355">CG302*(1+CH301)</f>
        <v>1.2653190184959964</v>
      </c>
      <c r="CI302" s="165">
        <f t="shared" ref="CI302" ca="1" si="356">CH302*(1+CI301)</f>
        <v>1.2695409179455228</v>
      </c>
      <c r="CJ302" s="165">
        <f t="shared" ref="CJ302" ca="1" si="357">CI302*(1+CJ301)</f>
        <v>1.2733663531780761</v>
      </c>
      <c r="CK302" s="165">
        <f t="shared" ref="CK302" ca="1" si="358">CJ302*(1+CK301)</f>
        <v>1.277615103593539</v>
      </c>
    </row>
    <row r="303" spans="2:89">
      <c r="B303" s="14"/>
      <c r="C303" s="14"/>
      <c r="D303" s="14"/>
      <c r="E303" s="1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  <c r="BI303" s="154"/>
      <c r="BJ303" s="154"/>
      <c r="BK303" s="154"/>
      <c r="BL303" s="154"/>
      <c r="BM303" s="15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</row>
    <row r="304" spans="2:89" ht="15.75" thickBot="1">
      <c r="B304" s="96" t="str">
        <f>"Ставка ЗП с учетом индексации, в "&amp;Ед_измерения_регулярных_платежей</f>
        <v>Ставка ЗП с учетом индексации, в  руб./мес.</v>
      </c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</row>
    <row r="305" spans="2:89">
      <c r="B305" s="14"/>
      <c r="C305" s="14"/>
      <c r="D305" s="14"/>
      <c r="E305" s="1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  <c r="BH305" s="154"/>
      <c r="BI305" s="154"/>
      <c r="BJ305" s="154"/>
      <c r="BK305" s="154"/>
      <c r="BL305" s="154"/>
      <c r="BM305" s="15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</row>
    <row r="306" spans="2:89">
      <c r="B306" s="45" t="str">
        <f t="array" ref="B306:B308">ФОТ_должности</f>
        <v>рабочие</v>
      </c>
      <c r="C306" s="118"/>
      <c r="D306" s="118"/>
      <c r="E306" s="118"/>
      <c r="F306" s="49">
        <f t="array" ref="F306:CK308" ca="1">F294:CK296*F302:CK302</f>
        <v>0</v>
      </c>
      <c r="G306" s="49">
        <f ca="1"/>
        <v>0</v>
      </c>
      <c r="H306" s="49">
        <f ca="1"/>
        <v>0</v>
      </c>
      <c r="I306" s="49">
        <f ca="1"/>
        <v>0</v>
      </c>
      <c r="J306" s="49">
        <f ca="1"/>
        <v>0</v>
      </c>
      <c r="K306" s="49">
        <f ca="1"/>
        <v>0</v>
      </c>
      <c r="L306" s="49">
        <f ca="1"/>
        <v>0</v>
      </c>
      <c r="M306" s="49">
        <f ca="1"/>
        <v>0</v>
      </c>
      <c r="N306" s="49">
        <f ca="1"/>
        <v>0</v>
      </c>
      <c r="O306" s="49">
        <f ca="1"/>
        <v>0</v>
      </c>
      <c r="P306" s="49">
        <f ca="1"/>
        <v>0</v>
      </c>
      <c r="Q306" s="49">
        <f ca="1"/>
        <v>0</v>
      </c>
      <c r="R306" s="49">
        <f ca="1"/>
        <v>40522.03356206129</v>
      </c>
      <c r="S306" s="49">
        <f ca="1"/>
        <v>40656.870500658275</v>
      </c>
      <c r="T306" s="49">
        <f ca="1"/>
        <v>40787.785038431146</v>
      </c>
      <c r="U306" s="49">
        <f ca="1"/>
        <v>40923.506264225776</v>
      </c>
      <c r="V306" s="49">
        <f ca="1"/>
        <v>41059.67910197025</v>
      </c>
      <c r="W306" s="49">
        <f ca="1"/>
        <v>41191.890677641073</v>
      </c>
      <c r="X306" s="49">
        <f ca="1"/>
        <v>41328.956563672888</v>
      </c>
      <c r="Y306" s="49">
        <f ca="1"/>
        <v>41462.03520889426</v>
      </c>
      <c r="Z306" s="49">
        <f ca="1"/>
        <v>41599.999999999956</v>
      </c>
      <c r="AA306" s="49">
        <f ca="1"/>
        <v>41738.80374398308</v>
      </c>
      <c r="AB306" s="49">
        <f ca="1"/>
        <v>41864.572900494597</v>
      </c>
      <c r="AC306" s="49">
        <f ca="1"/>
        <v>42004.259425947559</v>
      </c>
      <c r="AD306" s="49">
        <f ca="1"/>
        <v>42139.883690720897</v>
      </c>
      <c r="AE306" s="49">
        <f ca="1"/>
        <v>42280.488825992186</v>
      </c>
      <c r="AF306" s="49">
        <f ca="1"/>
        <v>42417.004986249507</v>
      </c>
      <c r="AG306" s="49">
        <f ca="1"/>
        <v>42558.534772322644</v>
      </c>
      <c r="AH306" s="49">
        <f ca="1"/>
        <v>42700.536790708094</v>
      </c>
      <c r="AI306" s="49">
        <f ca="1"/>
        <v>42838.409210953389</v>
      </c>
      <c r="AJ306" s="49">
        <f ca="1"/>
        <v>42981.345066356313</v>
      </c>
      <c r="AK306" s="49">
        <f ca="1"/>
        <v>43120.124166458547</v>
      </c>
      <c r="AL306" s="49">
        <f ca="1"/>
        <v>43263.999999999942</v>
      </c>
      <c r="AM306" s="49">
        <f ca="1"/>
        <v>43408.355893742395</v>
      </c>
      <c r="AN306" s="49">
        <f ca="1"/>
        <v>43539.155816514372</v>
      </c>
      <c r="AO306" s="49">
        <f ca="1"/>
        <v>43684.429802985454</v>
      </c>
      <c r="AP306" s="49">
        <f ca="1"/>
        <v>43825.479038349731</v>
      </c>
      <c r="AQ306" s="49">
        <f ca="1"/>
        <v>43971.708379031872</v>
      </c>
      <c r="AR306" s="49">
        <f ca="1"/>
        <v>44113.685185699484</v>
      </c>
      <c r="AS306" s="49">
        <f ca="1"/>
        <v>44260.876163215544</v>
      </c>
      <c r="AT306" s="49">
        <f ca="1"/>
        <v>44408.558262336403</v>
      </c>
      <c r="AU306" s="49">
        <f ca="1"/>
        <v>44551.945579391511</v>
      </c>
      <c r="AV306" s="49">
        <f ca="1"/>
        <v>44700.598869010559</v>
      </c>
      <c r="AW306" s="49">
        <f ca="1"/>
        <v>44844.929133116879</v>
      </c>
      <c r="AX306" s="49">
        <f ca="1"/>
        <v>44994.559999999925</v>
      </c>
      <c r="AY306" s="49">
        <f ca="1"/>
        <v>45144.690129492083</v>
      </c>
      <c r="AZ306" s="49">
        <f ca="1"/>
        <v>45280.722049174925</v>
      </c>
      <c r="BA306" s="49">
        <f ca="1"/>
        <v>45431.806995104853</v>
      </c>
      <c r="BB306" s="49">
        <f ca="1"/>
        <v>45578.498199883696</v>
      </c>
      <c r="BC306" s="49">
        <f ca="1"/>
        <v>45730.576714193128</v>
      </c>
      <c r="BD306" s="49">
        <f ca="1"/>
        <v>45878.232593127439</v>
      </c>
      <c r="BE306" s="49">
        <f ca="1"/>
        <v>46031.311209744148</v>
      </c>
      <c r="BF306" s="49">
        <f ca="1"/>
        <v>46184.900592829843</v>
      </c>
      <c r="BG306" s="49">
        <f ca="1"/>
        <v>46334.023402567153</v>
      </c>
      <c r="BH306" s="49">
        <f ca="1"/>
        <v>46488.622823770966</v>
      </c>
      <c r="BI306" s="49">
        <f ca="1"/>
        <v>46638.726298441543</v>
      </c>
      <c r="BJ306" s="49">
        <f ca="1"/>
        <v>46794.342399999914</v>
      </c>
      <c r="BK306" s="49">
        <f ca="1"/>
        <v>46950.050426429829</v>
      </c>
      <c r="BL306" s="49">
        <f ca="1"/>
        <v>47096.181796006407</v>
      </c>
      <c r="BM306" s="49">
        <f ca="1"/>
        <v>47252.894192072483</v>
      </c>
      <c r="BN306" s="49">
        <f ca="1"/>
        <v>47405.047831184602</v>
      </c>
      <c r="BO306" s="49">
        <f ca="1"/>
        <v>47562.787978006483</v>
      </c>
      <c r="BP306" s="49">
        <f ca="1"/>
        <v>47715.939470648518</v>
      </c>
      <c r="BQ306" s="49">
        <f ca="1"/>
        <v>47874.714108418062</v>
      </c>
      <c r="BR306" s="49">
        <f ca="1"/>
        <v>48034.017068292931</v>
      </c>
      <c r="BS306" s="49">
        <f ca="1"/>
        <v>48188.685911822533</v>
      </c>
      <c r="BT306" s="49">
        <f ca="1"/>
        <v>48349.033611880834</v>
      </c>
      <c r="BU306" s="49">
        <f ca="1"/>
        <v>48504.716804146257</v>
      </c>
      <c r="BV306" s="49">
        <f ca="1"/>
        <v>48666.116095999874</v>
      </c>
      <c r="BW306" s="49">
        <f ca="1"/>
        <v>48828.496844058587</v>
      </c>
      <c r="BX306" s="49">
        <f ca="1"/>
        <v>48975.628968387558</v>
      </c>
      <c r="BY306" s="49">
        <f ca="1"/>
        <v>49139.042445905368</v>
      </c>
      <c r="BZ306" s="49">
        <f ca="1"/>
        <v>49297.703652994169</v>
      </c>
      <c r="CA306" s="49">
        <f ca="1"/>
        <v>49462.191774071245</v>
      </c>
      <c r="CB306" s="49">
        <f ca="1"/>
        <v>49621.896372726602</v>
      </c>
      <c r="CC306" s="49">
        <f ca="1"/>
        <v>49787.466204459226</v>
      </c>
      <c r="CD306" s="49">
        <f ca="1"/>
        <v>49953.588481204708</v>
      </c>
      <c r="CE306" s="49">
        <f ca="1"/>
        <v>50114.879712216592</v>
      </c>
      <c r="CF306" s="49">
        <f ca="1"/>
        <v>50282.094446190626</v>
      </c>
      <c r="CG306" s="49">
        <f ca="1"/>
        <v>50444.446364394324</v>
      </c>
      <c r="CH306" s="49">
        <f ca="1"/>
        <v>50612.760739839854</v>
      </c>
      <c r="CI306" s="49">
        <f ca="1"/>
        <v>50781.636717820911</v>
      </c>
      <c r="CJ306" s="49">
        <f ca="1"/>
        <v>50934.654127123045</v>
      </c>
      <c r="CK306" s="49">
        <f ca="1"/>
        <v>51104.604143741562</v>
      </c>
    </row>
    <row r="307" spans="2:89">
      <c r="B307" s="86" t="str">
        <v xml:space="preserve">руководители </v>
      </c>
      <c r="C307" s="118"/>
      <c r="D307" s="118"/>
      <c r="E307" s="118"/>
      <c r="F307" s="176">
        <f ca="1"/>
        <v>0</v>
      </c>
      <c r="G307" s="176">
        <f ca="1"/>
        <v>0</v>
      </c>
      <c r="H307" s="176">
        <f ca="1"/>
        <v>0</v>
      </c>
      <c r="I307" s="176">
        <f ca="1"/>
        <v>0</v>
      </c>
      <c r="J307" s="176">
        <f ca="1"/>
        <v>0</v>
      </c>
      <c r="K307" s="176">
        <f ca="1"/>
        <v>0</v>
      </c>
      <c r="L307" s="176">
        <f ca="1"/>
        <v>0</v>
      </c>
      <c r="M307" s="176">
        <f ca="1"/>
        <v>0</v>
      </c>
      <c r="N307" s="176">
        <f ca="1"/>
        <v>0</v>
      </c>
      <c r="O307" s="176">
        <f ca="1"/>
        <v>0</v>
      </c>
      <c r="P307" s="176">
        <f ca="1"/>
        <v>0</v>
      </c>
      <c r="Q307" s="176">
        <f ca="1"/>
        <v>0</v>
      </c>
      <c r="R307" s="176">
        <f ca="1"/>
        <v>121566.10068618387</v>
      </c>
      <c r="S307" s="176">
        <f ca="1"/>
        <v>121970.61150197482</v>
      </c>
      <c r="T307" s="176">
        <f ca="1"/>
        <v>122363.35511529344</v>
      </c>
      <c r="U307" s="176">
        <f ca="1"/>
        <v>122770.51879267732</v>
      </c>
      <c r="V307" s="176">
        <f ca="1"/>
        <v>123179.03730591075</v>
      </c>
      <c r="W307" s="176">
        <f ca="1"/>
        <v>123575.67203292323</v>
      </c>
      <c r="X307" s="176">
        <f ca="1"/>
        <v>123986.86969101867</v>
      </c>
      <c r="Y307" s="176">
        <f ca="1"/>
        <v>124386.10562668277</v>
      </c>
      <c r="Z307" s="176">
        <f ca="1"/>
        <v>124799.99999999987</v>
      </c>
      <c r="AA307" s="176">
        <f ca="1"/>
        <v>125216.41123194926</v>
      </c>
      <c r="AB307" s="176">
        <f ca="1"/>
        <v>125593.7187014838</v>
      </c>
      <c r="AC307" s="176">
        <f ca="1"/>
        <v>126012.77827784268</v>
      </c>
      <c r="AD307" s="176">
        <f ca="1"/>
        <v>126419.6510721627</v>
      </c>
      <c r="AE307" s="176">
        <f ca="1"/>
        <v>126841.46647797656</v>
      </c>
      <c r="AF307" s="176">
        <f ca="1"/>
        <v>127251.01495874852</v>
      </c>
      <c r="AG307" s="176">
        <f ca="1"/>
        <v>127675.60431696793</v>
      </c>
      <c r="AH307" s="176">
        <f ca="1"/>
        <v>128101.61037212428</v>
      </c>
      <c r="AI307" s="176">
        <f ca="1"/>
        <v>128515.22763286017</v>
      </c>
      <c r="AJ307" s="176">
        <f ca="1"/>
        <v>128944.03519906894</v>
      </c>
      <c r="AK307" s="176">
        <f ca="1"/>
        <v>129360.37249937565</v>
      </c>
      <c r="AL307" s="176">
        <f ca="1"/>
        <v>129791.99999999983</v>
      </c>
      <c r="AM307" s="176">
        <f ca="1"/>
        <v>130225.06768122718</v>
      </c>
      <c r="AN307" s="176">
        <f ca="1"/>
        <v>130617.46744954311</v>
      </c>
      <c r="AO307" s="176">
        <f ca="1"/>
        <v>131053.28940895636</v>
      </c>
      <c r="AP307" s="176">
        <f ca="1"/>
        <v>131476.43711504919</v>
      </c>
      <c r="AQ307" s="176">
        <f ca="1"/>
        <v>131915.1251370956</v>
      </c>
      <c r="AR307" s="176">
        <f ca="1"/>
        <v>132341.05555709844</v>
      </c>
      <c r="AS307" s="176">
        <f ca="1"/>
        <v>132782.62848964662</v>
      </c>
      <c r="AT307" s="176">
        <f ca="1"/>
        <v>133225.67478700922</v>
      </c>
      <c r="AU307" s="176">
        <f ca="1"/>
        <v>133655.83673817455</v>
      </c>
      <c r="AV307" s="176">
        <f ca="1"/>
        <v>134101.79660703166</v>
      </c>
      <c r="AW307" s="176">
        <f ca="1"/>
        <v>134534.78739935064</v>
      </c>
      <c r="AX307" s="176">
        <f ca="1"/>
        <v>134983.67999999976</v>
      </c>
      <c r="AY307" s="176">
        <f ca="1"/>
        <v>135434.07038847625</v>
      </c>
      <c r="AZ307" s="176">
        <f ca="1"/>
        <v>135842.16614752478</v>
      </c>
      <c r="BA307" s="176">
        <f ca="1"/>
        <v>136295.42098531456</v>
      </c>
      <c r="BB307" s="176">
        <f ca="1"/>
        <v>136735.49459965108</v>
      </c>
      <c r="BC307" s="176">
        <f ca="1"/>
        <v>137191.73014257938</v>
      </c>
      <c r="BD307" s="176">
        <f ca="1"/>
        <v>137634.69777938232</v>
      </c>
      <c r="BE307" s="176">
        <f ca="1"/>
        <v>138093.93362923243</v>
      </c>
      <c r="BF307" s="176">
        <f ca="1"/>
        <v>138554.70177848951</v>
      </c>
      <c r="BG307" s="176">
        <f ca="1"/>
        <v>139002.07020770147</v>
      </c>
      <c r="BH307" s="176">
        <f ca="1"/>
        <v>139465.86847131289</v>
      </c>
      <c r="BI307" s="176">
        <f ca="1"/>
        <v>139916.17889532461</v>
      </c>
      <c r="BJ307" s="176">
        <f ca="1"/>
        <v>140383.02719999972</v>
      </c>
      <c r="BK307" s="176">
        <f ca="1"/>
        <v>140850.15127928948</v>
      </c>
      <c r="BL307" s="176">
        <f ca="1"/>
        <v>141288.54538801924</v>
      </c>
      <c r="BM307" s="176">
        <f ca="1"/>
        <v>141758.68257621746</v>
      </c>
      <c r="BN307" s="176">
        <f ca="1"/>
        <v>142215.1434935538</v>
      </c>
      <c r="BO307" s="176">
        <f ca="1"/>
        <v>142688.36393401946</v>
      </c>
      <c r="BP307" s="176">
        <f ca="1"/>
        <v>143147.81841194554</v>
      </c>
      <c r="BQ307" s="176">
        <f ca="1"/>
        <v>143624.14232525419</v>
      </c>
      <c r="BR307" s="176">
        <f ca="1"/>
        <v>144102.05120487878</v>
      </c>
      <c r="BS307" s="176">
        <f ca="1"/>
        <v>144566.05773546759</v>
      </c>
      <c r="BT307" s="176">
        <f ca="1"/>
        <v>145047.10083564252</v>
      </c>
      <c r="BU307" s="176">
        <f ca="1"/>
        <v>145514.15041243876</v>
      </c>
      <c r="BV307" s="176">
        <f ca="1"/>
        <v>145998.3482879996</v>
      </c>
      <c r="BW307" s="176">
        <f ca="1"/>
        <v>146485.49053217575</v>
      </c>
      <c r="BX307" s="176">
        <f ca="1"/>
        <v>146926.88690516268</v>
      </c>
      <c r="BY307" s="176">
        <f ca="1"/>
        <v>147417.12733771611</v>
      </c>
      <c r="BZ307" s="176">
        <f ca="1"/>
        <v>147893.11095898252</v>
      </c>
      <c r="CA307" s="176">
        <f ca="1"/>
        <v>148386.57532221373</v>
      </c>
      <c r="CB307" s="176">
        <f ca="1"/>
        <v>148865.68911817978</v>
      </c>
      <c r="CC307" s="176">
        <f ca="1"/>
        <v>149362.39861337768</v>
      </c>
      <c r="CD307" s="176">
        <f ca="1"/>
        <v>149860.76544361413</v>
      </c>
      <c r="CE307" s="176">
        <f ca="1"/>
        <v>150344.63913664978</v>
      </c>
      <c r="CF307" s="176">
        <f ca="1"/>
        <v>150846.2833385719</v>
      </c>
      <c r="CG307" s="176">
        <f ca="1"/>
        <v>151333.33909318296</v>
      </c>
      <c r="CH307" s="176">
        <f ca="1"/>
        <v>151838.28221951958</v>
      </c>
      <c r="CI307" s="176">
        <f ca="1"/>
        <v>152344.91015346273</v>
      </c>
      <c r="CJ307" s="176">
        <f ca="1"/>
        <v>152803.96238136914</v>
      </c>
      <c r="CK307" s="176">
        <f ca="1"/>
        <v>153313.81243122468</v>
      </c>
    </row>
    <row r="308" spans="2:89">
      <c r="B308" s="128" t="str">
        <v>специалисты и другие служащие</v>
      </c>
      <c r="C308" s="124"/>
      <c r="D308" s="124"/>
      <c r="E308" s="124"/>
      <c r="F308" s="185">
        <f ca="1"/>
        <v>0</v>
      </c>
      <c r="G308" s="185">
        <f ca="1"/>
        <v>0</v>
      </c>
      <c r="H308" s="185">
        <f ca="1"/>
        <v>0</v>
      </c>
      <c r="I308" s="185">
        <f ca="1"/>
        <v>0</v>
      </c>
      <c r="J308" s="185">
        <f ca="1"/>
        <v>0</v>
      </c>
      <c r="K308" s="185">
        <f ca="1"/>
        <v>0</v>
      </c>
      <c r="L308" s="185">
        <f ca="1"/>
        <v>0</v>
      </c>
      <c r="M308" s="185">
        <f ca="1"/>
        <v>0</v>
      </c>
      <c r="N308" s="185">
        <f ca="1"/>
        <v>0</v>
      </c>
      <c r="O308" s="185">
        <f ca="1"/>
        <v>0</v>
      </c>
      <c r="P308" s="185">
        <f ca="1"/>
        <v>0</v>
      </c>
      <c r="Q308" s="185">
        <f ca="1"/>
        <v>0</v>
      </c>
      <c r="R308" s="185">
        <f ca="1"/>
        <v>60783.050343091934</v>
      </c>
      <c r="S308" s="185">
        <f ca="1"/>
        <v>60985.305750987412</v>
      </c>
      <c r="T308" s="185">
        <f ca="1"/>
        <v>61181.677557646719</v>
      </c>
      <c r="U308" s="185">
        <f ca="1"/>
        <v>61385.259396338661</v>
      </c>
      <c r="V308" s="185">
        <f ca="1"/>
        <v>61589.518652955376</v>
      </c>
      <c r="W308" s="185">
        <f ca="1"/>
        <v>61787.836016461617</v>
      </c>
      <c r="X308" s="185">
        <f ca="1"/>
        <v>61993.434845509335</v>
      </c>
      <c r="Y308" s="185">
        <f ca="1"/>
        <v>62193.052813341383</v>
      </c>
      <c r="Z308" s="185">
        <f ca="1"/>
        <v>62399.999999999935</v>
      </c>
      <c r="AA308" s="185">
        <f ca="1"/>
        <v>62608.205615974628</v>
      </c>
      <c r="AB308" s="185">
        <f ca="1"/>
        <v>62796.859350741899</v>
      </c>
      <c r="AC308" s="185">
        <f ca="1"/>
        <v>63006.389138921339</v>
      </c>
      <c r="AD308" s="185">
        <f ca="1"/>
        <v>63209.825536081349</v>
      </c>
      <c r="AE308" s="185">
        <f ca="1"/>
        <v>63420.733238988279</v>
      </c>
      <c r="AF308" s="185">
        <f ca="1"/>
        <v>63625.507479374261</v>
      </c>
      <c r="AG308" s="185">
        <f ca="1"/>
        <v>63837.802158483966</v>
      </c>
      <c r="AH308" s="185">
        <f ca="1"/>
        <v>64050.805186062142</v>
      </c>
      <c r="AI308" s="185">
        <f ca="1"/>
        <v>64257.613816430086</v>
      </c>
      <c r="AJ308" s="185">
        <f ca="1"/>
        <v>64472.017599534469</v>
      </c>
      <c r="AK308" s="185">
        <f ca="1"/>
        <v>64680.186249687824</v>
      </c>
      <c r="AL308" s="185">
        <f ca="1"/>
        <v>64895.999999999913</v>
      </c>
      <c r="AM308" s="185">
        <f ca="1"/>
        <v>65112.533840613592</v>
      </c>
      <c r="AN308" s="185">
        <f ca="1"/>
        <v>65308.733724771555</v>
      </c>
      <c r="AO308" s="185">
        <f ca="1"/>
        <v>65526.644704478182</v>
      </c>
      <c r="AP308" s="185">
        <f ca="1"/>
        <v>65738.218557524597</v>
      </c>
      <c r="AQ308" s="185">
        <f ca="1"/>
        <v>65957.562568547801</v>
      </c>
      <c r="AR308" s="185">
        <f ca="1"/>
        <v>66170.527778549222</v>
      </c>
      <c r="AS308" s="185">
        <f ca="1"/>
        <v>66391.314244823312</v>
      </c>
      <c r="AT308" s="185">
        <f ca="1"/>
        <v>66612.837393504611</v>
      </c>
      <c r="AU308" s="185">
        <f ca="1"/>
        <v>66827.918369087274</v>
      </c>
      <c r="AV308" s="185">
        <f ca="1"/>
        <v>67050.898303515831</v>
      </c>
      <c r="AW308" s="185">
        <f ca="1"/>
        <v>67267.393699675318</v>
      </c>
      <c r="AX308" s="185">
        <f ca="1"/>
        <v>67491.83999999988</v>
      </c>
      <c r="AY308" s="185">
        <f ca="1"/>
        <v>67717.035194238124</v>
      </c>
      <c r="AZ308" s="185">
        <f ca="1"/>
        <v>67921.083073762391</v>
      </c>
      <c r="BA308" s="185">
        <f ca="1"/>
        <v>68147.710492657279</v>
      </c>
      <c r="BB308" s="185">
        <f ca="1"/>
        <v>68367.74729982554</v>
      </c>
      <c r="BC308" s="185">
        <f ca="1"/>
        <v>68595.865071289692</v>
      </c>
      <c r="BD308" s="185">
        <f ca="1"/>
        <v>68817.348889691159</v>
      </c>
      <c r="BE308" s="185">
        <f ca="1"/>
        <v>69046.966814616215</v>
      </c>
      <c r="BF308" s="185">
        <f ca="1"/>
        <v>69277.350889244757</v>
      </c>
      <c r="BG308" s="185">
        <f ca="1"/>
        <v>69501.035103850736</v>
      </c>
      <c r="BH308" s="185">
        <f ca="1"/>
        <v>69732.934235656445</v>
      </c>
      <c r="BI308" s="185">
        <f ca="1"/>
        <v>69958.089447662307</v>
      </c>
      <c r="BJ308" s="185">
        <f ca="1"/>
        <v>70191.51359999986</v>
      </c>
      <c r="BK308" s="185">
        <f ca="1"/>
        <v>70425.07563964474</v>
      </c>
      <c r="BL308" s="185">
        <f ca="1"/>
        <v>70644.272694009618</v>
      </c>
      <c r="BM308" s="185">
        <f ca="1"/>
        <v>70879.341288108728</v>
      </c>
      <c r="BN308" s="185">
        <f ca="1"/>
        <v>71107.571746776899</v>
      </c>
      <c r="BO308" s="185">
        <f ca="1"/>
        <v>71344.181967009732</v>
      </c>
      <c r="BP308" s="185">
        <f ca="1"/>
        <v>71573.90920597277</v>
      </c>
      <c r="BQ308" s="185">
        <f ca="1"/>
        <v>71812.071162627093</v>
      </c>
      <c r="BR308" s="185">
        <f ca="1"/>
        <v>72051.025602439389</v>
      </c>
      <c r="BS308" s="185">
        <f ca="1"/>
        <v>72283.028867733796</v>
      </c>
      <c r="BT308" s="185">
        <f ca="1"/>
        <v>72523.550417821258</v>
      </c>
      <c r="BU308" s="185">
        <f ca="1"/>
        <v>72757.075206219379</v>
      </c>
      <c r="BV308" s="185">
        <f ca="1"/>
        <v>72999.1741439998</v>
      </c>
      <c r="BW308" s="185">
        <f ca="1"/>
        <v>73242.745266087877</v>
      </c>
      <c r="BX308" s="185">
        <f ca="1"/>
        <v>73463.443452581341</v>
      </c>
      <c r="BY308" s="185">
        <f ca="1"/>
        <v>73708.563668858056</v>
      </c>
      <c r="BZ308" s="185">
        <f ca="1"/>
        <v>73946.55547949126</v>
      </c>
      <c r="CA308" s="185">
        <f ca="1"/>
        <v>74193.287661106864</v>
      </c>
      <c r="CB308" s="185">
        <f ca="1"/>
        <v>74432.844559089892</v>
      </c>
      <c r="CC308" s="185">
        <f ca="1"/>
        <v>74681.199306688839</v>
      </c>
      <c r="CD308" s="185">
        <f ca="1"/>
        <v>74930.382721807066</v>
      </c>
      <c r="CE308" s="185">
        <f ca="1"/>
        <v>75172.319568324892</v>
      </c>
      <c r="CF308" s="185">
        <f ca="1"/>
        <v>75423.141669285949</v>
      </c>
      <c r="CG308" s="185">
        <f ca="1"/>
        <v>75666.669546591482</v>
      </c>
      <c r="CH308" s="185">
        <f ca="1"/>
        <v>75919.141109759788</v>
      </c>
      <c r="CI308" s="185">
        <f ca="1"/>
        <v>76172.455076731363</v>
      </c>
      <c r="CJ308" s="185">
        <f ca="1"/>
        <v>76401.981190684572</v>
      </c>
      <c r="CK308" s="185">
        <f ca="1"/>
        <v>76656.90621561234</v>
      </c>
    </row>
    <row r="309" spans="2:89">
      <c r="B309" s="14"/>
      <c r="C309" s="14"/>
      <c r="D309" s="14"/>
      <c r="E309" s="1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/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  <c r="BI309" s="154"/>
      <c r="BJ309" s="154"/>
      <c r="BK309" s="154"/>
      <c r="BL309" s="154"/>
      <c r="BM309" s="15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</row>
    <row r="310" spans="2:89" ht="15.75" thickBot="1">
      <c r="B310" s="96" t="str">
        <f>"Начисленная ЗП с учетом индексации, в "&amp;Ед_измерения_регулярных_платежей</f>
        <v>Начисленная ЗП с учетом индексации, в  руб./мес.</v>
      </c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</row>
    <row r="311" spans="2:89">
      <c r="B311" s="14"/>
      <c r="C311" s="14"/>
      <c r="D311" s="14"/>
      <c r="E311" s="1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  <c r="BI311" s="154"/>
      <c r="BJ311" s="154"/>
      <c r="BK311" s="154"/>
      <c r="BL311" s="154"/>
      <c r="BM311" s="15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</row>
    <row r="312" spans="2:89">
      <c r="B312" s="45" t="str">
        <f t="array" ref="B312:B314">ФОТ_должности</f>
        <v>рабочие</v>
      </c>
      <c r="C312" s="46"/>
      <c r="D312" s="47">
        <f ca="1">SUM(F312:CK312)</f>
        <v>631820366.10291207</v>
      </c>
      <c r="E312" s="48"/>
      <c r="F312" s="49">
        <f t="array" ref="F312:CK314" ca="1">F306:CK308*F287:CK289</f>
        <v>0</v>
      </c>
      <c r="G312" s="49">
        <f ca="1"/>
        <v>0</v>
      </c>
      <c r="H312" s="49">
        <f ca="1"/>
        <v>0</v>
      </c>
      <c r="I312" s="49">
        <f ca="1"/>
        <v>0</v>
      </c>
      <c r="J312" s="49">
        <f ca="1"/>
        <v>0</v>
      </c>
      <c r="K312" s="49">
        <f ca="1"/>
        <v>0</v>
      </c>
      <c r="L312" s="49">
        <f ca="1"/>
        <v>0</v>
      </c>
      <c r="M312" s="49">
        <f ca="1"/>
        <v>0</v>
      </c>
      <c r="N312" s="49">
        <f ca="1"/>
        <v>0</v>
      </c>
      <c r="O312" s="49">
        <f ca="1"/>
        <v>0</v>
      </c>
      <c r="P312" s="49">
        <f ca="1"/>
        <v>0</v>
      </c>
      <c r="Q312" s="49">
        <f ca="1"/>
        <v>0</v>
      </c>
      <c r="R312" s="49">
        <f ca="1"/>
        <v>6969789.7726745419</v>
      </c>
      <c r="S312" s="49">
        <f ca="1"/>
        <v>6992981.7261132235</v>
      </c>
      <c r="T312" s="49">
        <f ca="1"/>
        <v>7015499.0266101575</v>
      </c>
      <c r="U312" s="49">
        <f ca="1"/>
        <v>7038843.0774468333</v>
      </c>
      <c r="V312" s="49">
        <f ca="1"/>
        <v>7062264.8055388834</v>
      </c>
      <c r="W312" s="49">
        <f ca="1"/>
        <v>7085005.196554265</v>
      </c>
      <c r="X312" s="49">
        <f ca="1"/>
        <v>7108580.5289517371</v>
      </c>
      <c r="Y312" s="49">
        <f ca="1"/>
        <v>7131470.0559298126</v>
      </c>
      <c r="Z312" s="49">
        <f ca="1"/>
        <v>7155199.9999999925</v>
      </c>
      <c r="AA312" s="49">
        <f ca="1"/>
        <v>7179074.2439650903</v>
      </c>
      <c r="AB312" s="49">
        <f ca="1"/>
        <v>7200706.5388850709</v>
      </c>
      <c r="AC312" s="49">
        <f ca="1"/>
        <v>7224732.6212629806</v>
      </c>
      <c r="AD312" s="49">
        <f ca="1"/>
        <v>8259417.2033812962</v>
      </c>
      <c r="AE312" s="49">
        <f ca="1"/>
        <v>8286975.8098944686</v>
      </c>
      <c r="AF312" s="49">
        <f ca="1"/>
        <v>8313732.9773049038</v>
      </c>
      <c r="AG312" s="49">
        <f ca="1"/>
        <v>8341472.8153752387</v>
      </c>
      <c r="AH312" s="49">
        <f ca="1"/>
        <v>8369305.2109787865</v>
      </c>
      <c r="AI312" s="49">
        <f ca="1"/>
        <v>8396328.2053468637</v>
      </c>
      <c r="AJ312" s="49">
        <f ca="1"/>
        <v>8424343.633005837</v>
      </c>
      <c r="AK312" s="49">
        <f ca="1"/>
        <v>8451544.3366258759</v>
      </c>
      <c r="AL312" s="49">
        <f ca="1"/>
        <v>8479743.9999999888</v>
      </c>
      <c r="AM312" s="49">
        <f ca="1"/>
        <v>8508037.7551735099</v>
      </c>
      <c r="AN312" s="49">
        <f ca="1"/>
        <v>8533674.5400368161</v>
      </c>
      <c r="AO312" s="49">
        <f ca="1"/>
        <v>8562148.2413851488</v>
      </c>
      <c r="AP312" s="49">
        <f ca="1"/>
        <v>8589793.8915165477</v>
      </c>
      <c r="AQ312" s="49">
        <f ca="1"/>
        <v>8618454.8422902469</v>
      </c>
      <c r="AR312" s="49">
        <f ca="1"/>
        <v>8646282.2963970993</v>
      </c>
      <c r="AS312" s="49">
        <f ca="1"/>
        <v>8675131.7279902473</v>
      </c>
      <c r="AT312" s="49">
        <f ca="1"/>
        <v>8704077.4194179345</v>
      </c>
      <c r="AU312" s="49">
        <f ca="1"/>
        <v>8732181.3335607368</v>
      </c>
      <c r="AV312" s="49">
        <f ca="1"/>
        <v>8761317.3783260696</v>
      </c>
      <c r="AW312" s="49">
        <f ca="1"/>
        <v>8789606.1100909077</v>
      </c>
      <c r="AX312" s="49">
        <f ca="1"/>
        <v>8818933.7599999849</v>
      </c>
      <c r="AY312" s="49">
        <f ca="1"/>
        <v>8848359.2653804477</v>
      </c>
      <c r="AZ312" s="49">
        <f ca="1"/>
        <v>8875021.5216382854</v>
      </c>
      <c r="BA312" s="49">
        <f ca="1"/>
        <v>8904634.1710405517</v>
      </c>
      <c r="BB312" s="49">
        <f ca="1"/>
        <v>8933385.6471772045</v>
      </c>
      <c r="BC312" s="49">
        <f ca="1"/>
        <v>8963193.0359818526</v>
      </c>
      <c r="BD312" s="49">
        <f ca="1"/>
        <v>8992133.5882529784</v>
      </c>
      <c r="BE312" s="49">
        <f ca="1"/>
        <v>9022136.9971098527</v>
      </c>
      <c r="BF312" s="49">
        <f ca="1"/>
        <v>9052240.516194649</v>
      </c>
      <c r="BG312" s="49">
        <f ca="1"/>
        <v>9081468.5869031623</v>
      </c>
      <c r="BH312" s="49">
        <f ca="1"/>
        <v>9111770.0734591093</v>
      </c>
      <c r="BI312" s="49">
        <f ca="1"/>
        <v>9141190.3544945419</v>
      </c>
      <c r="BJ312" s="49">
        <f ca="1"/>
        <v>9171691.1103999838</v>
      </c>
      <c r="BK312" s="49">
        <f ca="1"/>
        <v>9202209.8835802469</v>
      </c>
      <c r="BL312" s="49">
        <f ca="1"/>
        <v>9230851.6320172567</v>
      </c>
      <c r="BM312" s="49">
        <f ca="1"/>
        <v>9261567.2616462074</v>
      </c>
      <c r="BN312" s="49">
        <f ca="1"/>
        <v>9291389.3749121819</v>
      </c>
      <c r="BO312" s="49">
        <f ca="1"/>
        <v>9322306.4436892699</v>
      </c>
      <c r="BP312" s="49">
        <f ca="1"/>
        <v>9352324.1362471096</v>
      </c>
      <c r="BQ312" s="49">
        <f ca="1"/>
        <v>9383443.9652499408</v>
      </c>
      <c r="BR312" s="49">
        <f ca="1"/>
        <v>9414667.3453854136</v>
      </c>
      <c r="BS312" s="49">
        <f ca="1"/>
        <v>9444982.4387172163</v>
      </c>
      <c r="BT312" s="49">
        <f ca="1"/>
        <v>9476410.5879286435</v>
      </c>
      <c r="BU312" s="49">
        <f ca="1"/>
        <v>9506924.4936126657</v>
      </c>
      <c r="BV312" s="49">
        <f ca="1"/>
        <v>9538558.7548159752</v>
      </c>
      <c r="BW312" s="49">
        <f ca="1"/>
        <v>9570385.3814354837</v>
      </c>
      <c r="BX312" s="49">
        <f ca="1"/>
        <v>9599223.2778039612</v>
      </c>
      <c r="BY312" s="49">
        <f ca="1"/>
        <v>9631252.3193974514</v>
      </c>
      <c r="BZ312" s="49">
        <f ca="1"/>
        <v>9662349.9159868564</v>
      </c>
      <c r="CA312" s="49">
        <f ca="1"/>
        <v>9694589.5877179634</v>
      </c>
      <c r="CB312" s="49">
        <f ca="1"/>
        <v>9725891.6890544146</v>
      </c>
      <c r="CC312" s="49">
        <f ca="1"/>
        <v>9758343.3760740086</v>
      </c>
      <c r="CD312" s="49">
        <f ca="1"/>
        <v>9790903.3423161227</v>
      </c>
      <c r="CE312" s="49">
        <f ca="1"/>
        <v>9822516.4235944524</v>
      </c>
      <c r="CF312" s="49">
        <f ca="1"/>
        <v>9855290.5114533622</v>
      </c>
      <c r="CG312" s="49">
        <f ca="1"/>
        <v>9887111.4874212872</v>
      </c>
      <c r="CH312" s="49">
        <f ca="1"/>
        <v>9920101.1050086115</v>
      </c>
      <c r="CI312" s="49">
        <f ca="1"/>
        <v>9953200.7966928985</v>
      </c>
      <c r="CJ312" s="49">
        <f ca="1"/>
        <v>9983192.2089161165</v>
      </c>
      <c r="CK312" s="49">
        <f ca="1"/>
        <v>10016502.412173346</v>
      </c>
    </row>
    <row r="313" spans="2:89">
      <c r="B313" s="86" t="str">
        <v xml:space="preserve">руководители </v>
      </c>
      <c r="C313" s="46"/>
      <c r="D313" s="47">
        <f t="shared" ref="D313:D314" ca="1" si="359">SUM(F313:CK313)</f>
        <v>122142221.84460504</v>
      </c>
      <c r="E313" s="48"/>
      <c r="F313" s="176">
        <f ca="1"/>
        <v>0</v>
      </c>
      <c r="G313" s="176">
        <f ca="1"/>
        <v>0</v>
      </c>
      <c r="H313" s="176">
        <f ca="1"/>
        <v>0</v>
      </c>
      <c r="I313" s="176">
        <f ca="1"/>
        <v>0</v>
      </c>
      <c r="J313" s="176">
        <f ca="1"/>
        <v>0</v>
      </c>
      <c r="K313" s="176">
        <f ca="1"/>
        <v>0</v>
      </c>
      <c r="L313" s="176">
        <f ca="1"/>
        <v>0</v>
      </c>
      <c r="M313" s="176">
        <f ca="1"/>
        <v>0</v>
      </c>
      <c r="N313" s="176">
        <f ca="1"/>
        <v>0</v>
      </c>
      <c r="O313" s="176">
        <f ca="1"/>
        <v>0</v>
      </c>
      <c r="P313" s="176">
        <f ca="1"/>
        <v>0</v>
      </c>
      <c r="Q313" s="176">
        <f ca="1"/>
        <v>0</v>
      </c>
      <c r="R313" s="176">
        <f ca="1"/>
        <v>1094094.9061756548</v>
      </c>
      <c r="S313" s="176">
        <f ca="1"/>
        <v>1097735.5035177735</v>
      </c>
      <c r="T313" s="176">
        <f ca="1"/>
        <v>1101270.196037641</v>
      </c>
      <c r="U313" s="176">
        <f ca="1"/>
        <v>1104934.6691340958</v>
      </c>
      <c r="V313" s="176">
        <f ca="1"/>
        <v>1108611.3357531969</v>
      </c>
      <c r="W313" s="176">
        <f ca="1"/>
        <v>1112181.0482963091</v>
      </c>
      <c r="X313" s="176">
        <f ca="1"/>
        <v>1115881.827219168</v>
      </c>
      <c r="Y313" s="176">
        <f ca="1"/>
        <v>1119474.950640145</v>
      </c>
      <c r="Z313" s="176">
        <f ca="1"/>
        <v>1123199.9999999988</v>
      </c>
      <c r="AA313" s="176">
        <f ca="1"/>
        <v>1126947.7010875433</v>
      </c>
      <c r="AB313" s="176">
        <f ca="1"/>
        <v>1130343.4683133541</v>
      </c>
      <c r="AC313" s="176">
        <f ca="1"/>
        <v>1134115.0045005842</v>
      </c>
      <c r="AD313" s="176">
        <f ca="1"/>
        <v>1643455.4639381152</v>
      </c>
      <c r="AE313" s="176">
        <f ca="1"/>
        <v>1648939.0642136952</v>
      </c>
      <c r="AF313" s="176">
        <f ca="1"/>
        <v>1654263.1944637308</v>
      </c>
      <c r="AG313" s="176">
        <f ca="1"/>
        <v>1659782.8561205831</v>
      </c>
      <c r="AH313" s="176">
        <f ca="1"/>
        <v>1665320.9348376156</v>
      </c>
      <c r="AI313" s="176">
        <f ca="1"/>
        <v>1670697.9592271822</v>
      </c>
      <c r="AJ313" s="176">
        <f ca="1"/>
        <v>1676272.4575878961</v>
      </c>
      <c r="AK313" s="176">
        <f ca="1"/>
        <v>1681684.8424918833</v>
      </c>
      <c r="AL313" s="176">
        <f ca="1"/>
        <v>1687295.9999999977</v>
      </c>
      <c r="AM313" s="176">
        <f ca="1"/>
        <v>1692925.8798559534</v>
      </c>
      <c r="AN313" s="176">
        <f ca="1"/>
        <v>1698027.0768440603</v>
      </c>
      <c r="AO313" s="176">
        <f ca="1"/>
        <v>1703692.7623164328</v>
      </c>
      <c r="AP313" s="176">
        <f ca="1"/>
        <v>1709193.6824956394</v>
      </c>
      <c r="AQ313" s="176">
        <f ca="1"/>
        <v>1714896.6267822429</v>
      </c>
      <c r="AR313" s="176">
        <f ca="1"/>
        <v>1720433.7222422797</v>
      </c>
      <c r="AS313" s="176">
        <f ca="1"/>
        <v>1726174.1703654062</v>
      </c>
      <c r="AT313" s="176">
        <f ca="1"/>
        <v>1731933.7722311199</v>
      </c>
      <c r="AU313" s="176">
        <f ca="1"/>
        <v>1737525.8775962691</v>
      </c>
      <c r="AV313" s="176">
        <f ca="1"/>
        <v>1743323.3558914117</v>
      </c>
      <c r="AW313" s="176">
        <f ca="1"/>
        <v>1748952.2361915582</v>
      </c>
      <c r="AX313" s="176">
        <f ca="1"/>
        <v>1754787.8399999968</v>
      </c>
      <c r="AY313" s="176">
        <f ca="1"/>
        <v>1760642.9150501913</v>
      </c>
      <c r="AZ313" s="176">
        <f ca="1"/>
        <v>1765948.1599178221</v>
      </c>
      <c r="BA313" s="176">
        <f ca="1"/>
        <v>1771840.4728090893</v>
      </c>
      <c r="BB313" s="176">
        <f ca="1"/>
        <v>1777561.429795464</v>
      </c>
      <c r="BC313" s="176">
        <f ca="1"/>
        <v>1783492.4918535319</v>
      </c>
      <c r="BD313" s="176">
        <f ca="1"/>
        <v>1789251.07113197</v>
      </c>
      <c r="BE313" s="176">
        <f ca="1"/>
        <v>1795221.1371800215</v>
      </c>
      <c r="BF313" s="176">
        <f ca="1"/>
        <v>1801211.1231203638</v>
      </c>
      <c r="BG313" s="176">
        <f ca="1"/>
        <v>1807026.9127001192</v>
      </c>
      <c r="BH313" s="176">
        <f ca="1"/>
        <v>1813056.2901270676</v>
      </c>
      <c r="BI313" s="176">
        <f ca="1"/>
        <v>1818910.32563922</v>
      </c>
      <c r="BJ313" s="176">
        <f ca="1"/>
        <v>1824979.3535999963</v>
      </c>
      <c r="BK313" s="176">
        <f ca="1"/>
        <v>1831051.9666307631</v>
      </c>
      <c r="BL313" s="176">
        <f ca="1"/>
        <v>1836751.09004425</v>
      </c>
      <c r="BM313" s="176">
        <f ca="1"/>
        <v>1842862.8734908269</v>
      </c>
      <c r="BN313" s="176">
        <f ca="1"/>
        <v>1848796.8654161994</v>
      </c>
      <c r="BO313" s="176">
        <f ca="1"/>
        <v>1854948.7311422531</v>
      </c>
      <c r="BP313" s="176">
        <f ca="1"/>
        <v>1860921.6393552921</v>
      </c>
      <c r="BQ313" s="176">
        <f ca="1"/>
        <v>1867113.8502283045</v>
      </c>
      <c r="BR313" s="176">
        <f ca="1"/>
        <v>1873326.6656634242</v>
      </c>
      <c r="BS313" s="176">
        <f ca="1"/>
        <v>1879358.7505610788</v>
      </c>
      <c r="BT313" s="176">
        <f ca="1"/>
        <v>1885612.3108633526</v>
      </c>
      <c r="BU313" s="176">
        <f ca="1"/>
        <v>1891683.9553617039</v>
      </c>
      <c r="BV313" s="176">
        <f ca="1"/>
        <v>1897978.5277439947</v>
      </c>
      <c r="BW313" s="176">
        <f ca="1"/>
        <v>1904311.3769182847</v>
      </c>
      <c r="BX313" s="176">
        <f ca="1"/>
        <v>1910049.5297671149</v>
      </c>
      <c r="BY313" s="176">
        <f ca="1"/>
        <v>1916422.6553903094</v>
      </c>
      <c r="BZ313" s="176">
        <f ca="1"/>
        <v>1922610.4424667729</v>
      </c>
      <c r="CA313" s="176">
        <f ca="1"/>
        <v>1929025.4791887784</v>
      </c>
      <c r="CB313" s="176">
        <f ca="1"/>
        <v>1935253.9585363371</v>
      </c>
      <c r="CC313" s="176">
        <f ca="1"/>
        <v>1941711.1819739097</v>
      </c>
      <c r="CD313" s="176">
        <f ca="1"/>
        <v>1948189.9507669837</v>
      </c>
      <c r="CE313" s="176">
        <f ca="1"/>
        <v>1954480.3087764471</v>
      </c>
      <c r="CF313" s="176">
        <f ca="1"/>
        <v>1961001.6834014347</v>
      </c>
      <c r="CG313" s="176">
        <f ca="1"/>
        <v>1967333.4082113786</v>
      </c>
      <c r="CH313" s="176">
        <f ca="1"/>
        <v>1973897.6688537544</v>
      </c>
      <c r="CI313" s="176">
        <f ca="1"/>
        <v>1980483.8319950155</v>
      </c>
      <c r="CJ313" s="176">
        <f ca="1"/>
        <v>1986451.5109577989</v>
      </c>
      <c r="CK313" s="176">
        <f ca="1"/>
        <v>1993079.5616059208</v>
      </c>
    </row>
    <row r="314" spans="2:89" ht="15.75" thickBot="1">
      <c r="B314" s="86" t="str">
        <v>специалисты и другие служащие</v>
      </c>
      <c r="C314" s="46"/>
      <c r="D314" s="47">
        <f t="shared" ca="1" si="359"/>
        <v>65527374.459194347</v>
      </c>
      <c r="E314" s="48"/>
      <c r="F314" s="176">
        <f ca="1"/>
        <v>0</v>
      </c>
      <c r="G314" s="176">
        <f ca="1"/>
        <v>0</v>
      </c>
      <c r="H314" s="176">
        <f ca="1"/>
        <v>0</v>
      </c>
      <c r="I314" s="176">
        <f ca="1"/>
        <v>0</v>
      </c>
      <c r="J314" s="176">
        <f ca="1"/>
        <v>0</v>
      </c>
      <c r="K314" s="176">
        <f ca="1"/>
        <v>0</v>
      </c>
      <c r="L314" s="176">
        <f ca="1"/>
        <v>0</v>
      </c>
      <c r="M314" s="176">
        <f ca="1"/>
        <v>0</v>
      </c>
      <c r="N314" s="176">
        <f ca="1"/>
        <v>0</v>
      </c>
      <c r="O314" s="176">
        <f ca="1"/>
        <v>0</v>
      </c>
      <c r="P314" s="176">
        <f ca="1"/>
        <v>0</v>
      </c>
      <c r="Q314" s="176">
        <f ca="1"/>
        <v>0</v>
      </c>
      <c r="R314" s="176">
        <f ca="1"/>
        <v>911745.755146379</v>
      </c>
      <c r="S314" s="176">
        <f ca="1"/>
        <v>914779.58626481122</v>
      </c>
      <c r="T314" s="176">
        <f ca="1"/>
        <v>917725.16336470074</v>
      </c>
      <c r="U314" s="176">
        <f ca="1"/>
        <v>920778.89094507997</v>
      </c>
      <c r="V314" s="176">
        <f ca="1"/>
        <v>923842.77979433059</v>
      </c>
      <c r="W314" s="176">
        <f ca="1"/>
        <v>926817.54024692427</v>
      </c>
      <c r="X314" s="176">
        <f ca="1"/>
        <v>929901.52268264</v>
      </c>
      <c r="Y314" s="176">
        <f ca="1"/>
        <v>932895.79220012075</v>
      </c>
      <c r="Z314" s="176">
        <f ca="1"/>
        <v>935999.99999999907</v>
      </c>
      <c r="AA314" s="176">
        <f ca="1"/>
        <v>939123.08423961943</v>
      </c>
      <c r="AB314" s="176">
        <f ca="1"/>
        <v>941952.89026112854</v>
      </c>
      <c r="AC314" s="176">
        <f ca="1"/>
        <v>945095.83708382002</v>
      </c>
      <c r="AD314" s="176">
        <f ca="1"/>
        <v>821727.73196905758</v>
      </c>
      <c r="AE314" s="176">
        <f ca="1"/>
        <v>824469.53210684762</v>
      </c>
      <c r="AF314" s="176">
        <f ca="1"/>
        <v>827131.59723186539</v>
      </c>
      <c r="AG314" s="176">
        <f ca="1"/>
        <v>829891.42806029157</v>
      </c>
      <c r="AH314" s="176">
        <f ca="1"/>
        <v>832660.46741880779</v>
      </c>
      <c r="AI314" s="176">
        <f ca="1"/>
        <v>835348.9796135911</v>
      </c>
      <c r="AJ314" s="176">
        <f ca="1"/>
        <v>838136.22879394807</v>
      </c>
      <c r="AK314" s="176">
        <f ca="1"/>
        <v>840842.42124594166</v>
      </c>
      <c r="AL314" s="176">
        <f ca="1"/>
        <v>843647.99999999884</v>
      </c>
      <c r="AM314" s="176">
        <f ca="1"/>
        <v>846462.93992797669</v>
      </c>
      <c r="AN314" s="176">
        <f ca="1"/>
        <v>849013.53842203016</v>
      </c>
      <c r="AO314" s="176">
        <f ca="1"/>
        <v>851846.38115821639</v>
      </c>
      <c r="AP314" s="176">
        <f ca="1"/>
        <v>854596.84124781971</v>
      </c>
      <c r="AQ314" s="176">
        <f ca="1"/>
        <v>857448.31339112145</v>
      </c>
      <c r="AR314" s="176">
        <f ca="1"/>
        <v>860216.86112113984</v>
      </c>
      <c r="AS314" s="176">
        <f ca="1"/>
        <v>863087.0851827031</v>
      </c>
      <c r="AT314" s="176">
        <f ca="1"/>
        <v>865966.88611555996</v>
      </c>
      <c r="AU314" s="176">
        <f ca="1"/>
        <v>868762.93879813456</v>
      </c>
      <c r="AV314" s="176">
        <f ca="1"/>
        <v>871661.67794570583</v>
      </c>
      <c r="AW314" s="176">
        <f ca="1"/>
        <v>874476.11809577909</v>
      </c>
      <c r="AX314" s="176">
        <f ca="1"/>
        <v>877393.91999999841</v>
      </c>
      <c r="AY314" s="176">
        <f ca="1"/>
        <v>880321.45752509567</v>
      </c>
      <c r="AZ314" s="176">
        <f ca="1"/>
        <v>882974.07995891105</v>
      </c>
      <c r="BA314" s="176">
        <f ca="1"/>
        <v>885920.23640454467</v>
      </c>
      <c r="BB314" s="176">
        <f ca="1"/>
        <v>888780.71489773202</v>
      </c>
      <c r="BC314" s="176">
        <f ca="1"/>
        <v>891746.24592676596</v>
      </c>
      <c r="BD314" s="176">
        <f ca="1"/>
        <v>894625.53556598502</v>
      </c>
      <c r="BE314" s="176">
        <f ca="1"/>
        <v>897610.56859001075</v>
      </c>
      <c r="BF314" s="176">
        <f ca="1"/>
        <v>900605.5615601819</v>
      </c>
      <c r="BG314" s="176">
        <f ca="1"/>
        <v>903513.4563500596</v>
      </c>
      <c r="BH314" s="176">
        <f ca="1"/>
        <v>906528.1450635338</v>
      </c>
      <c r="BI314" s="176">
        <f ca="1"/>
        <v>909455.16281960998</v>
      </c>
      <c r="BJ314" s="176">
        <f ca="1"/>
        <v>912489.67679999815</v>
      </c>
      <c r="BK314" s="176">
        <f ca="1"/>
        <v>915525.98331538157</v>
      </c>
      <c r="BL314" s="176">
        <f ca="1"/>
        <v>918375.54502212501</v>
      </c>
      <c r="BM314" s="176">
        <f ca="1"/>
        <v>921431.43674541346</v>
      </c>
      <c r="BN314" s="176">
        <f ca="1"/>
        <v>924398.43270809972</v>
      </c>
      <c r="BO314" s="176">
        <f ca="1"/>
        <v>927474.36557112657</v>
      </c>
      <c r="BP314" s="176">
        <f ca="1"/>
        <v>930460.81967764604</v>
      </c>
      <c r="BQ314" s="176">
        <f ca="1"/>
        <v>933556.92511415225</v>
      </c>
      <c r="BR314" s="176">
        <f ca="1"/>
        <v>936663.33283171209</v>
      </c>
      <c r="BS314" s="176">
        <f ca="1"/>
        <v>939679.37528053939</v>
      </c>
      <c r="BT314" s="176">
        <f ca="1"/>
        <v>942806.15543167631</v>
      </c>
      <c r="BU314" s="176">
        <f ca="1"/>
        <v>945841.97768085194</v>
      </c>
      <c r="BV314" s="176">
        <f ca="1"/>
        <v>948989.26387199736</v>
      </c>
      <c r="BW314" s="176">
        <f ca="1"/>
        <v>952155.68845914234</v>
      </c>
      <c r="BX314" s="176">
        <f ca="1"/>
        <v>955024.76488355745</v>
      </c>
      <c r="BY314" s="176">
        <f ca="1"/>
        <v>958211.3276951547</v>
      </c>
      <c r="BZ314" s="176">
        <f ca="1"/>
        <v>961305.22123338643</v>
      </c>
      <c r="CA314" s="176">
        <f ca="1"/>
        <v>964512.73959438922</v>
      </c>
      <c r="CB314" s="176">
        <f ca="1"/>
        <v>967626.97926816856</v>
      </c>
      <c r="CC314" s="176">
        <f ca="1"/>
        <v>970855.59098695486</v>
      </c>
      <c r="CD314" s="176">
        <f ca="1"/>
        <v>974094.97538349184</v>
      </c>
      <c r="CE314" s="176">
        <f ca="1"/>
        <v>977240.15438822354</v>
      </c>
      <c r="CF314" s="176">
        <f ca="1"/>
        <v>980500.84170071734</v>
      </c>
      <c r="CG314" s="176">
        <f ca="1"/>
        <v>983666.70410568931</v>
      </c>
      <c r="CH314" s="176">
        <f ca="1"/>
        <v>986948.83442687721</v>
      </c>
      <c r="CI314" s="176">
        <f ca="1"/>
        <v>990241.91599750775</v>
      </c>
      <c r="CJ314" s="176">
        <f ca="1"/>
        <v>993225.75547889946</v>
      </c>
      <c r="CK314" s="176">
        <f ca="1"/>
        <v>996539.78080296039</v>
      </c>
    </row>
    <row r="315" spans="2:89" ht="15.75" thickTop="1">
      <c r="B315" s="50" t="s">
        <v>50</v>
      </c>
      <c r="C315" s="51"/>
      <c r="D315" s="52">
        <f ca="1">SUM(D312:D314)</f>
        <v>819489962.40671146</v>
      </c>
      <c r="E315" s="53"/>
      <c r="F315" s="54">
        <f ca="1">SUM(F312:F314)</f>
        <v>0</v>
      </c>
      <c r="G315" s="54">
        <f t="shared" ref="G315:AG315" ca="1" si="360">SUM(G312:G314)</f>
        <v>0</v>
      </c>
      <c r="H315" s="54">
        <f t="shared" ca="1" si="360"/>
        <v>0</v>
      </c>
      <c r="I315" s="54">
        <f t="shared" ca="1" si="360"/>
        <v>0</v>
      </c>
      <c r="J315" s="54">
        <f t="shared" ca="1" si="360"/>
        <v>0</v>
      </c>
      <c r="K315" s="54">
        <f t="shared" ca="1" si="360"/>
        <v>0</v>
      </c>
      <c r="L315" s="54">
        <f t="shared" ca="1" si="360"/>
        <v>0</v>
      </c>
      <c r="M315" s="54">
        <f t="shared" ca="1" si="360"/>
        <v>0</v>
      </c>
      <c r="N315" s="54">
        <f t="shared" ca="1" si="360"/>
        <v>0</v>
      </c>
      <c r="O315" s="54">
        <f t="shared" ca="1" si="360"/>
        <v>0</v>
      </c>
      <c r="P315" s="54">
        <f t="shared" ca="1" si="360"/>
        <v>0</v>
      </c>
      <c r="Q315" s="54">
        <f t="shared" ca="1" si="360"/>
        <v>0</v>
      </c>
      <c r="R315" s="54">
        <f t="shared" ca="1" si="360"/>
        <v>8975630.433996575</v>
      </c>
      <c r="S315" s="54">
        <f t="shared" ca="1" si="360"/>
        <v>9005496.8158958089</v>
      </c>
      <c r="T315" s="54">
        <f t="shared" ca="1" si="360"/>
        <v>9034494.3860124983</v>
      </c>
      <c r="U315" s="54">
        <f t="shared" ca="1" si="360"/>
        <v>9064556.6375260092</v>
      </c>
      <c r="V315" s="54">
        <f t="shared" ca="1" si="360"/>
        <v>9094718.9210864101</v>
      </c>
      <c r="W315" s="54">
        <f t="shared" ca="1" si="360"/>
        <v>9124003.7850974984</v>
      </c>
      <c r="X315" s="54">
        <f t="shared" ca="1" si="360"/>
        <v>9154363.8788535446</v>
      </c>
      <c r="Y315" s="54">
        <f t="shared" ca="1" si="360"/>
        <v>9183840.7987700775</v>
      </c>
      <c r="Z315" s="54">
        <f t="shared" ca="1" si="360"/>
        <v>9214399.9999999907</v>
      </c>
      <c r="AA315" s="54">
        <f t="shared" ca="1" si="360"/>
        <v>9245145.0292922519</v>
      </c>
      <c r="AB315" s="54">
        <f t="shared" ca="1" si="360"/>
        <v>9273002.8974595536</v>
      </c>
      <c r="AC315" s="54">
        <f t="shared" ca="1" si="360"/>
        <v>9303943.4628473856</v>
      </c>
      <c r="AD315" s="54">
        <f t="shared" ca="1" si="360"/>
        <v>10724600.399288468</v>
      </c>
      <c r="AE315" s="54">
        <f t="shared" ca="1" si="360"/>
        <v>10760384.406215012</v>
      </c>
      <c r="AF315" s="54">
        <f t="shared" ca="1" si="360"/>
        <v>10795127.7690005</v>
      </c>
      <c r="AG315" s="54">
        <f t="shared" ca="1" si="360"/>
        <v>10831147.099556113</v>
      </c>
      <c r="AH315" s="54">
        <f t="shared" ref="AH315:BM315" ca="1" si="361">SUM(AH312:AH314)</f>
        <v>10867286.613235211</v>
      </c>
      <c r="AI315" s="54">
        <f t="shared" ca="1" si="361"/>
        <v>10902375.144187637</v>
      </c>
      <c r="AJ315" s="54">
        <f t="shared" ca="1" si="361"/>
        <v>10938752.319387682</v>
      </c>
      <c r="AK315" s="54">
        <f t="shared" ca="1" si="361"/>
        <v>10974071.600363702</v>
      </c>
      <c r="AL315" s="54">
        <f t="shared" ca="1" si="361"/>
        <v>11010687.999999985</v>
      </c>
      <c r="AM315" s="54">
        <f t="shared" ca="1" si="361"/>
        <v>11047426.57495744</v>
      </c>
      <c r="AN315" s="54">
        <f t="shared" ca="1" si="361"/>
        <v>11080715.155302906</v>
      </c>
      <c r="AO315" s="54">
        <f t="shared" ca="1" si="361"/>
        <v>11117687.384859798</v>
      </c>
      <c r="AP315" s="54">
        <f t="shared" ca="1" si="361"/>
        <v>11153584.415260006</v>
      </c>
      <c r="AQ315" s="54">
        <f t="shared" ca="1" si="361"/>
        <v>11190799.78246361</v>
      </c>
      <c r="AR315" s="54">
        <f t="shared" ca="1" si="361"/>
        <v>11226932.879760519</v>
      </c>
      <c r="AS315" s="54">
        <f t="shared" ca="1" si="361"/>
        <v>11264392.983538356</v>
      </c>
      <c r="AT315" s="54">
        <f t="shared" ca="1" si="361"/>
        <v>11301978.077764615</v>
      </c>
      <c r="AU315" s="54">
        <f t="shared" ca="1" si="361"/>
        <v>11338470.14995514</v>
      </c>
      <c r="AV315" s="54">
        <f t="shared" ca="1" si="361"/>
        <v>11376302.412163187</v>
      </c>
      <c r="AW315" s="54">
        <f t="shared" ca="1" si="361"/>
        <v>11413034.464378245</v>
      </c>
      <c r="AX315" s="54">
        <f t="shared" ca="1" si="361"/>
        <v>11451115.519999979</v>
      </c>
      <c r="AY315" s="54">
        <f t="shared" ca="1" si="361"/>
        <v>11489323.637955735</v>
      </c>
      <c r="AZ315" s="54">
        <f t="shared" ca="1" si="361"/>
        <v>11523943.761515018</v>
      </c>
      <c r="BA315" s="54">
        <f t="shared" ca="1" si="361"/>
        <v>11562394.880254187</v>
      </c>
      <c r="BB315" s="54">
        <f t="shared" ca="1" si="361"/>
        <v>11599727.7918704</v>
      </c>
      <c r="BC315" s="54">
        <f t="shared" ca="1" si="361"/>
        <v>11638431.77376215</v>
      </c>
      <c r="BD315" s="54">
        <f t="shared" ca="1" si="361"/>
        <v>11676010.194950934</v>
      </c>
      <c r="BE315" s="54">
        <f t="shared" ca="1" si="361"/>
        <v>11714968.702879885</v>
      </c>
      <c r="BF315" s="54">
        <f t="shared" ca="1" si="361"/>
        <v>11754057.200875195</v>
      </c>
      <c r="BG315" s="54">
        <f t="shared" ca="1" si="361"/>
        <v>11792008.955953341</v>
      </c>
      <c r="BH315" s="54">
        <f t="shared" ca="1" si="361"/>
        <v>11831354.508649711</v>
      </c>
      <c r="BI315" s="54">
        <f t="shared" ca="1" si="361"/>
        <v>11869555.842953373</v>
      </c>
      <c r="BJ315" s="54">
        <f t="shared" ca="1" si="361"/>
        <v>11909160.140799977</v>
      </c>
      <c r="BK315" s="54">
        <f t="shared" ca="1" si="361"/>
        <v>11948787.833526392</v>
      </c>
      <c r="BL315" s="54">
        <f t="shared" ca="1" si="361"/>
        <v>11985978.267083632</v>
      </c>
      <c r="BM315" s="54">
        <f t="shared" ca="1" si="361"/>
        <v>12025861.571882447</v>
      </c>
      <c r="BN315" s="54">
        <f t="shared" ref="BN315:CK315" ca="1" si="362">SUM(BN312:BN314)</f>
        <v>12064584.67303648</v>
      </c>
      <c r="BO315" s="54">
        <f t="shared" ca="1" si="362"/>
        <v>12104729.540402649</v>
      </c>
      <c r="BP315" s="54">
        <f t="shared" ca="1" si="362"/>
        <v>12143706.595280048</v>
      </c>
      <c r="BQ315" s="54">
        <f t="shared" ca="1" si="362"/>
        <v>12184114.740592398</v>
      </c>
      <c r="BR315" s="54">
        <f t="shared" ca="1" si="362"/>
        <v>12224657.343880551</v>
      </c>
      <c r="BS315" s="54">
        <f t="shared" ca="1" si="362"/>
        <v>12264020.564558834</v>
      </c>
      <c r="BT315" s="54">
        <f t="shared" ca="1" si="362"/>
        <v>12304829.054223673</v>
      </c>
      <c r="BU315" s="54">
        <f t="shared" ca="1" si="362"/>
        <v>12344450.426655222</v>
      </c>
      <c r="BV315" s="54">
        <f t="shared" ca="1" si="362"/>
        <v>12385526.546431968</v>
      </c>
      <c r="BW315" s="54">
        <f t="shared" ca="1" si="362"/>
        <v>12426852.446812911</v>
      </c>
      <c r="BX315" s="54">
        <f t="shared" ca="1" si="362"/>
        <v>12464297.572454633</v>
      </c>
      <c r="BY315" s="54">
        <f t="shared" ca="1" si="362"/>
        <v>12505886.302482916</v>
      </c>
      <c r="BZ315" s="54">
        <f t="shared" ca="1" si="362"/>
        <v>12546265.579687016</v>
      </c>
      <c r="CA315" s="54">
        <f t="shared" ca="1" si="362"/>
        <v>12588127.806501132</v>
      </c>
      <c r="CB315" s="54">
        <f t="shared" ca="1" si="362"/>
        <v>12628772.626858922</v>
      </c>
      <c r="CC315" s="54">
        <f t="shared" ca="1" si="362"/>
        <v>12670910.149034873</v>
      </c>
      <c r="CD315" s="54">
        <f t="shared" ca="1" si="362"/>
        <v>12713188.268466599</v>
      </c>
      <c r="CE315" s="54">
        <f t="shared" ca="1" si="362"/>
        <v>12754236.886759123</v>
      </c>
      <c r="CF315" s="54">
        <f t="shared" ca="1" si="362"/>
        <v>12796793.036555514</v>
      </c>
      <c r="CG315" s="54">
        <f t="shared" ca="1" si="362"/>
        <v>12838111.599738356</v>
      </c>
      <c r="CH315" s="54">
        <f t="shared" ca="1" si="362"/>
        <v>12880947.608289244</v>
      </c>
      <c r="CI315" s="54">
        <f t="shared" ca="1" si="362"/>
        <v>12923926.544685422</v>
      </c>
      <c r="CJ315" s="54">
        <f t="shared" ca="1" si="362"/>
        <v>12962869.475352816</v>
      </c>
      <c r="CK315" s="54">
        <f t="shared" ca="1" si="362"/>
        <v>13006121.754582226</v>
      </c>
    </row>
    <row r="316" spans="2:89">
      <c r="B316" s="14"/>
      <c r="C316" s="14"/>
      <c r="D316" s="14"/>
      <c r="E316" s="14"/>
      <c r="F316" s="154"/>
      <c r="G316" s="154"/>
      <c r="H316" s="154"/>
      <c r="I316" s="154"/>
      <c r="J316" s="190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54"/>
      <c r="W316" s="154"/>
      <c r="X316" s="154"/>
      <c r="Y316" s="154"/>
      <c r="Z316" s="154"/>
      <c r="AA316" s="154"/>
      <c r="AB316" s="154"/>
      <c r="AC316" s="154"/>
      <c r="AD316" s="154"/>
      <c r="AE316" s="154"/>
      <c r="AF316" s="154"/>
      <c r="AG316" s="154"/>
      <c r="AH316" s="154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  <c r="BD316" s="154"/>
      <c r="BE316" s="154"/>
      <c r="BF316" s="154"/>
      <c r="BG316" s="154"/>
      <c r="BH316" s="154"/>
      <c r="BI316" s="154"/>
      <c r="BJ316" s="154"/>
      <c r="BK316" s="154"/>
      <c r="BL316" s="154"/>
      <c r="BM316" s="15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</row>
    <row r="317" spans="2:89" ht="15.75" thickBot="1">
      <c r="B317" s="96" t="s">
        <v>142</v>
      </c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</row>
    <row r="318" spans="2:89"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</row>
    <row r="319" spans="2:89">
      <c r="B319" s="77" t="s">
        <v>57</v>
      </c>
      <c r="C319" s="78"/>
      <c r="D319" s="98">
        <v>0</v>
      </c>
      <c r="E319" s="79"/>
      <c r="F319" s="80">
        <f>E322</f>
        <v>0</v>
      </c>
      <c r="G319" s="80">
        <f t="shared" ref="G319:BM319" ca="1" si="363">F322</f>
        <v>0</v>
      </c>
      <c r="H319" s="80">
        <f t="shared" ca="1" si="363"/>
        <v>0</v>
      </c>
      <c r="I319" s="80">
        <f t="shared" ca="1" si="363"/>
        <v>0</v>
      </c>
      <c r="J319" s="80">
        <f t="shared" ca="1" si="363"/>
        <v>0</v>
      </c>
      <c r="K319" s="80">
        <f t="shared" ca="1" si="363"/>
        <v>0</v>
      </c>
      <c r="L319" s="80">
        <f t="shared" ca="1" si="363"/>
        <v>0</v>
      </c>
      <c r="M319" s="80">
        <f t="shared" ca="1" si="363"/>
        <v>0</v>
      </c>
      <c r="N319" s="80">
        <f t="shared" ca="1" si="363"/>
        <v>0</v>
      </c>
      <c r="O319" s="80">
        <f t="shared" ca="1" si="363"/>
        <v>0</v>
      </c>
      <c r="P319" s="80">
        <f t="shared" ca="1" si="363"/>
        <v>0</v>
      </c>
      <c r="Q319" s="80">
        <f t="shared" ca="1" si="363"/>
        <v>0</v>
      </c>
      <c r="R319" s="80">
        <f t="shared" ca="1" si="363"/>
        <v>0</v>
      </c>
      <c r="S319" s="80">
        <f t="shared" ca="1" si="363"/>
        <v>0</v>
      </c>
      <c r="T319" s="80">
        <f t="shared" ca="1" si="363"/>
        <v>0</v>
      </c>
      <c r="U319" s="80">
        <f t="shared" ca="1" si="363"/>
        <v>0</v>
      </c>
      <c r="V319" s="80">
        <f t="shared" ca="1" si="363"/>
        <v>0</v>
      </c>
      <c r="W319" s="80">
        <f t="shared" ca="1" si="363"/>
        <v>0</v>
      </c>
      <c r="X319" s="80">
        <f t="shared" ca="1" si="363"/>
        <v>0</v>
      </c>
      <c r="Y319" s="80">
        <f t="shared" ca="1" si="363"/>
        <v>0</v>
      </c>
      <c r="Z319" s="80">
        <f t="shared" ca="1" si="363"/>
        <v>0</v>
      </c>
      <c r="AA319" s="80">
        <f t="shared" ca="1" si="363"/>
        <v>0</v>
      </c>
      <c r="AB319" s="80">
        <f t="shared" ca="1" si="363"/>
        <v>0</v>
      </c>
      <c r="AC319" s="80">
        <f t="shared" ca="1" si="363"/>
        <v>0</v>
      </c>
      <c r="AD319" s="80">
        <f t="shared" ca="1" si="363"/>
        <v>0</v>
      </c>
      <c r="AE319" s="80">
        <f t="shared" ca="1" si="363"/>
        <v>0</v>
      </c>
      <c r="AF319" s="80">
        <f t="shared" ca="1" si="363"/>
        <v>0</v>
      </c>
      <c r="AG319" s="80">
        <f t="shared" ca="1" si="363"/>
        <v>0</v>
      </c>
      <c r="AH319" s="80">
        <f t="shared" ca="1" si="363"/>
        <v>0</v>
      </c>
      <c r="AI319" s="80">
        <f t="shared" ca="1" si="363"/>
        <v>0</v>
      </c>
      <c r="AJ319" s="80">
        <f t="shared" ca="1" si="363"/>
        <v>0</v>
      </c>
      <c r="AK319" s="80">
        <f t="shared" ca="1" si="363"/>
        <v>0</v>
      </c>
      <c r="AL319" s="80">
        <f t="shared" ca="1" si="363"/>
        <v>0</v>
      </c>
      <c r="AM319" s="80">
        <f t="shared" ca="1" si="363"/>
        <v>0</v>
      </c>
      <c r="AN319" s="80">
        <f t="shared" ca="1" si="363"/>
        <v>0</v>
      </c>
      <c r="AO319" s="80">
        <f t="shared" ca="1" si="363"/>
        <v>0</v>
      </c>
      <c r="AP319" s="80">
        <f t="shared" ca="1" si="363"/>
        <v>0</v>
      </c>
      <c r="AQ319" s="80">
        <f t="shared" ca="1" si="363"/>
        <v>0</v>
      </c>
      <c r="AR319" s="80">
        <f t="shared" ca="1" si="363"/>
        <v>0</v>
      </c>
      <c r="AS319" s="80">
        <f t="shared" ca="1" si="363"/>
        <v>0</v>
      </c>
      <c r="AT319" s="80">
        <f t="shared" ca="1" si="363"/>
        <v>0</v>
      </c>
      <c r="AU319" s="80">
        <f t="shared" ca="1" si="363"/>
        <v>0</v>
      </c>
      <c r="AV319" s="80">
        <f t="shared" ca="1" si="363"/>
        <v>0</v>
      </c>
      <c r="AW319" s="80">
        <f t="shared" ca="1" si="363"/>
        <v>0</v>
      </c>
      <c r="AX319" s="80">
        <f t="shared" ca="1" si="363"/>
        <v>0</v>
      </c>
      <c r="AY319" s="80">
        <f t="shared" ca="1" si="363"/>
        <v>0</v>
      </c>
      <c r="AZ319" s="80">
        <f t="shared" ca="1" si="363"/>
        <v>0</v>
      </c>
      <c r="BA319" s="80">
        <f t="shared" ca="1" si="363"/>
        <v>0</v>
      </c>
      <c r="BB319" s="80">
        <f t="shared" ca="1" si="363"/>
        <v>0</v>
      </c>
      <c r="BC319" s="80">
        <f t="shared" ca="1" si="363"/>
        <v>0</v>
      </c>
      <c r="BD319" s="80">
        <f t="shared" ca="1" si="363"/>
        <v>0</v>
      </c>
      <c r="BE319" s="80">
        <f t="shared" ca="1" si="363"/>
        <v>0</v>
      </c>
      <c r="BF319" s="80">
        <f t="shared" ca="1" si="363"/>
        <v>0</v>
      </c>
      <c r="BG319" s="80">
        <f t="shared" ca="1" si="363"/>
        <v>0</v>
      </c>
      <c r="BH319" s="80">
        <f t="shared" ca="1" si="363"/>
        <v>0</v>
      </c>
      <c r="BI319" s="80">
        <f t="shared" ca="1" si="363"/>
        <v>0</v>
      </c>
      <c r="BJ319" s="80">
        <f t="shared" ca="1" si="363"/>
        <v>0</v>
      </c>
      <c r="BK319" s="80">
        <f t="shared" ca="1" si="363"/>
        <v>0</v>
      </c>
      <c r="BL319" s="80">
        <f t="shared" ca="1" si="363"/>
        <v>0</v>
      </c>
      <c r="BM319" s="80">
        <f t="shared" ca="1" si="363"/>
        <v>0</v>
      </c>
      <c r="BN319" s="80">
        <f t="shared" ref="BN319" ca="1" si="364">BM322</f>
        <v>0</v>
      </c>
      <c r="BO319" s="80">
        <f t="shared" ref="BO319" ca="1" si="365">BN322</f>
        <v>0</v>
      </c>
      <c r="BP319" s="80">
        <f t="shared" ref="BP319" ca="1" si="366">BO322</f>
        <v>0</v>
      </c>
      <c r="BQ319" s="80">
        <f t="shared" ref="BQ319" ca="1" si="367">BP322</f>
        <v>0</v>
      </c>
      <c r="BR319" s="80">
        <f t="shared" ref="BR319" ca="1" si="368">BQ322</f>
        <v>0</v>
      </c>
      <c r="BS319" s="80">
        <f t="shared" ref="BS319" ca="1" si="369">BR322</f>
        <v>0</v>
      </c>
      <c r="BT319" s="80">
        <f t="shared" ref="BT319" ca="1" si="370">BS322</f>
        <v>0</v>
      </c>
      <c r="BU319" s="80">
        <f t="shared" ref="BU319" ca="1" si="371">BT322</f>
        <v>0</v>
      </c>
      <c r="BV319" s="80">
        <f t="shared" ref="BV319" ca="1" si="372">BU322</f>
        <v>0</v>
      </c>
      <c r="BW319" s="80">
        <f t="shared" ref="BW319" ca="1" si="373">BV322</f>
        <v>0</v>
      </c>
      <c r="BX319" s="80">
        <f t="shared" ref="BX319" ca="1" si="374">BW322</f>
        <v>0</v>
      </c>
      <c r="BY319" s="80">
        <f t="shared" ref="BY319" ca="1" si="375">BX322</f>
        <v>0</v>
      </c>
      <c r="BZ319" s="80">
        <f t="shared" ref="BZ319" ca="1" si="376">BY322</f>
        <v>0</v>
      </c>
      <c r="CA319" s="80">
        <f t="shared" ref="CA319" ca="1" si="377">BZ322</f>
        <v>0</v>
      </c>
      <c r="CB319" s="80">
        <f t="shared" ref="CB319" ca="1" si="378">CA322</f>
        <v>0</v>
      </c>
      <c r="CC319" s="80">
        <f t="shared" ref="CC319" ca="1" si="379">CB322</f>
        <v>0</v>
      </c>
      <c r="CD319" s="80">
        <f t="shared" ref="CD319" ca="1" si="380">CC322</f>
        <v>0</v>
      </c>
      <c r="CE319" s="80">
        <f t="shared" ref="CE319" ca="1" si="381">CD322</f>
        <v>0</v>
      </c>
      <c r="CF319" s="80">
        <f t="shared" ref="CF319" ca="1" si="382">CE322</f>
        <v>0</v>
      </c>
      <c r="CG319" s="80">
        <f t="shared" ref="CG319" ca="1" si="383">CF322</f>
        <v>0</v>
      </c>
      <c r="CH319" s="80">
        <f t="shared" ref="CH319" ca="1" si="384">CG322</f>
        <v>0</v>
      </c>
      <c r="CI319" s="80">
        <f t="shared" ref="CI319" ca="1" si="385">CH322</f>
        <v>0</v>
      </c>
      <c r="CJ319" s="80">
        <f t="shared" ref="CJ319" ca="1" si="386">CI322</f>
        <v>0</v>
      </c>
      <c r="CK319" s="80">
        <f t="shared" ref="CK319" ca="1" si="387">CJ322</f>
        <v>0</v>
      </c>
    </row>
    <row r="320" spans="2:89">
      <c r="B320" s="77" t="s">
        <v>530</v>
      </c>
      <c r="C320" s="78"/>
      <c r="D320" s="98">
        <f ca="1">SUM(F320:CK320)</f>
        <v>712956267.2938391</v>
      </c>
      <c r="E320" s="79"/>
      <c r="F320" s="80">
        <f t="shared" ref="F320:AK320" ca="1" si="388">F315-F383</f>
        <v>0</v>
      </c>
      <c r="G320" s="80">
        <f t="shared" ca="1" si="388"/>
        <v>0</v>
      </c>
      <c r="H320" s="80">
        <f t="shared" ca="1" si="388"/>
        <v>0</v>
      </c>
      <c r="I320" s="80">
        <f t="shared" ca="1" si="388"/>
        <v>0</v>
      </c>
      <c r="J320" s="80">
        <f t="shared" ca="1" si="388"/>
        <v>0</v>
      </c>
      <c r="K320" s="80">
        <f t="shared" ca="1" si="388"/>
        <v>0</v>
      </c>
      <c r="L320" s="80">
        <f t="shared" ca="1" si="388"/>
        <v>0</v>
      </c>
      <c r="M320" s="80">
        <f t="shared" ca="1" si="388"/>
        <v>0</v>
      </c>
      <c r="N320" s="80">
        <f t="shared" ca="1" si="388"/>
        <v>0</v>
      </c>
      <c r="O320" s="80">
        <f t="shared" ca="1" si="388"/>
        <v>0</v>
      </c>
      <c r="P320" s="80">
        <f t="shared" ca="1" si="388"/>
        <v>0</v>
      </c>
      <c r="Q320" s="80">
        <f t="shared" ca="1" si="388"/>
        <v>0</v>
      </c>
      <c r="R320" s="80">
        <f t="shared" ca="1" si="388"/>
        <v>7808798.4775770195</v>
      </c>
      <c r="S320" s="80">
        <f t="shared" ca="1" si="388"/>
        <v>7834782.2298293542</v>
      </c>
      <c r="T320" s="80">
        <f t="shared" ca="1" si="388"/>
        <v>7860010.1158308731</v>
      </c>
      <c r="U320" s="80">
        <f t="shared" ca="1" si="388"/>
        <v>7886164.274647628</v>
      </c>
      <c r="V320" s="80">
        <f t="shared" ca="1" si="388"/>
        <v>7912405.4613451771</v>
      </c>
      <c r="W320" s="80">
        <f t="shared" ca="1" si="388"/>
        <v>7937883.2930348236</v>
      </c>
      <c r="X320" s="80">
        <f t="shared" ca="1" si="388"/>
        <v>7964296.5746025834</v>
      </c>
      <c r="Y320" s="80">
        <f t="shared" ca="1" si="388"/>
        <v>7989941.4949299674</v>
      </c>
      <c r="Z320" s="80">
        <f t="shared" ca="1" si="388"/>
        <v>8016527.9999999925</v>
      </c>
      <c r="AA320" s="80">
        <f t="shared" ca="1" si="388"/>
        <v>8043276.1754842587</v>
      </c>
      <c r="AB320" s="80">
        <f t="shared" ca="1" si="388"/>
        <v>8067512.5207898114</v>
      </c>
      <c r="AC320" s="80">
        <f t="shared" ca="1" si="388"/>
        <v>8094430.8126772251</v>
      </c>
      <c r="AD320" s="80">
        <f t="shared" ca="1" si="388"/>
        <v>9330402.3473809678</v>
      </c>
      <c r="AE320" s="80">
        <f t="shared" ca="1" si="388"/>
        <v>9361534.4334070608</v>
      </c>
      <c r="AF320" s="80">
        <f t="shared" ca="1" si="388"/>
        <v>9391761.1590304356</v>
      </c>
      <c r="AG320" s="80">
        <f t="shared" ca="1" si="388"/>
        <v>9423097.9766138177</v>
      </c>
      <c r="AH320" s="80">
        <f t="shared" ca="1" si="388"/>
        <v>9454539.3535146341</v>
      </c>
      <c r="AI320" s="80">
        <f t="shared" ca="1" si="388"/>
        <v>9485066.3754432444</v>
      </c>
      <c r="AJ320" s="80">
        <f t="shared" ca="1" si="388"/>
        <v>9516714.517867282</v>
      </c>
      <c r="AK320" s="80">
        <f t="shared" ca="1" si="388"/>
        <v>9547442.29231642</v>
      </c>
      <c r="AL320" s="80">
        <f t="shared" ref="AL320:BM320" ca="1" si="389">AL315-AL383</f>
        <v>9579298.5599999875</v>
      </c>
      <c r="AM320" s="80">
        <f t="shared" ca="1" si="389"/>
        <v>9611261.1202129722</v>
      </c>
      <c r="AN320" s="80">
        <f t="shared" ca="1" si="389"/>
        <v>9640222.1851135287</v>
      </c>
      <c r="AO320" s="80">
        <f t="shared" ca="1" si="389"/>
        <v>9672388.0248280242</v>
      </c>
      <c r="AP320" s="80">
        <f t="shared" ca="1" si="389"/>
        <v>9703618.4412762038</v>
      </c>
      <c r="AQ320" s="80">
        <f t="shared" ca="1" si="389"/>
        <v>9735995.8107433412</v>
      </c>
      <c r="AR320" s="80">
        <f t="shared" ca="1" si="389"/>
        <v>9767431.6053916514</v>
      </c>
      <c r="AS320" s="80">
        <f t="shared" ca="1" si="389"/>
        <v>9800021.8956783693</v>
      </c>
      <c r="AT320" s="80">
        <f t="shared" ca="1" si="389"/>
        <v>9832720.9276552163</v>
      </c>
      <c r="AU320" s="80">
        <f t="shared" ca="1" si="389"/>
        <v>9864469.0304609723</v>
      </c>
      <c r="AV320" s="80">
        <f t="shared" ca="1" si="389"/>
        <v>9897383.0985819716</v>
      </c>
      <c r="AW320" s="80">
        <f t="shared" ca="1" si="389"/>
        <v>9929339.984009074</v>
      </c>
      <c r="AX320" s="80">
        <f t="shared" ca="1" si="389"/>
        <v>9962470.502399981</v>
      </c>
      <c r="AY320" s="80">
        <f t="shared" ca="1" si="389"/>
        <v>9995711.5650214888</v>
      </c>
      <c r="AZ320" s="80">
        <f t="shared" ca="1" si="389"/>
        <v>10025831.072518066</v>
      </c>
      <c r="BA320" s="80">
        <f t="shared" ca="1" si="389"/>
        <v>10059283.545821143</v>
      </c>
      <c r="BB320" s="80">
        <f t="shared" ca="1" si="389"/>
        <v>10091763.178927248</v>
      </c>
      <c r="BC320" s="80">
        <f t="shared" ca="1" si="389"/>
        <v>10125435.643173071</v>
      </c>
      <c r="BD320" s="80">
        <f t="shared" ca="1" si="389"/>
        <v>10158128.869607313</v>
      </c>
      <c r="BE320" s="80">
        <f t="shared" ca="1" si="389"/>
        <v>10192022.771505501</v>
      </c>
      <c r="BF320" s="80">
        <f t="shared" ca="1" si="389"/>
        <v>10226029.76476142</v>
      </c>
      <c r="BG320" s="80">
        <f t="shared" ca="1" si="389"/>
        <v>10259047.791679407</v>
      </c>
      <c r="BH320" s="80">
        <f t="shared" ca="1" si="389"/>
        <v>10293278.422525248</v>
      </c>
      <c r="BI320" s="80">
        <f t="shared" ca="1" si="389"/>
        <v>10326513.583369434</v>
      </c>
      <c r="BJ320" s="80">
        <f t="shared" ca="1" si="389"/>
        <v>10360969.32249598</v>
      </c>
      <c r="BK320" s="80">
        <f t="shared" ca="1" si="389"/>
        <v>10395445.415167961</v>
      </c>
      <c r="BL320" s="80">
        <f t="shared" ca="1" si="389"/>
        <v>10427801.09236276</v>
      </c>
      <c r="BM320" s="80">
        <f t="shared" ca="1" si="389"/>
        <v>10462499.567537729</v>
      </c>
      <c r="BN320" s="80">
        <f t="shared" ref="BN320:CK320" ca="1" si="390">BN315-BN383</f>
        <v>10496188.665541738</v>
      </c>
      <c r="BO320" s="80">
        <f t="shared" ca="1" si="390"/>
        <v>10531114.700150304</v>
      </c>
      <c r="BP320" s="80">
        <f t="shared" ca="1" si="390"/>
        <v>10565024.737893641</v>
      </c>
      <c r="BQ320" s="80">
        <f t="shared" ca="1" si="390"/>
        <v>10600179.824315386</v>
      </c>
      <c r="BR320" s="80">
        <f t="shared" ca="1" si="390"/>
        <v>10635451.88917608</v>
      </c>
      <c r="BS320" s="80">
        <f t="shared" ca="1" si="390"/>
        <v>10669697.891166186</v>
      </c>
      <c r="BT320" s="80">
        <f t="shared" ca="1" si="390"/>
        <v>10705201.277174596</v>
      </c>
      <c r="BU320" s="80">
        <f t="shared" ca="1" si="390"/>
        <v>10739671.871190043</v>
      </c>
      <c r="BV320" s="80">
        <f t="shared" ca="1" si="390"/>
        <v>10775408.095395813</v>
      </c>
      <c r="BW320" s="80">
        <f t="shared" ca="1" si="390"/>
        <v>10811361.628727233</v>
      </c>
      <c r="BX320" s="80">
        <f t="shared" ca="1" si="390"/>
        <v>10843938.88803553</v>
      </c>
      <c r="BY320" s="80">
        <f t="shared" ca="1" si="390"/>
        <v>10880121.083160136</v>
      </c>
      <c r="BZ320" s="80">
        <f t="shared" ca="1" si="390"/>
        <v>10915251.054327704</v>
      </c>
      <c r="CA320" s="80">
        <f t="shared" ca="1" si="390"/>
        <v>10951671.191655984</v>
      </c>
      <c r="CB320" s="80">
        <f t="shared" ca="1" si="390"/>
        <v>10987032.185367262</v>
      </c>
      <c r="CC320" s="80">
        <f t="shared" ca="1" si="390"/>
        <v>11023691.829660339</v>
      </c>
      <c r="CD320" s="80">
        <f t="shared" ca="1" si="390"/>
        <v>11060473.793565942</v>
      </c>
      <c r="CE320" s="80">
        <f t="shared" ca="1" si="390"/>
        <v>11096186.091480438</v>
      </c>
      <c r="CF320" s="80">
        <f t="shared" ca="1" si="390"/>
        <v>11133209.941803297</v>
      </c>
      <c r="CG320" s="80">
        <f t="shared" ca="1" si="390"/>
        <v>11169157.09177237</v>
      </c>
      <c r="CH320" s="80">
        <f t="shared" ca="1" si="390"/>
        <v>11206424.419211643</v>
      </c>
      <c r="CI320" s="80">
        <f t="shared" ca="1" si="390"/>
        <v>11243816.093876317</v>
      </c>
      <c r="CJ320" s="80">
        <f t="shared" ca="1" si="390"/>
        <v>11277696.443556949</v>
      </c>
      <c r="CK320" s="80">
        <f t="shared" ca="1" si="390"/>
        <v>11315325.926486537</v>
      </c>
    </row>
    <row r="321" spans="2:89" ht="15.75" thickBot="1">
      <c r="B321" s="45" t="s">
        <v>531</v>
      </c>
      <c r="C321" s="46"/>
      <c r="D321" s="47">
        <f ca="1">SUM(F321:CK321)</f>
        <v>-712956267.2938391</v>
      </c>
      <c r="E321" s="48"/>
      <c r="F321" s="49">
        <f ca="1">-F320</f>
        <v>0</v>
      </c>
      <c r="G321" s="49">
        <f t="shared" ref="G321:BM321" ca="1" si="391">-G320</f>
        <v>0</v>
      </c>
      <c r="H321" s="49">
        <f t="shared" ca="1" si="391"/>
        <v>0</v>
      </c>
      <c r="I321" s="49">
        <f t="shared" ca="1" si="391"/>
        <v>0</v>
      </c>
      <c r="J321" s="49">
        <f t="shared" ca="1" si="391"/>
        <v>0</v>
      </c>
      <c r="K321" s="49">
        <f t="shared" ca="1" si="391"/>
        <v>0</v>
      </c>
      <c r="L321" s="49">
        <f t="shared" ca="1" si="391"/>
        <v>0</v>
      </c>
      <c r="M321" s="49">
        <f t="shared" ca="1" si="391"/>
        <v>0</v>
      </c>
      <c r="N321" s="49">
        <f t="shared" ca="1" si="391"/>
        <v>0</v>
      </c>
      <c r="O321" s="49">
        <f t="shared" ca="1" si="391"/>
        <v>0</v>
      </c>
      <c r="P321" s="49">
        <f t="shared" ca="1" si="391"/>
        <v>0</v>
      </c>
      <c r="Q321" s="49">
        <f t="shared" ca="1" si="391"/>
        <v>0</v>
      </c>
      <c r="R321" s="49">
        <f t="shared" ca="1" si="391"/>
        <v>-7808798.4775770195</v>
      </c>
      <c r="S321" s="49">
        <f t="shared" ca="1" si="391"/>
        <v>-7834782.2298293542</v>
      </c>
      <c r="T321" s="49">
        <f t="shared" ca="1" si="391"/>
        <v>-7860010.1158308731</v>
      </c>
      <c r="U321" s="49">
        <f t="shared" ca="1" si="391"/>
        <v>-7886164.274647628</v>
      </c>
      <c r="V321" s="49">
        <f t="shared" ca="1" si="391"/>
        <v>-7912405.4613451771</v>
      </c>
      <c r="W321" s="49">
        <f t="shared" ca="1" si="391"/>
        <v>-7937883.2930348236</v>
      </c>
      <c r="X321" s="49">
        <f t="shared" ca="1" si="391"/>
        <v>-7964296.5746025834</v>
      </c>
      <c r="Y321" s="49">
        <f t="shared" ca="1" si="391"/>
        <v>-7989941.4949299674</v>
      </c>
      <c r="Z321" s="49">
        <f t="shared" ca="1" si="391"/>
        <v>-8016527.9999999925</v>
      </c>
      <c r="AA321" s="49">
        <f t="shared" ca="1" si="391"/>
        <v>-8043276.1754842587</v>
      </c>
      <c r="AB321" s="49">
        <f t="shared" ca="1" si="391"/>
        <v>-8067512.5207898114</v>
      </c>
      <c r="AC321" s="49">
        <f t="shared" ca="1" si="391"/>
        <v>-8094430.8126772251</v>
      </c>
      <c r="AD321" s="49">
        <f t="shared" ca="1" si="391"/>
        <v>-9330402.3473809678</v>
      </c>
      <c r="AE321" s="49">
        <f t="shared" ca="1" si="391"/>
        <v>-9361534.4334070608</v>
      </c>
      <c r="AF321" s="49">
        <f t="shared" ca="1" si="391"/>
        <v>-9391761.1590304356</v>
      </c>
      <c r="AG321" s="49">
        <f t="shared" ca="1" si="391"/>
        <v>-9423097.9766138177</v>
      </c>
      <c r="AH321" s="49">
        <f t="shared" ca="1" si="391"/>
        <v>-9454539.3535146341</v>
      </c>
      <c r="AI321" s="49">
        <f t="shared" ca="1" si="391"/>
        <v>-9485066.3754432444</v>
      </c>
      <c r="AJ321" s="49">
        <f t="shared" ca="1" si="391"/>
        <v>-9516714.517867282</v>
      </c>
      <c r="AK321" s="49">
        <f t="shared" ca="1" si="391"/>
        <v>-9547442.29231642</v>
      </c>
      <c r="AL321" s="49">
        <f t="shared" ca="1" si="391"/>
        <v>-9579298.5599999875</v>
      </c>
      <c r="AM321" s="49">
        <f t="shared" ca="1" si="391"/>
        <v>-9611261.1202129722</v>
      </c>
      <c r="AN321" s="49">
        <f t="shared" ca="1" si="391"/>
        <v>-9640222.1851135287</v>
      </c>
      <c r="AO321" s="49">
        <f t="shared" ca="1" si="391"/>
        <v>-9672388.0248280242</v>
      </c>
      <c r="AP321" s="49">
        <f t="shared" ca="1" si="391"/>
        <v>-9703618.4412762038</v>
      </c>
      <c r="AQ321" s="49">
        <f t="shared" ca="1" si="391"/>
        <v>-9735995.8107433412</v>
      </c>
      <c r="AR321" s="49">
        <f t="shared" ca="1" si="391"/>
        <v>-9767431.6053916514</v>
      </c>
      <c r="AS321" s="49">
        <f t="shared" ca="1" si="391"/>
        <v>-9800021.8956783693</v>
      </c>
      <c r="AT321" s="49">
        <f t="shared" ca="1" si="391"/>
        <v>-9832720.9276552163</v>
      </c>
      <c r="AU321" s="49">
        <f t="shared" ca="1" si="391"/>
        <v>-9864469.0304609723</v>
      </c>
      <c r="AV321" s="49">
        <f t="shared" ca="1" si="391"/>
        <v>-9897383.0985819716</v>
      </c>
      <c r="AW321" s="49">
        <f t="shared" ca="1" si="391"/>
        <v>-9929339.984009074</v>
      </c>
      <c r="AX321" s="49">
        <f t="shared" ca="1" si="391"/>
        <v>-9962470.502399981</v>
      </c>
      <c r="AY321" s="49">
        <f t="shared" ca="1" si="391"/>
        <v>-9995711.5650214888</v>
      </c>
      <c r="AZ321" s="49">
        <f t="shared" ca="1" si="391"/>
        <v>-10025831.072518066</v>
      </c>
      <c r="BA321" s="49">
        <f t="shared" ca="1" si="391"/>
        <v>-10059283.545821143</v>
      </c>
      <c r="BB321" s="49">
        <f t="shared" ca="1" si="391"/>
        <v>-10091763.178927248</v>
      </c>
      <c r="BC321" s="49">
        <f t="shared" ca="1" si="391"/>
        <v>-10125435.643173071</v>
      </c>
      <c r="BD321" s="49">
        <f t="shared" ca="1" si="391"/>
        <v>-10158128.869607313</v>
      </c>
      <c r="BE321" s="49">
        <f t="shared" ca="1" si="391"/>
        <v>-10192022.771505501</v>
      </c>
      <c r="BF321" s="49">
        <f t="shared" ca="1" si="391"/>
        <v>-10226029.76476142</v>
      </c>
      <c r="BG321" s="49">
        <f t="shared" ca="1" si="391"/>
        <v>-10259047.791679407</v>
      </c>
      <c r="BH321" s="49">
        <f t="shared" ca="1" si="391"/>
        <v>-10293278.422525248</v>
      </c>
      <c r="BI321" s="49">
        <f t="shared" ca="1" si="391"/>
        <v>-10326513.583369434</v>
      </c>
      <c r="BJ321" s="49">
        <f t="shared" ca="1" si="391"/>
        <v>-10360969.32249598</v>
      </c>
      <c r="BK321" s="49">
        <f t="shared" ca="1" si="391"/>
        <v>-10395445.415167961</v>
      </c>
      <c r="BL321" s="49">
        <f t="shared" ca="1" si="391"/>
        <v>-10427801.09236276</v>
      </c>
      <c r="BM321" s="49">
        <f t="shared" ca="1" si="391"/>
        <v>-10462499.567537729</v>
      </c>
      <c r="BN321" s="49">
        <f t="shared" ref="BN321:CK321" ca="1" si="392">-BN320</f>
        <v>-10496188.665541738</v>
      </c>
      <c r="BO321" s="49">
        <f t="shared" ca="1" si="392"/>
        <v>-10531114.700150304</v>
      </c>
      <c r="BP321" s="49">
        <f t="shared" ca="1" si="392"/>
        <v>-10565024.737893641</v>
      </c>
      <c r="BQ321" s="49">
        <f t="shared" ca="1" si="392"/>
        <v>-10600179.824315386</v>
      </c>
      <c r="BR321" s="49">
        <f t="shared" ca="1" si="392"/>
        <v>-10635451.88917608</v>
      </c>
      <c r="BS321" s="49">
        <f t="shared" ca="1" si="392"/>
        <v>-10669697.891166186</v>
      </c>
      <c r="BT321" s="49">
        <f t="shared" ca="1" si="392"/>
        <v>-10705201.277174596</v>
      </c>
      <c r="BU321" s="49">
        <f t="shared" ca="1" si="392"/>
        <v>-10739671.871190043</v>
      </c>
      <c r="BV321" s="49">
        <f t="shared" ca="1" si="392"/>
        <v>-10775408.095395813</v>
      </c>
      <c r="BW321" s="49">
        <f t="shared" ca="1" si="392"/>
        <v>-10811361.628727233</v>
      </c>
      <c r="BX321" s="49">
        <f t="shared" ca="1" si="392"/>
        <v>-10843938.88803553</v>
      </c>
      <c r="BY321" s="49">
        <f t="shared" ca="1" si="392"/>
        <v>-10880121.083160136</v>
      </c>
      <c r="BZ321" s="49">
        <f t="shared" ca="1" si="392"/>
        <v>-10915251.054327704</v>
      </c>
      <c r="CA321" s="49">
        <f t="shared" ca="1" si="392"/>
        <v>-10951671.191655984</v>
      </c>
      <c r="CB321" s="49">
        <f t="shared" ca="1" si="392"/>
        <v>-10987032.185367262</v>
      </c>
      <c r="CC321" s="49">
        <f t="shared" ca="1" si="392"/>
        <v>-11023691.829660339</v>
      </c>
      <c r="CD321" s="49">
        <f t="shared" ca="1" si="392"/>
        <v>-11060473.793565942</v>
      </c>
      <c r="CE321" s="49">
        <f t="shared" ca="1" si="392"/>
        <v>-11096186.091480438</v>
      </c>
      <c r="CF321" s="49">
        <f t="shared" ca="1" si="392"/>
        <v>-11133209.941803297</v>
      </c>
      <c r="CG321" s="49">
        <f t="shared" ca="1" si="392"/>
        <v>-11169157.09177237</v>
      </c>
      <c r="CH321" s="49">
        <f t="shared" ca="1" si="392"/>
        <v>-11206424.419211643</v>
      </c>
      <c r="CI321" s="49">
        <f t="shared" ca="1" si="392"/>
        <v>-11243816.093876317</v>
      </c>
      <c r="CJ321" s="49">
        <f t="shared" ca="1" si="392"/>
        <v>-11277696.443556949</v>
      </c>
      <c r="CK321" s="49">
        <f t="shared" ca="1" si="392"/>
        <v>-11315325.926486537</v>
      </c>
    </row>
    <row r="322" spans="2:89" ht="15.75" thickTop="1">
      <c r="B322" s="50" t="s">
        <v>58</v>
      </c>
      <c r="C322" s="51"/>
      <c r="D322" s="52">
        <f ca="1">SUM(D319:D321)</f>
        <v>0</v>
      </c>
      <c r="E322" s="53"/>
      <c r="F322" s="54">
        <f ca="1">SUM(F319:F321)</f>
        <v>0</v>
      </c>
      <c r="G322" s="54">
        <f t="shared" ref="G322:BM322" ca="1" si="393">SUM(G319:G321)</f>
        <v>0</v>
      </c>
      <c r="H322" s="54">
        <f t="shared" ca="1" si="393"/>
        <v>0</v>
      </c>
      <c r="I322" s="54">
        <f t="shared" ca="1" si="393"/>
        <v>0</v>
      </c>
      <c r="J322" s="54">
        <f t="shared" ca="1" si="393"/>
        <v>0</v>
      </c>
      <c r="K322" s="54">
        <f t="shared" ca="1" si="393"/>
        <v>0</v>
      </c>
      <c r="L322" s="54">
        <f t="shared" ca="1" si="393"/>
        <v>0</v>
      </c>
      <c r="M322" s="54">
        <f t="shared" ca="1" si="393"/>
        <v>0</v>
      </c>
      <c r="N322" s="54">
        <f t="shared" ca="1" si="393"/>
        <v>0</v>
      </c>
      <c r="O322" s="54">
        <f t="shared" ca="1" si="393"/>
        <v>0</v>
      </c>
      <c r="P322" s="54">
        <f t="shared" ca="1" si="393"/>
        <v>0</v>
      </c>
      <c r="Q322" s="54">
        <f t="shared" ca="1" si="393"/>
        <v>0</v>
      </c>
      <c r="R322" s="54">
        <f t="shared" ca="1" si="393"/>
        <v>0</v>
      </c>
      <c r="S322" s="54">
        <f t="shared" ca="1" si="393"/>
        <v>0</v>
      </c>
      <c r="T322" s="54">
        <f t="shared" ca="1" si="393"/>
        <v>0</v>
      </c>
      <c r="U322" s="54">
        <f t="shared" ca="1" si="393"/>
        <v>0</v>
      </c>
      <c r="V322" s="54">
        <f t="shared" ca="1" si="393"/>
        <v>0</v>
      </c>
      <c r="W322" s="54">
        <f t="shared" ca="1" si="393"/>
        <v>0</v>
      </c>
      <c r="X322" s="54">
        <f t="shared" ca="1" si="393"/>
        <v>0</v>
      </c>
      <c r="Y322" s="54">
        <f t="shared" ca="1" si="393"/>
        <v>0</v>
      </c>
      <c r="Z322" s="54">
        <f t="shared" ca="1" si="393"/>
        <v>0</v>
      </c>
      <c r="AA322" s="54">
        <f t="shared" ca="1" si="393"/>
        <v>0</v>
      </c>
      <c r="AB322" s="54">
        <f t="shared" ca="1" si="393"/>
        <v>0</v>
      </c>
      <c r="AC322" s="54">
        <f t="shared" ca="1" si="393"/>
        <v>0</v>
      </c>
      <c r="AD322" s="54">
        <f t="shared" ca="1" si="393"/>
        <v>0</v>
      </c>
      <c r="AE322" s="54">
        <f t="shared" ca="1" si="393"/>
        <v>0</v>
      </c>
      <c r="AF322" s="54">
        <f t="shared" ca="1" si="393"/>
        <v>0</v>
      </c>
      <c r="AG322" s="54">
        <f t="shared" ca="1" si="393"/>
        <v>0</v>
      </c>
      <c r="AH322" s="54">
        <f t="shared" ca="1" si="393"/>
        <v>0</v>
      </c>
      <c r="AI322" s="54">
        <f t="shared" ca="1" si="393"/>
        <v>0</v>
      </c>
      <c r="AJ322" s="54">
        <f t="shared" ca="1" si="393"/>
        <v>0</v>
      </c>
      <c r="AK322" s="54">
        <f t="shared" ca="1" si="393"/>
        <v>0</v>
      </c>
      <c r="AL322" s="54">
        <f t="shared" ca="1" si="393"/>
        <v>0</v>
      </c>
      <c r="AM322" s="54">
        <f t="shared" ca="1" si="393"/>
        <v>0</v>
      </c>
      <c r="AN322" s="54">
        <f t="shared" ca="1" si="393"/>
        <v>0</v>
      </c>
      <c r="AO322" s="54">
        <f t="shared" ca="1" si="393"/>
        <v>0</v>
      </c>
      <c r="AP322" s="54">
        <f t="shared" ca="1" si="393"/>
        <v>0</v>
      </c>
      <c r="AQ322" s="54">
        <f t="shared" ca="1" si="393"/>
        <v>0</v>
      </c>
      <c r="AR322" s="54">
        <f t="shared" ca="1" si="393"/>
        <v>0</v>
      </c>
      <c r="AS322" s="54">
        <f t="shared" ca="1" si="393"/>
        <v>0</v>
      </c>
      <c r="AT322" s="54">
        <f t="shared" ca="1" si="393"/>
        <v>0</v>
      </c>
      <c r="AU322" s="54">
        <f t="shared" ca="1" si="393"/>
        <v>0</v>
      </c>
      <c r="AV322" s="54">
        <f t="shared" ca="1" si="393"/>
        <v>0</v>
      </c>
      <c r="AW322" s="54">
        <f t="shared" ca="1" si="393"/>
        <v>0</v>
      </c>
      <c r="AX322" s="54">
        <f t="shared" ca="1" si="393"/>
        <v>0</v>
      </c>
      <c r="AY322" s="54">
        <f t="shared" ca="1" si="393"/>
        <v>0</v>
      </c>
      <c r="AZ322" s="54">
        <f t="shared" ca="1" si="393"/>
        <v>0</v>
      </c>
      <c r="BA322" s="54">
        <f t="shared" ca="1" si="393"/>
        <v>0</v>
      </c>
      <c r="BB322" s="54">
        <f t="shared" ca="1" si="393"/>
        <v>0</v>
      </c>
      <c r="BC322" s="54">
        <f t="shared" ca="1" si="393"/>
        <v>0</v>
      </c>
      <c r="BD322" s="54">
        <f t="shared" ca="1" si="393"/>
        <v>0</v>
      </c>
      <c r="BE322" s="54">
        <f t="shared" ca="1" si="393"/>
        <v>0</v>
      </c>
      <c r="BF322" s="54">
        <f t="shared" ca="1" si="393"/>
        <v>0</v>
      </c>
      <c r="BG322" s="54">
        <f t="shared" ca="1" si="393"/>
        <v>0</v>
      </c>
      <c r="BH322" s="54">
        <f t="shared" ca="1" si="393"/>
        <v>0</v>
      </c>
      <c r="BI322" s="54">
        <f t="shared" ca="1" si="393"/>
        <v>0</v>
      </c>
      <c r="BJ322" s="54">
        <f t="shared" ca="1" si="393"/>
        <v>0</v>
      </c>
      <c r="BK322" s="54">
        <f t="shared" ca="1" si="393"/>
        <v>0</v>
      </c>
      <c r="BL322" s="54">
        <f t="shared" ca="1" si="393"/>
        <v>0</v>
      </c>
      <c r="BM322" s="54">
        <f t="shared" ca="1" si="393"/>
        <v>0</v>
      </c>
      <c r="BN322" s="54">
        <f t="shared" ref="BN322:CK322" ca="1" si="394">SUM(BN319:BN321)</f>
        <v>0</v>
      </c>
      <c r="BO322" s="54">
        <f t="shared" ca="1" si="394"/>
        <v>0</v>
      </c>
      <c r="BP322" s="54">
        <f t="shared" ca="1" si="394"/>
        <v>0</v>
      </c>
      <c r="BQ322" s="54">
        <f t="shared" ca="1" si="394"/>
        <v>0</v>
      </c>
      <c r="BR322" s="54">
        <f t="shared" ca="1" si="394"/>
        <v>0</v>
      </c>
      <c r="BS322" s="54">
        <f t="shared" ca="1" si="394"/>
        <v>0</v>
      </c>
      <c r="BT322" s="54">
        <f t="shared" ca="1" si="394"/>
        <v>0</v>
      </c>
      <c r="BU322" s="54">
        <f t="shared" ca="1" si="394"/>
        <v>0</v>
      </c>
      <c r="BV322" s="54">
        <f t="shared" ca="1" si="394"/>
        <v>0</v>
      </c>
      <c r="BW322" s="54">
        <f t="shared" ca="1" si="394"/>
        <v>0</v>
      </c>
      <c r="BX322" s="54">
        <f t="shared" ca="1" si="394"/>
        <v>0</v>
      </c>
      <c r="BY322" s="54">
        <f t="shared" ca="1" si="394"/>
        <v>0</v>
      </c>
      <c r="BZ322" s="54">
        <f t="shared" ca="1" si="394"/>
        <v>0</v>
      </c>
      <c r="CA322" s="54">
        <f t="shared" ca="1" si="394"/>
        <v>0</v>
      </c>
      <c r="CB322" s="54">
        <f t="shared" ca="1" si="394"/>
        <v>0</v>
      </c>
      <c r="CC322" s="54">
        <f t="shared" ca="1" si="394"/>
        <v>0</v>
      </c>
      <c r="CD322" s="54">
        <f t="shared" ca="1" si="394"/>
        <v>0</v>
      </c>
      <c r="CE322" s="54">
        <f t="shared" ca="1" si="394"/>
        <v>0</v>
      </c>
      <c r="CF322" s="54">
        <f t="shared" ca="1" si="394"/>
        <v>0</v>
      </c>
      <c r="CG322" s="54">
        <f t="shared" ca="1" si="394"/>
        <v>0</v>
      </c>
      <c r="CH322" s="54">
        <f t="shared" ca="1" si="394"/>
        <v>0</v>
      </c>
      <c r="CI322" s="54">
        <f t="shared" ca="1" si="394"/>
        <v>0</v>
      </c>
      <c r="CJ322" s="54">
        <f t="shared" ca="1" si="394"/>
        <v>0</v>
      </c>
      <c r="CK322" s="54">
        <f t="shared" ca="1" si="394"/>
        <v>0</v>
      </c>
    </row>
    <row r="323" spans="2:89"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81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</row>
    <row r="324" spans="2:89" ht="18" thickBot="1">
      <c r="B324" s="100" t="s">
        <v>139</v>
      </c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</row>
    <row r="325" spans="2:89" ht="15.75" thickTop="1"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</row>
    <row r="326" spans="2:89">
      <c r="B326" s="145" t="s">
        <v>529</v>
      </c>
      <c r="C326" s="146"/>
      <c r="D326" s="146"/>
      <c r="E326" s="146"/>
      <c r="F326" s="29">
        <f>IF(F$21=12,1,0)</f>
        <v>0</v>
      </c>
      <c r="G326" s="29">
        <f t="shared" ref="G326:BR326" si="395">IF(G$21=12,1,0)</f>
        <v>0</v>
      </c>
      <c r="H326" s="29">
        <f t="shared" si="395"/>
        <v>0</v>
      </c>
      <c r="I326" s="29">
        <f t="shared" si="395"/>
        <v>0</v>
      </c>
      <c r="J326" s="29">
        <f t="shared" si="395"/>
        <v>0</v>
      </c>
      <c r="K326" s="29">
        <f t="shared" si="395"/>
        <v>0</v>
      </c>
      <c r="L326" s="29">
        <f t="shared" si="395"/>
        <v>0</v>
      </c>
      <c r="M326" s="29">
        <f t="shared" si="395"/>
        <v>0</v>
      </c>
      <c r="N326" s="29">
        <f t="shared" si="395"/>
        <v>1</v>
      </c>
      <c r="O326" s="29">
        <f t="shared" si="395"/>
        <v>0</v>
      </c>
      <c r="P326" s="29">
        <f t="shared" si="395"/>
        <v>0</v>
      </c>
      <c r="Q326" s="29">
        <f t="shared" si="395"/>
        <v>0</v>
      </c>
      <c r="R326" s="29">
        <f t="shared" si="395"/>
        <v>0</v>
      </c>
      <c r="S326" s="29">
        <f t="shared" si="395"/>
        <v>0</v>
      </c>
      <c r="T326" s="29">
        <f t="shared" si="395"/>
        <v>0</v>
      </c>
      <c r="U326" s="29">
        <f t="shared" si="395"/>
        <v>0</v>
      </c>
      <c r="V326" s="29">
        <f t="shared" si="395"/>
        <v>0</v>
      </c>
      <c r="W326" s="29">
        <f t="shared" si="395"/>
        <v>0</v>
      </c>
      <c r="X326" s="29">
        <f t="shared" si="395"/>
        <v>0</v>
      </c>
      <c r="Y326" s="29">
        <f t="shared" si="395"/>
        <v>0</v>
      </c>
      <c r="Z326" s="29">
        <f t="shared" si="395"/>
        <v>1</v>
      </c>
      <c r="AA326" s="29">
        <f t="shared" si="395"/>
        <v>0</v>
      </c>
      <c r="AB326" s="29">
        <f t="shared" si="395"/>
        <v>0</v>
      </c>
      <c r="AC326" s="29">
        <f t="shared" si="395"/>
        <v>0</v>
      </c>
      <c r="AD326" s="29">
        <f t="shared" si="395"/>
        <v>0</v>
      </c>
      <c r="AE326" s="29">
        <f t="shared" si="395"/>
        <v>0</v>
      </c>
      <c r="AF326" s="29">
        <f t="shared" si="395"/>
        <v>0</v>
      </c>
      <c r="AG326" s="29">
        <f t="shared" si="395"/>
        <v>0</v>
      </c>
      <c r="AH326" s="29">
        <f t="shared" si="395"/>
        <v>0</v>
      </c>
      <c r="AI326" s="29">
        <f t="shared" si="395"/>
        <v>0</v>
      </c>
      <c r="AJ326" s="29">
        <f t="shared" si="395"/>
        <v>0</v>
      </c>
      <c r="AK326" s="29">
        <f t="shared" si="395"/>
        <v>0</v>
      </c>
      <c r="AL326" s="29">
        <f t="shared" si="395"/>
        <v>1</v>
      </c>
      <c r="AM326" s="29">
        <f t="shared" si="395"/>
        <v>0</v>
      </c>
      <c r="AN326" s="29">
        <f t="shared" si="395"/>
        <v>0</v>
      </c>
      <c r="AO326" s="29">
        <f t="shared" si="395"/>
        <v>0</v>
      </c>
      <c r="AP326" s="29">
        <f t="shared" si="395"/>
        <v>0</v>
      </c>
      <c r="AQ326" s="29">
        <f t="shared" si="395"/>
        <v>0</v>
      </c>
      <c r="AR326" s="29">
        <f t="shared" si="395"/>
        <v>0</v>
      </c>
      <c r="AS326" s="29">
        <f t="shared" si="395"/>
        <v>0</v>
      </c>
      <c r="AT326" s="29">
        <f t="shared" si="395"/>
        <v>0</v>
      </c>
      <c r="AU326" s="29">
        <f t="shared" si="395"/>
        <v>0</v>
      </c>
      <c r="AV326" s="29">
        <f t="shared" si="395"/>
        <v>0</v>
      </c>
      <c r="AW326" s="29">
        <f t="shared" si="395"/>
        <v>0</v>
      </c>
      <c r="AX326" s="29">
        <f t="shared" si="395"/>
        <v>1</v>
      </c>
      <c r="AY326" s="29">
        <f t="shared" si="395"/>
        <v>0</v>
      </c>
      <c r="AZ326" s="29">
        <f t="shared" si="395"/>
        <v>0</v>
      </c>
      <c r="BA326" s="29">
        <f t="shared" si="395"/>
        <v>0</v>
      </c>
      <c r="BB326" s="29">
        <f t="shared" si="395"/>
        <v>0</v>
      </c>
      <c r="BC326" s="29">
        <f t="shared" si="395"/>
        <v>0</v>
      </c>
      <c r="BD326" s="29">
        <f t="shared" si="395"/>
        <v>0</v>
      </c>
      <c r="BE326" s="29">
        <f t="shared" si="395"/>
        <v>0</v>
      </c>
      <c r="BF326" s="29">
        <f t="shared" si="395"/>
        <v>0</v>
      </c>
      <c r="BG326" s="29">
        <f t="shared" si="395"/>
        <v>0</v>
      </c>
      <c r="BH326" s="29">
        <f t="shared" si="395"/>
        <v>0</v>
      </c>
      <c r="BI326" s="29">
        <f t="shared" si="395"/>
        <v>0</v>
      </c>
      <c r="BJ326" s="29">
        <f t="shared" si="395"/>
        <v>1</v>
      </c>
      <c r="BK326" s="29">
        <f t="shared" si="395"/>
        <v>0</v>
      </c>
      <c r="BL326" s="29">
        <f t="shared" si="395"/>
        <v>0</v>
      </c>
      <c r="BM326" s="29">
        <f t="shared" si="395"/>
        <v>0</v>
      </c>
      <c r="BN326" s="29">
        <f t="shared" si="395"/>
        <v>0</v>
      </c>
      <c r="BO326" s="29">
        <f t="shared" si="395"/>
        <v>0</v>
      </c>
      <c r="BP326" s="29">
        <f t="shared" si="395"/>
        <v>0</v>
      </c>
      <c r="BQ326" s="29">
        <f t="shared" si="395"/>
        <v>0</v>
      </c>
      <c r="BR326" s="29">
        <f t="shared" si="395"/>
        <v>0</v>
      </c>
      <c r="BS326" s="29">
        <f t="shared" ref="BS326:CK326" si="396">IF(BS$21=12,1,0)</f>
        <v>0</v>
      </c>
      <c r="BT326" s="29">
        <f t="shared" si="396"/>
        <v>0</v>
      </c>
      <c r="BU326" s="29">
        <f t="shared" si="396"/>
        <v>0</v>
      </c>
      <c r="BV326" s="29">
        <f t="shared" si="396"/>
        <v>1</v>
      </c>
      <c r="BW326" s="29">
        <f t="shared" si="396"/>
        <v>0</v>
      </c>
      <c r="BX326" s="29">
        <f t="shared" si="396"/>
        <v>0</v>
      </c>
      <c r="BY326" s="29">
        <f t="shared" si="396"/>
        <v>0</v>
      </c>
      <c r="BZ326" s="29">
        <f t="shared" si="396"/>
        <v>0</v>
      </c>
      <c r="CA326" s="29">
        <f t="shared" si="396"/>
        <v>0</v>
      </c>
      <c r="CB326" s="29">
        <f t="shared" si="396"/>
        <v>0</v>
      </c>
      <c r="CC326" s="29">
        <f t="shared" si="396"/>
        <v>0</v>
      </c>
      <c r="CD326" s="29">
        <f t="shared" si="396"/>
        <v>0</v>
      </c>
      <c r="CE326" s="29">
        <f t="shared" si="396"/>
        <v>0</v>
      </c>
      <c r="CF326" s="29">
        <f t="shared" si="396"/>
        <v>0</v>
      </c>
      <c r="CG326" s="29">
        <f t="shared" si="396"/>
        <v>0</v>
      </c>
      <c r="CH326" s="29">
        <f t="shared" si="396"/>
        <v>1</v>
      </c>
      <c r="CI326" s="29">
        <f t="shared" si="396"/>
        <v>0</v>
      </c>
      <c r="CJ326" s="29">
        <f t="shared" si="396"/>
        <v>0</v>
      </c>
      <c r="CK326" s="29">
        <f t="shared" si="396"/>
        <v>0</v>
      </c>
    </row>
    <row r="327" spans="2:89"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</row>
    <row r="328" spans="2:89" ht="15.75" thickBot="1">
      <c r="B328" s="96" t="s">
        <v>21</v>
      </c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</row>
    <row r="329" spans="2:89"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</row>
    <row r="330" spans="2:89">
      <c r="B330" s="45" t="str">
        <f>"Предельная сумма ФОТ, в "&amp;Ед_измерения_денег</f>
        <v>Предельная сумма ФОТ, в  руб.</v>
      </c>
      <c r="C330" s="118"/>
      <c r="D330" s="118"/>
      <c r="E330" s="118"/>
      <c r="F330" s="49">
        <f t="shared" ref="F330:AK330" si="397">IFERROR(LOOKUP(F$19,Страховые_взносы_года,Страховые_взносы_ставка_отсечения),0)</f>
        <v>1917000</v>
      </c>
      <c r="G330" s="49">
        <f t="shared" si="397"/>
        <v>1917000</v>
      </c>
      <c r="H330" s="49">
        <f t="shared" si="397"/>
        <v>1917000</v>
      </c>
      <c r="I330" s="49">
        <f t="shared" si="397"/>
        <v>1917000</v>
      </c>
      <c r="J330" s="49">
        <f t="shared" si="397"/>
        <v>1917000</v>
      </c>
      <c r="K330" s="49">
        <f t="shared" si="397"/>
        <v>1917000</v>
      </c>
      <c r="L330" s="49">
        <f t="shared" si="397"/>
        <v>1917000</v>
      </c>
      <c r="M330" s="49">
        <f t="shared" si="397"/>
        <v>1917000</v>
      </c>
      <c r="N330" s="49">
        <f t="shared" si="397"/>
        <v>1917000</v>
      </c>
      <c r="O330" s="49">
        <f t="shared" si="397"/>
        <v>1917000</v>
      </c>
      <c r="P330" s="49">
        <f t="shared" si="397"/>
        <v>1917000</v>
      </c>
      <c r="Q330" s="49">
        <f t="shared" si="397"/>
        <v>1917000</v>
      </c>
      <c r="R330" s="49">
        <f t="shared" si="397"/>
        <v>1917000</v>
      </c>
      <c r="S330" s="49">
        <f t="shared" si="397"/>
        <v>1917000</v>
      </c>
      <c r="T330" s="49">
        <f t="shared" si="397"/>
        <v>1917000</v>
      </c>
      <c r="U330" s="49">
        <f t="shared" si="397"/>
        <v>1917000</v>
      </c>
      <c r="V330" s="49">
        <f t="shared" si="397"/>
        <v>1917000</v>
      </c>
      <c r="W330" s="49">
        <f t="shared" si="397"/>
        <v>1917000</v>
      </c>
      <c r="X330" s="49">
        <f t="shared" si="397"/>
        <v>1917000</v>
      </c>
      <c r="Y330" s="49">
        <f t="shared" si="397"/>
        <v>1917000</v>
      </c>
      <c r="Z330" s="49">
        <f t="shared" si="397"/>
        <v>1917000</v>
      </c>
      <c r="AA330" s="49">
        <f t="shared" si="397"/>
        <v>1917000</v>
      </c>
      <c r="AB330" s="49">
        <f t="shared" si="397"/>
        <v>1917000</v>
      </c>
      <c r="AC330" s="49">
        <f t="shared" si="397"/>
        <v>1917000</v>
      </c>
      <c r="AD330" s="49">
        <f t="shared" si="397"/>
        <v>1917000</v>
      </c>
      <c r="AE330" s="49">
        <f t="shared" si="397"/>
        <v>1917000</v>
      </c>
      <c r="AF330" s="49">
        <f t="shared" si="397"/>
        <v>1917000</v>
      </c>
      <c r="AG330" s="49">
        <f t="shared" si="397"/>
        <v>1917000</v>
      </c>
      <c r="AH330" s="49">
        <f t="shared" si="397"/>
        <v>1917000</v>
      </c>
      <c r="AI330" s="49">
        <f t="shared" si="397"/>
        <v>1917000</v>
      </c>
      <c r="AJ330" s="49">
        <f t="shared" si="397"/>
        <v>1917000</v>
      </c>
      <c r="AK330" s="49">
        <f t="shared" si="397"/>
        <v>1917000</v>
      </c>
      <c r="AL330" s="49">
        <f t="shared" ref="AL330:CK330" si="398">IFERROR(LOOKUP(AL$19,Страховые_взносы_года,Страховые_взносы_ставка_отсечения),0)</f>
        <v>1917000</v>
      </c>
      <c r="AM330" s="49">
        <f t="shared" si="398"/>
        <v>1917000</v>
      </c>
      <c r="AN330" s="49">
        <f t="shared" si="398"/>
        <v>1917000</v>
      </c>
      <c r="AO330" s="49">
        <f t="shared" si="398"/>
        <v>1917000</v>
      </c>
      <c r="AP330" s="49">
        <f t="shared" si="398"/>
        <v>1917000</v>
      </c>
      <c r="AQ330" s="49">
        <f t="shared" si="398"/>
        <v>1917000</v>
      </c>
      <c r="AR330" s="49">
        <f t="shared" si="398"/>
        <v>1917000</v>
      </c>
      <c r="AS330" s="49">
        <f t="shared" si="398"/>
        <v>1917000</v>
      </c>
      <c r="AT330" s="49">
        <f t="shared" si="398"/>
        <v>1917000</v>
      </c>
      <c r="AU330" s="49">
        <f t="shared" si="398"/>
        <v>1917000</v>
      </c>
      <c r="AV330" s="49">
        <f t="shared" si="398"/>
        <v>1917000</v>
      </c>
      <c r="AW330" s="49">
        <f t="shared" si="398"/>
        <v>1917000</v>
      </c>
      <c r="AX330" s="49">
        <f t="shared" si="398"/>
        <v>1917000</v>
      </c>
      <c r="AY330" s="49">
        <f t="shared" si="398"/>
        <v>1917000</v>
      </c>
      <c r="AZ330" s="49">
        <f t="shared" si="398"/>
        <v>1917000</v>
      </c>
      <c r="BA330" s="49">
        <f t="shared" si="398"/>
        <v>1917000</v>
      </c>
      <c r="BB330" s="49">
        <f t="shared" si="398"/>
        <v>1917000</v>
      </c>
      <c r="BC330" s="49">
        <f t="shared" si="398"/>
        <v>1917000</v>
      </c>
      <c r="BD330" s="49">
        <f t="shared" si="398"/>
        <v>1917000</v>
      </c>
      <c r="BE330" s="49">
        <f t="shared" si="398"/>
        <v>1917000</v>
      </c>
      <c r="BF330" s="49">
        <f t="shared" si="398"/>
        <v>1917000</v>
      </c>
      <c r="BG330" s="49">
        <f t="shared" si="398"/>
        <v>1917000</v>
      </c>
      <c r="BH330" s="49">
        <f t="shared" si="398"/>
        <v>1917000</v>
      </c>
      <c r="BI330" s="49">
        <f t="shared" si="398"/>
        <v>1917000</v>
      </c>
      <c r="BJ330" s="49">
        <f t="shared" si="398"/>
        <v>1917000</v>
      </c>
      <c r="BK330" s="49">
        <f t="shared" si="398"/>
        <v>1917000</v>
      </c>
      <c r="BL330" s="49">
        <f t="shared" si="398"/>
        <v>1917000</v>
      </c>
      <c r="BM330" s="49">
        <f t="shared" si="398"/>
        <v>1917000</v>
      </c>
      <c r="BN330" s="49">
        <f t="shared" si="398"/>
        <v>1917000</v>
      </c>
      <c r="BO330" s="49">
        <f t="shared" si="398"/>
        <v>1917000</v>
      </c>
      <c r="BP330" s="49">
        <f t="shared" si="398"/>
        <v>1917000</v>
      </c>
      <c r="BQ330" s="49">
        <f t="shared" si="398"/>
        <v>1917000</v>
      </c>
      <c r="BR330" s="49">
        <f t="shared" si="398"/>
        <v>1917000</v>
      </c>
      <c r="BS330" s="49">
        <f t="shared" si="398"/>
        <v>1917000</v>
      </c>
      <c r="BT330" s="49">
        <f t="shared" si="398"/>
        <v>1917000</v>
      </c>
      <c r="BU330" s="49">
        <f t="shared" si="398"/>
        <v>1917000</v>
      </c>
      <c r="BV330" s="49">
        <f t="shared" si="398"/>
        <v>1917000</v>
      </c>
      <c r="BW330" s="49">
        <f t="shared" si="398"/>
        <v>1917000</v>
      </c>
      <c r="BX330" s="49">
        <f t="shared" si="398"/>
        <v>1917000</v>
      </c>
      <c r="BY330" s="49">
        <f t="shared" si="398"/>
        <v>1917000</v>
      </c>
      <c r="BZ330" s="49">
        <f t="shared" si="398"/>
        <v>1917000</v>
      </c>
      <c r="CA330" s="49">
        <f t="shared" si="398"/>
        <v>1917000</v>
      </c>
      <c r="CB330" s="49">
        <f t="shared" si="398"/>
        <v>1917000</v>
      </c>
      <c r="CC330" s="49">
        <f t="shared" si="398"/>
        <v>1917000</v>
      </c>
      <c r="CD330" s="49">
        <f t="shared" si="398"/>
        <v>1917000</v>
      </c>
      <c r="CE330" s="49">
        <f t="shared" si="398"/>
        <v>1917000</v>
      </c>
      <c r="CF330" s="49">
        <f t="shared" si="398"/>
        <v>1917000</v>
      </c>
      <c r="CG330" s="49">
        <f t="shared" si="398"/>
        <v>1917000</v>
      </c>
      <c r="CH330" s="49">
        <f t="shared" si="398"/>
        <v>1917000</v>
      </c>
      <c r="CI330" s="49">
        <f t="shared" si="398"/>
        <v>1917000</v>
      </c>
      <c r="CJ330" s="49">
        <f t="shared" si="398"/>
        <v>1917000</v>
      </c>
      <c r="CK330" s="49">
        <f t="shared" si="398"/>
        <v>1917000</v>
      </c>
    </row>
    <row r="331" spans="2:89">
      <c r="B331" s="155" t="s">
        <v>22</v>
      </c>
      <c r="C331" s="156"/>
      <c r="D331" s="160"/>
      <c r="E331" s="158"/>
      <c r="F331" s="159">
        <f t="shared" ref="F331:AK331" si="399">IFERROR(LOOKUP(F$19,Страховые_взносы_года,Страховые_взносы_ставка),0)</f>
        <v>0.3</v>
      </c>
      <c r="G331" s="159">
        <f t="shared" si="399"/>
        <v>0.3</v>
      </c>
      <c r="H331" s="159">
        <f t="shared" si="399"/>
        <v>0.3</v>
      </c>
      <c r="I331" s="159">
        <f t="shared" si="399"/>
        <v>0.3</v>
      </c>
      <c r="J331" s="159">
        <f t="shared" si="399"/>
        <v>0.3</v>
      </c>
      <c r="K331" s="159">
        <f t="shared" si="399"/>
        <v>0.3</v>
      </c>
      <c r="L331" s="159">
        <f t="shared" si="399"/>
        <v>0.3</v>
      </c>
      <c r="M331" s="159">
        <f t="shared" si="399"/>
        <v>0.3</v>
      </c>
      <c r="N331" s="159">
        <f t="shared" si="399"/>
        <v>0.3</v>
      </c>
      <c r="O331" s="159">
        <f t="shared" si="399"/>
        <v>0.3</v>
      </c>
      <c r="P331" s="159">
        <f t="shared" si="399"/>
        <v>0.3</v>
      </c>
      <c r="Q331" s="159">
        <f t="shared" si="399"/>
        <v>0.3</v>
      </c>
      <c r="R331" s="159">
        <f t="shared" si="399"/>
        <v>0.3</v>
      </c>
      <c r="S331" s="159">
        <f t="shared" si="399"/>
        <v>0.3</v>
      </c>
      <c r="T331" s="159">
        <f t="shared" si="399"/>
        <v>0.3</v>
      </c>
      <c r="U331" s="159">
        <f t="shared" si="399"/>
        <v>0.3</v>
      </c>
      <c r="V331" s="159">
        <f t="shared" si="399"/>
        <v>0.3</v>
      </c>
      <c r="W331" s="159">
        <f t="shared" si="399"/>
        <v>0.3</v>
      </c>
      <c r="X331" s="159">
        <f t="shared" si="399"/>
        <v>0.3</v>
      </c>
      <c r="Y331" s="159">
        <f t="shared" si="399"/>
        <v>0.3</v>
      </c>
      <c r="Z331" s="159">
        <f t="shared" si="399"/>
        <v>0.3</v>
      </c>
      <c r="AA331" s="159">
        <f t="shared" si="399"/>
        <v>0.3</v>
      </c>
      <c r="AB331" s="159">
        <f t="shared" si="399"/>
        <v>0.3</v>
      </c>
      <c r="AC331" s="159">
        <f t="shared" si="399"/>
        <v>0.3</v>
      </c>
      <c r="AD331" s="159">
        <f t="shared" si="399"/>
        <v>0.3</v>
      </c>
      <c r="AE331" s="159">
        <f t="shared" si="399"/>
        <v>0.3</v>
      </c>
      <c r="AF331" s="159">
        <f t="shared" si="399"/>
        <v>0.3</v>
      </c>
      <c r="AG331" s="159">
        <f t="shared" si="399"/>
        <v>0.3</v>
      </c>
      <c r="AH331" s="159">
        <f t="shared" si="399"/>
        <v>0.3</v>
      </c>
      <c r="AI331" s="159">
        <f t="shared" si="399"/>
        <v>0.3</v>
      </c>
      <c r="AJ331" s="159">
        <f t="shared" si="399"/>
        <v>0.3</v>
      </c>
      <c r="AK331" s="159">
        <f t="shared" si="399"/>
        <v>0.3</v>
      </c>
      <c r="AL331" s="159">
        <f t="shared" ref="AL331:CK331" si="400">IFERROR(LOOKUP(AL$19,Страховые_взносы_года,Страховые_взносы_ставка),0)</f>
        <v>0.3</v>
      </c>
      <c r="AM331" s="159">
        <f t="shared" si="400"/>
        <v>0.3</v>
      </c>
      <c r="AN331" s="159">
        <f t="shared" si="400"/>
        <v>0.3</v>
      </c>
      <c r="AO331" s="159">
        <f t="shared" si="400"/>
        <v>0.3</v>
      </c>
      <c r="AP331" s="159">
        <f t="shared" si="400"/>
        <v>0.3</v>
      </c>
      <c r="AQ331" s="159">
        <f t="shared" si="400"/>
        <v>0.3</v>
      </c>
      <c r="AR331" s="159">
        <f t="shared" si="400"/>
        <v>0.3</v>
      </c>
      <c r="AS331" s="159">
        <f t="shared" si="400"/>
        <v>0.3</v>
      </c>
      <c r="AT331" s="159">
        <f t="shared" si="400"/>
        <v>0.3</v>
      </c>
      <c r="AU331" s="159">
        <f t="shared" si="400"/>
        <v>0.3</v>
      </c>
      <c r="AV331" s="159">
        <f t="shared" si="400"/>
        <v>0.3</v>
      </c>
      <c r="AW331" s="159">
        <f t="shared" si="400"/>
        <v>0.3</v>
      </c>
      <c r="AX331" s="159">
        <f t="shared" si="400"/>
        <v>0.3</v>
      </c>
      <c r="AY331" s="159">
        <f t="shared" si="400"/>
        <v>0.3</v>
      </c>
      <c r="AZ331" s="159">
        <f t="shared" si="400"/>
        <v>0.3</v>
      </c>
      <c r="BA331" s="159">
        <f t="shared" si="400"/>
        <v>0.3</v>
      </c>
      <c r="BB331" s="159">
        <f t="shared" si="400"/>
        <v>0.3</v>
      </c>
      <c r="BC331" s="159">
        <f t="shared" si="400"/>
        <v>0.3</v>
      </c>
      <c r="BD331" s="159">
        <f t="shared" si="400"/>
        <v>0.3</v>
      </c>
      <c r="BE331" s="159">
        <f t="shared" si="400"/>
        <v>0.3</v>
      </c>
      <c r="BF331" s="159">
        <f t="shared" si="400"/>
        <v>0.3</v>
      </c>
      <c r="BG331" s="159">
        <f t="shared" si="400"/>
        <v>0.3</v>
      </c>
      <c r="BH331" s="159">
        <f t="shared" si="400"/>
        <v>0.3</v>
      </c>
      <c r="BI331" s="159">
        <f t="shared" si="400"/>
        <v>0.3</v>
      </c>
      <c r="BJ331" s="159">
        <f t="shared" si="400"/>
        <v>0.3</v>
      </c>
      <c r="BK331" s="159">
        <f t="shared" si="400"/>
        <v>0.3</v>
      </c>
      <c r="BL331" s="159">
        <f t="shared" si="400"/>
        <v>0.3</v>
      </c>
      <c r="BM331" s="159">
        <f t="shared" si="400"/>
        <v>0.3</v>
      </c>
      <c r="BN331" s="159">
        <f t="shared" si="400"/>
        <v>0.3</v>
      </c>
      <c r="BO331" s="159">
        <f t="shared" si="400"/>
        <v>0.3</v>
      </c>
      <c r="BP331" s="159">
        <f t="shared" si="400"/>
        <v>0.3</v>
      </c>
      <c r="BQ331" s="159">
        <f t="shared" si="400"/>
        <v>0.3</v>
      </c>
      <c r="BR331" s="159">
        <f t="shared" si="400"/>
        <v>0.3</v>
      </c>
      <c r="BS331" s="159">
        <f t="shared" si="400"/>
        <v>0.3</v>
      </c>
      <c r="BT331" s="159">
        <f t="shared" si="400"/>
        <v>0.3</v>
      </c>
      <c r="BU331" s="159">
        <f t="shared" si="400"/>
        <v>0.3</v>
      </c>
      <c r="BV331" s="159">
        <f t="shared" si="400"/>
        <v>0.3</v>
      </c>
      <c r="BW331" s="159">
        <f t="shared" si="400"/>
        <v>0.3</v>
      </c>
      <c r="BX331" s="159">
        <f t="shared" si="400"/>
        <v>0.3</v>
      </c>
      <c r="BY331" s="159">
        <f t="shared" si="400"/>
        <v>0.3</v>
      </c>
      <c r="BZ331" s="159">
        <f t="shared" si="400"/>
        <v>0.3</v>
      </c>
      <c r="CA331" s="159">
        <f t="shared" si="400"/>
        <v>0.3</v>
      </c>
      <c r="CB331" s="159">
        <f t="shared" si="400"/>
        <v>0.3</v>
      </c>
      <c r="CC331" s="159">
        <f t="shared" si="400"/>
        <v>0.3</v>
      </c>
      <c r="CD331" s="159">
        <f t="shared" si="400"/>
        <v>0.3</v>
      </c>
      <c r="CE331" s="159">
        <f t="shared" si="400"/>
        <v>0.3</v>
      </c>
      <c r="CF331" s="159">
        <f t="shared" si="400"/>
        <v>0.3</v>
      </c>
      <c r="CG331" s="159">
        <f t="shared" si="400"/>
        <v>0.3</v>
      </c>
      <c r="CH331" s="159">
        <f t="shared" si="400"/>
        <v>0.3</v>
      </c>
      <c r="CI331" s="159">
        <f t="shared" si="400"/>
        <v>0.3</v>
      </c>
      <c r="CJ331" s="159">
        <f t="shared" si="400"/>
        <v>0.3</v>
      </c>
      <c r="CK331" s="159">
        <f t="shared" si="400"/>
        <v>0.3</v>
      </c>
    </row>
    <row r="332" spans="2:89">
      <c r="B332" s="155" t="s">
        <v>23</v>
      </c>
      <c r="C332" s="156"/>
      <c r="D332" s="160"/>
      <c r="E332" s="158"/>
      <c r="F332" s="159">
        <f t="shared" ref="F332:AK332" si="401">IFERROR(LOOKUP(F$19,Страховые_взносы_года,Страховые_взносы_пониженная_ставка),0)</f>
        <v>0.151</v>
      </c>
      <c r="G332" s="159">
        <f t="shared" si="401"/>
        <v>0.151</v>
      </c>
      <c r="H332" s="159">
        <f t="shared" si="401"/>
        <v>0.151</v>
      </c>
      <c r="I332" s="159">
        <f t="shared" si="401"/>
        <v>0.151</v>
      </c>
      <c r="J332" s="159">
        <f t="shared" si="401"/>
        <v>0.151</v>
      </c>
      <c r="K332" s="159">
        <f t="shared" si="401"/>
        <v>0.151</v>
      </c>
      <c r="L332" s="159">
        <f t="shared" si="401"/>
        <v>0.151</v>
      </c>
      <c r="M332" s="159">
        <f t="shared" si="401"/>
        <v>0.151</v>
      </c>
      <c r="N332" s="159">
        <f t="shared" si="401"/>
        <v>0.151</v>
      </c>
      <c r="O332" s="159">
        <f t="shared" si="401"/>
        <v>0.151</v>
      </c>
      <c r="P332" s="159">
        <f t="shared" si="401"/>
        <v>0.151</v>
      </c>
      <c r="Q332" s="159">
        <f t="shared" si="401"/>
        <v>0.151</v>
      </c>
      <c r="R332" s="159">
        <f t="shared" si="401"/>
        <v>0.151</v>
      </c>
      <c r="S332" s="159">
        <f t="shared" si="401"/>
        <v>0.151</v>
      </c>
      <c r="T332" s="159">
        <f t="shared" si="401"/>
        <v>0.151</v>
      </c>
      <c r="U332" s="159">
        <f t="shared" si="401"/>
        <v>0.151</v>
      </c>
      <c r="V332" s="159">
        <f t="shared" si="401"/>
        <v>0.151</v>
      </c>
      <c r="W332" s="159">
        <f t="shared" si="401"/>
        <v>0.151</v>
      </c>
      <c r="X332" s="159">
        <f t="shared" si="401"/>
        <v>0.151</v>
      </c>
      <c r="Y332" s="159">
        <f t="shared" si="401"/>
        <v>0.151</v>
      </c>
      <c r="Z332" s="159">
        <f t="shared" si="401"/>
        <v>0.151</v>
      </c>
      <c r="AA332" s="159">
        <f t="shared" si="401"/>
        <v>0.151</v>
      </c>
      <c r="AB332" s="159">
        <f t="shared" si="401"/>
        <v>0.151</v>
      </c>
      <c r="AC332" s="159">
        <f t="shared" si="401"/>
        <v>0.151</v>
      </c>
      <c r="AD332" s="159">
        <f t="shared" si="401"/>
        <v>0.151</v>
      </c>
      <c r="AE332" s="159">
        <f t="shared" si="401"/>
        <v>0.151</v>
      </c>
      <c r="AF332" s="159">
        <f t="shared" si="401"/>
        <v>0.151</v>
      </c>
      <c r="AG332" s="159">
        <f t="shared" si="401"/>
        <v>0.151</v>
      </c>
      <c r="AH332" s="159">
        <f t="shared" si="401"/>
        <v>0.151</v>
      </c>
      <c r="AI332" s="159">
        <f t="shared" si="401"/>
        <v>0.151</v>
      </c>
      <c r="AJ332" s="159">
        <f t="shared" si="401"/>
        <v>0.151</v>
      </c>
      <c r="AK332" s="159">
        <f t="shared" si="401"/>
        <v>0.151</v>
      </c>
      <c r="AL332" s="159">
        <f t="shared" ref="AL332:CK332" si="402">IFERROR(LOOKUP(AL$19,Страховые_взносы_года,Страховые_взносы_пониженная_ставка),0)</f>
        <v>0.151</v>
      </c>
      <c r="AM332" s="159">
        <f t="shared" si="402"/>
        <v>0.151</v>
      </c>
      <c r="AN332" s="159">
        <f t="shared" si="402"/>
        <v>0.151</v>
      </c>
      <c r="AO332" s="159">
        <f t="shared" si="402"/>
        <v>0.151</v>
      </c>
      <c r="AP332" s="159">
        <f t="shared" si="402"/>
        <v>0.151</v>
      </c>
      <c r="AQ332" s="159">
        <f t="shared" si="402"/>
        <v>0.151</v>
      </c>
      <c r="AR332" s="159">
        <f t="shared" si="402"/>
        <v>0.151</v>
      </c>
      <c r="AS332" s="159">
        <f t="shared" si="402"/>
        <v>0.151</v>
      </c>
      <c r="AT332" s="159">
        <f t="shared" si="402"/>
        <v>0.151</v>
      </c>
      <c r="AU332" s="159">
        <f t="shared" si="402"/>
        <v>0.151</v>
      </c>
      <c r="AV332" s="159">
        <f t="shared" si="402"/>
        <v>0.151</v>
      </c>
      <c r="AW332" s="159">
        <f t="shared" si="402"/>
        <v>0.151</v>
      </c>
      <c r="AX332" s="159">
        <f t="shared" si="402"/>
        <v>0.151</v>
      </c>
      <c r="AY332" s="159">
        <f t="shared" si="402"/>
        <v>0.151</v>
      </c>
      <c r="AZ332" s="159">
        <f t="shared" si="402"/>
        <v>0.151</v>
      </c>
      <c r="BA332" s="159">
        <f t="shared" si="402"/>
        <v>0.151</v>
      </c>
      <c r="BB332" s="159">
        <f t="shared" si="402"/>
        <v>0.151</v>
      </c>
      <c r="BC332" s="159">
        <f t="shared" si="402"/>
        <v>0.151</v>
      </c>
      <c r="BD332" s="159">
        <f t="shared" si="402"/>
        <v>0.151</v>
      </c>
      <c r="BE332" s="159">
        <f t="shared" si="402"/>
        <v>0.151</v>
      </c>
      <c r="BF332" s="159">
        <f t="shared" si="402"/>
        <v>0.151</v>
      </c>
      <c r="BG332" s="159">
        <f t="shared" si="402"/>
        <v>0.151</v>
      </c>
      <c r="BH332" s="159">
        <f t="shared" si="402"/>
        <v>0.151</v>
      </c>
      <c r="BI332" s="159">
        <f t="shared" si="402"/>
        <v>0.151</v>
      </c>
      <c r="BJ332" s="159">
        <f t="shared" si="402"/>
        <v>0.151</v>
      </c>
      <c r="BK332" s="159">
        <f t="shared" si="402"/>
        <v>0.151</v>
      </c>
      <c r="BL332" s="159">
        <f t="shared" si="402"/>
        <v>0.151</v>
      </c>
      <c r="BM332" s="159">
        <f t="shared" si="402"/>
        <v>0.151</v>
      </c>
      <c r="BN332" s="159">
        <f t="shared" si="402"/>
        <v>0.151</v>
      </c>
      <c r="BO332" s="159">
        <f t="shared" si="402"/>
        <v>0.151</v>
      </c>
      <c r="BP332" s="159">
        <f t="shared" si="402"/>
        <v>0.151</v>
      </c>
      <c r="BQ332" s="159">
        <f t="shared" si="402"/>
        <v>0.151</v>
      </c>
      <c r="BR332" s="159">
        <f t="shared" si="402"/>
        <v>0.151</v>
      </c>
      <c r="BS332" s="159">
        <f t="shared" si="402"/>
        <v>0.151</v>
      </c>
      <c r="BT332" s="159">
        <f t="shared" si="402"/>
        <v>0.151</v>
      </c>
      <c r="BU332" s="159">
        <f t="shared" si="402"/>
        <v>0.151</v>
      </c>
      <c r="BV332" s="159">
        <f t="shared" si="402"/>
        <v>0.151</v>
      </c>
      <c r="BW332" s="159">
        <f t="shared" si="402"/>
        <v>0.151</v>
      </c>
      <c r="BX332" s="159">
        <f t="shared" si="402"/>
        <v>0.151</v>
      </c>
      <c r="BY332" s="159">
        <f t="shared" si="402"/>
        <v>0.151</v>
      </c>
      <c r="BZ332" s="159">
        <f t="shared" si="402"/>
        <v>0.151</v>
      </c>
      <c r="CA332" s="159">
        <f t="shared" si="402"/>
        <v>0.151</v>
      </c>
      <c r="CB332" s="159">
        <f t="shared" si="402"/>
        <v>0.151</v>
      </c>
      <c r="CC332" s="159">
        <f t="shared" si="402"/>
        <v>0.151</v>
      </c>
      <c r="CD332" s="159">
        <f t="shared" si="402"/>
        <v>0.151</v>
      </c>
      <c r="CE332" s="159">
        <f t="shared" si="402"/>
        <v>0.151</v>
      </c>
      <c r="CF332" s="159">
        <f t="shared" si="402"/>
        <v>0.151</v>
      </c>
      <c r="CG332" s="159">
        <f t="shared" si="402"/>
        <v>0.151</v>
      </c>
      <c r="CH332" s="159">
        <f t="shared" si="402"/>
        <v>0.151</v>
      </c>
      <c r="CI332" s="159">
        <f t="shared" si="402"/>
        <v>0.151</v>
      </c>
      <c r="CJ332" s="159">
        <f t="shared" si="402"/>
        <v>0.151</v>
      </c>
      <c r="CK332" s="159">
        <f t="shared" si="402"/>
        <v>0.151</v>
      </c>
    </row>
    <row r="333" spans="2:89"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</row>
    <row r="334" spans="2:89" ht="15.75" thickBot="1">
      <c r="B334" s="96" t="str">
        <f>"Заработная плата на 1-го работника с начала года, в "&amp;Ед_измерения_денег</f>
        <v>Заработная плата на 1-го работника с начала года, в  руб.</v>
      </c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</row>
    <row r="335" spans="2:89">
      <c r="B335" s="14"/>
      <c r="C335" s="14"/>
      <c r="D335" s="14"/>
      <c r="E335" s="1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/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  <c r="BD335" s="154"/>
      <c r="BE335" s="154"/>
      <c r="BF335" s="154"/>
      <c r="BG335" s="154"/>
      <c r="BH335" s="154"/>
      <c r="BI335" s="154"/>
      <c r="BJ335" s="154"/>
      <c r="BK335" s="154"/>
      <c r="BL335" s="154"/>
      <c r="BM335" s="15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</row>
    <row r="336" spans="2:89">
      <c r="B336" s="45" t="str">
        <f t="array" ref="B336:B338">ФОТ_должности</f>
        <v>рабочие</v>
      </c>
      <c r="C336" s="118"/>
      <c r="D336" s="118"/>
      <c r="E336" s="118"/>
      <c r="F336" s="49">
        <f t="array" aca="1" ref="F336:F338" ca="1">IF(OFFSET(F$326,0,-1)=1,F306:F308,E336:E338+F306:F308)</f>
        <v>0</v>
      </c>
      <c r="G336" s="49">
        <f t="array" aca="1" ref="G336:G338" ca="1">IF(OFFSET(G$326,0,-1)=1,G306:G308,F336:F338+G306:G308)</f>
        <v>0</v>
      </c>
      <c r="H336" s="49">
        <f t="array" aca="1" ref="H336:H338" ca="1">IF(OFFSET(H$326,0,-1)=1,H306:H308,G336:G338+H306:H308)</f>
        <v>0</v>
      </c>
      <c r="I336" s="49">
        <f t="array" aca="1" ref="I336:I338" ca="1">IF(OFFSET(I$326,0,-1)=1,I306:I308,H336:H338+I306:I308)</f>
        <v>0</v>
      </c>
      <c r="J336" s="49">
        <f t="array" aca="1" ref="J336:J338" ca="1">IF(OFFSET(J$326,0,-1)=1,J306:J308,I336:I338+J306:J308)</f>
        <v>0</v>
      </c>
      <c r="K336" s="49">
        <f t="array" aca="1" ref="K336:K338" ca="1">IF(OFFSET(K$326,0,-1)=1,K306:K308,J336:J338+K306:K308)</f>
        <v>0</v>
      </c>
      <c r="L336" s="49">
        <f t="array" aca="1" ref="L336:L338" ca="1">IF(OFFSET(L$326,0,-1)=1,L306:L308,K336:K338+L306:L308)</f>
        <v>0</v>
      </c>
      <c r="M336" s="49">
        <f t="array" aca="1" ref="M336:M338" ca="1">IF(OFFSET(M$326,0,-1)=1,M306:M308,L336:L338+M306:M308)</f>
        <v>0</v>
      </c>
      <c r="N336" s="49">
        <f t="array" aca="1" ref="N336:N338" ca="1">IF(OFFSET(N$326,0,-1)=1,N306:N308,M336:M338+N306:N308)</f>
        <v>0</v>
      </c>
      <c r="O336" s="49">
        <f t="array" aca="1" ref="O336:O338" ca="1">IF(OFFSET(O$326,0,-1)=1,O306:O308,N336:N338+O306:O308)</f>
        <v>0</v>
      </c>
      <c r="P336" s="49">
        <f t="array" aca="1" ref="P336:P338" ca="1">IF(OFFSET(P$326,0,-1)=1,P306:P308,O336:O338+P306:P308)</f>
        <v>0</v>
      </c>
      <c r="Q336" s="49">
        <f t="array" aca="1" ref="Q336:Q338" ca="1">IF(OFFSET(Q$326,0,-1)=1,Q306:Q308,P336:P338+Q306:Q308)</f>
        <v>0</v>
      </c>
      <c r="R336" s="49">
        <f t="array" aca="1" ref="R336:R338" ca="1">IF(OFFSET(R$326,0,-1)=1,R306:R308,Q336:Q338+R306:R308)</f>
        <v>40522.03356206129</v>
      </c>
      <c r="S336" s="49">
        <f t="array" aca="1" ref="S336:S338" ca="1">IF(OFFSET(S$326,0,-1)=1,S306:S308,R336:R338+S306:S308)</f>
        <v>81178.904062719565</v>
      </c>
      <c r="T336" s="49">
        <f t="array" aca="1" ref="T336:T338" ca="1">IF(OFFSET(T$326,0,-1)=1,T306:T308,S336:S338+T306:T308)</f>
        <v>121966.68910115071</v>
      </c>
      <c r="U336" s="49">
        <f t="array" aca="1" ref="U336:U338" ca="1">IF(OFFSET(U$326,0,-1)=1,U306:U308,T336:T338+U306:U308)</f>
        <v>162890.19536537648</v>
      </c>
      <c r="V336" s="49">
        <f t="array" aca="1" ref="V336:V338" ca="1">IF(OFFSET(V$326,0,-1)=1,V306:V308,U336:U338+V306:V308)</f>
        <v>203949.87446734673</v>
      </c>
      <c r="W336" s="49">
        <f t="array" aca="1" ref="W336:W338" ca="1">IF(OFFSET(W$326,0,-1)=1,W306:W308,V336:V338+W306:W308)</f>
        <v>245141.76514498779</v>
      </c>
      <c r="X336" s="49">
        <f t="array" aca="1" ref="X336:X338" ca="1">IF(OFFSET(X$326,0,-1)=1,X306:X308,W336:W338+X306:X308)</f>
        <v>286470.72170866065</v>
      </c>
      <c r="Y336" s="49">
        <f t="array" aca="1" ref="Y336:Y338" ca="1">IF(OFFSET(Y$326,0,-1)=1,Y306:Y308,X336:X338+Y306:Y308)</f>
        <v>327932.75691755489</v>
      </c>
      <c r="Z336" s="49">
        <f t="array" aca="1" ref="Z336:Z338" ca="1">IF(OFFSET(Z$326,0,-1)=1,Z306:Z308,Y336:Y338+Z306:Z308)</f>
        <v>369532.75691755483</v>
      </c>
      <c r="AA336" s="49">
        <f t="array" aca="1" ref="AA336:AA338" ca="1">IF(OFFSET(AA$326,0,-1)=1,AA306:AA308,Z336:Z338+AA306:AA308)</f>
        <v>41738.80374398308</v>
      </c>
      <c r="AB336" s="49">
        <f t="array" aca="1" ref="AB336:AB338" ca="1">IF(OFFSET(AB$326,0,-1)=1,AB306:AB308,AA336:AA338+AB306:AB308)</f>
        <v>83603.376644477685</v>
      </c>
      <c r="AC336" s="49">
        <f t="array" aca="1" ref="AC336:AC338" ca="1">IF(OFFSET(AC$326,0,-1)=1,AC306:AC308,AB336:AB338+AC306:AC308)</f>
        <v>125607.63607042524</v>
      </c>
      <c r="AD336" s="49">
        <f t="array" aca="1" ref="AD336:AD338" ca="1">IF(OFFSET(AD$326,0,-1)=1,AD306:AD308,AC336:AC338+AD306:AD308)</f>
        <v>167747.51976114613</v>
      </c>
      <c r="AE336" s="49">
        <f t="array" aca="1" ref="AE336:AE338" ca="1">IF(OFFSET(AE$326,0,-1)=1,AE306:AE308,AD336:AD338+AE306:AE308)</f>
        <v>210028.00858713832</v>
      </c>
      <c r="AF336" s="49">
        <f t="array" aca="1" ref="AF336:AF338" ca="1">IF(OFFSET(AF$326,0,-1)=1,AF306:AF308,AE336:AE338+AF306:AF308)</f>
        <v>252445.01357338781</v>
      </c>
      <c r="AG336" s="49">
        <f t="array" aca="1" ref="AG336:AG338" ca="1">IF(OFFSET(AG$326,0,-1)=1,AG306:AG308,AF336:AF338+AG306:AG308)</f>
        <v>295003.54834571044</v>
      </c>
      <c r="AH336" s="49">
        <f t="array" aca="1" ref="AH336:AH338" ca="1">IF(OFFSET(AH$326,0,-1)=1,AH306:AH308,AG336:AG338+AH306:AH308)</f>
        <v>337704.08513641852</v>
      </c>
      <c r="AI336" s="49">
        <f t="array" aca="1" ref="AI336:AI338" ca="1">IF(OFFSET(AI$326,0,-1)=1,AI306:AI308,AH336:AH338+AI306:AI308)</f>
        <v>380542.49434737192</v>
      </c>
      <c r="AJ336" s="49">
        <f t="array" aca="1" ref="AJ336:AJ338" ca="1">IF(OFFSET(AJ$326,0,-1)=1,AJ306:AJ308,AI336:AI338+AJ306:AJ308)</f>
        <v>423523.83941372822</v>
      </c>
      <c r="AK336" s="49">
        <f t="array" aca="1" ref="AK336:AK338" ca="1">IF(OFFSET(AK$326,0,-1)=1,AK306:AK308,AJ336:AJ338+AK306:AK308)</f>
        <v>466643.96358018677</v>
      </c>
      <c r="AL336" s="49">
        <f t="array" aca="1" ref="AL336:AL338" ca="1">IF(OFFSET(AL$326,0,-1)=1,AL306:AL308,AK336:AK338+AL306:AL308)</f>
        <v>509907.96358018671</v>
      </c>
      <c r="AM336" s="49">
        <f t="array" aca="1" ref="AM336:AM338" ca="1">IF(OFFSET(AM$326,0,-1)=1,AM306:AM308,AL336:AL338+AM306:AM308)</f>
        <v>43408.355893742395</v>
      </c>
      <c r="AN336" s="49">
        <f t="array" aca="1" ref="AN336:AN338" ca="1">IF(OFFSET(AN$326,0,-1)=1,AN306:AN308,AM336:AM338+AN306:AN308)</f>
        <v>86947.511710256775</v>
      </c>
      <c r="AO336" s="49">
        <f t="array" aca="1" ref="AO336:AO338" ca="1">IF(OFFSET(AO$326,0,-1)=1,AO306:AO308,AN336:AN338+AO306:AO308)</f>
        <v>130631.94151324223</v>
      </c>
      <c r="AP336" s="49">
        <f t="array" aca="1" ref="AP336:AP338" ca="1">IF(OFFSET(AP$326,0,-1)=1,AP306:AP308,AO336:AO338+AP306:AP308)</f>
        <v>174457.42055159196</v>
      </c>
      <c r="AQ336" s="49">
        <f t="array" aca="1" ref="AQ336:AQ338" ca="1">IF(OFFSET(AQ$326,0,-1)=1,AQ306:AQ308,AP336:AP338+AQ306:AQ308)</f>
        <v>218429.12893062382</v>
      </c>
      <c r="AR336" s="49">
        <f t="array" aca="1" ref="AR336:AR338" ca="1">IF(OFFSET(AR$326,0,-1)=1,AR306:AR308,AQ336:AQ338+AR306:AR308)</f>
        <v>262542.81411632331</v>
      </c>
      <c r="AS336" s="49">
        <f t="array" aca="1" ref="AS336:AS338" ca="1">IF(OFFSET(AS$326,0,-1)=1,AS306:AS308,AR336:AR338+AS306:AS308)</f>
        <v>306803.69027953886</v>
      </c>
      <c r="AT336" s="49">
        <f t="array" aca="1" ref="AT336:AT338" ca="1">IF(OFFSET(AT$326,0,-1)=1,AT306:AT308,AS336:AS338+AT306:AT308)</f>
        <v>351212.24854187528</v>
      </c>
      <c r="AU336" s="49">
        <f t="array" aca="1" ref="AU336:AU338" ca="1">IF(OFFSET(AU$326,0,-1)=1,AU306:AU308,AT336:AT338+AU306:AU308)</f>
        <v>395764.19412126677</v>
      </c>
      <c r="AV336" s="49">
        <f t="array" aca="1" ref="AV336:AV338" ca="1">IF(OFFSET(AV$326,0,-1)=1,AV306:AV308,AU336:AU338+AV306:AV308)</f>
        <v>440464.79299027735</v>
      </c>
      <c r="AW336" s="49">
        <f t="array" aca="1" ref="AW336:AW338" ca="1">IF(OFFSET(AW$326,0,-1)=1,AW306:AW308,AV336:AV338+AW306:AW308)</f>
        <v>485309.72212339425</v>
      </c>
      <c r="AX336" s="49">
        <f t="array" aca="1" ref="AX336:AX338" ca="1">IF(OFFSET(AX$326,0,-1)=1,AX306:AX308,AW336:AW338+AX306:AX308)</f>
        <v>530304.28212339419</v>
      </c>
      <c r="AY336" s="49">
        <f t="array" aca="1" ref="AY336:AY338" ca="1">IF(OFFSET(AY$326,0,-1)=1,AY306:AY308,AX336:AX338+AY306:AY308)</f>
        <v>45144.690129492083</v>
      </c>
      <c r="AZ336" s="49">
        <f t="array" aca="1" ref="AZ336:AZ338" ca="1">IF(OFFSET(AZ$326,0,-1)=1,AZ306:AZ308,AY336:AY338+AZ306:AZ308)</f>
        <v>90425.412178667</v>
      </c>
      <c r="BA336" s="49">
        <f t="array" aca="1" ref="BA336:BA338" ca="1">IF(OFFSET(BA$326,0,-1)=1,BA306:BA308,AZ336:AZ338+BA306:BA308)</f>
        <v>135857.21917377185</v>
      </c>
      <c r="BB336" s="49">
        <f t="array" aca="1" ref="BB336:BB338" ca="1">IF(OFFSET(BB$326,0,-1)=1,BB306:BB308,BA336:BA338+BB306:BB308)</f>
        <v>181435.71737365556</v>
      </c>
      <c r="BC336" s="49">
        <f t="array" aca="1" ref="BC336:BC338" ca="1">IF(OFFSET(BC$326,0,-1)=1,BC306:BC308,BB336:BB338+BC306:BC308)</f>
        <v>227166.29408784868</v>
      </c>
      <c r="BD336" s="49">
        <f t="array" aca="1" ref="BD336:BD338" ca="1">IF(OFFSET(BD$326,0,-1)=1,BD306:BD308,BC336:BC338+BD306:BD308)</f>
        <v>273044.52668097615</v>
      </c>
      <c r="BE336" s="49">
        <f t="array" aca="1" ref="BE336:BE338" ca="1">IF(OFFSET(BE$326,0,-1)=1,BE306:BE308,BD336:BD338+BE306:BE308)</f>
        <v>319075.83789072029</v>
      </c>
      <c r="BF336" s="49">
        <f t="array" aca="1" ref="BF336:BF338" ca="1">IF(OFFSET(BF$326,0,-1)=1,BF306:BF308,BE336:BE338+BF306:BF308)</f>
        <v>365260.73848355014</v>
      </c>
      <c r="BG336" s="49">
        <f t="array" aca="1" ref="BG336:BG338" ca="1">IF(OFFSET(BG$326,0,-1)=1,BG306:BG308,BF336:BF338+BG306:BG308)</f>
        <v>411594.76188611728</v>
      </c>
      <c r="BH336" s="49">
        <f t="array" aca="1" ref="BH336:BH338" ca="1">IF(OFFSET(BH$326,0,-1)=1,BH306:BH308,BG336:BG338+BH306:BH308)</f>
        <v>458083.38470988825</v>
      </c>
      <c r="BI336" s="49">
        <f t="array" aca="1" ref="BI336:BI338" ca="1">IF(OFFSET(BI$326,0,-1)=1,BI306:BI308,BH336:BH338+BI306:BI308)</f>
        <v>504722.11100832978</v>
      </c>
      <c r="BJ336" s="49">
        <f t="array" aca="1" ref="BJ336:BJ338" ca="1">IF(OFFSET(BJ$326,0,-1)=1,BJ306:BJ308,BI336:BI338+BJ306:BJ308)</f>
        <v>551516.45340832975</v>
      </c>
      <c r="BK336" s="49">
        <f t="array" aca="1" ref="BK336:BK338" ca="1">IF(OFFSET(BK$326,0,-1)=1,BK306:BK308,BJ336:BJ338+BK306:BK308)</f>
        <v>46950.050426429829</v>
      </c>
      <c r="BL336" s="49">
        <f t="array" aca="1" ref="BL336:BL338" ca="1">IF(OFFSET(BL$326,0,-1)=1,BL306:BL308,BK336:BK338+BL306:BL308)</f>
        <v>94046.232222436229</v>
      </c>
      <c r="BM336" s="49">
        <f t="array" aca="1" ref="BM336:BM338" ca="1">IF(OFFSET(BM$326,0,-1)=1,BM306:BM308,BL336:BL338+BM306:BM308)</f>
        <v>141299.1264145087</v>
      </c>
      <c r="BN336" s="49">
        <f t="array" aca="1" ref="BN336:BN338" ca="1">IF(OFFSET(BN$326,0,-1)=1,BN306:BN308,BM336:BM338+BN306:BN308)</f>
        <v>188704.17424569331</v>
      </c>
      <c r="BO336" s="49">
        <f t="array" aca="1" ref="BO336:BO338" ca="1">IF(OFFSET(BO$326,0,-1)=1,BO306:BO308,BN336:BN338+BO306:BO308)</f>
        <v>236266.96222369978</v>
      </c>
      <c r="BP336" s="49">
        <f t="array" aca="1" ref="BP336:BP338" ca="1">IF(OFFSET(BP$326,0,-1)=1,BP306:BP308,BO336:BO338+BP306:BP308)</f>
        <v>283982.90169434831</v>
      </c>
      <c r="BQ336" s="49">
        <f t="array" aca="1" ref="BQ336:BQ338" ca="1">IF(OFFSET(BQ$326,0,-1)=1,BQ306:BQ308,BP336:BP338+BQ306:BQ308)</f>
        <v>331857.61580276641</v>
      </c>
      <c r="BR336" s="49">
        <f t="array" aca="1" ref="BR336:BR338" ca="1">IF(OFFSET(BR$326,0,-1)=1,BR306:BR308,BQ336:BQ338+BR306:BR308)</f>
        <v>379891.63287105935</v>
      </c>
      <c r="BS336" s="49">
        <f t="array" aca="1" ref="BS336:BS338" ca="1">IF(OFFSET(BS$326,0,-1)=1,BS306:BS308,BR336:BR338+BS306:BS308)</f>
        <v>428080.31878288189</v>
      </c>
      <c r="BT336" s="49">
        <f t="array" aca="1" ref="BT336:BT338" ca="1">IF(OFFSET(BT$326,0,-1)=1,BT306:BT308,BS336:BS338+BT306:BT308)</f>
        <v>476429.35239476274</v>
      </c>
      <c r="BU336" s="49">
        <f t="array" aca="1" ref="BU336:BU338" ca="1">IF(OFFSET(BU$326,0,-1)=1,BU306:BU308,BT336:BT338+BU306:BU308)</f>
        <v>524934.06919890898</v>
      </c>
      <c r="BV336" s="49">
        <f t="array" aca="1" ref="BV336:BV338" ca="1">IF(OFFSET(BV$326,0,-1)=1,BV306:BV308,BU336:BU338+BV306:BV308)</f>
        <v>573600.18529490882</v>
      </c>
      <c r="BW336" s="49">
        <f t="array" aca="1" ref="BW336:BW338" ca="1">IF(OFFSET(BW$326,0,-1)=1,BW306:BW308,BV336:BV338+BW306:BW308)</f>
        <v>48828.496844058587</v>
      </c>
      <c r="BX336" s="49">
        <f t="array" aca="1" ref="BX336:BX338" ca="1">IF(OFFSET(BX$326,0,-1)=1,BX306:BX308,BW336:BW338+BX306:BX308)</f>
        <v>97804.125812446146</v>
      </c>
      <c r="BY336" s="49">
        <f t="array" aca="1" ref="BY336:BY338" ca="1">IF(OFFSET(BY$326,0,-1)=1,BY306:BY308,BX336:BX338+BY306:BY308)</f>
        <v>146943.16825835151</v>
      </c>
      <c r="BZ336" s="49">
        <f t="array" aca="1" ref="BZ336:BZ338" ca="1">IF(OFFSET(BZ$326,0,-1)=1,BZ306:BZ308,BY336:BY338+BZ306:BZ308)</f>
        <v>196240.87191134569</v>
      </c>
      <c r="CA336" s="49">
        <f t="array" aca="1" ref="CA336:CA338" ca="1">IF(OFFSET(CA$326,0,-1)=1,CA306:CA308,BZ336:BZ338+CA306:CA308)</f>
        <v>245703.06368541694</v>
      </c>
      <c r="CB336" s="49">
        <f t="array" aca="1" ref="CB336:CB338" ca="1">IF(OFFSET(CB$326,0,-1)=1,CB306:CB308,CA336:CA338+CB306:CB308)</f>
        <v>295324.96005814354</v>
      </c>
      <c r="CC336" s="49">
        <f t="array" aca="1" ref="CC336:CC338" ca="1">IF(OFFSET(CC$326,0,-1)=1,CC306:CC308,CB336:CB338+CC306:CC308)</f>
        <v>345112.42626260279</v>
      </c>
      <c r="CD336" s="49">
        <f t="array" aca="1" ref="CD336:CD338" ca="1">IF(OFFSET(CD$326,0,-1)=1,CD306:CD308,CC336:CC338+CD306:CD308)</f>
        <v>395066.01474380749</v>
      </c>
      <c r="CE336" s="49">
        <f t="array" aca="1" ref="CE336:CE338" ca="1">IF(OFFSET(CE$326,0,-1)=1,CE306:CE308,CD336:CD338+CE306:CE308)</f>
        <v>445180.89445602411</v>
      </c>
      <c r="CF336" s="49">
        <f t="array" aca="1" ref="CF336:CF338" ca="1">IF(OFFSET(CF$326,0,-1)=1,CF306:CF308,CE336:CE338+CF306:CF308)</f>
        <v>495462.98890221474</v>
      </c>
      <c r="CG336" s="49">
        <f t="array" aca="1" ref="CG336:CG338" ca="1">IF(OFFSET(CG$326,0,-1)=1,CG306:CG308,CF336:CF338+CG306:CG308)</f>
        <v>545907.43526660907</v>
      </c>
      <c r="CH336" s="49">
        <f t="array" aca="1" ref="CH336:CH338" ca="1">IF(OFFSET(CH$326,0,-1)=1,CH306:CH308,CG336:CG338+CH306:CH308)</f>
        <v>596520.19600644894</v>
      </c>
      <c r="CI336" s="49">
        <f t="array" aca="1" ref="CI336:CI338" ca="1">IF(OFFSET(CI$326,0,-1)=1,CI306:CI308,CH336:CH338+CI306:CI308)</f>
        <v>50781.636717820911</v>
      </c>
      <c r="CJ336" s="49">
        <f t="array" aca="1" ref="CJ336:CJ338" ca="1">IF(OFFSET(CJ$326,0,-1)=1,CJ306:CJ308,CI336:CI338+CJ306:CJ308)</f>
        <v>101716.29084494396</v>
      </c>
      <c r="CK336" s="49">
        <f t="array" aca="1" ref="CK336:CK338" ca="1">IF(OFFSET(CK$326,0,-1)=1,CK306:CK308,CJ336:CJ338+CK306:CK308)</f>
        <v>152820.89498868553</v>
      </c>
    </row>
    <row r="337" spans="2:89">
      <c r="B337" s="86" t="str">
        <v xml:space="preserve">руководители </v>
      </c>
      <c r="C337" s="118"/>
      <c r="D337" s="118"/>
      <c r="E337" s="118"/>
      <c r="F337" s="176">
        <f ca="1"/>
        <v>0</v>
      </c>
      <c r="G337" s="176">
        <f ca="1"/>
        <v>0</v>
      </c>
      <c r="H337" s="176">
        <f ca="1"/>
        <v>0</v>
      </c>
      <c r="I337" s="176">
        <f ca="1"/>
        <v>0</v>
      </c>
      <c r="J337" s="176">
        <f ca="1"/>
        <v>0</v>
      </c>
      <c r="K337" s="176">
        <f ca="1"/>
        <v>0</v>
      </c>
      <c r="L337" s="176">
        <f ca="1"/>
        <v>0</v>
      </c>
      <c r="M337" s="176">
        <f ca="1"/>
        <v>0</v>
      </c>
      <c r="N337" s="176">
        <f ca="1"/>
        <v>0</v>
      </c>
      <c r="O337" s="176">
        <f ca="1"/>
        <v>0</v>
      </c>
      <c r="P337" s="176">
        <f ca="1"/>
        <v>0</v>
      </c>
      <c r="Q337" s="176">
        <f ca="1"/>
        <v>0</v>
      </c>
      <c r="R337" s="176">
        <f ca="1"/>
        <v>121566.10068618387</v>
      </c>
      <c r="S337" s="176">
        <f ca="1"/>
        <v>243536.71218815871</v>
      </c>
      <c r="T337" s="176">
        <f ca="1"/>
        <v>365900.06730345218</v>
      </c>
      <c r="U337" s="176">
        <f ca="1"/>
        <v>488670.5860961295</v>
      </c>
      <c r="V337" s="176">
        <f ca="1"/>
        <v>611849.62340204022</v>
      </c>
      <c r="W337" s="176">
        <f ca="1"/>
        <v>735425.29543496342</v>
      </c>
      <c r="X337" s="176">
        <f ca="1"/>
        <v>859412.16512598214</v>
      </c>
      <c r="Y337" s="176">
        <f ca="1"/>
        <v>983798.27075266489</v>
      </c>
      <c r="Z337" s="176">
        <f ca="1"/>
        <v>1108598.2707526647</v>
      </c>
      <c r="AA337" s="176">
        <f ca="1"/>
        <v>125216.41123194926</v>
      </c>
      <c r="AB337" s="176">
        <f ca="1"/>
        <v>250810.12993343305</v>
      </c>
      <c r="AC337" s="176">
        <f ca="1"/>
        <v>376822.9082112757</v>
      </c>
      <c r="AD337" s="176">
        <f ca="1"/>
        <v>503242.55928343837</v>
      </c>
      <c r="AE337" s="176">
        <f ca="1"/>
        <v>630084.0257614149</v>
      </c>
      <c r="AF337" s="176">
        <f ca="1"/>
        <v>757335.04072016338</v>
      </c>
      <c r="AG337" s="176">
        <f ca="1"/>
        <v>885010.64503713127</v>
      </c>
      <c r="AH337" s="176">
        <f ca="1"/>
        <v>1013112.2554092555</v>
      </c>
      <c r="AI337" s="176">
        <f ca="1"/>
        <v>1141627.4830421156</v>
      </c>
      <c r="AJ337" s="176">
        <f ca="1"/>
        <v>1270571.5182411845</v>
      </c>
      <c r="AK337" s="176">
        <f ca="1"/>
        <v>1399931.8907405601</v>
      </c>
      <c r="AL337" s="176">
        <f ca="1"/>
        <v>1529723.8907405599</v>
      </c>
      <c r="AM337" s="176">
        <f ca="1"/>
        <v>130225.06768122718</v>
      </c>
      <c r="AN337" s="176">
        <f ca="1"/>
        <v>260842.53513077029</v>
      </c>
      <c r="AO337" s="176">
        <f ca="1"/>
        <v>391895.82453972666</v>
      </c>
      <c r="AP337" s="176">
        <f ca="1"/>
        <v>523372.26165477582</v>
      </c>
      <c r="AQ337" s="176">
        <f ca="1"/>
        <v>655287.38679187139</v>
      </c>
      <c r="AR337" s="176">
        <f ca="1"/>
        <v>787628.44234896987</v>
      </c>
      <c r="AS337" s="176">
        <f ca="1"/>
        <v>920411.07083861646</v>
      </c>
      <c r="AT337" s="176">
        <f ca="1"/>
        <v>1053636.7456256256</v>
      </c>
      <c r="AU337" s="176">
        <f ca="1"/>
        <v>1187292.5823638001</v>
      </c>
      <c r="AV337" s="176">
        <f ca="1"/>
        <v>1321394.3789708319</v>
      </c>
      <c r="AW337" s="176">
        <f ca="1"/>
        <v>1455929.1663701825</v>
      </c>
      <c r="AX337" s="176">
        <f ca="1"/>
        <v>1590912.8463701822</v>
      </c>
      <c r="AY337" s="176">
        <f ca="1"/>
        <v>135434.07038847625</v>
      </c>
      <c r="AZ337" s="176">
        <f ca="1"/>
        <v>271276.23653600103</v>
      </c>
      <c r="BA337" s="176">
        <f ca="1"/>
        <v>407571.65752131562</v>
      </c>
      <c r="BB337" s="176">
        <f ca="1"/>
        <v>544307.1521209667</v>
      </c>
      <c r="BC337" s="176">
        <f ca="1"/>
        <v>681498.88226354611</v>
      </c>
      <c r="BD337" s="176">
        <f ca="1"/>
        <v>819133.58004292846</v>
      </c>
      <c r="BE337" s="176">
        <f ca="1"/>
        <v>957227.51367216092</v>
      </c>
      <c r="BF337" s="176">
        <f ca="1"/>
        <v>1095782.2154506505</v>
      </c>
      <c r="BG337" s="176">
        <f ca="1"/>
        <v>1234784.2856583521</v>
      </c>
      <c r="BH337" s="176">
        <f ca="1"/>
        <v>1374250.1541296649</v>
      </c>
      <c r="BI337" s="176">
        <f ca="1"/>
        <v>1514166.3330249896</v>
      </c>
      <c r="BJ337" s="176">
        <f ca="1"/>
        <v>1654549.3602249892</v>
      </c>
      <c r="BK337" s="176">
        <f ca="1"/>
        <v>140850.15127928948</v>
      </c>
      <c r="BL337" s="176">
        <f ca="1"/>
        <v>282138.69666730869</v>
      </c>
      <c r="BM337" s="176">
        <f ca="1"/>
        <v>423897.37924352614</v>
      </c>
      <c r="BN337" s="176">
        <f ca="1"/>
        <v>566112.52273708</v>
      </c>
      <c r="BO337" s="176">
        <f ca="1"/>
        <v>708800.88667109946</v>
      </c>
      <c r="BP337" s="176">
        <f ca="1"/>
        <v>851948.70508304494</v>
      </c>
      <c r="BQ337" s="176">
        <f ca="1"/>
        <v>995572.8474082991</v>
      </c>
      <c r="BR337" s="176">
        <f ca="1"/>
        <v>1139674.8986131779</v>
      </c>
      <c r="BS337" s="176">
        <f ca="1"/>
        <v>1284240.9563486455</v>
      </c>
      <c r="BT337" s="176">
        <f ca="1"/>
        <v>1429288.057184288</v>
      </c>
      <c r="BU337" s="176">
        <f ca="1"/>
        <v>1574802.2075967267</v>
      </c>
      <c r="BV337" s="176">
        <f ca="1"/>
        <v>1720800.5558847263</v>
      </c>
      <c r="BW337" s="176">
        <f ca="1"/>
        <v>146485.49053217575</v>
      </c>
      <c r="BX337" s="176">
        <f ca="1"/>
        <v>293412.37743733847</v>
      </c>
      <c r="BY337" s="176">
        <f ca="1"/>
        <v>440829.50477505458</v>
      </c>
      <c r="BZ337" s="176">
        <f ca="1"/>
        <v>588722.61573403713</v>
      </c>
      <c r="CA337" s="176">
        <f ca="1"/>
        <v>737109.19105625083</v>
      </c>
      <c r="CB337" s="176">
        <f ca="1"/>
        <v>885974.88017443055</v>
      </c>
      <c r="CC337" s="176">
        <f ca="1"/>
        <v>1035337.2787878083</v>
      </c>
      <c r="CD337" s="176">
        <f ca="1"/>
        <v>1185198.0442314225</v>
      </c>
      <c r="CE337" s="176">
        <f ca="1"/>
        <v>1335542.6833680724</v>
      </c>
      <c r="CF337" s="176">
        <f ca="1"/>
        <v>1486388.9667066443</v>
      </c>
      <c r="CG337" s="176">
        <f ca="1"/>
        <v>1637722.3057998272</v>
      </c>
      <c r="CH337" s="176">
        <f ca="1"/>
        <v>1789560.5880193468</v>
      </c>
      <c r="CI337" s="176">
        <f ca="1"/>
        <v>152344.91015346273</v>
      </c>
      <c r="CJ337" s="176">
        <f ca="1"/>
        <v>305148.87253483187</v>
      </c>
      <c r="CK337" s="176">
        <f ca="1"/>
        <v>458462.68496605655</v>
      </c>
    </row>
    <row r="338" spans="2:89">
      <c r="B338" s="128" t="str">
        <v>специалисты и другие служащие</v>
      </c>
      <c r="C338" s="124"/>
      <c r="D338" s="124"/>
      <c r="E338" s="124"/>
      <c r="F338" s="185">
        <f ca="1"/>
        <v>0</v>
      </c>
      <c r="G338" s="185">
        <f ca="1"/>
        <v>0</v>
      </c>
      <c r="H338" s="185">
        <f ca="1"/>
        <v>0</v>
      </c>
      <c r="I338" s="185">
        <f ca="1"/>
        <v>0</v>
      </c>
      <c r="J338" s="185">
        <f ca="1"/>
        <v>0</v>
      </c>
      <c r="K338" s="185">
        <f ca="1"/>
        <v>0</v>
      </c>
      <c r="L338" s="185">
        <f ca="1"/>
        <v>0</v>
      </c>
      <c r="M338" s="185">
        <f ca="1"/>
        <v>0</v>
      </c>
      <c r="N338" s="185">
        <f ca="1"/>
        <v>0</v>
      </c>
      <c r="O338" s="185">
        <f ca="1"/>
        <v>0</v>
      </c>
      <c r="P338" s="185">
        <f ca="1"/>
        <v>0</v>
      </c>
      <c r="Q338" s="185">
        <f ca="1"/>
        <v>0</v>
      </c>
      <c r="R338" s="185">
        <f ca="1"/>
        <v>60783.050343091934</v>
      </c>
      <c r="S338" s="185">
        <f ca="1"/>
        <v>121768.35609407935</v>
      </c>
      <c r="T338" s="185">
        <f ca="1"/>
        <v>182950.03365172609</v>
      </c>
      <c r="U338" s="185">
        <f ca="1"/>
        <v>244335.29304806475</v>
      </c>
      <c r="V338" s="185">
        <f ca="1"/>
        <v>305924.81170102011</v>
      </c>
      <c r="W338" s="185">
        <f ca="1"/>
        <v>367712.64771748171</v>
      </c>
      <c r="X338" s="185">
        <f ca="1"/>
        <v>429706.08256299107</v>
      </c>
      <c r="Y338" s="185">
        <f ca="1"/>
        <v>491899.13537633244</v>
      </c>
      <c r="Z338" s="185">
        <f ca="1"/>
        <v>554299.13537633233</v>
      </c>
      <c r="AA338" s="185">
        <f ca="1"/>
        <v>62608.205615974628</v>
      </c>
      <c r="AB338" s="185">
        <f ca="1"/>
        <v>125405.06496671653</v>
      </c>
      <c r="AC338" s="185">
        <f ca="1"/>
        <v>188411.45410563785</v>
      </c>
      <c r="AD338" s="185">
        <f ca="1"/>
        <v>251621.27964171919</v>
      </c>
      <c r="AE338" s="185">
        <f ca="1"/>
        <v>315042.01288070745</v>
      </c>
      <c r="AF338" s="185">
        <f ca="1"/>
        <v>378667.52036008169</v>
      </c>
      <c r="AG338" s="185">
        <f ca="1"/>
        <v>442505.32251856563</v>
      </c>
      <c r="AH338" s="185">
        <f ca="1"/>
        <v>506556.12770462775</v>
      </c>
      <c r="AI338" s="185">
        <f ca="1"/>
        <v>570813.74152105779</v>
      </c>
      <c r="AJ338" s="185">
        <f ca="1"/>
        <v>635285.75912059227</v>
      </c>
      <c r="AK338" s="185">
        <f ca="1"/>
        <v>699965.94537028007</v>
      </c>
      <c r="AL338" s="185">
        <f ca="1"/>
        <v>764861.94537027995</v>
      </c>
      <c r="AM338" s="185">
        <f ca="1"/>
        <v>65112.533840613592</v>
      </c>
      <c r="AN338" s="185">
        <f ca="1"/>
        <v>130421.26756538515</v>
      </c>
      <c r="AO338" s="185">
        <f ca="1"/>
        <v>195947.91226986333</v>
      </c>
      <c r="AP338" s="185">
        <f ca="1"/>
        <v>261686.13082738791</v>
      </c>
      <c r="AQ338" s="185">
        <f ca="1"/>
        <v>327643.6933959357</v>
      </c>
      <c r="AR338" s="185">
        <f ca="1"/>
        <v>393814.22117448493</v>
      </c>
      <c r="AS338" s="185">
        <f ca="1"/>
        <v>460205.53541930823</v>
      </c>
      <c r="AT338" s="185">
        <f ca="1"/>
        <v>526818.3728128128</v>
      </c>
      <c r="AU338" s="185">
        <f ca="1"/>
        <v>593646.29118190007</v>
      </c>
      <c r="AV338" s="185">
        <f ca="1"/>
        <v>660697.18948541593</v>
      </c>
      <c r="AW338" s="185">
        <f ca="1"/>
        <v>727964.58318509127</v>
      </c>
      <c r="AX338" s="185">
        <f ca="1"/>
        <v>795456.42318509112</v>
      </c>
      <c r="AY338" s="185">
        <f ca="1"/>
        <v>67717.035194238124</v>
      </c>
      <c r="AZ338" s="185">
        <f ca="1"/>
        <v>135638.11826800051</v>
      </c>
      <c r="BA338" s="185">
        <f ca="1"/>
        <v>203785.82876065781</v>
      </c>
      <c r="BB338" s="185">
        <f ca="1"/>
        <v>272153.57606048335</v>
      </c>
      <c r="BC338" s="185">
        <f ca="1"/>
        <v>340749.44113177306</v>
      </c>
      <c r="BD338" s="185">
        <f ca="1"/>
        <v>409566.79002146423</v>
      </c>
      <c r="BE338" s="185">
        <f ca="1"/>
        <v>478613.75683608046</v>
      </c>
      <c r="BF338" s="185">
        <f ca="1"/>
        <v>547891.10772532527</v>
      </c>
      <c r="BG338" s="185">
        <f ca="1"/>
        <v>617392.14282917604</v>
      </c>
      <c r="BH338" s="185">
        <f ca="1"/>
        <v>687125.07706483244</v>
      </c>
      <c r="BI338" s="185">
        <f ca="1"/>
        <v>757083.16651249479</v>
      </c>
      <c r="BJ338" s="185">
        <f ca="1"/>
        <v>827274.68011249462</v>
      </c>
      <c r="BK338" s="185">
        <f ca="1"/>
        <v>70425.07563964474</v>
      </c>
      <c r="BL338" s="185">
        <f ca="1"/>
        <v>141069.34833365434</v>
      </c>
      <c r="BM338" s="185">
        <f ca="1"/>
        <v>211948.68962176307</v>
      </c>
      <c r="BN338" s="185">
        <f ca="1"/>
        <v>283056.26136854</v>
      </c>
      <c r="BO338" s="185">
        <f ca="1"/>
        <v>354400.44333554973</v>
      </c>
      <c r="BP338" s="185">
        <f ca="1"/>
        <v>425974.35254152247</v>
      </c>
      <c r="BQ338" s="185">
        <f ca="1"/>
        <v>497786.42370414955</v>
      </c>
      <c r="BR338" s="185">
        <f ca="1"/>
        <v>569837.44930658897</v>
      </c>
      <c r="BS338" s="185">
        <f ca="1"/>
        <v>642120.47817432275</v>
      </c>
      <c r="BT338" s="185">
        <f ca="1"/>
        <v>714644.02859214402</v>
      </c>
      <c r="BU338" s="185">
        <f ca="1"/>
        <v>787401.10379836336</v>
      </c>
      <c r="BV338" s="185">
        <f ca="1"/>
        <v>860400.27794236317</v>
      </c>
      <c r="BW338" s="185">
        <f ca="1"/>
        <v>73242.745266087877</v>
      </c>
      <c r="BX338" s="185">
        <f ca="1"/>
        <v>146706.18871866923</v>
      </c>
      <c r="BY338" s="185">
        <f ca="1"/>
        <v>220414.75238752729</v>
      </c>
      <c r="BZ338" s="185">
        <f ca="1"/>
        <v>294361.30786701856</v>
      </c>
      <c r="CA338" s="185">
        <f ca="1"/>
        <v>368554.59552812541</v>
      </c>
      <c r="CB338" s="185">
        <f ca="1"/>
        <v>442987.44008721528</v>
      </c>
      <c r="CC338" s="185">
        <f ca="1"/>
        <v>517668.63939390413</v>
      </c>
      <c r="CD338" s="185">
        <f ca="1"/>
        <v>592599.02211571124</v>
      </c>
      <c r="CE338" s="185">
        <f ca="1"/>
        <v>667771.34168403619</v>
      </c>
      <c r="CF338" s="185">
        <f ca="1"/>
        <v>743194.48335332214</v>
      </c>
      <c r="CG338" s="185">
        <f ca="1"/>
        <v>818861.15289991361</v>
      </c>
      <c r="CH338" s="185">
        <f ca="1"/>
        <v>894780.29400967341</v>
      </c>
      <c r="CI338" s="185">
        <f ca="1"/>
        <v>76172.455076731363</v>
      </c>
      <c r="CJ338" s="185">
        <f ca="1"/>
        <v>152574.43626741593</v>
      </c>
      <c r="CK338" s="185">
        <f ca="1"/>
        <v>229231.34248302827</v>
      </c>
    </row>
    <row r="339" spans="2:89"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</row>
    <row r="340" spans="2:89" ht="15.75" thickBot="1">
      <c r="B340" s="96" t="str">
        <f>"ЗП на чел. с начала года, превышающая ставку отсечения, в "&amp;Ед_измерения_денег</f>
        <v>ЗП на чел. с начала года, превышающая ставку отсечения, в  руб.</v>
      </c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</row>
    <row r="341" spans="2:89">
      <c r="B341" s="14"/>
      <c r="C341" s="14"/>
      <c r="D341" s="14"/>
      <c r="E341" s="1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  <c r="BD341" s="154"/>
      <c r="BE341" s="154"/>
      <c r="BF341" s="154"/>
      <c r="BG341" s="154"/>
      <c r="BH341" s="154"/>
      <c r="BI341" s="154"/>
      <c r="BJ341" s="154"/>
      <c r="BK341" s="154"/>
      <c r="BL341" s="154"/>
      <c r="BM341" s="15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</row>
    <row r="342" spans="2:89">
      <c r="B342" s="45" t="str">
        <f t="array" ref="B342:B344">ФОТ_должности</f>
        <v>рабочие</v>
      </c>
      <c r="C342" s="118"/>
      <c r="D342" s="118"/>
      <c r="E342" s="118"/>
      <c r="F342" s="49">
        <f t="shared" ref="F342:AK342" ca="1" si="403">MAX(MIN(F336-F$330,F306),0)</f>
        <v>0</v>
      </c>
      <c r="G342" s="49">
        <f t="shared" ca="1" si="403"/>
        <v>0</v>
      </c>
      <c r="H342" s="49">
        <f t="shared" ca="1" si="403"/>
        <v>0</v>
      </c>
      <c r="I342" s="49">
        <f t="shared" ca="1" si="403"/>
        <v>0</v>
      </c>
      <c r="J342" s="49">
        <f t="shared" ca="1" si="403"/>
        <v>0</v>
      </c>
      <c r="K342" s="49">
        <f t="shared" ca="1" si="403"/>
        <v>0</v>
      </c>
      <c r="L342" s="49">
        <f t="shared" ca="1" si="403"/>
        <v>0</v>
      </c>
      <c r="M342" s="49">
        <f t="shared" ca="1" si="403"/>
        <v>0</v>
      </c>
      <c r="N342" s="49">
        <f t="shared" ca="1" si="403"/>
        <v>0</v>
      </c>
      <c r="O342" s="49">
        <f t="shared" ca="1" si="403"/>
        <v>0</v>
      </c>
      <c r="P342" s="49">
        <f t="shared" ca="1" si="403"/>
        <v>0</v>
      </c>
      <c r="Q342" s="49">
        <f t="shared" ca="1" si="403"/>
        <v>0</v>
      </c>
      <c r="R342" s="49">
        <f t="shared" ca="1" si="403"/>
        <v>0</v>
      </c>
      <c r="S342" s="49">
        <f t="shared" ca="1" si="403"/>
        <v>0</v>
      </c>
      <c r="T342" s="49">
        <f t="shared" ca="1" si="403"/>
        <v>0</v>
      </c>
      <c r="U342" s="49">
        <f t="shared" ca="1" si="403"/>
        <v>0</v>
      </c>
      <c r="V342" s="49">
        <f t="shared" ca="1" si="403"/>
        <v>0</v>
      </c>
      <c r="W342" s="49">
        <f t="shared" ca="1" si="403"/>
        <v>0</v>
      </c>
      <c r="X342" s="49">
        <f t="shared" ca="1" si="403"/>
        <v>0</v>
      </c>
      <c r="Y342" s="49">
        <f t="shared" ca="1" si="403"/>
        <v>0</v>
      </c>
      <c r="Z342" s="49">
        <f t="shared" ca="1" si="403"/>
        <v>0</v>
      </c>
      <c r="AA342" s="49">
        <f t="shared" ca="1" si="403"/>
        <v>0</v>
      </c>
      <c r="AB342" s="49">
        <f t="shared" ca="1" si="403"/>
        <v>0</v>
      </c>
      <c r="AC342" s="49">
        <f t="shared" ca="1" si="403"/>
        <v>0</v>
      </c>
      <c r="AD342" s="49">
        <f t="shared" ca="1" si="403"/>
        <v>0</v>
      </c>
      <c r="AE342" s="49">
        <f t="shared" ca="1" si="403"/>
        <v>0</v>
      </c>
      <c r="AF342" s="49">
        <f t="shared" ca="1" si="403"/>
        <v>0</v>
      </c>
      <c r="AG342" s="49">
        <f t="shared" ca="1" si="403"/>
        <v>0</v>
      </c>
      <c r="AH342" s="49">
        <f t="shared" ca="1" si="403"/>
        <v>0</v>
      </c>
      <c r="AI342" s="49">
        <f t="shared" ca="1" si="403"/>
        <v>0</v>
      </c>
      <c r="AJ342" s="49">
        <f t="shared" ca="1" si="403"/>
        <v>0</v>
      </c>
      <c r="AK342" s="49">
        <f t="shared" ca="1" si="403"/>
        <v>0</v>
      </c>
      <c r="AL342" s="49">
        <f t="shared" ref="AL342:BM342" ca="1" si="404">MAX(MIN(AL336-AL$330,AL306),0)</f>
        <v>0</v>
      </c>
      <c r="AM342" s="49">
        <f t="shared" ca="1" si="404"/>
        <v>0</v>
      </c>
      <c r="AN342" s="49">
        <f t="shared" ca="1" si="404"/>
        <v>0</v>
      </c>
      <c r="AO342" s="49">
        <f t="shared" ca="1" si="404"/>
        <v>0</v>
      </c>
      <c r="AP342" s="49">
        <f t="shared" ca="1" si="404"/>
        <v>0</v>
      </c>
      <c r="AQ342" s="49">
        <f t="shared" ca="1" si="404"/>
        <v>0</v>
      </c>
      <c r="AR342" s="49">
        <f t="shared" ca="1" si="404"/>
        <v>0</v>
      </c>
      <c r="AS342" s="49">
        <f t="shared" ca="1" si="404"/>
        <v>0</v>
      </c>
      <c r="AT342" s="49">
        <f t="shared" ca="1" si="404"/>
        <v>0</v>
      </c>
      <c r="AU342" s="49">
        <f t="shared" ca="1" si="404"/>
        <v>0</v>
      </c>
      <c r="AV342" s="49">
        <f t="shared" ca="1" si="404"/>
        <v>0</v>
      </c>
      <c r="AW342" s="49">
        <f t="shared" ca="1" si="404"/>
        <v>0</v>
      </c>
      <c r="AX342" s="49">
        <f t="shared" ca="1" si="404"/>
        <v>0</v>
      </c>
      <c r="AY342" s="49">
        <f t="shared" ca="1" si="404"/>
        <v>0</v>
      </c>
      <c r="AZ342" s="49">
        <f t="shared" ca="1" si="404"/>
        <v>0</v>
      </c>
      <c r="BA342" s="49">
        <f t="shared" ca="1" si="404"/>
        <v>0</v>
      </c>
      <c r="BB342" s="49">
        <f t="shared" ca="1" si="404"/>
        <v>0</v>
      </c>
      <c r="BC342" s="49">
        <f t="shared" ca="1" si="404"/>
        <v>0</v>
      </c>
      <c r="BD342" s="49">
        <f t="shared" ca="1" si="404"/>
        <v>0</v>
      </c>
      <c r="BE342" s="49">
        <f t="shared" ca="1" si="404"/>
        <v>0</v>
      </c>
      <c r="BF342" s="49">
        <f t="shared" ca="1" si="404"/>
        <v>0</v>
      </c>
      <c r="BG342" s="49">
        <f t="shared" ca="1" si="404"/>
        <v>0</v>
      </c>
      <c r="BH342" s="49">
        <f t="shared" ca="1" si="404"/>
        <v>0</v>
      </c>
      <c r="BI342" s="49">
        <f t="shared" ca="1" si="404"/>
        <v>0</v>
      </c>
      <c r="BJ342" s="49">
        <f t="shared" ca="1" si="404"/>
        <v>0</v>
      </c>
      <c r="BK342" s="49">
        <f t="shared" ca="1" si="404"/>
        <v>0</v>
      </c>
      <c r="BL342" s="49">
        <f t="shared" ca="1" si="404"/>
        <v>0</v>
      </c>
      <c r="BM342" s="49">
        <f t="shared" ca="1" si="404"/>
        <v>0</v>
      </c>
      <c r="BN342" s="49">
        <f t="shared" ref="BN342:CK342" ca="1" si="405">MAX(MIN(BN336-BN$330,BN306),0)</f>
        <v>0</v>
      </c>
      <c r="BO342" s="49">
        <f t="shared" ca="1" si="405"/>
        <v>0</v>
      </c>
      <c r="BP342" s="49">
        <f t="shared" ca="1" si="405"/>
        <v>0</v>
      </c>
      <c r="BQ342" s="49">
        <f t="shared" ca="1" si="405"/>
        <v>0</v>
      </c>
      <c r="BR342" s="49">
        <f t="shared" ca="1" si="405"/>
        <v>0</v>
      </c>
      <c r="BS342" s="49">
        <f t="shared" ca="1" si="405"/>
        <v>0</v>
      </c>
      <c r="BT342" s="49">
        <f t="shared" ca="1" si="405"/>
        <v>0</v>
      </c>
      <c r="BU342" s="49">
        <f t="shared" ca="1" si="405"/>
        <v>0</v>
      </c>
      <c r="BV342" s="49">
        <f t="shared" ca="1" si="405"/>
        <v>0</v>
      </c>
      <c r="BW342" s="49">
        <f t="shared" ca="1" si="405"/>
        <v>0</v>
      </c>
      <c r="BX342" s="49">
        <f t="shared" ca="1" si="405"/>
        <v>0</v>
      </c>
      <c r="BY342" s="49">
        <f t="shared" ca="1" si="405"/>
        <v>0</v>
      </c>
      <c r="BZ342" s="49">
        <f t="shared" ca="1" si="405"/>
        <v>0</v>
      </c>
      <c r="CA342" s="49">
        <f t="shared" ca="1" si="405"/>
        <v>0</v>
      </c>
      <c r="CB342" s="49">
        <f t="shared" ca="1" si="405"/>
        <v>0</v>
      </c>
      <c r="CC342" s="49">
        <f t="shared" ca="1" si="405"/>
        <v>0</v>
      </c>
      <c r="CD342" s="49">
        <f t="shared" ca="1" si="405"/>
        <v>0</v>
      </c>
      <c r="CE342" s="49">
        <f t="shared" ca="1" si="405"/>
        <v>0</v>
      </c>
      <c r="CF342" s="49">
        <f t="shared" ca="1" si="405"/>
        <v>0</v>
      </c>
      <c r="CG342" s="49">
        <f t="shared" ca="1" si="405"/>
        <v>0</v>
      </c>
      <c r="CH342" s="49">
        <f t="shared" ca="1" si="405"/>
        <v>0</v>
      </c>
      <c r="CI342" s="49">
        <f t="shared" ca="1" si="405"/>
        <v>0</v>
      </c>
      <c r="CJ342" s="49">
        <f t="shared" ca="1" si="405"/>
        <v>0</v>
      </c>
      <c r="CK342" s="49">
        <f t="shared" ca="1" si="405"/>
        <v>0</v>
      </c>
    </row>
    <row r="343" spans="2:89">
      <c r="B343" s="86" t="str">
        <v xml:space="preserve">руководители </v>
      </c>
      <c r="C343" s="118"/>
      <c r="D343" s="118"/>
      <c r="E343" s="118"/>
      <c r="F343" s="49">
        <f t="shared" ref="F343:AK343" ca="1" si="406">MAX(MIN(F337-F$330,F307),0)</f>
        <v>0</v>
      </c>
      <c r="G343" s="49">
        <f t="shared" ca="1" si="406"/>
        <v>0</v>
      </c>
      <c r="H343" s="49">
        <f t="shared" ca="1" si="406"/>
        <v>0</v>
      </c>
      <c r="I343" s="49">
        <f t="shared" ca="1" si="406"/>
        <v>0</v>
      </c>
      <c r="J343" s="49">
        <f t="shared" ca="1" si="406"/>
        <v>0</v>
      </c>
      <c r="K343" s="49">
        <f t="shared" ca="1" si="406"/>
        <v>0</v>
      </c>
      <c r="L343" s="49">
        <f t="shared" ca="1" si="406"/>
        <v>0</v>
      </c>
      <c r="M343" s="49">
        <f t="shared" ca="1" si="406"/>
        <v>0</v>
      </c>
      <c r="N343" s="49">
        <f t="shared" ca="1" si="406"/>
        <v>0</v>
      </c>
      <c r="O343" s="49">
        <f t="shared" ca="1" si="406"/>
        <v>0</v>
      </c>
      <c r="P343" s="49">
        <f t="shared" ca="1" si="406"/>
        <v>0</v>
      </c>
      <c r="Q343" s="49">
        <f t="shared" ca="1" si="406"/>
        <v>0</v>
      </c>
      <c r="R343" s="49">
        <f t="shared" ca="1" si="406"/>
        <v>0</v>
      </c>
      <c r="S343" s="49">
        <f t="shared" ca="1" si="406"/>
        <v>0</v>
      </c>
      <c r="T343" s="49">
        <f t="shared" ca="1" si="406"/>
        <v>0</v>
      </c>
      <c r="U343" s="49">
        <f t="shared" ca="1" si="406"/>
        <v>0</v>
      </c>
      <c r="V343" s="49">
        <f t="shared" ca="1" si="406"/>
        <v>0</v>
      </c>
      <c r="W343" s="49">
        <f t="shared" ca="1" si="406"/>
        <v>0</v>
      </c>
      <c r="X343" s="49">
        <f t="shared" ca="1" si="406"/>
        <v>0</v>
      </c>
      <c r="Y343" s="49">
        <f t="shared" ca="1" si="406"/>
        <v>0</v>
      </c>
      <c r="Z343" s="49">
        <f t="shared" ca="1" si="406"/>
        <v>0</v>
      </c>
      <c r="AA343" s="49">
        <f t="shared" ca="1" si="406"/>
        <v>0</v>
      </c>
      <c r="AB343" s="49">
        <f t="shared" ca="1" si="406"/>
        <v>0</v>
      </c>
      <c r="AC343" s="49">
        <f t="shared" ca="1" si="406"/>
        <v>0</v>
      </c>
      <c r="AD343" s="49">
        <f t="shared" ca="1" si="406"/>
        <v>0</v>
      </c>
      <c r="AE343" s="49">
        <f t="shared" ca="1" si="406"/>
        <v>0</v>
      </c>
      <c r="AF343" s="49">
        <f t="shared" ca="1" si="406"/>
        <v>0</v>
      </c>
      <c r="AG343" s="49">
        <f t="shared" ca="1" si="406"/>
        <v>0</v>
      </c>
      <c r="AH343" s="49">
        <f t="shared" ca="1" si="406"/>
        <v>0</v>
      </c>
      <c r="AI343" s="49">
        <f t="shared" ca="1" si="406"/>
        <v>0</v>
      </c>
      <c r="AJ343" s="49">
        <f t="shared" ca="1" si="406"/>
        <v>0</v>
      </c>
      <c r="AK343" s="49">
        <f t="shared" ca="1" si="406"/>
        <v>0</v>
      </c>
      <c r="AL343" s="49">
        <f t="shared" ref="AL343:BM343" ca="1" si="407">MAX(MIN(AL337-AL$330,AL307),0)</f>
        <v>0</v>
      </c>
      <c r="AM343" s="49">
        <f t="shared" ca="1" si="407"/>
        <v>0</v>
      </c>
      <c r="AN343" s="49">
        <f t="shared" ca="1" si="407"/>
        <v>0</v>
      </c>
      <c r="AO343" s="49">
        <f t="shared" ca="1" si="407"/>
        <v>0</v>
      </c>
      <c r="AP343" s="49">
        <f t="shared" ca="1" si="407"/>
        <v>0</v>
      </c>
      <c r="AQ343" s="49">
        <f t="shared" ca="1" si="407"/>
        <v>0</v>
      </c>
      <c r="AR343" s="49">
        <f t="shared" ca="1" si="407"/>
        <v>0</v>
      </c>
      <c r="AS343" s="49">
        <f t="shared" ca="1" si="407"/>
        <v>0</v>
      </c>
      <c r="AT343" s="49">
        <f t="shared" ca="1" si="407"/>
        <v>0</v>
      </c>
      <c r="AU343" s="49">
        <f t="shared" ca="1" si="407"/>
        <v>0</v>
      </c>
      <c r="AV343" s="49">
        <f t="shared" ca="1" si="407"/>
        <v>0</v>
      </c>
      <c r="AW343" s="49">
        <f t="shared" ca="1" si="407"/>
        <v>0</v>
      </c>
      <c r="AX343" s="49">
        <f t="shared" ca="1" si="407"/>
        <v>0</v>
      </c>
      <c r="AY343" s="49">
        <f t="shared" ca="1" si="407"/>
        <v>0</v>
      </c>
      <c r="AZ343" s="49">
        <f t="shared" ca="1" si="407"/>
        <v>0</v>
      </c>
      <c r="BA343" s="49">
        <f t="shared" ca="1" si="407"/>
        <v>0</v>
      </c>
      <c r="BB343" s="49">
        <f t="shared" ca="1" si="407"/>
        <v>0</v>
      </c>
      <c r="BC343" s="49">
        <f t="shared" ca="1" si="407"/>
        <v>0</v>
      </c>
      <c r="BD343" s="49">
        <f t="shared" ca="1" si="407"/>
        <v>0</v>
      </c>
      <c r="BE343" s="49">
        <f t="shared" ca="1" si="407"/>
        <v>0</v>
      </c>
      <c r="BF343" s="49">
        <f t="shared" ca="1" si="407"/>
        <v>0</v>
      </c>
      <c r="BG343" s="49">
        <f t="shared" ca="1" si="407"/>
        <v>0</v>
      </c>
      <c r="BH343" s="49">
        <f t="shared" ca="1" si="407"/>
        <v>0</v>
      </c>
      <c r="BI343" s="49">
        <f t="shared" ca="1" si="407"/>
        <v>0</v>
      </c>
      <c r="BJ343" s="49">
        <f t="shared" ca="1" si="407"/>
        <v>0</v>
      </c>
      <c r="BK343" s="49">
        <f t="shared" ca="1" si="407"/>
        <v>0</v>
      </c>
      <c r="BL343" s="49">
        <f t="shared" ca="1" si="407"/>
        <v>0</v>
      </c>
      <c r="BM343" s="49">
        <f t="shared" ca="1" si="407"/>
        <v>0</v>
      </c>
      <c r="BN343" s="49">
        <f t="shared" ref="BN343:CK343" ca="1" si="408">MAX(MIN(BN337-BN$330,BN307),0)</f>
        <v>0</v>
      </c>
      <c r="BO343" s="49">
        <f t="shared" ca="1" si="408"/>
        <v>0</v>
      </c>
      <c r="BP343" s="49">
        <f t="shared" ca="1" si="408"/>
        <v>0</v>
      </c>
      <c r="BQ343" s="49">
        <f t="shared" ca="1" si="408"/>
        <v>0</v>
      </c>
      <c r="BR343" s="49">
        <f t="shared" ca="1" si="408"/>
        <v>0</v>
      </c>
      <c r="BS343" s="49">
        <f t="shared" ca="1" si="408"/>
        <v>0</v>
      </c>
      <c r="BT343" s="49">
        <f t="shared" ca="1" si="408"/>
        <v>0</v>
      </c>
      <c r="BU343" s="49">
        <f t="shared" ca="1" si="408"/>
        <v>0</v>
      </c>
      <c r="BV343" s="49">
        <f t="shared" ca="1" si="408"/>
        <v>0</v>
      </c>
      <c r="BW343" s="49">
        <f t="shared" ca="1" si="408"/>
        <v>0</v>
      </c>
      <c r="BX343" s="49">
        <f t="shared" ca="1" si="408"/>
        <v>0</v>
      </c>
      <c r="BY343" s="49">
        <f t="shared" ca="1" si="408"/>
        <v>0</v>
      </c>
      <c r="BZ343" s="49">
        <f t="shared" ca="1" si="408"/>
        <v>0</v>
      </c>
      <c r="CA343" s="49">
        <f t="shared" ca="1" si="408"/>
        <v>0</v>
      </c>
      <c r="CB343" s="49">
        <f t="shared" ca="1" si="408"/>
        <v>0</v>
      </c>
      <c r="CC343" s="49">
        <f t="shared" ca="1" si="408"/>
        <v>0</v>
      </c>
      <c r="CD343" s="49">
        <f t="shared" ca="1" si="408"/>
        <v>0</v>
      </c>
      <c r="CE343" s="49">
        <f t="shared" ca="1" si="408"/>
        <v>0</v>
      </c>
      <c r="CF343" s="49">
        <f t="shared" ca="1" si="408"/>
        <v>0</v>
      </c>
      <c r="CG343" s="49">
        <f t="shared" ca="1" si="408"/>
        <v>0</v>
      </c>
      <c r="CH343" s="49">
        <f t="shared" ca="1" si="408"/>
        <v>0</v>
      </c>
      <c r="CI343" s="49">
        <f t="shared" ca="1" si="408"/>
        <v>0</v>
      </c>
      <c r="CJ343" s="49">
        <f t="shared" ca="1" si="408"/>
        <v>0</v>
      </c>
      <c r="CK343" s="49">
        <f t="shared" ca="1" si="408"/>
        <v>0</v>
      </c>
    </row>
    <row r="344" spans="2:89">
      <c r="B344" s="128" t="str">
        <v>специалисты и другие служащие</v>
      </c>
      <c r="C344" s="124"/>
      <c r="D344" s="124"/>
      <c r="E344" s="124"/>
      <c r="F344" s="80">
        <f t="shared" ref="F344:AK344" ca="1" si="409">MAX(MIN(F338-F$330,F308),0)</f>
        <v>0</v>
      </c>
      <c r="G344" s="80">
        <f t="shared" ca="1" si="409"/>
        <v>0</v>
      </c>
      <c r="H344" s="80">
        <f t="shared" ca="1" si="409"/>
        <v>0</v>
      </c>
      <c r="I344" s="80">
        <f t="shared" ca="1" si="409"/>
        <v>0</v>
      </c>
      <c r="J344" s="80">
        <f t="shared" ca="1" si="409"/>
        <v>0</v>
      </c>
      <c r="K344" s="80">
        <f t="shared" ca="1" si="409"/>
        <v>0</v>
      </c>
      <c r="L344" s="80">
        <f t="shared" ca="1" si="409"/>
        <v>0</v>
      </c>
      <c r="M344" s="80">
        <f t="shared" ca="1" si="409"/>
        <v>0</v>
      </c>
      <c r="N344" s="80">
        <f t="shared" ca="1" si="409"/>
        <v>0</v>
      </c>
      <c r="O344" s="80">
        <f t="shared" ca="1" si="409"/>
        <v>0</v>
      </c>
      <c r="P344" s="80">
        <f t="shared" ca="1" si="409"/>
        <v>0</v>
      </c>
      <c r="Q344" s="80">
        <f t="shared" ca="1" si="409"/>
        <v>0</v>
      </c>
      <c r="R344" s="80">
        <f t="shared" ca="1" si="409"/>
        <v>0</v>
      </c>
      <c r="S344" s="80">
        <f t="shared" ca="1" si="409"/>
        <v>0</v>
      </c>
      <c r="T344" s="80">
        <f t="shared" ca="1" si="409"/>
        <v>0</v>
      </c>
      <c r="U344" s="80">
        <f t="shared" ca="1" si="409"/>
        <v>0</v>
      </c>
      <c r="V344" s="80">
        <f t="shared" ca="1" si="409"/>
        <v>0</v>
      </c>
      <c r="W344" s="80">
        <f t="shared" ca="1" si="409"/>
        <v>0</v>
      </c>
      <c r="X344" s="80">
        <f t="shared" ca="1" si="409"/>
        <v>0</v>
      </c>
      <c r="Y344" s="80">
        <f t="shared" ca="1" si="409"/>
        <v>0</v>
      </c>
      <c r="Z344" s="80">
        <f t="shared" ca="1" si="409"/>
        <v>0</v>
      </c>
      <c r="AA344" s="80">
        <f t="shared" ca="1" si="409"/>
        <v>0</v>
      </c>
      <c r="AB344" s="80">
        <f t="shared" ca="1" si="409"/>
        <v>0</v>
      </c>
      <c r="AC344" s="80">
        <f t="shared" ca="1" si="409"/>
        <v>0</v>
      </c>
      <c r="AD344" s="80">
        <f t="shared" ca="1" si="409"/>
        <v>0</v>
      </c>
      <c r="AE344" s="80">
        <f t="shared" ca="1" si="409"/>
        <v>0</v>
      </c>
      <c r="AF344" s="80">
        <f t="shared" ca="1" si="409"/>
        <v>0</v>
      </c>
      <c r="AG344" s="80">
        <f t="shared" ca="1" si="409"/>
        <v>0</v>
      </c>
      <c r="AH344" s="80">
        <f t="shared" ca="1" si="409"/>
        <v>0</v>
      </c>
      <c r="AI344" s="80">
        <f t="shared" ca="1" si="409"/>
        <v>0</v>
      </c>
      <c r="AJ344" s="80">
        <f t="shared" ca="1" si="409"/>
        <v>0</v>
      </c>
      <c r="AK344" s="80">
        <f t="shared" ca="1" si="409"/>
        <v>0</v>
      </c>
      <c r="AL344" s="80">
        <f t="shared" ref="AL344:BM344" ca="1" si="410">MAX(MIN(AL338-AL$330,AL308),0)</f>
        <v>0</v>
      </c>
      <c r="AM344" s="80">
        <f t="shared" ca="1" si="410"/>
        <v>0</v>
      </c>
      <c r="AN344" s="80">
        <f t="shared" ca="1" si="410"/>
        <v>0</v>
      </c>
      <c r="AO344" s="80">
        <f t="shared" ca="1" si="410"/>
        <v>0</v>
      </c>
      <c r="AP344" s="80">
        <f t="shared" ca="1" si="410"/>
        <v>0</v>
      </c>
      <c r="AQ344" s="80">
        <f t="shared" ca="1" si="410"/>
        <v>0</v>
      </c>
      <c r="AR344" s="80">
        <f t="shared" ca="1" si="410"/>
        <v>0</v>
      </c>
      <c r="AS344" s="80">
        <f t="shared" ca="1" si="410"/>
        <v>0</v>
      </c>
      <c r="AT344" s="80">
        <f t="shared" ca="1" si="410"/>
        <v>0</v>
      </c>
      <c r="AU344" s="80">
        <f t="shared" ca="1" si="410"/>
        <v>0</v>
      </c>
      <c r="AV344" s="80">
        <f t="shared" ca="1" si="410"/>
        <v>0</v>
      </c>
      <c r="AW344" s="80">
        <f t="shared" ca="1" si="410"/>
        <v>0</v>
      </c>
      <c r="AX344" s="80">
        <f t="shared" ca="1" si="410"/>
        <v>0</v>
      </c>
      <c r="AY344" s="80">
        <f t="shared" ca="1" si="410"/>
        <v>0</v>
      </c>
      <c r="AZ344" s="80">
        <f t="shared" ca="1" si="410"/>
        <v>0</v>
      </c>
      <c r="BA344" s="80">
        <f t="shared" ca="1" si="410"/>
        <v>0</v>
      </c>
      <c r="BB344" s="80">
        <f t="shared" ca="1" si="410"/>
        <v>0</v>
      </c>
      <c r="BC344" s="80">
        <f t="shared" ca="1" si="410"/>
        <v>0</v>
      </c>
      <c r="BD344" s="80">
        <f t="shared" ca="1" si="410"/>
        <v>0</v>
      </c>
      <c r="BE344" s="80">
        <f t="shared" ca="1" si="410"/>
        <v>0</v>
      </c>
      <c r="BF344" s="80">
        <f t="shared" ca="1" si="410"/>
        <v>0</v>
      </c>
      <c r="BG344" s="80">
        <f t="shared" ca="1" si="410"/>
        <v>0</v>
      </c>
      <c r="BH344" s="80">
        <f t="shared" ca="1" si="410"/>
        <v>0</v>
      </c>
      <c r="BI344" s="80">
        <f t="shared" ca="1" si="410"/>
        <v>0</v>
      </c>
      <c r="BJ344" s="80">
        <f t="shared" ca="1" si="410"/>
        <v>0</v>
      </c>
      <c r="BK344" s="80">
        <f t="shared" ca="1" si="410"/>
        <v>0</v>
      </c>
      <c r="BL344" s="80">
        <f t="shared" ca="1" si="410"/>
        <v>0</v>
      </c>
      <c r="BM344" s="80">
        <f t="shared" ca="1" si="410"/>
        <v>0</v>
      </c>
      <c r="BN344" s="80">
        <f t="shared" ref="BN344:CK344" ca="1" si="411">MAX(MIN(BN338-BN$330,BN308),0)</f>
        <v>0</v>
      </c>
      <c r="BO344" s="80">
        <f t="shared" ca="1" si="411"/>
        <v>0</v>
      </c>
      <c r="BP344" s="80">
        <f t="shared" ca="1" si="411"/>
        <v>0</v>
      </c>
      <c r="BQ344" s="80">
        <f t="shared" ca="1" si="411"/>
        <v>0</v>
      </c>
      <c r="BR344" s="80">
        <f t="shared" ca="1" si="411"/>
        <v>0</v>
      </c>
      <c r="BS344" s="80">
        <f t="shared" ca="1" si="411"/>
        <v>0</v>
      </c>
      <c r="BT344" s="80">
        <f t="shared" ca="1" si="411"/>
        <v>0</v>
      </c>
      <c r="BU344" s="80">
        <f t="shared" ca="1" si="411"/>
        <v>0</v>
      </c>
      <c r="BV344" s="80">
        <f t="shared" ca="1" si="411"/>
        <v>0</v>
      </c>
      <c r="BW344" s="80">
        <f t="shared" ca="1" si="411"/>
        <v>0</v>
      </c>
      <c r="BX344" s="80">
        <f t="shared" ca="1" si="411"/>
        <v>0</v>
      </c>
      <c r="BY344" s="80">
        <f t="shared" ca="1" si="411"/>
        <v>0</v>
      </c>
      <c r="BZ344" s="80">
        <f t="shared" ca="1" si="411"/>
        <v>0</v>
      </c>
      <c r="CA344" s="80">
        <f t="shared" ca="1" si="411"/>
        <v>0</v>
      </c>
      <c r="CB344" s="80">
        <f t="shared" ca="1" si="411"/>
        <v>0</v>
      </c>
      <c r="CC344" s="80">
        <f t="shared" ca="1" si="411"/>
        <v>0</v>
      </c>
      <c r="CD344" s="80">
        <f t="shared" ca="1" si="411"/>
        <v>0</v>
      </c>
      <c r="CE344" s="80">
        <f t="shared" ca="1" si="411"/>
        <v>0</v>
      </c>
      <c r="CF344" s="80">
        <f t="shared" ca="1" si="411"/>
        <v>0</v>
      </c>
      <c r="CG344" s="80">
        <f t="shared" ca="1" si="411"/>
        <v>0</v>
      </c>
      <c r="CH344" s="80">
        <f t="shared" ca="1" si="411"/>
        <v>0</v>
      </c>
      <c r="CI344" s="80">
        <f t="shared" ca="1" si="411"/>
        <v>0</v>
      </c>
      <c r="CJ344" s="80">
        <f t="shared" ca="1" si="411"/>
        <v>0</v>
      </c>
      <c r="CK344" s="80">
        <f t="shared" ca="1" si="411"/>
        <v>0</v>
      </c>
    </row>
    <row r="345" spans="2:89"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</row>
    <row r="346" spans="2:89" ht="15.75" thickBot="1">
      <c r="B346" s="96" t="str">
        <f>"Сумма ЗП с начала года, превышающая ставку отсечения, в "&amp;Ед_измерения_денег</f>
        <v>Сумма ЗП с начала года, превышающая ставку отсечения, в  руб.</v>
      </c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</row>
    <row r="347" spans="2:89">
      <c r="B347" s="14"/>
      <c r="C347" s="14"/>
      <c r="D347" s="14"/>
      <c r="E347" s="1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154"/>
      <c r="BG347" s="154"/>
      <c r="BH347" s="154"/>
      <c r="BI347" s="154"/>
      <c r="BJ347" s="154"/>
      <c r="BK347" s="154"/>
      <c r="BL347" s="154"/>
      <c r="BM347" s="15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</row>
    <row r="348" spans="2:89">
      <c r="B348" s="45" t="str">
        <f t="array" ref="B348:B350">ФОТ_должности</f>
        <v>рабочие</v>
      </c>
      <c r="C348" s="118"/>
      <c r="D348" s="47">
        <f ca="1">SUM(F348:CK348)</f>
        <v>0</v>
      </c>
      <c r="E348" s="118"/>
      <c r="F348" s="49">
        <f t="array" aca="1" ref="F348:CK350" ca="1">F342:CK344*F287:CK289</f>
        <v>0</v>
      </c>
      <c r="G348" s="49">
        <f ca="1"/>
        <v>0</v>
      </c>
      <c r="H348" s="49">
        <f ca="1"/>
        <v>0</v>
      </c>
      <c r="I348" s="49">
        <f ca="1"/>
        <v>0</v>
      </c>
      <c r="J348" s="49">
        <f ca="1"/>
        <v>0</v>
      </c>
      <c r="K348" s="49">
        <f ca="1"/>
        <v>0</v>
      </c>
      <c r="L348" s="49">
        <f ca="1"/>
        <v>0</v>
      </c>
      <c r="M348" s="49">
        <f ca="1"/>
        <v>0</v>
      </c>
      <c r="N348" s="49">
        <f ca="1"/>
        <v>0</v>
      </c>
      <c r="O348" s="49">
        <f ca="1"/>
        <v>0</v>
      </c>
      <c r="P348" s="49">
        <f ca="1"/>
        <v>0</v>
      </c>
      <c r="Q348" s="49">
        <f ca="1"/>
        <v>0</v>
      </c>
      <c r="R348" s="49">
        <f ca="1"/>
        <v>0</v>
      </c>
      <c r="S348" s="49">
        <f ca="1"/>
        <v>0</v>
      </c>
      <c r="T348" s="49">
        <f ca="1"/>
        <v>0</v>
      </c>
      <c r="U348" s="49">
        <f ca="1"/>
        <v>0</v>
      </c>
      <c r="V348" s="49">
        <f ca="1"/>
        <v>0</v>
      </c>
      <c r="W348" s="49">
        <f ca="1"/>
        <v>0</v>
      </c>
      <c r="X348" s="49">
        <f ca="1"/>
        <v>0</v>
      </c>
      <c r="Y348" s="49">
        <f ca="1"/>
        <v>0</v>
      </c>
      <c r="Z348" s="49">
        <f ca="1"/>
        <v>0</v>
      </c>
      <c r="AA348" s="49">
        <f ca="1"/>
        <v>0</v>
      </c>
      <c r="AB348" s="49">
        <f ca="1"/>
        <v>0</v>
      </c>
      <c r="AC348" s="49">
        <f ca="1"/>
        <v>0</v>
      </c>
      <c r="AD348" s="49">
        <f ca="1"/>
        <v>0</v>
      </c>
      <c r="AE348" s="49">
        <f ca="1"/>
        <v>0</v>
      </c>
      <c r="AF348" s="49">
        <f ca="1"/>
        <v>0</v>
      </c>
      <c r="AG348" s="49">
        <f ca="1"/>
        <v>0</v>
      </c>
      <c r="AH348" s="49">
        <f ca="1"/>
        <v>0</v>
      </c>
      <c r="AI348" s="49">
        <f ca="1"/>
        <v>0</v>
      </c>
      <c r="AJ348" s="49">
        <f ca="1"/>
        <v>0</v>
      </c>
      <c r="AK348" s="49">
        <f ca="1"/>
        <v>0</v>
      </c>
      <c r="AL348" s="49">
        <f ca="1"/>
        <v>0</v>
      </c>
      <c r="AM348" s="49">
        <f ca="1"/>
        <v>0</v>
      </c>
      <c r="AN348" s="49">
        <f ca="1"/>
        <v>0</v>
      </c>
      <c r="AO348" s="49">
        <f ca="1"/>
        <v>0</v>
      </c>
      <c r="AP348" s="49">
        <f ca="1"/>
        <v>0</v>
      </c>
      <c r="AQ348" s="49">
        <f ca="1"/>
        <v>0</v>
      </c>
      <c r="AR348" s="49">
        <f ca="1"/>
        <v>0</v>
      </c>
      <c r="AS348" s="49">
        <f ca="1"/>
        <v>0</v>
      </c>
      <c r="AT348" s="49">
        <f ca="1"/>
        <v>0</v>
      </c>
      <c r="AU348" s="49">
        <f ca="1"/>
        <v>0</v>
      </c>
      <c r="AV348" s="49">
        <f ca="1"/>
        <v>0</v>
      </c>
      <c r="AW348" s="49">
        <f ca="1"/>
        <v>0</v>
      </c>
      <c r="AX348" s="49">
        <f ca="1"/>
        <v>0</v>
      </c>
      <c r="AY348" s="49">
        <f ca="1"/>
        <v>0</v>
      </c>
      <c r="AZ348" s="49">
        <f ca="1"/>
        <v>0</v>
      </c>
      <c r="BA348" s="49">
        <f ca="1"/>
        <v>0</v>
      </c>
      <c r="BB348" s="49">
        <f ca="1"/>
        <v>0</v>
      </c>
      <c r="BC348" s="49">
        <f ca="1"/>
        <v>0</v>
      </c>
      <c r="BD348" s="49">
        <f ca="1"/>
        <v>0</v>
      </c>
      <c r="BE348" s="49">
        <f ca="1"/>
        <v>0</v>
      </c>
      <c r="BF348" s="49">
        <f ca="1"/>
        <v>0</v>
      </c>
      <c r="BG348" s="49">
        <f ca="1"/>
        <v>0</v>
      </c>
      <c r="BH348" s="49">
        <f ca="1"/>
        <v>0</v>
      </c>
      <c r="BI348" s="49">
        <f ca="1"/>
        <v>0</v>
      </c>
      <c r="BJ348" s="49">
        <f ca="1"/>
        <v>0</v>
      </c>
      <c r="BK348" s="49">
        <f ca="1"/>
        <v>0</v>
      </c>
      <c r="BL348" s="49">
        <f ca="1"/>
        <v>0</v>
      </c>
      <c r="BM348" s="49">
        <f ca="1"/>
        <v>0</v>
      </c>
      <c r="BN348" s="49">
        <f ca="1"/>
        <v>0</v>
      </c>
      <c r="BO348" s="49">
        <f ca="1"/>
        <v>0</v>
      </c>
      <c r="BP348" s="49">
        <f ca="1"/>
        <v>0</v>
      </c>
      <c r="BQ348" s="49">
        <f ca="1"/>
        <v>0</v>
      </c>
      <c r="BR348" s="49">
        <f ca="1"/>
        <v>0</v>
      </c>
      <c r="BS348" s="49">
        <f ca="1"/>
        <v>0</v>
      </c>
      <c r="BT348" s="49">
        <f ca="1"/>
        <v>0</v>
      </c>
      <c r="BU348" s="49">
        <f ca="1"/>
        <v>0</v>
      </c>
      <c r="BV348" s="49">
        <f ca="1"/>
        <v>0</v>
      </c>
      <c r="BW348" s="49">
        <f ca="1"/>
        <v>0</v>
      </c>
      <c r="BX348" s="49">
        <f ca="1"/>
        <v>0</v>
      </c>
      <c r="BY348" s="49">
        <f ca="1"/>
        <v>0</v>
      </c>
      <c r="BZ348" s="49">
        <f ca="1"/>
        <v>0</v>
      </c>
      <c r="CA348" s="49">
        <f ca="1"/>
        <v>0</v>
      </c>
      <c r="CB348" s="49">
        <f ca="1"/>
        <v>0</v>
      </c>
      <c r="CC348" s="49">
        <f ca="1"/>
        <v>0</v>
      </c>
      <c r="CD348" s="49">
        <f ca="1"/>
        <v>0</v>
      </c>
      <c r="CE348" s="49">
        <f ca="1"/>
        <v>0</v>
      </c>
      <c r="CF348" s="49">
        <f ca="1"/>
        <v>0</v>
      </c>
      <c r="CG348" s="49">
        <f ca="1"/>
        <v>0</v>
      </c>
      <c r="CH348" s="49">
        <f ca="1"/>
        <v>0</v>
      </c>
      <c r="CI348" s="49">
        <f ca="1"/>
        <v>0</v>
      </c>
      <c r="CJ348" s="49">
        <f ca="1"/>
        <v>0</v>
      </c>
      <c r="CK348" s="49">
        <f ca="1"/>
        <v>0</v>
      </c>
    </row>
    <row r="349" spans="2:89">
      <c r="B349" s="86" t="str">
        <v xml:space="preserve">руководители </v>
      </c>
      <c r="C349" s="118"/>
      <c r="D349" s="47">
        <f t="shared" ref="D349:D350" ca="1" si="412">SUM(F349:CK349)</f>
        <v>0</v>
      </c>
      <c r="E349" s="118"/>
      <c r="F349" s="176">
        <f ca="1"/>
        <v>0</v>
      </c>
      <c r="G349" s="176">
        <f ca="1"/>
        <v>0</v>
      </c>
      <c r="H349" s="176">
        <f ca="1"/>
        <v>0</v>
      </c>
      <c r="I349" s="176">
        <f ca="1"/>
        <v>0</v>
      </c>
      <c r="J349" s="176">
        <f ca="1"/>
        <v>0</v>
      </c>
      <c r="K349" s="176">
        <f ca="1"/>
        <v>0</v>
      </c>
      <c r="L349" s="176">
        <f ca="1"/>
        <v>0</v>
      </c>
      <c r="M349" s="176">
        <f ca="1"/>
        <v>0</v>
      </c>
      <c r="N349" s="176">
        <f ca="1"/>
        <v>0</v>
      </c>
      <c r="O349" s="176">
        <f ca="1"/>
        <v>0</v>
      </c>
      <c r="P349" s="176">
        <f ca="1"/>
        <v>0</v>
      </c>
      <c r="Q349" s="176">
        <f ca="1"/>
        <v>0</v>
      </c>
      <c r="R349" s="176">
        <f ca="1"/>
        <v>0</v>
      </c>
      <c r="S349" s="176">
        <f ca="1"/>
        <v>0</v>
      </c>
      <c r="T349" s="176">
        <f ca="1"/>
        <v>0</v>
      </c>
      <c r="U349" s="176">
        <f ca="1"/>
        <v>0</v>
      </c>
      <c r="V349" s="176">
        <f ca="1"/>
        <v>0</v>
      </c>
      <c r="W349" s="176">
        <f ca="1"/>
        <v>0</v>
      </c>
      <c r="X349" s="176">
        <f ca="1"/>
        <v>0</v>
      </c>
      <c r="Y349" s="176">
        <f ca="1"/>
        <v>0</v>
      </c>
      <c r="Z349" s="176">
        <f ca="1"/>
        <v>0</v>
      </c>
      <c r="AA349" s="176">
        <f ca="1"/>
        <v>0</v>
      </c>
      <c r="AB349" s="176">
        <f ca="1"/>
        <v>0</v>
      </c>
      <c r="AC349" s="176">
        <f ca="1"/>
        <v>0</v>
      </c>
      <c r="AD349" s="176">
        <f ca="1"/>
        <v>0</v>
      </c>
      <c r="AE349" s="176">
        <f ca="1"/>
        <v>0</v>
      </c>
      <c r="AF349" s="176">
        <f ca="1"/>
        <v>0</v>
      </c>
      <c r="AG349" s="176">
        <f ca="1"/>
        <v>0</v>
      </c>
      <c r="AH349" s="176">
        <f ca="1"/>
        <v>0</v>
      </c>
      <c r="AI349" s="176">
        <f ca="1"/>
        <v>0</v>
      </c>
      <c r="AJ349" s="176">
        <f ca="1"/>
        <v>0</v>
      </c>
      <c r="AK349" s="176">
        <f ca="1"/>
        <v>0</v>
      </c>
      <c r="AL349" s="176">
        <f ca="1"/>
        <v>0</v>
      </c>
      <c r="AM349" s="176">
        <f ca="1"/>
        <v>0</v>
      </c>
      <c r="AN349" s="176">
        <f ca="1"/>
        <v>0</v>
      </c>
      <c r="AO349" s="176">
        <f ca="1"/>
        <v>0</v>
      </c>
      <c r="AP349" s="176">
        <f ca="1"/>
        <v>0</v>
      </c>
      <c r="AQ349" s="176">
        <f ca="1"/>
        <v>0</v>
      </c>
      <c r="AR349" s="176">
        <f ca="1"/>
        <v>0</v>
      </c>
      <c r="AS349" s="176">
        <f ca="1"/>
        <v>0</v>
      </c>
      <c r="AT349" s="176">
        <f ca="1"/>
        <v>0</v>
      </c>
      <c r="AU349" s="176">
        <f ca="1"/>
        <v>0</v>
      </c>
      <c r="AV349" s="176">
        <f ca="1"/>
        <v>0</v>
      </c>
      <c r="AW349" s="176">
        <f ca="1"/>
        <v>0</v>
      </c>
      <c r="AX349" s="176">
        <f ca="1"/>
        <v>0</v>
      </c>
      <c r="AY349" s="176">
        <f ca="1"/>
        <v>0</v>
      </c>
      <c r="AZ349" s="176">
        <f ca="1"/>
        <v>0</v>
      </c>
      <c r="BA349" s="176">
        <f ca="1"/>
        <v>0</v>
      </c>
      <c r="BB349" s="176">
        <f ca="1"/>
        <v>0</v>
      </c>
      <c r="BC349" s="176">
        <f ca="1"/>
        <v>0</v>
      </c>
      <c r="BD349" s="176">
        <f ca="1"/>
        <v>0</v>
      </c>
      <c r="BE349" s="176">
        <f ca="1"/>
        <v>0</v>
      </c>
      <c r="BF349" s="176">
        <f ca="1"/>
        <v>0</v>
      </c>
      <c r="BG349" s="176">
        <f ca="1"/>
        <v>0</v>
      </c>
      <c r="BH349" s="176">
        <f ca="1"/>
        <v>0</v>
      </c>
      <c r="BI349" s="176">
        <f ca="1"/>
        <v>0</v>
      </c>
      <c r="BJ349" s="176">
        <f ca="1"/>
        <v>0</v>
      </c>
      <c r="BK349" s="176">
        <f ca="1"/>
        <v>0</v>
      </c>
      <c r="BL349" s="176">
        <f ca="1"/>
        <v>0</v>
      </c>
      <c r="BM349" s="176">
        <f ca="1"/>
        <v>0</v>
      </c>
      <c r="BN349" s="176">
        <f ca="1"/>
        <v>0</v>
      </c>
      <c r="BO349" s="176">
        <f ca="1"/>
        <v>0</v>
      </c>
      <c r="BP349" s="176">
        <f ca="1"/>
        <v>0</v>
      </c>
      <c r="BQ349" s="176">
        <f ca="1"/>
        <v>0</v>
      </c>
      <c r="BR349" s="176">
        <f ca="1"/>
        <v>0</v>
      </c>
      <c r="BS349" s="176">
        <f ca="1"/>
        <v>0</v>
      </c>
      <c r="BT349" s="176">
        <f ca="1"/>
        <v>0</v>
      </c>
      <c r="BU349" s="176">
        <f ca="1"/>
        <v>0</v>
      </c>
      <c r="BV349" s="176">
        <f ca="1"/>
        <v>0</v>
      </c>
      <c r="BW349" s="176">
        <f ca="1"/>
        <v>0</v>
      </c>
      <c r="BX349" s="176">
        <f ca="1"/>
        <v>0</v>
      </c>
      <c r="BY349" s="176">
        <f ca="1"/>
        <v>0</v>
      </c>
      <c r="BZ349" s="176">
        <f ca="1"/>
        <v>0</v>
      </c>
      <c r="CA349" s="176">
        <f ca="1"/>
        <v>0</v>
      </c>
      <c r="CB349" s="176">
        <f ca="1"/>
        <v>0</v>
      </c>
      <c r="CC349" s="176">
        <f ca="1"/>
        <v>0</v>
      </c>
      <c r="CD349" s="176">
        <f ca="1"/>
        <v>0</v>
      </c>
      <c r="CE349" s="176">
        <f ca="1"/>
        <v>0</v>
      </c>
      <c r="CF349" s="176">
        <f ca="1"/>
        <v>0</v>
      </c>
      <c r="CG349" s="176">
        <f ca="1"/>
        <v>0</v>
      </c>
      <c r="CH349" s="176">
        <f ca="1"/>
        <v>0</v>
      </c>
      <c r="CI349" s="176">
        <f ca="1"/>
        <v>0</v>
      </c>
      <c r="CJ349" s="176">
        <f ca="1"/>
        <v>0</v>
      </c>
      <c r="CK349" s="176">
        <f ca="1"/>
        <v>0</v>
      </c>
    </row>
    <row r="350" spans="2:89" ht="15.75" thickBot="1">
      <c r="B350" s="128" t="str">
        <v>специалисты и другие служащие</v>
      </c>
      <c r="C350" s="124"/>
      <c r="D350" s="47">
        <f t="shared" ca="1" si="412"/>
        <v>0</v>
      </c>
      <c r="E350" s="124"/>
      <c r="F350" s="185">
        <f ca="1"/>
        <v>0</v>
      </c>
      <c r="G350" s="185">
        <f ca="1"/>
        <v>0</v>
      </c>
      <c r="H350" s="185">
        <f ca="1"/>
        <v>0</v>
      </c>
      <c r="I350" s="185">
        <f ca="1"/>
        <v>0</v>
      </c>
      <c r="J350" s="185">
        <f ca="1"/>
        <v>0</v>
      </c>
      <c r="K350" s="185">
        <f ca="1"/>
        <v>0</v>
      </c>
      <c r="L350" s="185">
        <f ca="1"/>
        <v>0</v>
      </c>
      <c r="M350" s="185">
        <f ca="1"/>
        <v>0</v>
      </c>
      <c r="N350" s="185">
        <f ca="1"/>
        <v>0</v>
      </c>
      <c r="O350" s="185">
        <f ca="1"/>
        <v>0</v>
      </c>
      <c r="P350" s="185">
        <f ca="1"/>
        <v>0</v>
      </c>
      <c r="Q350" s="185">
        <f ca="1"/>
        <v>0</v>
      </c>
      <c r="R350" s="185">
        <f ca="1"/>
        <v>0</v>
      </c>
      <c r="S350" s="185">
        <f ca="1"/>
        <v>0</v>
      </c>
      <c r="T350" s="185">
        <f ca="1"/>
        <v>0</v>
      </c>
      <c r="U350" s="185">
        <f ca="1"/>
        <v>0</v>
      </c>
      <c r="V350" s="185">
        <f ca="1"/>
        <v>0</v>
      </c>
      <c r="W350" s="185">
        <f ca="1"/>
        <v>0</v>
      </c>
      <c r="X350" s="185">
        <f ca="1"/>
        <v>0</v>
      </c>
      <c r="Y350" s="185">
        <f ca="1"/>
        <v>0</v>
      </c>
      <c r="Z350" s="185">
        <f ca="1"/>
        <v>0</v>
      </c>
      <c r="AA350" s="185">
        <f ca="1"/>
        <v>0</v>
      </c>
      <c r="AB350" s="185">
        <f ca="1"/>
        <v>0</v>
      </c>
      <c r="AC350" s="185">
        <f ca="1"/>
        <v>0</v>
      </c>
      <c r="AD350" s="185">
        <f ca="1"/>
        <v>0</v>
      </c>
      <c r="AE350" s="185">
        <f ca="1"/>
        <v>0</v>
      </c>
      <c r="AF350" s="185">
        <f ca="1"/>
        <v>0</v>
      </c>
      <c r="AG350" s="185">
        <f ca="1"/>
        <v>0</v>
      </c>
      <c r="AH350" s="185">
        <f ca="1"/>
        <v>0</v>
      </c>
      <c r="AI350" s="185">
        <f ca="1"/>
        <v>0</v>
      </c>
      <c r="AJ350" s="185">
        <f ca="1"/>
        <v>0</v>
      </c>
      <c r="AK350" s="185">
        <f ca="1"/>
        <v>0</v>
      </c>
      <c r="AL350" s="185">
        <f ca="1"/>
        <v>0</v>
      </c>
      <c r="AM350" s="185">
        <f ca="1"/>
        <v>0</v>
      </c>
      <c r="AN350" s="185">
        <f ca="1"/>
        <v>0</v>
      </c>
      <c r="AO350" s="185">
        <f ca="1"/>
        <v>0</v>
      </c>
      <c r="AP350" s="185">
        <f ca="1"/>
        <v>0</v>
      </c>
      <c r="AQ350" s="185">
        <f ca="1"/>
        <v>0</v>
      </c>
      <c r="AR350" s="185">
        <f ca="1"/>
        <v>0</v>
      </c>
      <c r="AS350" s="185">
        <f ca="1"/>
        <v>0</v>
      </c>
      <c r="AT350" s="185">
        <f ca="1"/>
        <v>0</v>
      </c>
      <c r="AU350" s="185">
        <f ca="1"/>
        <v>0</v>
      </c>
      <c r="AV350" s="185">
        <f ca="1"/>
        <v>0</v>
      </c>
      <c r="AW350" s="185">
        <f ca="1"/>
        <v>0</v>
      </c>
      <c r="AX350" s="185">
        <f ca="1"/>
        <v>0</v>
      </c>
      <c r="AY350" s="185">
        <f ca="1"/>
        <v>0</v>
      </c>
      <c r="AZ350" s="185">
        <f ca="1"/>
        <v>0</v>
      </c>
      <c r="BA350" s="185">
        <f ca="1"/>
        <v>0</v>
      </c>
      <c r="BB350" s="185">
        <f ca="1"/>
        <v>0</v>
      </c>
      <c r="BC350" s="185">
        <f ca="1"/>
        <v>0</v>
      </c>
      <c r="BD350" s="185">
        <f ca="1"/>
        <v>0</v>
      </c>
      <c r="BE350" s="185">
        <f ca="1"/>
        <v>0</v>
      </c>
      <c r="BF350" s="185">
        <f ca="1"/>
        <v>0</v>
      </c>
      <c r="BG350" s="185">
        <f ca="1"/>
        <v>0</v>
      </c>
      <c r="BH350" s="185">
        <f ca="1"/>
        <v>0</v>
      </c>
      <c r="BI350" s="185">
        <f ca="1"/>
        <v>0</v>
      </c>
      <c r="BJ350" s="185">
        <f ca="1"/>
        <v>0</v>
      </c>
      <c r="BK350" s="185">
        <f ca="1"/>
        <v>0</v>
      </c>
      <c r="BL350" s="185">
        <f ca="1"/>
        <v>0</v>
      </c>
      <c r="BM350" s="185">
        <f ca="1"/>
        <v>0</v>
      </c>
      <c r="BN350" s="185">
        <f ca="1"/>
        <v>0</v>
      </c>
      <c r="BO350" s="185">
        <f ca="1"/>
        <v>0</v>
      </c>
      <c r="BP350" s="185">
        <f ca="1"/>
        <v>0</v>
      </c>
      <c r="BQ350" s="185">
        <f ca="1"/>
        <v>0</v>
      </c>
      <c r="BR350" s="185">
        <f ca="1"/>
        <v>0</v>
      </c>
      <c r="BS350" s="185">
        <f ca="1"/>
        <v>0</v>
      </c>
      <c r="BT350" s="185">
        <f ca="1"/>
        <v>0</v>
      </c>
      <c r="BU350" s="185">
        <f ca="1"/>
        <v>0</v>
      </c>
      <c r="BV350" s="185">
        <f ca="1"/>
        <v>0</v>
      </c>
      <c r="BW350" s="185">
        <f ca="1"/>
        <v>0</v>
      </c>
      <c r="BX350" s="185">
        <f ca="1"/>
        <v>0</v>
      </c>
      <c r="BY350" s="185">
        <f ca="1"/>
        <v>0</v>
      </c>
      <c r="BZ350" s="185">
        <f ca="1"/>
        <v>0</v>
      </c>
      <c r="CA350" s="185">
        <f ca="1"/>
        <v>0</v>
      </c>
      <c r="CB350" s="185">
        <f ca="1"/>
        <v>0</v>
      </c>
      <c r="CC350" s="185">
        <f ca="1"/>
        <v>0</v>
      </c>
      <c r="CD350" s="185">
        <f ca="1"/>
        <v>0</v>
      </c>
      <c r="CE350" s="185">
        <f ca="1"/>
        <v>0</v>
      </c>
      <c r="CF350" s="185">
        <f ca="1"/>
        <v>0</v>
      </c>
      <c r="CG350" s="185">
        <f ca="1"/>
        <v>0</v>
      </c>
      <c r="CH350" s="185">
        <f ca="1"/>
        <v>0</v>
      </c>
      <c r="CI350" s="185">
        <f ca="1"/>
        <v>0</v>
      </c>
      <c r="CJ350" s="185">
        <f ca="1"/>
        <v>0</v>
      </c>
      <c r="CK350" s="185">
        <f ca="1"/>
        <v>0</v>
      </c>
    </row>
    <row r="351" spans="2:89" ht="15.75" thickTop="1">
      <c r="B351" s="50" t="s">
        <v>50</v>
      </c>
      <c r="C351" s="51"/>
      <c r="D351" s="52">
        <f ca="1">SUM(D348:D350)</f>
        <v>0</v>
      </c>
      <c r="E351" s="53"/>
      <c r="F351" s="54">
        <f ca="1">SUM(F348:F350)</f>
        <v>0</v>
      </c>
      <c r="G351" s="54">
        <f t="shared" ref="G351:AG351" ca="1" si="413">SUM(G348:G350)</f>
        <v>0</v>
      </c>
      <c r="H351" s="54">
        <f t="shared" ca="1" si="413"/>
        <v>0</v>
      </c>
      <c r="I351" s="54">
        <f t="shared" ca="1" si="413"/>
        <v>0</v>
      </c>
      <c r="J351" s="54">
        <f t="shared" ca="1" si="413"/>
        <v>0</v>
      </c>
      <c r="K351" s="54">
        <f t="shared" ca="1" si="413"/>
        <v>0</v>
      </c>
      <c r="L351" s="54">
        <f t="shared" ca="1" si="413"/>
        <v>0</v>
      </c>
      <c r="M351" s="54">
        <f t="shared" ca="1" si="413"/>
        <v>0</v>
      </c>
      <c r="N351" s="54">
        <f t="shared" ca="1" si="413"/>
        <v>0</v>
      </c>
      <c r="O351" s="54">
        <f t="shared" ca="1" si="413"/>
        <v>0</v>
      </c>
      <c r="P351" s="54">
        <f t="shared" ca="1" si="413"/>
        <v>0</v>
      </c>
      <c r="Q351" s="54">
        <f t="shared" ca="1" si="413"/>
        <v>0</v>
      </c>
      <c r="R351" s="54">
        <f t="shared" ca="1" si="413"/>
        <v>0</v>
      </c>
      <c r="S351" s="54">
        <f t="shared" ca="1" si="413"/>
        <v>0</v>
      </c>
      <c r="T351" s="54">
        <f t="shared" ca="1" si="413"/>
        <v>0</v>
      </c>
      <c r="U351" s="54">
        <f t="shared" ca="1" si="413"/>
        <v>0</v>
      </c>
      <c r="V351" s="54">
        <f t="shared" ca="1" si="413"/>
        <v>0</v>
      </c>
      <c r="W351" s="54">
        <f t="shared" ca="1" si="413"/>
        <v>0</v>
      </c>
      <c r="X351" s="54">
        <f t="shared" ca="1" si="413"/>
        <v>0</v>
      </c>
      <c r="Y351" s="54">
        <f t="shared" ca="1" si="413"/>
        <v>0</v>
      </c>
      <c r="Z351" s="54">
        <f t="shared" ca="1" si="413"/>
        <v>0</v>
      </c>
      <c r="AA351" s="54">
        <f t="shared" ca="1" si="413"/>
        <v>0</v>
      </c>
      <c r="AB351" s="54">
        <f t="shared" ca="1" si="413"/>
        <v>0</v>
      </c>
      <c r="AC351" s="54">
        <f t="shared" ca="1" si="413"/>
        <v>0</v>
      </c>
      <c r="AD351" s="54">
        <f t="shared" ca="1" si="413"/>
        <v>0</v>
      </c>
      <c r="AE351" s="54">
        <f t="shared" ca="1" si="413"/>
        <v>0</v>
      </c>
      <c r="AF351" s="54">
        <f t="shared" ca="1" si="413"/>
        <v>0</v>
      </c>
      <c r="AG351" s="54">
        <f t="shared" ca="1" si="413"/>
        <v>0</v>
      </c>
      <c r="AH351" s="54">
        <f t="shared" ref="AH351:BM351" ca="1" si="414">SUM(AH348:AH350)</f>
        <v>0</v>
      </c>
      <c r="AI351" s="54">
        <f t="shared" ca="1" si="414"/>
        <v>0</v>
      </c>
      <c r="AJ351" s="54">
        <f t="shared" ca="1" si="414"/>
        <v>0</v>
      </c>
      <c r="AK351" s="54">
        <f t="shared" ca="1" si="414"/>
        <v>0</v>
      </c>
      <c r="AL351" s="54">
        <f t="shared" ca="1" si="414"/>
        <v>0</v>
      </c>
      <c r="AM351" s="54">
        <f t="shared" ca="1" si="414"/>
        <v>0</v>
      </c>
      <c r="AN351" s="54">
        <f t="shared" ca="1" si="414"/>
        <v>0</v>
      </c>
      <c r="AO351" s="54">
        <f t="shared" ca="1" si="414"/>
        <v>0</v>
      </c>
      <c r="AP351" s="54">
        <f t="shared" ca="1" si="414"/>
        <v>0</v>
      </c>
      <c r="AQ351" s="54">
        <f t="shared" ca="1" si="414"/>
        <v>0</v>
      </c>
      <c r="AR351" s="54">
        <f t="shared" ca="1" si="414"/>
        <v>0</v>
      </c>
      <c r="AS351" s="54">
        <f t="shared" ca="1" si="414"/>
        <v>0</v>
      </c>
      <c r="AT351" s="54">
        <f t="shared" ca="1" si="414"/>
        <v>0</v>
      </c>
      <c r="AU351" s="54">
        <f t="shared" ca="1" si="414"/>
        <v>0</v>
      </c>
      <c r="AV351" s="54">
        <f t="shared" ca="1" si="414"/>
        <v>0</v>
      </c>
      <c r="AW351" s="54">
        <f t="shared" ca="1" si="414"/>
        <v>0</v>
      </c>
      <c r="AX351" s="54">
        <f t="shared" ca="1" si="414"/>
        <v>0</v>
      </c>
      <c r="AY351" s="54">
        <f t="shared" ca="1" si="414"/>
        <v>0</v>
      </c>
      <c r="AZ351" s="54">
        <f t="shared" ca="1" si="414"/>
        <v>0</v>
      </c>
      <c r="BA351" s="54">
        <f t="shared" ca="1" si="414"/>
        <v>0</v>
      </c>
      <c r="BB351" s="54">
        <f t="shared" ca="1" si="414"/>
        <v>0</v>
      </c>
      <c r="BC351" s="54">
        <f t="shared" ca="1" si="414"/>
        <v>0</v>
      </c>
      <c r="BD351" s="54">
        <f t="shared" ca="1" si="414"/>
        <v>0</v>
      </c>
      <c r="BE351" s="54">
        <f t="shared" ca="1" si="414"/>
        <v>0</v>
      </c>
      <c r="BF351" s="54">
        <f t="shared" ca="1" si="414"/>
        <v>0</v>
      </c>
      <c r="BG351" s="54">
        <f t="shared" ca="1" si="414"/>
        <v>0</v>
      </c>
      <c r="BH351" s="54">
        <f t="shared" ca="1" si="414"/>
        <v>0</v>
      </c>
      <c r="BI351" s="54">
        <f t="shared" ca="1" si="414"/>
        <v>0</v>
      </c>
      <c r="BJ351" s="54">
        <f t="shared" ca="1" si="414"/>
        <v>0</v>
      </c>
      <c r="BK351" s="54">
        <f t="shared" ca="1" si="414"/>
        <v>0</v>
      </c>
      <c r="BL351" s="54">
        <f t="shared" ca="1" si="414"/>
        <v>0</v>
      </c>
      <c r="BM351" s="54">
        <f t="shared" ca="1" si="414"/>
        <v>0</v>
      </c>
      <c r="BN351" s="54">
        <f t="shared" ref="BN351:CK351" ca="1" si="415">SUM(BN348:BN350)</f>
        <v>0</v>
      </c>
      <c r="BO351" s="54">
        <f t="shared" ca="1" si="415"/>
        <v>0</v>
      </c>
      <c r="BP351" s="54">
        <f t="shared" ca="1" si="415"/>
        <v>0</v>
      </c>
      <c r="BQ351" s="54">
        <f t="shared" ca="1" si="415"/>
        <v>0</v>
      </c>
      <c r="BR351" s="54">
        <f t="shared" ca="1" si="415"/>
        <v>0</v>
      </c>
      <c r="BS351" s="54">
        <f t="shared" ca="1" si="415"/>
        <v>0</v>
      </c>
      <c r="BT351" s="54">
        <f t="shared" ca="1" si="415"/>
        <v>0</v>
      </c>
      <c r="BU351" s="54">
        <f t="shared" ca="1" si="415"/>
        <v>0</v>
      </c>
      <c r="BV351" s="54">
        <f t="shared" ca="1" si="415"/>
        <v>0</v>
      </c>
      <c r="BW351" s="54">
        <f t="shared" ca="1" si="415"/>
        <v>0</v>
      </c>
      <c r="BX351" s="54">
        <f t="shared" ca="1" si="415"/>
        <v>0</v>
      </c>
      <c r="BY351" s="54">
        <f t="shared" ca="1" si="415"/>
        <v>0</v>
      </c>
      <c r="BZ351" s="54">
        <f t="shared" ca="1" si="415"/>
        <v>0</v>
      </c>
      <c r="CA351" s="54">
        <f t="shared" ca="1" si="415"/>
        <v>0</v>
      </c>
      <c r="CB351" s="54">
        <f t="shared" ca="1" si="415"/>
        <v>0</v>
      </c>
      <c r="CC351" s="54">
        <f t="shared" ca="1" si="415"/>
        <v>0</v>
      </c>
      <c r="CD351" s="54">
        <f t="shared" ca="1" si="415"/>
        <v>0</v>
      </c>
      <c r="CE351" s="54">
        <f t="shared" ca="1" si="415"/>
        <v>0</v>
      </c>
      <c r="CF351" s="54">
        <f t="shared" ca="1" si="415"/>
        <v>0</v>
      </c>
      <c r="CG351" s="54">
        <f t="shared" ca="1" si="415"/>
        <v>0</v>
      </c>
      <c r="CH351" s="54">
        <f t="shared" ca="1" si="415"/>
        <v>0</v>
      </c>
      <c r="CI351" s="54">
        <f t="shared" ca="1" si="415"/>
        <v>0</v>
      </c>
      <c r="CJ351" s="54">
        <f t="shared" ca="1" si="415"/>
        <v>0</v>
      </c>
      <c r="CK351" s="54">
        <f t="shared" ca="1" si="415"/>
        <v>0</v>
      </c>
    </row>
    <row r="352" spans="2:89"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</row>
    <row r="353" spans="2:89" ht="15.75" thickBot="1">
      <c r="B353" s="96" t="str">
        <f>"Страховые взносы, в "&amp;Ед_измерения_денег</f>
        <v>Страховые взносы, в  руб.</v>
      </c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</row>
    <row r="354" spans="2:89">
      <c r="B354" s="14"/>
      <c r="C354" s="14"/>
      <c r="D354" s="14"/>
      <c r="E354" s="1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</row>
    <row r="355" spans="2:89">
      <c r="B355" s="45" t="str">
        <f t="array" ref="B355:B357">ФОТ_должности</f>
        <v>рабочие</v>
      </c>
      <c r="C355" s="118"/>
      <c r="D355" s="47">
        <f ca="1">SUM(F355:CK355)</f>
        <v>189546109.83087358</v>
      </c>
      <c r="E355" s="118"/>
      <c r="F355" s="49">
        <f t="array" aca="1" ref="F355:F357" ca="1">(F312:F314-F348:F350)*F$331+F348:F350*F$332</f>
        <v>0</v>
      </c>
      <c r="G355" s="49">
        <f t="array" aca="1" ref="G355:G357" ca="1">(G312:G314-G348:G350)*G$331+G348:G350*G$332</f>
        <v>0</v>
      </c>
      <c r="H355" s="49">
        <f t="array" aca="1" ref="H355:H357" ca="1">(H312:H314-H348:H350)*H$331+H348:H350*H$332</f>
        <v>0</v>
      </c>
      <c r="I355" s="49">
        <f t="array" aca="1" ref="I355:I357" ca="1">(I312:I314-I348:I350)*I$331+I348:I350*I$332</f>
        <v>0</v>
      </c>
      <c r="J355" s="49">
        <f t="array" aca="1" ref="J355:J357" ca="1">(J312:J314-J348:J350)*J$331+J348:J350*J$332</f>
        <v>0</v>
      </c>
      <c r="K355" s="49">
        <f t="array" aca="1" ref="K355:K357" ca="1">(K312:K314-K348:K350)*K$331+K348:K350*K$332</f>
        <v>0</v>
      </c>
      <c r="L355" s="49">
        <f t="array" aca="1" ref="L355:L357" ca="1">(L312:L314-L348:L350)*L$331+L348:L350*L$332</f>
        <v>0</v>
      </c>
      <c r="M355" s="49">
        <f t="array" aca="1" ref="M355:M357" ca="1">(M312:M314-M348:M350)*M$331+M348:M350*M$332</f>
        <v>0</v>
      </c>
      <c r="N355" s="49">
        <f t="array" aca="1" ref="N355:N357" ca="1">(N312:N314-N348:N350)*N$331+N348:N350*N$332</f>
        <v>0</v>
      </c>
      <c r="O355" s="49">
        <f t="array" aca="1" ref="O355:O357" ca="1">(O312:O314-O348:O350)*O$331+O348:O350*O$332</f>
        <v>0</v>
      </c>
      <c r="P355" s="49">
        <f t="array" aca="1" ref="P355:P357" ca="1">(P312:P314-P348:P350)*P$331+P348:P350*P$332</f>
        <v>0</v>
      </c>
      <c r="Q355" s="49">
        <f t="array" aca="1" ref="Q355:Q357" ca="1">(Q312:Q314-Q348:Q350)*Q$331+Q348:Q350*Q$332</f>
        <v>0</v>
      </c>
      <c r="R355" s="49">
        <f t="array" aca="1" ref="R355:R357" ca="1">(R312:R314-R348:R350)*R$331+R348:R350*R$332</f>
        <v>2090936.9318023624</v>
      </c>
      <c r="S355" s="49">
        <f t="array" aca="1" ref="S355:S357" ca="1">(S312:S314-S348:S350)*S$331+S348:S350*S$332</f>
        <v>2097894.5178339668</v>
      </c>
      <c r="T355" s="49">
        <f t="array" aca="1" ref="T355:T357" ca="1">(T312:T314-T348:T350)*T$331+T348:T350*T$332</f>
        <v>2104649.7079830472</v>
      </c>
      <c r="U355" s="49">
        <f t="array" aca="1" ref="U355:U357" ca="1">(U312:U314-U348:U350)*U$331+U348:U350*U$332</f>
        <v>2111652.9232340497</v>
      </c>
      <c r="V355" s="49">
        <f t="array" aca="1" ref="V355:V357" ca="1">(V312:V314-V348:V350)*V$331+V348:V350*V$332</f>
        <v>2118679.4416616648</v>
      </c>
      <c r="W355" s="49">
        <f t="array" aca="1" ref="W355:W357" ca="1">(W312:W314-W348:W350)*W$331+W348:W350*W$332</f>
        <v>2125501.5589662795</v>
      </c>
      <c r="X355" s="49">
        <f t="array" aca="1" ref="X355:X357" ca="1">(X312:X314-X348:X350)*X$331+X348:X350*X$332</f>
        <v>2132574.1586855212</v>
      </c>
      <c r="Y355" s="49">
        <f t="array" aca="1" ref="Y355:Y357" ca="1">(Y312:Y314-Y348:Y350)*Y$331+Y348:Y350*Y$332</f>
        <v>2139441.0167789436</v>
      </c>
      <c r="Z355" s="49">
        <f t="array" aca="1" ref="Z355:Z357" ca="1">(Z312:Z314-Z348:Z350)*Z$331+Z348:Z350*Z$332</f>
        <v>2146559.9999999977</v>
      </c>
      <c r="AA355" s="49">
        <f t="array" aca="1" ref="AA355:AA357" ca="1">(AA312:AA314-AA348:AA350)*AA$331+AA348:AA350*AA$332</f>
        <v>2153722.273189527</v>
      </c>
      <c r="AB355" s="49">
        <f t="array" aca="1" ref="AB355:AB357" ca="1">(AB312:AB314-AB348:AB350)*AB$331+AB348:AB350*AB$332</f>
        <v>2160211.9616655214</v>
      </c>
      <c r="AC355" s="49">
        <f t="array" aca="1" ref="AC355:AC357" ca="1">(AC312:AC314-AC348:AC350)*AC$331+AC348:AC350*AC$332</f>
        <v>2167419.786378894</v>
      </c>
      <c r="AD355" s="49">
        <f t="array" aca="1" ref="AD355:AD357" ca="1">(AD312:AD314-AD348:AD350)*AD$331+AD348:AD350*AD$332</f>
        <v>2477825.1610143888</v>
      </c>
      <c r="AE355" s="49">
        <f t="array" aca="1" ref="AE355:AE357" ca="1">(AE312:AE314-AE348:AE350)*AE$331+AE348:AE350*AE$332</f>
        <v>2486092.7429683404</v>
      </c>
      <c r="AF355" s="49">
        <f t="array" aca="1" ref="AF355:AF357" ca="1">(AF312:AF314-AF348:AF350)*AF$331+AF348:AF350*AF$332</f>
        <v>2494119.8931914712</v>
      </c>
      <c r="AG355" s="49">
        <f t="array" aca="1" ref="AG355:AG357" ca="1">(AG312:AG314-AG348:AG350)*AG$331+AG348:AG350*AG$332</f>
        <v>2502441.8446125714</v>
      </c>
      <c r="AH355" s="49">
        <f t="array" aca="1" ref="AH355:AH357" ca="1">(AH312:AH314-AH348:AH350)*AH$331+AH348:AH350*AH$332</f>
        <v>2510791.5632936358</v>
      </c>
      <c r="AI355" s="49">
        <f t="array" aca="1" ref="AI355:AI357" ca="1">(AI312:AI314-AI348:AI350)*AI$331+AI348:AI350*AI$332</f>
        <v>2518898.4616040592</v>
      </c>
      <c r="AJ355" s="49">
        <f t="array" aca="1" ref="AJ355:AJ357" ca="1">(AJ312:AJ314-AJ348:AJ350)*AJ$331+AJ348:AJ350*AJ$332</f>
        <v>2527303.0899017509</v>
      </c>
      <c r="AK355" s="49">
        <f t="array" aca="1" ref="AK355:AK357" ca="1">(AK312:AK314-AK348:AK350)*AK$331+AK348:AK350*AK$332</f>
        <v>2535463.3009877629</v>
      </c>
      <c r="AL355" s="49">
        <f t="array" aca="1" ref="AL355:AL357" ca="1">(AL312:AL314-AL348:AL350)*AL$331+AL348:AL350*AL$332</f>
        <v>2543923.1999999965</v>
      </c>
      <c r="AM355" s="49">
        <f t="array" aca="1" ref="AM355:AM357" ca="1">(AM312:AM314-AM348:AM350)*AM$331+AM348:AM350*AM$332</f>
        <v>2552411.326552053</v>
      </c>
      <c r="AN355" s="49">
        <f t="array" aca="1" ref="AN355:AN357" ca="1">(AN312:AN314-AN348:AN350)*AN$331+AN348:AN350*AN$332</f>
        <v>2560102.3620110448</v>
      </c>
      <c r="AO355" s="49">
        <f t="array" aca="1" ref="AO355:AO357" ca="1">(AO312:AO314-AO348:AO350)*AO$331+AO348:AO350*AO$332</f>
        <v>2568644.4724155446</v>
      </c>
      <c r="AP355" s="49">
        <f t="array" aca="1" ref="AP355:AP357" ca="1">(AP312:AP314-AP348:AP350)*AP$331+AP348:AP350*AP$332</f>
        <v>2576938.167454964</v>
      </c>
      <c r="AQ355" s="49">
        <f t="array" aca="1" ref="AQ355:AQ357" ca="1">(AQ312:AQ314-AQ348:AQ350)*AQ$331+AQ348:AQ350*AQ$332</f>
        <v>2585536.452687074</v>
      </c>
      <c r="AR355" s="49">
        <f t="array" aca="1" ref="AR355:AR357" ca="1">(AR312:AR314-AR348:AR350)*AR$331+AR348:AR350*AR$332</f>
        <v>2593884.6889191298</v>
      </c>
      <c r="AS355" s="49">
        <f t="array" aca="1" ref="AS355:AS357" ca="1">(AS312:AS314-AS348:AS350)*AS$331+AS348:AS350*AS$332</f>
        <v>2602539.5183970742</v>
      </c>
      <c r="AT355" s="49">
        <f t="array" aca="1" ref="AT355:AT357" ca="1">(AT312:AT314-AT348:AT350)*AT$331+AT348:AT350*AT$332</f>
        <v>2611223.2258253801</v>
      </c>
      <c r="AU355" s="49">
        <f t="array" aca="1" ref="AU355:AU357" ca="1">(AU312:AU314-AU348:AU350)*AU$331+AU348:AU350*AU$332</f>
        <v>2619654.4000682211</v>
      </c>
      <c r="AV355" s="49">
        <f t="array" aca="1" ref="AV355:AV357" ca="1">(AV312:AV314-AV348:AV350)*AV$331+AV348:AV350*AV$332</f>
        <v>2628395.2134978208</v>
      </c>
      <c r="AW355" s="49">
        <f t="array" aca="1" ref="AW355:AW357" ca="1">(AW312:AW314-AW348:AW350)*AW$331+AW348:AW350*AW$332</f>
        <v>2636881.833027272</v>
      </c>
      <c r="AX355" s="49">
        <f t="array" aca="1" ref="AX355:AX357" ca="1">(AX312:AX314-AX348:AX350)*AX$331+AX348:AX350*AX$332</f>
        <v>2645680.1279999954</v>
      </c>
      <c r="AY355" s="49">
        <f t="array" aca="1" ref="AY355:AY357" ca="1">(AY312:AY314-AY348:AY350)*AY$331+AY348:AY350*AY$332</f>
        <v>2654507.7796141342</v>
      </c>
      <c r="AZ355" s="49">
        <f t="array" aca="1" ref="AZ355:AZ357" ca="1">(AZ312:AZ314-AZ348:AZ350)*AZ$331+AZ348:AZ350*AZ$332</f>
        <v>2662506.4564914857</v>
      </c>
      <c r="BA355" s="49">
        <f t="array" aca="1" ref="BA355:BA357" ca="1">(BA312:BA314-BA348:BA350)*BA$331+BA348:BA350*BA$332</f>
        <v>2671390.2513121655</v>
      </c>
      <c r="BB355" s="49">
        <f t="array" aca="1" ref="BB355:BB357" ca="1">(BB312:BB314-BB348:BB350)*BB$331+BB348:BB350*BB$332</f>
        <v>2680015.6941531613</v>
      </c>
      <c r="BC355" s="49">
        <f t="array" aca="1" ref="BC355:BC357" ca="1">(BC312:BC314-BC348:BC350)*BC$331+BC348:BC350*BC$332</f>
        <v>2688957.9107945557</v>
      </c>
      <c r="BD355" s="49">
        <f t="array" aca="1" ref="BD355:BD357" ca="1">(BD312:BD314-BD348:BD350)*BD$331+BD348:BD350*BD$332</f>
        <v>2697640.0764758936</v>
      </c>
      <c r="BE355" s="49">
        <f t="array" aca="1" ref="BE355:BE357" ca="1">(BE312:BE314-BE348:BE350)*BE$331+BE348:BE350*BE$332</f>
        <v>2706641.0991329555</v>
      </c>
      <c r="BF355" s="49">
        <f t="array" aca="1" ref="BF355:BF357" ca="1">(BF312:BF314-BF348:BF350)*BF$331+BF348:BF350*BF$332</f>
        <v>2715672.1548583945</v>
      </c>
      <c r="BG355" s="49">
        <f t="array" aca="1" ref="BG355:BG357" ca="1">(BG312:BG314-BG348:BG350)*BG$331+BG348:BG350*BG$332</f>
        <v>2724440.5760709485</v>
      </c>
      <c r="BH355" s="49">
        <f t="array" aca="1" ref="BH355:BH357" ca="1">(BH312:BH314-BH348:BH350)*BH$331+BH348:BH350*BH$332</f>
        <v>2733531.0220377329</v>
      </c>
      <c r="BI355" s="49">
        <f t="array" aca="1" ref="BI355:BI357" ca="1">(BI312:BI314-BI348:BI350)*BI$331+BI348:BI350*BI$332</f>
        <v>2742357.1063483623</v>
      </c>
      <c r="BJ355" s="49">
        <f t="array" aca="1" ref="BJ355:BJ357" ca="1">(BJ312:BJ314-BJ348:BJ350)*BJ$331+BJ348:BJ350*BJ$332</f>
        <v>2751507.333119995</v>
      </c>
      <c r="BK355" s="49">
        <f t="array" aca="1" ref="BK355:BK357" ca="1">(BK312:BK314-BK348:BK350)*BK$331+BK348:BK350*BK$332</f>
        <v>2760662.965074074</v>
      </c>
      <c r="BL355" s="49">
        <f t="array" aca="1" ref="BL355:BL357" ca="1">(BL312:BL314-BL348:BL350)*BL$331+BL348:BL350*BL$332</f>
        <v>2769255.4896051767</v>
      </c>
      <c r="BM355" s="49">
        <f t="array" aca="1" ref="BM355:BM357" ca="1">(BM312:BM314-BM348:BM350)*BM$331+BM348:BM350*BM$332</f>
        <v>2778470.178493862</v>
      </c>
      <c r="BN355" s="49">
        <f t="array" aca="1" ref="BN355:BN357" ca="1">(BN312:BN314-BN348:BN350)*BN$331+BN348:BN350*BN$332</f>
        <v>2787416.8124736543</v>
      </c>
      <c r="BO355" s="49">
        <f t="array" aca="1" ref="BO355:BO357" ca="1">(BO312:BO314-BO348:BO350)*BO$331+BO348:BO350*BO$332</f>
        <v>2796691.933106781</v>
      </c>
      <c r="BP355" s="49">
        <f t="array" aca="1" ref="BP355:BP357" ca="1">(BP312:BP314-BP348:BP350)*BP$331+BP348:BP350*BP$332</f>
        <v>2805697.2408741326</v>
      </c>
      <c r="BQ355" s="49">
        <f t="array" aca="1" ref="BQ355:BQ357" ca="1">(BQ312:BQ314-BQ348:BQ350)*BQ$331+BQ348:BQ350*BQ$332</f>
        <v>2815033.189574982</v>
      </c>
      <c r="BR355" s="49">
        <f t="array" aca="1" ref="BR355:BR357" ca="1">(BR312:BR314-BR348:BR350)*BR$331+BR348:BR350*BR$332</f>
        <v>2824400.203615624</v>
      </c>
      <c r="BS355" s="49">
        <f t="array" aca="1" ref="BS355:BS357" ca="1">(BS312:BS314-BS348:BS350)*BS$331+BS348:BS350*BS$332</f>
        <v>2833494.7316151648</v>
      </c>
      <c r="BT355" s="49">
        <f t="array" aca="1" ref="BT355:BT357" ca="1">(BT312:BT314-BT348:BT350)*BT$331+BT348:BT350*BT$332</f>
        <v>2842923.1763785928</v>
      </c>
      <c r="BU355" s="49">
        <f t="array" aca="1" ref="BU355:BU357" ca="1">(BU312:BU314-BU348:BU350)*BU$331+BU348:BU350*BU$332</f>
        <v>2852077.3480837997</v>
      </c>
      <c r="BV355" s="49">
        <f t="array" aca="1" ref="BV355:BV357" ca="1">(BV312:BV314-BV348:BV350)*BV$331+BV348:BV350*BV$332</f>
        <v>2861567.6264447924</v>
      </c>
      <c r="BW355" s="49">
        <f t="array" aca="1" ref="BW355:BW357" ca="1">(BW312:BW314-BW348:BW350)*BW$331+BW348:BW350*BW$332</f>
        <v>2871115.614430645</v>
      </c>
      <c r="BX355" s="49">
        <f t="array" aca="1" ref="BX355:BX357" ca="1">(BX312:BX314-BX348:BX350)*BX$331+BX348:BX350*BX$332</f>
        <v>2879766.9833411882</v>
      </c>
      <c r="BY355" s="49">
        <f t="array" aca="1" ref="BY355:BY357" ca="1">(BY312:BY314-BY348:BY350)*BY$331+BY348:BY350*BY$332</f>
        <v>2889375.6958192354</v>
      </c>
      <c r="BZ355" s="49">
        <f t="array" aca="1" ref="BZ355:BZ357" ca="1">(BZ312:BZ314-BZ348:BZ350)*BZ$331+BZ348:BZ350*BZ$332</f>
        <v>2898704.9747960567</v>
      </c>
      <c r="CA355" s="49">
        <f t="array" aca="1" ref="CA355:CA357" ca="1">(CA312:CA314-CA348:CA350)*CA$331+CA348:CA350*CA$332</f>
        <v>2908376.8763153888</v>
      </c>
      <c r="CB355" s="49">
        <f t="array" aca="1" ref="CB355:CB357" ca="1">(CB312:CB314-CB348:CB350)*CB$331+CB348:CB350*CB$332</f>
        <v>2917767.5067163245</v>
      </c>
      <c r="CC355" s="49">
        <f t="array" aca="1" ref="CC355:CC357" ca="1">(CC312:CC314-CC348:CC350)*CC$331+CC348:CC350*CC$332</f>
        <v>2927503.0128222024</v>
      </c>
      <c r="CD355" s="49">
        <f t="array" aca="1" ref="CD355:CD357" ca="1">(CD312:CD314-CD348:CD350)*CD$331+CD348:CD350*CD$332</f>
        <v>2937271.0026948368</v>
      </c>
      <c r="CE355" s="49">
        <f t="array" aca="1" ref="CE355:CE357" ca="1">(CE312:CE314-CE348:CE350)*CE$331+CE348:CE350*CE$332</f>
        <v>2946754.9270783355</v>
      </c>
      <c r="CF355" s="49">
        <f t="array" aca="1" ref="CF355:CF357" ca="1">(CF312:CF314-CF348:CF350)*CF$331+CF348:CF350*CF$332</f>
        <v>2956587.1534360084</v>
      </c>
      <c r="CG355" s="49">
        <f t="array" aca="1" ref="CG355:CG357" ca="1">(CG312:CG314-CG348:CG350)*CG$331+CG348:CG350*CG$332</f>
        <v>2966133.4462263859</v>
      </c>
      <c r="CH355" s="49">
        <f t="array" aca="1" ref="CH355:CH357" ca="1">(CH312:CH314-CH348:CH350)*CH$331+CH348:CH350*CH$332</f>
        <v>2976030.3315025833</v>
      </c>
      <c r="CI355" s="49">
        <f t="array" aca="1" ref="CI355:CI357" ca="1">(CI312:CI314-CI348:CI350)*CI$331+CI348:CI350*CI$332</f>
        <v>2985960.2390078693</v>
      </c>
      <c r="CJ355" s="49">
        <f t="array" aca="1" ref="CJ355:CJ357" ca="1">(CJ312:CJ314-CJ348:CJ350)*CJ$331+CJ348:CJ350*CJ$332</f>
        <v>2994957.662674835</v>
      </c>
      <c r="CK355" s="49">
        <f t="array" aca="1" ref="CK355:CK357" ca="1">(CK312:CK314-CK348:CK350)*CK$331+CK348:CK350*CK$332</f>
        <v>3004950.7236520038</v>
      </c>
    </row>
    <row r="356" spans="2:89">
      <c r="B356" s="86" t="str">
        <v xml:space="preserve">руководители </v>
      </c>
      <c r="C356" s="118"/>
      <c r="D356" s="47">
        <f t="shared" ref="D356:D357" ca="1" si="416">SUM(F356:CK356)</f>
        <v>36642666.553381518</v>
      </c>
      <c r="E356" s="118"/>
      <c r="F356" s="176">
        <f ca="1"/>
        <v>0</v>
      </c>
      <c r="G356" s="176">
        <f ca="1"/>
        <v>0</v>
      </c>
      <c r="H356" s="176">
        <f ca="1"/>
        <v>0</v>
      </c>
      <c r="I356" s="176">
        <f ca="1"/>
        <v>0</v>
      </c>
      <c r="J356" s="176">
        <f ca="1"/>
        <v>0</v>
      </c>
      <c r="K356" s="176">
        <f ca="1"/>
        <v>0</v>
      </c>
      <c r="L356" s="176">
        <f ca="1"/>
        <v>0</v>
      </c>
      <c r="M356" s="176">
        <f ca="1"/>
        <v>0</v>
      </c>
      <c r="N356" s="176">
        <f ca="1"/>
        <v>0</v>
      </c>
      <c r="O356" s="176">
        <f ca="1"/>
        <v>0</v>
      </c>
      <c r="P356" s="176">
        <f ca="1"/>
        <v>0</v>
      </c>
      <c r="Q356" s="176">
        <f ca="1"/>
        <v>0</v>
      </c>
      <c r="R356" s="176">
        <f ca="1"/>
        <v>328228.47185269644</v>
      </c>
      <c r="S356" s="176">
        <f ca="1"/>
        <v>329320.65105533204</v>
      </c>
      <c r="T356" s="176">
        <f ca="1"/>
        <v>330381.05881129229</v>
      </c>
      <c r="U356" s="176">
        <f ca="1"/>
        <v>331480.40074022871</v>
      </c>
      <c r="V356" s="176">
        <f ca="1"/>
        <v>332583.40072595904</v>
      </c>
      <c r="W356" s="176">
        <f ca="1"/>
        <v>333654.31448889273</v>
      </c>
      <c r="X356" s="176">
        <f ca="1"/>
        <v>334764.5481657504</v>
      </c>
      <c r="Y356" s="176">
        <f ca="1"/>
        <v>335842.48519204347</v>
      </c>
      <c r="Z356" s="176">
        <f ca="1"/>
        <v>336959.99999999965</v>
      </c>
      <c r="AA356" s="176">
        <f ca="1"/>
        <v>338084.31032626296</v>
      </c>
      <c r="AB356" s="176">
        <f ca="1"/>
        <v>339103.04049400619</v>
      </c>
      <c r="AC356" s="176">
        <f ca="1"/>
        <v>340234.50135017524</v>
      </c>
      <c r="AD356" s="176">
        <f ca="1"/>
        <v>493036.63918143453</v>
      </c>
      <c r="AE356" s="176">
        <f ca="1"/>
        <v>494681.71926410857</v>
      </c>
      <c r="AF356" s="176">
        <f ca="1"/>
        <v>496278.95833911921</v>
      </c>
      <c r="AG356" s="176">
        <f ca="1"/>
        <v>497934.85683617491</v>
      </c>
      <c r="AH356" s="176">
        <f ca="1"/>
        <v>499596.28045128466</v>
      </c>
      <c r="AI356" s="176">
        <f ca="1"/>
        <v>501209.38776815461</v>
      </c>
      <c r="AJ356" s="176">
        <f ca="1"/>
        <v>502881.73727636883</v>
      </c>
      <c r="AK356" s="176">
        <f ca="1"/>
        <v>504505.452747565</v>
      </c>
      <c r="AL356" s="176">
        <f ca="1"/>
        <v>506188.79999999929</v>
      </c>
      <c r="AM356" s="176">
        <f ca="1"/>
        <v>507877.76395678602</v>
      </c>
      <c r="AN356" s="176">
        <f ca="1"/>
        <v>509408.12305321806</v>
      </c>
      <c r="AO356" s="176">
        <f ca="1"/>
        <v>511107.82869492983</v>
      </c>
      <c r="AP356" s="176">
        <f ca="1"/>
        <v>512758.10474869178</v>
      </c>
      <c r="AQ356" s="176">
        <f ca="1"/>
        <v>514468.98803467286</v>
      </c>
      <c r="AR356" s="176">
        <f ca="1"/>
        <v>516130.11667268386</v>
      </c>
      <c r="AS356" s="176">
        <f ca="1"/>
        <v>517852.25110962184</v>
      </c>
      <c r="AT356" s="176">
        <f ca="1"/>
        <v>519580.13166933594</v>
      </c>
      <c r="AU356" s="176">
        <f ca="1"/>
        <v>521257.76327888074</v>
      </c>
      <c r="AV356" s="176">
        <f ca="1"/>
        <v>522997.00676742347</v>
      </c>
      <c r="AW356" s="176">
        <f ca="1"/>
        <v>524685.67085746746</v>
      </c>
      <c r="AX356" s="176">
        <f ca="1"/>
        <v>526436.35199999902</v>
      </c>
      <c r="AY356" s="176">
        <f ca="1"/>
        <v>528192.87451505743</v>
      </c>
      <c r="AZ356" s="176">
        <f ca="1"/>
        <v>529784.44797534659</v>
      </c>
      <c r="BA356" s="176">
        <f ca="1"/>
        <v>531552.14184272673</v>
      </c>
      <c r="BB356" s="176">
        <f ca="1"/>
        <v>533268.42893863923</v>
      </c>
      <c r="BC356" s="176">
        <f ca="1"/>
        <v>535047.7475560595</v>
      </c>
      <c r="BD356" s="176">
        <f ca="1"/>
        <v>536775.32133959094</v>
      </c>
      <c r="BE356" s="176">
        <f ca="1"/>
        <v>538566.34115400643</v>
      </c>
      <c r="BF356" s="176">
        <f ca="1"/>
        <v>540363.33693610912</v>
      </c>
      <c r="BG356" s="176">
        <f ca="1"/>
        <v>542108.07381003571</v>
      </c>
      <c r="BH356" s="176">
        <f ca="1"/>
        <v>543916.8870381203</v>
      </c>
      <c r="BI356" s="176">
        <f ca="1"/>
        <v>545673.09769176599</v>
      </c>
      <c r="BJ356" s="176">
        <f ca="1"/>
        <v>547493.80607999885</v>
      </c>
      <c r="BK356" s="176">
        <f ca="1"/>
        <v>549315.58998922887</v>
      </c>
      <c r="BL356" s="176">
        <f ca="1"/>
        <v>551025.327013275</v>
      </c>
      <c r="BM356" s="176">
        <f ca="1"/>
        <v>552858.86204724805</v>
      </c>
      <c r="BN356" s="176">
        <f ca="1"/>
        <v>554639.05962485983</v>
      </c>
      <c r="BO356" s="176">
        <f ca="1"/>
        <v>556484.6193426759</v>
      </c>
      <c r="BP356" s="176">
        <f ca="1"/>
        <v>558276.49180658755</v>
      </c>
      <c r="BQ356" s="176">
        <f ca="1"/>
        <v>560134.15506849135</v>
      </c>
      <c r="BR356" s="176">
        <f ca="1"/>
        <v>561997.99969902728</v>
      </c>
      <c r="BS356" s="176">
        <f ca="1"/>
        <v>563807.62516832363</v>
      </c>
      <c r="BT356" s="176">
        <f ca="1"/>
        <v>565683.69325900578</v>
      </c>
      <c r="BU356" s="176">
        <f ca="1"/>
        <v>567505.18660851114</v>
      </c>
      <c r="BV356" s="176">
        <f ca="1"/>
        <v>569393.55832319835</v>
      </c>
      <c r="BW356" s="176">
        <f ca="1"/>
        <v>571293.41307548538</v>
      </c>
      <c r="BX356" s="176">
        <f ca="1"/>
        <v>573014.85893013445</v>
      </c>
      <c r="BY356" s="176">
        <f ca="1"/>
        <v>574926.7966170928</v>
      </c>
      <c r="BZ356" s="176">
        <f ca="1"/>
        <v>576783.13274003181</v>
      </c>
      <c r="CA356" s="176">
        <f ca="1"/>
        <v>578707.64375663351</v>
      </c>
      <c r="CB356" s="176">
        <f ca="1"/>
        <v>580576.18756090116</v>
      </c>
      <c r="CC356" s="176">
        <f ca="1"/>
        <v>582513.35459217289</v>
      </c>
      <c r="CD356" s="176">
        <f ca="1"/>
        <v>584456.9852300951</v>
      </c>
      <c r="CE356" s="176">
        <f ca="1"/>
        <v>586344.0926329341</v>
      </c>
      <c r="CF356" s="176">
        <f ca="1"/>
        <v>588300.50502043043</v>
      </c>
      <c r="CG356" s="176">
        <f ca="1"/>
        <v>590200.02246341354</v>
      </c>
      <c r="CH356" s="176">
        <f ca="1"/>
        <v>592169.30065612635</v>
      </c>
      <c r="CI356" s="176">
        <f ca="1"/>
        <v>594145.14959850465</v>
      </c>
      <c r="CJ356" s="176">
        <f ca="1"/>
        <v>595935.45328733965</v>
      </c>
      <c r="CK356" s="176">
        <f ca="1"/>
        <v>597923.86848177621</v>
      </c>
    </row>
    <row r="357" spans="2:89" ht="15.75" thickBot="1">
      <c r="B357" s="128" t="str">
        <v>специалисты и другие служащие</v>
      </c>
      <c r="C357" s="124"/>
      <c r="D357" s="47">
        <f t="shared" ca="1" si="416"/>
        <v>19658212.337758306</v>
      </c>
      <c r="E357" s="124"/>
      <c r="F357" s="185">
        <f ca="1"/>
        <v>0</v>
      </c>
      <c r="G357" s="185">
        <f ca="1"/>
        <v>0</v>
      </c>
      <c r="H357" s="185">
        <f ca="1"/>
        <v>0</v>
      </c>
      <c r="I357" s="185">
        <f ca="1"/>
        <v>0</v>
      </c>
      <c r="J357" s="185">
        <f ca="1"/>
        <v>0</v>
      </c>
      <c r="K357" s="185">
        <f ca="1"/>
        <v>0</v>
      </c>
      <c r="L357" s="185">
        <f ca="1"/>
        <v>0</v>
      </c>
      <c r="M357" s="185">
        <f ca="1"/>
        <v>0</v>
      </c>
      <c r="N357" s="185">
        <f ca="1"/>
        <v>0</v>
      </c>
      <c r="O357" s="185">
        <f ca="1"/>
        <v>0</v>
      </c>
      <c r="P357" s="185">
        <f ca="1"/>
        <v>0</v>
      </c>
      <c r="Q357" s="185">
        <f ca="1"/>
        <v>0</v>
      </c>
      <c r="R357" s="185">
        <f ca="1"/>
        <v>273523.72654391371</v>
      </c>
      <c r="S357" s="185">
        <f ca="1"/>
        <v>274433.87587944337</v>
      </c>
      <c r="T357" s="185">
        <f ca="1"/>
        <v>275317.5490094102</v>
      </c>
      <c r="U357" s="185">
        <f ca="1"/>
        <v>276233.667283524</v>
      </c>
      <c r="V357" s="185">
        <f ca="1"/>
        <v>277152.83393829915</v>
      </c>
      <c r="W357" s="185">
        <f ca="1"/>
        <v>278045.26207407727</v>
      </c>
      <c r="X357" s="185">
        <f ca="1"/>
        <v>278970.45680479199</v>
      </c>
      <c r="Y357" s="185">
        <f ca="1"/>
        <v>279868.73766003619</v>
      </c>
      <c r="Z357" s="185">
        <f ca="1"/>
        <v>280799.99999999971</v>
      </c>
      <c r="AA357" s="185">
        <f ca="1"/>
        <v>281736.92527188582</v>
      </c>
      <c r="AB357" s="185">
        <f ca="1"/>
        <v>282585.86707833858</v>
      </c>
      <c r="AC357" s="185">
        <f ca="1"/>
        <v>283528.75112514599</v>
      </c>
      <c r="AD357" s="185">
        <f ca="1"/>
        <v>246518.31959071726</v>
      </c>
      <c r="AE357" s="185">
        <f ca="1"/>
        <v>247340.85963205429</v>
      </c>
      <c r="AF357" s="185">
        <f ca="1"/>
        <v>248139.47916955961</v>
      </c>
      <c r="AG357" s="185">
        <f ca="1"/>
        <v>248967.42841808745</v>
      </c>
      <c r="AH357" s="185">
        <f ca="1"/>
        <v>249798.14022564233</v>
      </c>
      <c r="AI357" s="185">
        <f ca="1"/>
        <v>250604.69388407731</v>
      </c>
      <c r="AJ357" s="185">
        <f ca="1"/>
        <v>251440.86863818442</v>
      </c>
      <c r="AK357" s="185">
        <f ca="1"/>
        <v>252252.7263737825</v>
      </c>
      <c r="AL357" s="185">
        <f ca="1"/>
        <v>253094.39999999964</v>
      </c>
      <c r="AM357" s="185">
        <f ca="1"/>
        <v>253938.88197839301</v>
      </c>
      <c r="AN357" s="185">
        <f ca="1"/>
        <v>254704.06152660903</v>
      </c>
      <c r="AO357" s="185">
        <f ca="1"/>
        <v>255553.91434746492</v>
      </c>
      <c r="AP357" s="185">
        <f ca="1"/>
        <v>256379.05237434589</v>
      </c>
      <c r="AQ357" s="185">
        <f ca="1"/>
        <v>257234.49401733643</v>
      </c>
      <c r="AR357" s="185">
        <f ca="1"/>
        <v>258065.05833634193</v>
      </c>
      <c r="AS357" s="185">
        <f ca="1"/>
        <v>258926.12555481092</v>
      </c>
      <c r="AT357" s="185">
        <f ca="1"/>
        <v>259790.06583466797</v>
      </c>
      <c r="AU357" s="185">
        <f ca="1"/>
        <v>260628.88163944037</v>
      </c>
      <c r="AV357" s="185">
        <f ca="1"/>
        <v>261498.50338371174</v>
      </c>
      <c r="AW357" s="185">
        <f ca="1"/>
        <v>262342.83542873373</v>
      </c>
      <c r="AX357" s="185">
        <f ca="1"/>
        <v>263218.17599999951</v>
      </c>
      <c r="AY357" s="185">
        <f ca="1"/>
        <v>264096.43725752871</v>
      </c>
      <c r="AZ357" s="185">
        <f ca="1"/>
        <v>264892.22398767329</v>
      </c>
      <c r="BA357" s="185">
        <f ca="1"/>
        <v>265776.07092136337</v>
      </c>
      <c r="BB357" s="185">
        <f ca="1"/>
        <v>266634.21446931962</v>
      </c>
      <c r="BC357" s="185">
        <f ca="1"/>
        <v>267523.87377802975</v>
      </c>
      <c r="BD357" s="185">
        <f ca="1"/>
        <v>268387.66066979547</v>
      </c>
      <c r="BE357" s="185">
        <f ca="1"/>
        <v>269283.17057700321</v>
      </c>
      <c r="BF357" s="185">
        <f ca="1"/>
        <v>270181.66846805456</v>
      </c>
      <c r="BG357" s="185">
        <f ca="1"/>
        <v>271054.03690501786</v>
      </c>
      <c r="BH357" s="185">
        <f ca="1"/>
        <v>271958.44351906015</v>
      </c>
      <c r="BI357" s="185">
        <f ca="1"/>
        <v>272836.54884588299</v>
      </c>
      <c r="BJ357" s="185">
        <f ca="1"/>
        <v>273746.90303999942</v>
      </c>
      <c r="BK357" s="185">
        <f ca="1"/>
        <v>274657.79499461444</v>
      </c>
      <c r="BL357" s="185">
        <f ca="1"/>
        <v>275512.6635066375</v>
      </c>
      <c r="BM357" s="185">
        <f ca="1"/>
        <v>276429.43102362403</v>
      </c>
      <c r="BN357" s="185">
        <f ca="1"/>
        <v>277319.52981242992</v>
      </c>
      <c r="BO357" s="185">
        <f ca="1"/>
        <v>278242.30967133795</v>
      </c>
      <c r="BP357" s="185">
        <f ca="1"/>
        <v>279138.24590329378</v>
      </c>
      <c r="BQ357" s="185">
        <f ca="1"/>
        <v>280067.07753424568</v>
      </c>
      <c r="BR357" s="185">
        <f ca="1"/>
        <v>280998.99984951364</v>
      </c>
      <c r="BS357" s="185">
        <f ca="1"/>
        <v>281903.81258416182</v>
      </c>
      <c r="BT357" s="185">
        <f ca="1"/>
        <v>282841.84662950289</v>
      </c>
      <c r="BU357" s="185">
        <f ca="1"/>
        <v>283752.59330425557</v>
      </c>
      <c r="BV357" s="185">
        <f ca="1"/>
        <v>284696.77916159917</v>
      </c>
      <c r="BW357" s="185">
        <f ca="1"/>
        <v>285646.70653774269</v>
      </c>
      <c r="BX357" s="185">
        <f ca="1"/>
        <v>286507.42946506722</v>
      </c>
      <c r="BY357" s="185">
        <f ca="1"/>
        <v>287463.3983085464</v>
      </c>
      <c r="BZ357" s="185">
        <f ca="1"/>
        <v>288391.56637001591</v>
      </c>
      <c r="CA357" s="185">
        <f ca="1"/>
        <v>289353.82187831675</v>
      </c>
      <c r="CB357" s="185">
        <f ca="1"/>
        <v>290288.09378045058</v>
      </c>
      <c r="CC357" s="185">
        <f ca="1"/>
        <v>291256.67729608645</v>
      </c>
      <c r="CD357" s="185">
        <f ca="1"/>
        <v>292228.49261504755</v>
      </c>
      <c r="CE357" s="185">
        <f ca="1"/>
        <v>293172.04631646705</v>
      </c>
      <c r="CF357" s="185">
        <f ca="1"/>
        <v>294150.25251021521</v>
      </c>
      <c r="CG357" s="185">
        <f ca="1"/>
        <v>295100.01123170677</v>
      </c>
      <c r="CH357" s="185">
        <f ca="1"/>
        <v>296084.65032806317</v>
      </c>
      <c r="CI357" s="185">
        <f ca="1"/>
        <v>297072.57479925232</v>
      </c>
      <c r="CJ357" s="185">
        <f ca="1"/>
        <v>297967.72664366983</v>
      </c>
      <c r="CK357" s="185">
        <f ca="1"/>
        <v>298961.93424088811</v>
      </c>
    </row>
    <row r="358" spans="2:89" ht="15.75" thickTop="1">
      <c r="B358" s="50" t="s">
        <v>50</v>
      </c>
      <c r="C358" s="51"/>
      <c r="D358" s="52">
        <f ca="1">SUM(D355:D357)</f>
        <v>245846988.72201341</v>
      </c>
      <c r="E358" s="53"/>
      <c r="F358" s="54">
        <f ca="1">SUM(F355:F357)</f>
        <v>0</v>
      </c>
      <c r="G358" s="54">
        <f t="shared" ref="G358:AG358" ca="1" si="417">SUM(G355:G357)</f>
        <v>0</v>
      </c>
      <c r="H358" s="54">
        <f t="shared" ca="1" si="417"/>
        <v>0</v>
      </c>
      <c r="I358" s="54">
        <f t="shared" ca="1" si="417"/>
        <v>0</v>
      </c>
      <c r="J358" s="54">
        <f t="shared" ca="1" si="417"/>
        <v>0</v>
      </c>
      <c r="K358" s="54">
        <f t="shared" ca="1" si="417"/>
        <v>0</v>
      </c>
      <c r="L358" s="54">
        <f t="shared" ca="1" si="417"/>
        <v>0</v>
      </c>
      <c r="M358" s="54">
        <f t="shared" ca="1" si="417"/>
        <v>0</v>
      </c>
      <c r="N358" s="54">
        <f t="shared" ca="1" si="417"/>
        <v>0</v>
      </c>
      <c r="O358" s="54">
        <f t="shared" ca="1" si="417"/>
        <v>0</v>
      </c>
      <c r="P358" s="54">
        <f t="shared" ca="1" si="417"/>
        <v>0</v>
      </c>
      <c r="Q358" s="54">
        <f t="shared" ca="1" si="417"/>
        <v>0</v>
      </c>
      <c r="R358" s="54">
        <f t="shared" ca="1" si="417"/>
        <v>2692689.1301989723</v>
      </c>
      <c r="S358" s="54">
        <f t="shared" ca="1" si="417"/>
        <v>2701649.0447687423</v>
      </c>
      <c r="T358" s="54">
        <f t="shared" ca="1" si="417"/>
        <v>2710348.31580375</v>
      </c>
      <c r="U358" s="54">
        <f t="shared" ca="1" si="417"/>
        <v>2719366.9912578021</v>
      </c>
      <c r="V358" s="54">
        <f t="shared" ca="1" si="417"/>
        <v>2728415.6763259228</v>
      </c>
      <c r="W358" s="54">
        <f t="shared" ca="1" si="417"/>
        <v>2737201.1355292499</v>
      </c>
      <c r="X358" s="54">
        <f t="shared" ca="1" si="417"/>
        <v>2746309.1636560634</v>
      </c>
      <c r="Y358" s="54">
        <f t="shared" ca="1" si="417"/>
        <v>2755152.2396310233</v>
      </c>
      <c r="Z358" s="54">
        <f t="shared" ca="1" si="417"/>
        <v>2764319.9999999967</v>
      </c>
      <c r="AA358" s="54">
        <f t="shared" ca="1" si="417"/>
        <v>2773543.5087876758</v>
      </c>
      <c r="AB358" s="54">
        <f t="shared" ca="1" si="417"/>
        <v>2781900.8692378663</v>
      </c>
      <c r="AC358" s="54">
        <f t="shared" ca="1" si="417"/>
        <v>2791183.0388542153</v>
      </c>
      <c r="AD358" s="54">
        <f t="shared" ca="1" si="417"/>
        <v>3217380.1197865405</v>
      </c>
      <c r="AE358" s="54">
        <f t="shared" ca="1" si="417"/>
        <v>3228115.3218645034</v>
      </c>
      <c r="AF358" s="54">
        <f t="shared" ca="1" si="417"/>
        <v>3238538.3307001502</v>
      </c>
      <c r="AG358" s="54">
        <f t="shared" ca="1" si="417"/>
        <v>3249344.1298668338</v>
      </c>
      <c r="AH358" s="54">
        <f t="shared" ref="AH358:BM358" ca="1" si="418">SUM(AH355:AH357)</f>
        <v>3260185.9839705629</v>
      </c>
      <c r="AI358" s="54">
        <f t="shared" ca="1" si="418"/>
        <v>3270712.5432562912</v>
      </c>
      <c r="AJ358" s="54">
        <f t="shared" ca="1" si="418"/>
        <v>3281625.6958163041</v>
      </c>
      <c r="AK358" s="54">
        <f t="shared" ca="1" si="418"/>
        <v>3292221.4801091105</v>
      </c>
      <c r="AL358" s="54">
        <f t="shared" ca="1" si="418"/>
        <v>3303206.3999999953</v>
      </c>
      <c r="AM358" s="54">
        <f t="shared" ca="1" si="418"/>
        <v>3314227.9724872322</v>
      </c>
      <c r="AN358" s="54">
        <f t="shared" ca="1" si="418"/>
        <v>3324214.5465908721</v>
      </c>
      <c r="AO358" s="54">
        <f t="shared" ca="1" si="418"/>
        <v>3335306.2154579395</v>
      </c>
      <c r="AP358" s="54">
        <f t="shared" ca="1" si="418"/>
        <v>3346075.3245780016</v>
      </c>
      <c r="AQ358" s="54">
        <f t="shared" ca="1" si="418"/>
        <v>3357239.9347390835</v>
      </c>
      <c r="AR358" s="54">
        <f t="shared" ca="1" si="418"/>
        <v>3368079.8639281555</v>
      </c>
      <c r="AS358" s="54">
        <f t="shared" ca="1" si="418"/>
        <v>3379317.8950615069</v>
      </c>
      <c r="AT358" s="54">
        <f t="shared" ca="1" si="418"/>
        <v>3390593.4233293841</v>
      </c>
      <c r="AU358" s="54">
        <f t="shared" ca="1" si="418"/>
        <v>3401541.0449865423</v>
      </c>
      <c r="AV358" s="54">
        <f t="shared" ca="1" si="418"/>
        <v>3412890.723648956</v>
      </c>
      <c r="AW358" s="54">
        <f t="shared" ca="1" si="418"/>
        <v>3423910.3393134731</v>
      </c>
      <c r="AX358" s="54">
        <f t="shared" ca="1" si="418"/>
        <v>3435334.6559999939</v>
      </c>
      <c r="AY358" s="54">
        <f t="shared" ca="1" si="418"/>
        <v>3446797.0913867205</v>
      </c>
      <c r="AZ358" s="54">
        <f t="shared" ca="1" si="418"/>
        <v>3457183.1284545055</v>
      </c>
      <c r="BA358" s="54">
        <f t="shared" ca="1" si="418"/>
        <v>3468718.4640762554</v>
      </c>
      <c r="BB358" s="54">
        <f t="shared" ca="1" si="418"/>
        <v>3479918.3375611203</v>
      </c>
      <c r="BC358" s="54">
        <f t="shared" ca="1" si="418"/>
        <v>3491529.5321286451</v>
      </c>
      <c r="BD358" s="54">
        <f t="shared" ca="1" si="418"/>
        <v>3502803.0584852798</v>
      </c>
      <c r="BE358" s="54">
        <f t="shared" ca="1" si="418"/>
        <v>3514490.610863965</v>
      </c>
      <c r="BF358" s="54">
        <f t="shared" ca="1" si="418"/>
        <v>3526217.1602625581</v>
      </c>
      <c r="BG358" s="54">
        <f t="shared" ca="1" si="418"/>
        <v>3537602.686786002</v>
      </c>
      <c r="BH358" s="54">
        <f t="shared" ca="1" si="418"/>
        <v>3549406.3525949134</v>
      </c>
      <c r="BI358" s="54">
        <f t="shared" ca="1" si="418"/>
        <v>3560866.7528860113</v>
      </c>
      <c r="BJ358" s="54">
        <f t="shared" ca="1" si="418"/>
        <v>3572748.0422399929</v>
      </c>
      <c r="BK358" s="54">
        <f t="shared" ca="1" si="418"/>
        <v>3584636.3500579172</v>
      </c>
      <c r="BL358" s="54">
        <f t="shared" ca="1" si="418"/>
        <v>3595793.4801250892</v>
      </c>
      <c r="BM358" s="54">
        <f t="shared" ca="1" si="418"/>
        <v>3607758.4715647344</v>
      </c>
      <c r="BN358" s="54">
        <f t="shared" ref="BN358:CK358" ca="1" si="419">SUM(BN355:BN357)</f>
        <v>3619375.4019109439</v>
      </c>
      <c r="BO358" s="54">
        <f t="shared" ca="1" si="419"/>
        <v>3631418.8621207951</v>
      </c>
      <c r="BP358" s="54">
        <f t="shared" ca="1" si="419"/>
        <v>3643111.9785840139</v>
      </c>
      <c r="BQ358" s="54">
        <f t="shared" ca="1" si="419"/>
        <v>3655234.4221777194</v>
      </c>
      <c r="BR358" s="54">
        <f t="shared" ca="1" si="419"/>
        <v>3667397.2031641649</v>
      </c>
      <c r="BS358" s="54">
        <f t="shared" ca="1" si="419"/>
        <v>3679206.1693676501</v>
      </c>
      <c r="BT358" s="54">
        <f t="shared" ca="1" si="419"/>
        <v>3691448.7162671015</v>
      </c>
      <c r="BU358" s="54">
        <f t="shared" ca="1" si="419"/>
        <v>3703335.1279965662</v>
      </c>
      <c r="BV358" s="54">
        <f t="shared" ca="1" si="419"/>
        <v>3715657.9639295898</v>
      </c>
      <c r="BW358" s="54">
        <f t="shared" ca="1" si="419"/>
        <v>3728055.7340438729</v>
      </c>
      <c r="BX358" s="54">
        <f t="shared" ca="1" si="419"/>
        <v>3739289.2717363895</v>
      </c>
      <c r="BY358" s="54">
        <f t="shared" ca="1" si="419"/>
        <v>3751765.8907448743</v>
      </c>
      <c r="BZ358" s="54">
        <f t="shared" ca="1" si="419"/>
        <v>3763879.6739061046</v>
      </c>
      <c r="CA358" s="54">
        <f t="shared" ca="1" si="419"/>
        <v>3776438.3419503393</v>
      </c>
      <c r="CB358" s="54">
        <f t="shared" ca="1" si="419"/>
        <v>3788631.7880576761</v>
      </c>
      <c r="CC358" s="54">
        <f t="shared" ca="1" si="419"/>
        <v>3801273.044710462</v>
      </c>
      <c r="CD358" s="54">
        <f t="shared" ca="1" si="419"/>
        <v>3813956.4805399794</v>
      </c>
      <c r="CE358" s="54">
        <f t="shared" ca="1" si="419"/>
        <v>3826271.0660277368</v>
      </c>
      <c r="CF358" s="54">
        <f t="shared" ca="1" si="419"/>
        <v>3839037.9109666538</v>
      </c>
      <c r="CG358" s="54">
        <f t="shared" ca="1" si="419"/>
        <v>3851433.4799215063</v>
      </c>
      <c r="CH358" s="54">
        <f t="shared" ca="1" si="419"/>
        <v>3864284.2824867731</v>
      </c>
      <c r="CI358" s="54">
        <f t="shared" ca="1" si="419"/>
        <v>3877177.9634056264</v>
      </c>
      <c r="CJ358" s="54">
        <f t="shared" ca="1" si="419"/>
        <v>3888860.8426058446</v>
      </c>
      <c r="CK358" s="54">
        <f t="shared" ca="1" si="419"/>
        <v>3901836.5263746679</v>
      </c>
    </row>
    <row r="359" spans="2:89"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</row>
    <row r="360" spans="2:89" ht="15.75" thickBot="1">
      <c r="B360" s="96" t="s">
        <v>142</v>
      </c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7"/>
      <c r="BQ360" s="97"/>
      <c r="BR360" s="97"/>
      <c r="BS360" s="97"/>
      <c r="BT360" s="97"/>
      <c r="BU360" s="97"/>
      <c r="BV360" s="97"/>
      <c r="BW360" s="97"/>
      <c r="BX360" s="97"/>
      <c r="BY360" s="97"/>
      <c r="BZ360" s="97"/>
      <c r="CA360" s="97"/>
      <c r="CB360" s="97"/>
      <c r="CC360" s="97"/>
      <c r="CD360" s="97"/>
      <c r="CE360" s="97"/>
      <c r="CF360" s="97"/>
      <c r="CG360" s="97"/>
      <c r="CH360" s="97"/>
      <c r="CI360" s="97"/>
      <c r="CJ360" s="97"/>
      <c r="CK360" s="97"/>
    </row>
    <row r="361" spans="2:89"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</row>
    <row r="362" spans="2:89">
      <c r="B362" s="77" t="s">
        <v>57</v>
      </c>
      <c r="C362" s="78"/>
      <c r="D362" s="98">
        <v>0</v>
      </c>
      <c r="E362" s="79"/>
      <c r="F362" s="80">
        <f>E365</f>
        <v>0</v>
      </c>
      <c r="G362" s="80">
        <f t="shared" ref="G362:AG362" ca="1" si="420">F365</f>
        <v>0</v>
      </c>
      <c r="H362" s="80">
        <f t="shared" ca="1" si="420"/>
        <v>0</v>
      </c>
      <c r="I362" s="80">
        <f t="shared" ca="1" si="420"/>
        <v>0</v>
      </c>
      <c r="J362" s="80">
        <f t="shared" ca="1" si="420"/>
        <v>0</v>
      </c>
      <c r="K362" s="80">
        <f t="shared" ca="1" si="420"/>
        <v>0</v>
      </c>
      <c r="L362" s="80">
        <f t="shared" ca="1" si="420"/>
        <v>0</v>
      </c>
      <c r="M362" s="80">
        <f t="shared" ca="1" si="420"/>
        <v>0</v>
      </c>
      <c r="N362" s="80">
        <f t="shared" ca="1" si="420"/>
        <v>0</v>
      </c>
      <c r="O362" s="80">
        <f t="shared" ca="1" si="420"/>
        <v>0</v>
      </c>
      <c r="P362" s="80">
        <f t="shared" ca="1" si="420"/>
        <v>0</v>
      </c>
      <c r="Q362" s="80">
        <f t="shared" ca="1" si="420"/>
        <v>0</v>
      </c>
      <c r="R362" s="80">
        <f t="shared" ca="1" si="420"/>
        <v>0</v>
      </c>
      <c r="S362" s="80">
        <f t="shared" ca="1" si="420"/>
        <v>2692689.1301989723</v>
      </c>
      <c r="T362" s="80">
        <f t="shared" ca="1" si="420"/>
        <v>2701649.0447687423</v>
      </c>
      <c r="U362" s="80">
        <f t="shared" ca="1" si="420"/>
        <v>2710348.3158037504</v>
      </c>
      <c r="V362" s="80">
        <f t="shared" ca="1" si="420"/>
        <v>2719366.991257803</v>
      </c>
      <c r="W362" s="80">
        <f t="shared" ca="1" si="420"/>
        <v>2728415.6763259242</v>
      </c>
      <c r="X362" s="80">
        <f t="shared" ca="1" si="420"/>
        <v>2737201.1355292518</v>
      </c>
      <c r="Y362" s="80">
        <f t="shared" ca="1" si="420"/>
        <v>2746309.1636560652</v>
      </c>
      <c r="Z362" s="80">
        <f t="shared" ca="1" si="420"/>
        <v>2755152.2396310251</v>
      </c>
      <c r="AA362" s="80">
        <f t="shared" ca="1" si="420"/>
        <v>2764319.9999999981</v>
      </c>
      <c r="AB362" s="80">
        <f t="shared" ca="1" si="420"/>
        <v>2773543.5087876772</v>
      </c>
      <c r="AC362" s="80">
        <f t="shared" ca="1" si="420"/>
        <v>2781900.8692378672</v>
      </c>
      <c r="AD362" s="80">
        <f t="shared" ca="1" si="420"/>
        <v>2791183.0388542162</v>
      </c>
      <c r="AE362" s="80">
        <f t="shared" ca="1" si="420"/>
        <v>3217380.1197865419</v>
      </c>
      <c r="AF362" s="80">
        <f t="shared" ca="1" si="420"/>
        <v>3228115.3218645048</v>
      </c>
      <c r="AG362" s="80">
        <f t="shared" ca="1" si="420"/>
        <v>3238538.3307001516</v>
      </c>
      <c r="AH362" s="80">
        <f t="shared" ref="AH362:BM362" ca="1" si="421">AG365</f>
        <v>3249344.1298668352</v>
      </c>
      <c r="AI362" s="80">
        <f t="shared" ca="1" si="421"/>
        <v>3260185.9839705648</v>
      </c>
      <c r="AJ362" s="80">
        <f t="shared" ca="1" si="421"/>
        <v>3270712.5432562931</v>
      </c>
      <c r="AK362" s="80">
        <f t="shared" ca="1" si="421"/>
        <v>3281625.6958163055</v>
      </c>
      <c r="AL362" s="80">
        <f t="shared" ca="1" si="421"/>
        <v>3292221.4801091119</v>
      </c>
      <c r="AM362" s="80">
        <f t="shared" ca="1" si="421"/>
        <v>3303206.3999999966</v>
      </c>
      <c r="AN362" s="80">
        <f t="shared" ca="1" si="421"/>
        <v>3314227.9724872331</v>
      </c>
      <c r="AO362" s="80">
        <f t="shared" ca="1" si="421"/>
        <v>3324214.5465908735</v>
      </c>
      <c r="AP362" s="80">
        <f t="shared" ca="1" si="421"/>
        <v>3335306.2154579405</v>
      </c>
      <c r="AQ362" s="80">
        <f t="shared" ca="1" si="421"/>
        <v>3346075.324578003</v>
      </c>
      <c r="AR362" s="80">
        <f t="shared" ca="1" si="421"/>
        <v>3357239.9347390854</v>
      </c>
      <c r="AS362" s="80">
        <f t="shared" ca="1" si="421"/>
        <v>3368079.8639281574</v>
      </c>
      <c r="AT362" s="80">
        <f t="shared" ca="1" si="421"/>
        <v>3379317.8950615083</v>
      </c>
      <c r="AU362" s="80">
        <f t="shared" ca="1" si="421"/>
        <v>3390593.4233293859</v>
      </c>
      <c r="AV362" s="80">
        <f t="shared" ca="1" si="421"/>
        <v>3401541.0449865442</v>
      </c>
      <c r="AW362" s="80">
        <f t="shared" ca="1" si="421"/>
        <v>3412890.7236489579</v>
      </c>
      <c r="AX362" s="80">
        <f t="shared" ca="1" si="421"/>
        <v>3423910.3393134754</v>
      </c>
      <c r="AY362" s="80">
        <f t="shared" ca="1" si="421"/>
        <v>3435334.6559999962</v>
      </c>
      <c r="AZ362" s="80">
        <f t="shared" ca="1" si="421"/>
        <v>3446797.0913867224</v>
      </c>
      <c r="BA362" s="80">
        <f t="shared" ca="1" si="421"/>
        <v>3457183.1284545073</v>
      </c>
      <c r="BB362" s="80">
        <f t="shared" ca="1" si="421"/>
        <v>3468718.4640762573</v>
      </c>
      <c r="BC362" s="80">
        <f t="shared" ca="1" si="421"/>
        <v>3479918.3375611221</v>
      </c>
      <c r="BD362" s="80">
        <f t="shared" ca="1" si="421"/>
        <v>3491529.532128647</v>
      </c>
      <c r="BE362" s="80">
        <f t="shared" ca="1" si="421"/>
        <v>3502803.0584852817</v>
      </c>
      <c r="BF362" s="80">
        <f t="shared" ca="1" si="421"/>
        <v>3514490.6108639669</v>
      </c>
      <c r="BG362" s="80">
        <f t="shared" ca="1" si="421"/>
        <v>3526217.1602625605</v>
      </c>
      <c r="BH362" s="80">
        <f t="shared" ca="1" si="421"/>
        <v>3537602.6867860039</v>
      </c>
      <c r="BI362" s="80">
        <f t="shared" ca="1" si="421"/>
        <v>3549406.3525949153</v>
      </c>
      <c r="BJ362" s="80">
        <f t="shared" ca="1" si="421"/>
        <v>3560866.7528860127</v>
      </c>
      <c r="BK362" s="80">
        <f t="shared" ca="1" si="421"/>
        <v>3572748.0422399947</v>
      </c>
      <c r="BL362" s="80">
        <f t="shared" ca="1" si="421"/>
        <v>3584636.3500579195</v>
      </c>
      <c r="BM362" s="80">
        <f t="shared" ca="1" si="421"/>
        <v>3595793.4801250915</v>
      </c>
      <c r="BN362" s="80">
        <f t="shared" ref="BN362" ca="1" si="422">BM365</f>
        <v>3607758.4715647371</v>
      </c>
      <c r="BO362" s="80">
        <f t="shared" ref="BO362" ca="1" si="423">BN365</f>
        <v>3619375.4019109467</v>
      </c>
      <c r="BP362" s="80">
        <f t="shared" ref="BP362" ca="1" si="424">BO365</f>
        <v>3631418.8621207979</v>
      </c>
      <c r="BQ362" s="80">
        <f t="shared" ref="BQ362" ca="1" si="425">BP365</f>
        <v>3643111.9785840167</v>
      </c>
      <c r="BR362" s="80">
        <f t="shared" ref="BR362" ca="1" si="426">BQ365</f>
        <v>3655234.4221777227</v>
      </c>
      <c r="BS362" s="80">
        <f t="shared" ref="BS362" ca="1" si="427">BR365</f>
        <v>3667397.2031641682</v>
      </c>
      <c r="BT362" s="80">
        <f t="shared" ref="BT362" ca="1" si="428">BS365</f>
        <v>3679206.1693676533</v>
      </c>
      <c r="BU362" s="80">
        <f t="shared" ref="BU362" ca="1" si="429">BT365</f>
        <v>3691448.7162671047</v>
      </c>
      <c r="BV362" s="80">
        <f t="shared" ref="BV362" ca="1" si="430">BU365</f>
        <v>3703335.1279965695</v>
      </c>
      <c r="BW362" s="80">
        <f t="shared" ref="BW362" ca="1" si="431">BV365</f>
        <v>3715657.9639295931</v>
      </c>
      <c r="BX362" s="80">
        <f t="shared" ref="BX362" ca="1" si="432">BW365</f>
        <v>3728055.7340438757</v>
      </c>
      <c r="BY362" s="80">
        <f t="shared" ref="BY362" ca="1" si="433">BX365</f>
        <v>3739289.2717363918</v>
      </c>
      <c r="BZ362" s="80">
        <f t="shared" ref="BZ362" ca="1" si="434">BY365</f>
        <v>3751765.8907448766</v>
      </c>
      <c r="CA362" s="80">
        <f t="shared" ref="CA362" ca="1" si="435">BZ365</f>
        <v>3763879.6739061065</v>
      </c>
      <c r="CB362" s="80">
        <f t="shared" ref="CB362" ca="1" si="436">CA365</f>
        <v>3776438.3419503411</v>
      </c>
      <c r="CC362" s="80">
        <f t="shared" ref="CC362" ca="1" si="437">CB365</f>
        <v>3788631.7880576784</v>
      </c>
      <c r="CD362" s="80">
        <f t="shared" ref="CD362" ca="1" si="438">CC365</f>
        <v>3801273.0447104643</v>
      </c>
      <c r="CE362" s="80">
        <f t="shared" ref="CE362" ca="1" si="439">CD365</f>
        <v>3813956.4805399822</v>
      </c>
      <c r="CF362" s="80">
        <f t="shared" ref="CF362" ca="1" si="440">CE365</f>
        <v>3826271.06602774</v>
      </c>
      <c r="CG362" s="80">
        <f t="shared" ref="CG362" ca="1" si="441">CF365</f>
        <v>3839037.9109666566</v>
      </c>
      <c r="CH362" s="80">
        <f t="shared" ref="CH362" ca="1" si="442">CG365</f>
        <v>3851433.479921509</v>
      </c>
      <c r="CI362" s="80">
        <f t="shared" ref="CI362" ca="1" si="443">CH365</f>
        <v>3864284.2824867764</v>
      </c>
      <c r="CJ362" s="80">
        <f t="shared" ref="CJ362" ca="1" si="444">CI365</f>
        <v>3877177.9634056296</v>
      </c>
      <c r="CK362" s="80">
        <f t="shared" ref="CK362" ca="1" si="445">CJ365</f>
        <v>3888860.8426058474</v>
      </c>
    </row>
    <row r="363" spans="2:89">
      <c r="B363" s="77" t="s">
        <v>143</v>
      </c>
      <c r="C363" s="78"/>
      <c r="D363" s="98">
        <f ca="1">SUM(F363:CK363)</f>
        <v>245846988.72201353</v>
      </c>
      <c r="E363" s="79"/>
      <c r="F363" s="80">
        <f ca="1">F358</f>
        <v>0</v>
      </c>
      <c r="G363" s="80">
        <f t="shared" ref="G363:AG363" ca="1" si="446">G358</f>
        <v>0</v>
      </c>
      <c r="H363" s="80">
        <f t="shared" ca="1" si="446"/>
        <v>0</v>
      </c>
      <c r="I363" s="80">
        <f t="shared" ca="1" si="446"/>
        <v>0</v>
      </c>
      <c r="J363" s="80">
        <f t="shared" ca="1" si="446"/>
        <v>0</v>
      </c>
      <c r="K363" s="80">
        <f t="shared" ca="1" si="446"/>
        <v>0</v>
      </c>
      <c r="L363" s="80">
        <f t="shared" ca="1" si="446"/>
        <v>0</v>
      </c>
      <c r="M363" s="80">
        <f t="shared" ca="1" si="446"/>
        <v>0</v>
      </c>
      <c r="N363" s="80">
        <f t="shared" ca="1" si="446"/>
        <v>0</v>
      </c>
      <c r="O363" s="80">
        <f t="shared" ca="1" si="446"/>
        <v>0</v>
      </c>
      <c r="P363" s="80">
        <f t="shared" ca="1" si="446"/>
        <v>0</v>
      </c>
      <c r="Q363" s="80">
        <f t="shared" ca="1" si="446"/>
        <v>0</v>
      </c>
      <c r="R363" s="80">
        <f t="shared" ca="1" si="446"/>
        <v>2692689.1301989723</v>
      </c>
      <c r="S363" s="80">
        <f t="shared" ca="1" si="446"/>
        <v>2701649.0447687423</v>
      </c>
      <c r="T363" s="80">
        <f t="shared" ca="1" si="446"/>
        <v>2710348.31580375</v>
      </c>
      <c r="U363" s="80">
        <f t="shared" ca="1" si="446"/>
        <v>2719366.9912578021</v>
      </c>
      <c r="V363" s="80">
        <f t="shared" ca="1" si="446"/>
        <v>2728415.6763259228</v>
      </c>
      <c r="W363" s="80">
        <f t="shared" ca="1" si="446"/>
        <v>2737201.1355292499</v>
      </c>
      <c r="X363" s="80">
        <f t="shared" ca="1" si="446"/>
        <v>2746309.1636560634</v>
      </c>
      <c r="Y363" s="80">
        <f t="shared" ca="1" si="446"/>
        <v>2755152.2396310233</v>
      </c>
      <c r="Z363" s="80">
        <f t="shared" ca="1" si="446"/>
        <v>2764319.9999999967</v>
      </c>
      <c r="AA363" s="80">
        <f t="shared" ca="1" si="446"/>
        <v>2773543.5087876758</v>
      </c>
      <c r="AB363" s="80">
        <f t="shared" ca="1" si="446"/>
        <v>2781900.8692378663</v>
      </c>
      <c r="AC363" s="80">
        <f t="shared" ca="1" si="446"/>
        <v>2791183.0388542153</v>
      </c>
      <c r="AD363" s="80">
        <f t="shared" ca="1" si="446"/>
        <v>3217380.1197865405</v>
      </c>
      <c r="AE363" s="80">
        <f t="shared" ca="1" si="446"/>
        <v>3228115.3218645034</v>
      </c>
      <c r="AF363" s="80">
        <f t="shared" ca="1" si="446"/>
        <v>3238538.3307001502</v>
      </c>
      <c r="AG363" s="80">
        <f t="shared" ca="1" si="446"/>
        <v>3249344.1298668338</v>
      </c>
      <c r="AH363" s="80">
        <f t="shared" ref="AH363:BM363" ca="1" si="447">AH358</f>
        <v>3260185.9839705629</v>
      </c>
      <c r="AI363" s="80">
        <f t="shared" ca="1" si="447"/>
        <v>3270712.5432562912</v>
      </c>
      <c r="AJ363" s="80">
        <f t="shared" ca="1" si="447"/>
        <v>3281625.6958163041</v>
      </c>
      <c r="AK363" s="80">
        <f t="shared" ca="1" si="447"/>
        <v>3292221.4801091105</v>
      </c>
      <c r="AL363" s="80">
        <f t="shared" ca="1" si="447"/>
        <v>3303206.3999999953</v>
      </c>
      <c r="AM363" s="80">
        <f t="shared" ca="1" si="447"/>
        <v>3314227.9724872322</v>
      </c>
      <c r="AN363" s="80">
        <f t="shared" ca="1" si="447"/>
        <v>3324214.5465908721</v>
      </c>
      <c r="AO363" s="80">
        <f t="shared" ca="1" si="447"/>
        <v>3335306.2154579395</v>
      </c>
      <c r="AP363" s="80">
        <f t="shared" ca="1" si="447"/>
        <v>3346075.3245780016</v>
      </c>
      <c r="AQ363" s="80">
        <f t="shared" ca="1" si="447"/>
        <v>3357239.9347390835</v>
      </c>
      <c r="AR363" s="80">
        <f t="shared" ca="1" si="447"/>
        <v>3368079.8639281555</v>
      </c>
      <c r="AS363" s="80">
        <f t="shared" ca="1" si="447"/>
        <v>3379317.8950615069</v>
      </c>
      <c r="AT363" s="80">
        <f t="shared" ca="1" si="447"/>
        <v>3390593.4233293841</v>
      </c>
      <c r="AU363" s="80">
        <f t="shared" ca="1" si="447"/>
        <v>3401541.0449865423</v>
      </c>
      <c r="AV363" s="80">
        <f t="shared" ca="1" si="447"/>
        <v>3412890.723648956</v>
      </c>
      <c r="AW363" s="80">
        <f t="shared" ca="1" si="447"/>
        <v>3423910.3393134731</v>
      </c>
      <c r="AX363" s="80">
        <f t="shared" ca="1" si="447"/>
        <v>3435334.6559999939</v>
      </c>
      <c r="AY363" s="80">
        <f t="shared" ca="1" si="447"/>
        <v>3446797.0913867205</v>
      </c>
      <c r="AZ363" s="80">
        <f t="shared" ca="1" si="447"/>
        <v>3457183.1284545055</v>
      </c>
      <c r="BA363" s="80">
        <f t="shared" ca="1" si="447"/>
        <v>3468718.4640762554</v>
      </c>
      <c r="BB363" s="80">
        <f t="shared" ca="1" si="447"/>
        <v>3479918.3375611203</v>
      </c>
      <c r="BC363" s="80">
        <f t="shared" ca="1" si="447"/>
        <v>3491529.5321286451</v>
      </c>
      <c r="BD363" s="80">
        <f t="shared" ca="1" si="447"/>
        <v>3502803.0584852798</v>
      </c>
      <c r="BE363" s="80">
        <f t="shared" ca="1" si="447"/>
        <v>3514490.610863965</v>
      </c>
      <c r="BF363" s="80">
        <f t="shared" ca="1" si="447"/>
        <v>3526217.1602625581</v>
      </c>
      <c r="BG363" s="80">
        <f t="shared" ca="1" si="447"/>
        <v>3537602.686786002</v>
      </c>
      <c r="BH363" s="80">
        <f t="shared" ca="1" si="447"/>
        <v>3549406.3525949134</v>
      </c>
      <c r="BI363" s="80">
        <f t="shared" ca="1" si="447"/>
        <v>3560866.7528860113</v>
      </c>
      <c r="BJ363" s="80">
        <f t="shared" ca="1" si="447"/>
        <v>3572748.0422399929</v>
      </c>
      <c r="BK363" s="80">
        <f t="shared" ca="1" si="447"/>
        <v>3584636.3500579172</v>
      </c>
      <c r="BL363" s="80">
        <f t="shared" ca="1" si="447"/>
        <v>3595793.4801250892</v>
      </c>
      <c r="BM363" s="80">
        <f t="shared" ca="1" si="447"/>
        <v>3607758.4715647344</v>
      </c>
      <c r="BN363" s="80">
        <f t="shared" ref="BN363:CK363" ca="1" si="448">BN358</f>
        <v>3619375.4019109439</v>
      </c>
      <c r="BO363" s="80">
        <f t="shared" ca="1" si="448"/>
        <v>3631418.8621207951</v>
      </c>
      <c r="BP363" s="80">
        <f t="shared" ca="1" si="448"/>
        <v>3643111.9785840139</v>
      </c>
      <c r="BQ363" s="80">
        <f t="shared" ca="1" si="448"/>
        <v>3655234.4221777194</v>
      </c>
      <c r="BR363" s="80">
        <f t="shared" ca="1" si="448"/>
        <v>3667397.2031641649</v>
      </c>
      <c r="BS363" s="80">
        <f t="shared" ca="1" si="448"/>
        <v>3679206.1693676501</v>
      </c>
      <c r="BT363" s="80">
        <f t="shared" ca="1" si="448"/>
        <v>3691448.7162671015</v>
      </c>
      <c r="BU363" s="80">
        <f t="shared" ca="1" si="448"/>
        <v>3703335.1279965662</v>
      </c>
      <c r="BV363" s="80">
        <f t="shared" ca="1" si="448"/>
        <v>3715657.9639295898</v>
      </c>
      <c r="BW363" s="80">
        <f t="shared" ca="1" si="448"/>
        <v>3728055.7340438729</v>
      </c>
      <c r="BX363" s="80">
        <f t="shared" ca="1" si="448"/>
        <v>3739289.2717363895</v>
      </c>
      <c r="BY363" s="80">
        <f t="shared" ca="1" si="448"/>
        <v>3751765.8907448743</v>
      </c>
      <c r="BZ363" s="80">
        <f t="shared" ca="1" si="448"/>
        <v>3763879.6739061046</v>
      </c>
      <c r="CA363" s="80">
        <f t="shared" ca="1" si="448"/>
        <v>3776438.3419503393</v>
      </c>
      <c r="CB363" s="80">
        <f t="shared" ca="1" si="448"/>
        <v>3788631.7880576761</v>
      </c>
      <c r="CC363" s="80">
        <f t="shared" ca="1" si="448"/>
        <v>3801273.044710462</v>
      </c>
      <c r="CD363" s="80">
        <f t="shared" ca="1" si="448"/>
        <v>3813956.4805399794</v>
      </c>
      <c r="CE363" s="80">
        <f t="shared" ca="1" si="448"/>
        <v>3826271.0660277368</v>
      </c>
      <c r="CF363" s="80">
        <f t="shared" ca="1" si="448"/>
        <v>3839037.9109666538</v>
      </c>
      <c r="CG363" s="80">
        <f t="shared" ca="1" si="448"/>
        <v>3851433.4799215063</v>
      </c>
      <c r="CH363" s="80">
        <f t="shared" ca="1" si="448"/>
        <v>3864284.2824867731</v>
      </c>
      <c r="CI363" s="80">
        <f t="shared" ca="1" si="448"/>
        <v>3877177.9634056264</v>
      </c>
      <c r="CJ363" s="80">
        <f t="shared" ca="1" si="448"/>
        <v>3888860.8426058446</v>
      </c>
      <c r="CK363" s="80">
        <f t="shared" ca="1" si="448"/>
        <v>3901836.5263746679</v>
      </c>
    </row>
    <row r="364" spans="2:89" ht="15.75" thickBot="1">
      <c r="B364" s="45" t="s">
        <v>144</v>
      </c>
      <c r="C364" s="46"/>
      <c r="D364" s="47">
        <f ca="1">SUM(F364:CK364)</f>
        <v>-241945152.19563887</v>
      </c>
      <c r="E364" s="48"/>
      <c r="F364" s="49">
        <f ca="1">-OFFSET(F363,,-1)</f>
        <v>0</v>
      </c>
      <c r="G364" s="49">
        <f t="shared" ref="G364:AG364" ca="1" si="449">-OFFSET(G363,,-1)</f>
        <v>0</v>
      </c>
      <c r="H364" s="49">
        <f t="shared" ca="1" si="449"/>
        <v>0</v>
      </c>
      <c r="I364" s="49">
        <f t="shared" ca="1" si="449"/>
        <v>0</v>
      </c>
      <c r="J364" s="49">
        <f t="shared" ca="1" si="449"/>
        <v>0</v>
      </c>
      <c r="K364" s="49">
        <f t="shared" ca="1" si="449"/>
        <v>0</v>
      </c>
      <c r="L364" s="49">
        <f t="shared" ca="1" si="449"/>
        <v>0</v>
      </c>
      <c r="M364" s="49">
        <f t="shared" ca="1" si="449"/>
        <v>0</v>
      </c>
      <c r="N364" s="49">
        <f t="shared" ca="1" si="449"/>
        <v>0</v>
      </c>
      <c r="O364" s="49">
        <f t="shared" ca="1" si="449"/>
        <v>0</v>
      </c>
      <c r="P364" s="49">
        <f t="shared" ca="1" si="449"/>
        <v>0</v>
      </c>
      <c r="Q364" s="49">
        <f t="shared" ca="1" si="449"/>
        <v>0</v>
      </c>
      <c r="R364" s="49">
        <f t="shared" ca="1" si="449"/>
        <v>0</v>
      </c>
      <c r="S364" s="49">
        <f t="shared" ca="1" si="449"/>
        <v>-2692689.1301989723</v>
      </c>
      <c r="T364" s="49">
        <f t="shared" ca="1" si="449"/>
        <v>-2701649.0447687423</v>
      </c>
      <c r="U364" s="49">
        <f t="shared" ca="1" si="449"/>
        <v>-2710348.31580375</v>
      </c>
      <c r="V364" s="49">
        <f t="shared" ca="1" si="449"/>
        <v>-2719366.9912578021</v>
      </c>
      <c r="W364" s="49">
        <f t="shared" ca="1" si="449"/>
        <v>-2728415.6763259228</v>
      </c>
      <c r="X364" s="49">
        <f t="shared" ca="1" si="449"/>
        <v>-2737201.1355292499</v>
      </c>
      <c r="Y364" s="49">
        <f t="shared" ca="1" si="449"/>
        <v>-2746309.1636560634</v>
      </c>
      <c r="Z364" s="49">
        <f t="shared" ca="1" si="449"/>
        <v>-2755152.2396310233</v>
      </c>
      <c r="AA364" s="49">
        <f t="shared" ca="1" si="449"/>
        <v>-2764319.9999999967</v>
      </c>
      <c r="AB364" s="49">
        <f t="shared" ca="1" si="449"/>
        <v>-2773543.5087876758</v>
      </c>
      <c r="AC364" s="49">
        <f t="shared" ca="1" si="449"/>
        <v>-2781900.8692378663</v>
      </c>
      <c r="AD364" s="49">
        <f t="shared" ca="1" si="449"/>
        <v>-2791183.0388542153</v>
      </c>
      <c r="AE364" s="49">
        <f t="shared" ca="1" si="449"/>
        <v>-3217380.1197865405</v>
      </c>
      <c r="AF364" s="49">
        <f t="shared" ca="1" si="449"/>
        <v>-3228115.3218645034</v>
      </c>
      <c r="AG364" s="49">
        <f t="shared" ca="1" si="449"/>
        <v>-3238538.3307001502</v>
      </c>
      <c r="AH364" s="49">
        <f t="shared" ref="AH364:BM364" ca="1" si="450">-OFFSET(AH363,,-1)</f>
        <v>-3249344.1298668338</v>
      </c>
      <c r="AI364" s="49">
        <f t="shared" ca="1" si="450"/>
        <v>-3260185.9839705629</v>
      </c>
      <c r="AJ364" s="49">
        <f t="shared" ca="1" si="450"/>
        <v>-3270712.5432562912</v>
      </c>
      <c r="AK364" s="49">
        <f t="shared" ca="1" si="450"/>
        <v>-3281625.6958163041</v>
      </c>
      <c r="AL364" s="49">
        <f t="shared" ca="1" si="450"/>
        <v>-3292221.4801091105</v>
      </c>
      <c r="AM364" s="49">
        <f t="shared" ca="1" si="450"/>
        <v>-3303206.3999999953</v>
      </c>
      <c r="AN364" s="49">
        <f t="shared" ca="1" si="450"/>
        <v>-3314227.9724872322</v>
      </c>
      <c r="AO364" s="49">
        <f t="shared" ca="1" si="450"/>
        <v>-3324214.5465908721</v>
      </c>
      <c r="AP364" s="49">
        <f t="shared" ca="1" si="450"/>
        <v>-3335306.2154579395</v>
      </c>
      <c r="AQ364" s="49">
        <f t="shared" ca="1" si="450"/>
        <v>-3346075.3245780016</v>
      </c>
      <c r="AR364" s="49">
        <f t="shared" ca="1" si="450"/>
        <v>-3357239.9347390835</v>
      </c>
      <c r="AS364" s="49">
        <f t="shared" ca="1" si="450"/>
        <v>-3368079.8639281555</v>
      </c>
      <c r="AT364" s="49">
        <f t="shared" ca="1" si="450"/>
        <v>-3379317.8950615069</v>
      </c>
      <c r="AU364" s="49">
        <f t="shared" ca="1" si="450"/>
        <v>-3390593.4233293841</v>
      </c>
      <c r="AV364" s="49">
        <f t="shared" ca="1" si="450"/>
        <v>-3401541.0449865423</v>
      </c>
      <c r="AW364" s="49">
        <f t="shared" ca="1" si="450"/>
        <v>-3412890.723648956</v>
      </c>
      <c r="AX364" s="49">
        <f t="shared" ca="1" si="450"/>
        <v>-3423910.3393134731</v>
      </c>
      <c r="AY364" s="49">
        <f t="shared" ca="1" si="450"/>
        <v>-3435334.6559999939</v>
      </c>
      <c r="AZ364" s="49">
        <f t="shared" ca="1" si="450"/>
        <v>-3446797.0913867205</v>
      </c>
      <c r="BA364" s="49">
        <f t="shared" ca="1" si="450"/>
        <v>-3457183.1284545055</v>
      </c>
      <c r="BB364" s="49">
        <f t="shared" ca="1" si="450"/>
        <v>-3468718.4640762554</v>
      </c>
      <c r="BC364" s="49">
        <f t="shared" ca="1" si="450"/>
        <v>-3479918.3375611203</v>
      </c>
      <c r="BD364" s="49">
        <f t="shared" ca="1" si="450"/>
        <v>-3491529.5321286451</v>
      </c>
      <c r="BE364" s="49">
        <f t="shared" ca="1" si="450"/>
        <v>-3502803.0584852798</v>
      </c>
      <c r="BF364" s="49">
        <f t="shared" ca="1" si="450"/>
        <v>-3514490.610863965</v>
      </c>
      <c r="BG364" s="49">
        <f t="shared" ca="1" si="450"/>
        <v>-3526217.1602625581</v>
      </c>
      <c r="BH364" s="49">
        <f t="shared" ca="1" si="450"/>
        <v>-3537602.686786002</v>
      </c>
      <c r="BI364" s="49">
        <f t="shared" ca="1" si="450"/>
        <v>-3549406.3525949134</v>
      </c>
      <c r="BJ364" s="49">
        <f t="shared" ca="1" si="450"/>
        <v>-3560866.7528860113</v>
      </c>
      <c r="BK364" s="49">
        <f t="shared" ca="1" si="450"/>
        <v>-3572748.0422399929</v>
      </c>
      <c r="BL364" s="49">
        <f t="shared" ca="1" si="450"/>
        <v>-3584636.3500579172</v>
      </c>
      <c r="BM364" s="49">
        <f t="shared" ca="1" si="450"/>
        <v>-3595793.4801250892</v>
      </c>
      <c r="BN364" s="49">
        <f t="shared" ref="BN364:CK364" ca="1" si="451">-OFFSET(BN363,,-1)</f>
        <v>-3607758.4715647344</v>
      </c>
      <c r="BO364" s="49">
        <f t="shared" ca="1" si="451"/>
        <v>-3619375.4019109439</v>
      </c>
      <c r="BP364" s="49">
        <f t="shared" ca="1" si="451"/>
        <v>-3631418.8621207951</v>
      </c>
      <c r="BQ364" s="49">
        <f t="shared" ca="1" si="451"/>
        <v>-3643111.9785840139</v>
      </c>
      <c r="BR364" s="49">
        <f t="shared" ca="1" si="451"/>
        <v>-3655234.4221777194</v>
      </c>
      <c r="BS364" s="49">
        <f t="shared" ca="1" si="451"/>
        <v>-3667397.2031641649</v>
      </c>
      <c r="BT364" s="49">
        <f t="shared" ca="1" si="451"/>
        <v>-3679206.1693676501</v>
      </c>
      <c r="BU364" s="49">
        <f t="shared" ca="1" si="451"/>
        <v>-3691448.7162671015</v>
      </c>
      <c r="BV364" s="49">
        <f t="shared" ca="1" si="451"/>
        <v>-3703335.1279965662</v>
      </c>
      <c r="BW364" s="49">
        <f t="shared" ca="1" si="451"/>
        <v>-3715657.9639295898</v>
      </c>
      <c r="BX364" s="49">
        <f t="shared" ca="1" si="451"/>
        <v>-3728055.7340438729</v>
      </c>
      <c r="BY364" s="49">
        <f t="shared" ca="1" si="451"/>
        <v>-3739289.2717363895</v>
      </c>
      <c r="BZ364" s="49">
        <f t="shared" ca="1" si="451"/>
        <v>-3751765.8907448743</v>
      </c>
      <c r="CA364" s="49">
        <f t="shared" ca="1" si="451"/>
        <v>-3763879.6739061046</v>
      </c>
      <c r="CB364" s="49">
        <f t="shared" ca="1" si="451"/>
        <v>-3776438.3419503393</v>
      </c>
      <c r="CC364" s="49">
        <f t="shared" ca="1" si="451"/>
        <v>-3788631.7880576761</v>
      </c>
      <c r="CD364" s="49">
        <f t="shared" ca="1" si="451"/>
        <v>-3801273.044710462</v>
      </c>
      <c r="CE364" s="49">
        <f t="shared" ca="1" si="451"/>
        <v>-3813956.4805399794</v>
      </c>
      <c r="CF364" s="49">
        <f t="shared" ca="1" si="451"/>
        <v>-3826271.0660277368</v>
      </c>
      <c r="CG364" s="49">
        <f t="shared" ca="1" si="451"/>
        <v>-3839037.9109666538</v>
      </c>
      <c r="CH364" s="49">
        <f t="shared" ca="1" si="451"/>
        <v>-3851433.4799215063</v>
      </c>
      <c r="CI364" s="49">
        <f t="shared" ca="1" si="451"/>
        <v>-3864284.2824867731</v>
      </c>
      <c r="CJ364" s="49">
        <f t="shared" ca="1" si="451"/>
        <v>-3877177.9634056264</v>
      </c>
      <c r="CK364" s="49">
        <f t="shared" ca="1" si="451"/>
        <v>-3888860.8426058446</v>
      </c>
    </row>
    <row r="365" spans="2:89" ht="15.75" thickTop="1">
      <c r="B365" s="50" t="s">
        <v>58</v>
      </c>
      <c r="C365" s="51"/>
      <c r="D365" s="52">
        <f ca="1">SUM(D362:D364)</f>
        <v>3901836.5263746679</v>
      </c>
      <c r="E365" s="53"/>
      <c r="F365" s="54">
        <f ca="1">SUM(F362:F364)</f>
        <v>0</v>
      </c>
      <c r="G365" s="54">
        <f t="shared" ref="G365:AG365" ca="1" si="452">SUM(G362:G364)</f>
        <v>0</v>
      </c>
      <c r="H365" s="54">
        <f t="shared" ca="1" si="452"/>
        <v>0</v>
      </c>
      <c r="I365" s="54">
        <f t="shared" ca="1" si="452"/>
        <v>0</v>
      </c>
      <c r="J365" s="54">
        <f t="shared" ca="1" si="452"/>
        <v>0</v>
      </c>
      <c r="K365" s="54">
        <f t="shared" ca="1" si="452"/>
        <v>0</v>
      </c>
      <c r="L365" s="54">
        <f t="shared" ca="1" si="452"/>
        <v>0</v>
      </c>
      <c r="M365" s="54">
        <f t="shared" ca="1" si="452"/>
        <v>0</v>
      </c>
      <c r="N365" s="54">
        <f t="shared" ca="1" si="452"/>
        <v>0</v>
      </c>
      <c r="O365" s="54">
        <f t="shared" ca="1" si="452"/>
        <v>0</v>
      </c>
      <c r="P365" s="54">
        <f t="shared" ca="1" si="452"/>
        <v>0</v>
      </c>
      <c r="Q365" s="54">
        <f t="shared" ca="1" si="452"/>
        <v>0</v>
      </c>
      <c r="R365" s="54">
        <f t="shared" ca="1" si="452"/>
        <v>2692689.1301989723</v>
      </c>
      <c r="S365" s="54">
        <f t="shared" ca="1" si="452"/>
        <v>2701649.0447687423</v>
      </c>
      <c r="T365" s="54">
        <f t="shared" ca="1" si="452"/>
        <v>2710348.3158037504</v>
      </c>
      <c r="U365" s="54">
        <f t="shared" ca="1" si="452"/>
        <v>2719366.991257803</v>
      </c>
      <c r="V365" s="54">
        <f t="shared" ca="1" si="452"/>
        <v>2728415.6763259242</v>
      </c>
      <c r="W365" s="54">
        <f t="shared" ca="1" si="452"/>
        <v>2737201.1355292518</v>
      </c>
      <c r="X365" s="54">
        <f t="shared" ca="1" si="452"/>
        <v>2746309.1636560652</v>
      </c>
      <c r="Y365" s="54">
        <f t="shared" ca="1" si="452"/>
        <v>2755152.2396310251</v>
      </c>
      <c r="Z365" s="54">
        <f t="shared" ca="1" si="452"/>
        <v>2764319.9999999981</v>
      </c>
      <c r="AA365" s="54">
        <f t="shared" ca="1" si="452"/>
        <v>2773543.5087876772</v>
      </c>
      <c r="AB365" s="54">
        <f t="shared" ca="1" si="452"/>
        <v>2781900.8692378672</v>
      </c>
      <c r="AC365" s="54">
        <f t="shared" ca="1" si="452"/>
        <v>2791183.0388542162</v>
      </c>
      <c r="AD365" s="54">
        <f t="shared" ca="1" si="452"/>
        <v>3217380.1197865419</v>
      </c>
      <c r="AE365" s="54">
        <f t="shared" ca="1" si="452"/>
        <v>3228115.3218645048</v>
      </c>
      <c r="AF365" s="54">
        <f t="shared" ca="1" si="452"/>
        <v>3238538.3307001516</v>
      </c>
      <c r="AG365" s="54">
        <f t="shared" ca="1" si="452"/>
        <v>3249344.1298668352</v>
      </c>
      <c r="AH365" s="54">
        <f t="shared" ref="AH365:BM365" ca="1" si="453">SUM(AH362:AH364)</f>
        <v>3260185.9839705648</v>
      </c>
      <c r="AI365" s="54">
        <f t="shared" ca="1" si="453"/>
        <v>3270712.5432562931</v>
      </c>
      <c r="AJ365" s="54">
        <f t="shared" ca="1" si="453"/>
        <v>3281625.6958163055</v>
      </c>
      <c r="AK365" s="54">
        <f t="shared" ca="1" si="453"/>
        <v>3292221.4801091119</v>
      </c>
      <c r="AL365" s="54">
        <f t="shared" ca="1" si="453"/>
        <v>3303206.3999999966</v>
      </c>
      <c r="AM365" s="54">
        <f t="shared" ca="1" si="453"/>
        <v>3314227.9724872331</v>
      </c>
      <c r="AN365" s="54">
        <f t="shared" ca="1" si="453"/>
        <v>3324214.5465908735</v>
      </c>
      <c r="AO365" s="54">
        <f t="shared" ca="1" si="453"/>
        <v>3335306.2154579405</v>
      </c>
      <c r="AP365" s="54">
        <f t="shared" ca="1" si="453"/>
        <v>3346075.324578003</v>
      </c>
      <c r="AQ365" s="54">
        <f t="shared" ca="1" si="453"/>
        <v>3357239.9347390854</v>
      </c>
      <c r="AR365" s="54">
        <f t="shared" ca="1" si="453"/>
        <v>3368079.8639281574</v>
      </c>
      <c r="AS365" s="54">
        <f t="shared" ca="1" si="453"/>
        <v>3379317.8950615083</v>
      </c>
      <c r="AT365" s="54">
        <f t="shared" ca="1" si="453"/>
        <v>3390593.4233293859</v>
      </c>
      <c r="AU365" s="54">
        <f t="shared" ca="1" si="453"/>
        <v>3401541.0449865442</v>
      </c>
      <c r="AV365" s="54">
        <f t="shared" ca="1" si="453"/>
        <v>3412890.7236489579</v>
      </c>
      <c r="AW365" s="54">
        <f t="shared" ca="1" si="453"/>
        <v>3423910.3393134754</v>
      </c>
      <c r="AX365" s="54">
        <f t="shared" ca="1" si="453"/>
        <v>3435334.6559999962</v>
      </c>
      <c r="AY365" s="54">
        <f t="shared" ca="1" si="453"/>
        <v>3446797.0913867224</v>
      </c>
      <c r="AZ365" s="54">
        <f t="shared" ca="1" si="453"/>
        <v>3457183.1284545073</v>
      </c>
      <c r="BA365" s="54">
        <f t="shared" ca="1" si="453"/>
        <v>3468718.4640762573</v>
      </c>
      <c r="BB365" s="54">
        <f t="shared" ca="1" si="453"/>
        <v>3479918.3375611221</v>
      </c>
      <c r="BC365" s="54">
        <f t="shared" ca="1" si="453"/>
        <v>3491529.532128647</v>
      </c>
      <c r="BD365" s="54">
        <f t="shared" ca="1" si="453"/>
        <v>3502803.0584852817</v>
      </c>
      <c r="BE365" s="54">
        <f t="shared" ca="1" si="453"/>
        <v>3514490.6108639669</v>
      </c>
      <c r="BF365" s="54">
        <f t="shared" ca="1" si="453"/>
        <v>3526217.1602625605</v>
      </c>
      <c r="BG365" s="54">
        <f t="shared" ca="1" si="453"/>
        <v>3537602.6867860039</v>
      </c>
      <c r="BH365" s="54">
        <f t="shared" ca="1" si="453"/>
        <v>3549406.3525949153</v>
      </c>
      <c r="BI365" s="54">
        <f t="shared" ca="1" si="453"/>
        <v>3560866.7528860127</v>
      </c>
      <c r="BJ365" s="54">
        <f t="shared" ca="1" si="453"/>
        <v>3572748.0422399947</v>
      </c>
      <c r="BK365" s="54">
        <f t="shared" ca="1" si="453"/>
        <v>3584636.3500579195</v>
      </c>
      <c r="BL365" s="54">
        <f t="shared" ca="1" si="453"/>
        <v>3595793.4801250915</v>
      </c>
      <c r="BM365" s="54">
        <f t="shared" ca="1" si="453"/>
        <v>3607758.4715647371</v>
      </c>
      <c r="BN365" s="54">
        <f t="shared" ref="BN365:CK365" ca="1" si="454">SUM(BN362:BN364)</f>
        <v>3619375.4019109467</v>
      </c>
      <c r="BO365" s="54">
        <f t="shared" ca="1" si="454"/>
        <v>3631418.8621207979</v>
      </c>
      <c r="BP365" s="54">
        <f t="shared" ca="1" si="454"/>
        <v>3643111.9785840167</v>
      </c>
      <c r="BQ365" s="54">
        <f t="shared" ca="1" si="454"/>
        <v>3655234.4221777227</v>
      </c>
      <c r="BR365" s="54">
        <f t="shared" ca="1" si="454"/>
        <v>3667397.2031641682</v>
      </c>
      <c r="BS365" s="54">
        <f t="shared" ca="1" si="454"/>
        <v>3679206.1693676533</v>
      </c>
      <c r="BT365" s="54">
        <f t="shared" ca="1" si="454"/>
        <v>3691448.7162671047</v>
      </c>
      <c r="BU365" s="54">
        <f t="shared" ca="1" si="454"/>
        <v>3703335.1279965695</v>
      </c>
      <c r="BV365" s="54">
        <f t="shared" ca="1" si="454"/>
        <v>3715657.9639295931</v>
      </c>
      <c r="BW365" s="54">
        <f t="shared" ca="1" si="454"/>
        <v>3728055.7340438757</v>
      </c>
      <c r="BX365" s="54">
        <f t="shared" ca="1" si="454"/>
        <v>3739289.2717363918</v>
      </c>
      <c r="BY365" s="54">
        <f t="shared" ca="1" si="454"/>
        <v>3751765.8907448766</v>
      </c>
      <c r="BZ365" s="54">
        <f t="shared" ca="1" si="454"/>
        <v>3763879.6739061065</v>
      </c>
      <c r="CA365" s="54">
        <f t="shared" ca="1" si="454"/>
        <v>3776438.3419503411</v>
      </c>
      <c r="CB365" s="54">
        <f t="shared" ca="1" si="454"/>
        <v>3788631.7880576784</v>
      </c>
      <c r="CC365" s="54">
        <f t="shared" ca="1" si="454"/>
        <v>3801273.0447104643</v>
      </c>
      <c r="CD365" s="54">
        <f t="shared" ca="1" si="454"/>
        <v>3813956.4805399822</v>
      </c>
      <c r="CE365" s="54">
        <f t="shared" ca="1" si="454"/>
        <v>3826271.06602774</v>
      </c>
      <c r="CF365" s="54">
        <f t="shared" ca="1" si="454"/>
        <v>3839037.9109666566</v>
      </c>
      <c r="CG365" s="54">
        <f t="shared" ca="1" si="454"/>
        <v>3851433.479921509</v>
      </c>
      <c r="CH365" s="54">
        <f t="shared" ca="1" si="454"/>
        <v>3864284.2824867764</v>
      </c>
      <c r="CI365" s="54">
        <f t="shared" ca="1" si="454"/>
        <v>3877177.9634056296</v>
      </c>
      <c r="CJ365" s="54">
        <f t="shared" ca="1" si="454"/>
        <v>3888860.8426058474</v>
      </c>
      <c r="CK365" s="54">
        <f t="shared" ca="1" si="454"/>
        <v>3901836.5263746711</v>
      </c>
    </row>
    <row r="366" spans="2:89"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81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</row>
    <row r="367" spans="2:89" ht="18" thickBot="1">
      <c r="B367" s="100" t="s">
        <v>53</v>
      </c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1"/>
      <c r="BN367" s="101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1"/>
      <c r="BZ367" s="101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</row>
    <row r="368" spans="2:89" ht="15.75" thickTop="1"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81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</row>
    <row r="369" spans="2:89" ht="15.75" thickBot="1">
      <c r="B369" s="96" t="s">
        <v>532</v>
      </c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  <c r="CF369" s="97"/>
      <c r="CG369" s="97"/>
      <c r="CH369" s="97"/>
      <c r="CI369" s="97"/>
      <c r="CJ369" s="97"/>
      <c r="CK369" s="97"/>
    </row>
    <row r="370" spans="2:89"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81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</row>
    <row r="371" spans="2:89">
      <c r="B371" s="155" t="s">
        <v>217</v>
      </c>
      <c r="C371" s="156"/>
      <c r="D371" s="160"/>
      <c r="E371" s="158"/>
      <c r="F371" s="159">
        <f t="shared" ref="F371:AK371" ca="1" si="455">IFERROR(LOOKUP(F$19,Налоги_года,НДФЛ_ставки),0)</f>
        <v>0.13</v>
      </c>
      <c r="G371" s="159">
        <f t="shared" ca="1" si="455"/>
        <v>0.13</v>
      </c>
      <c r="H371" s="159">
        <f t="shared" ca="1" si="455"/>
        <v>0.13</v>
      </c>
      <c r="I371" s="159">
        <f t="shared" ca="1" si="455"/>
        <v>0.13</v>
      </c>
      <c r="J371" s="159">
        <f t="shared" ca="1" si="455"/>
        <v>0.13</v>
      </c>
      <c r="K371" s="159">
        <f t="shared" ca="1" si="455"/>
        <v>0.13</v>
      </c>
      <c r="L371" s="159">
        <f t="shared" ca="1" si="455"/>
        <v>0.13</v>
      </c>
      <c r="M371" s="159">
        <f t="shared" ca="1" si="455"/>
        <v>0.13</v>
      </c>
      <c r="N371" s="159">
        <f t="shared" ca="1" si="455"/>
        <v>0.13</v>
      </c>
      <c r="O371" s="159">
        <f t="shared" ca="1" si="455"/>
        <v>0.13</v>
      </c>
      <c r="P371" s="159">
        <f t="shared" ca="1" si="455"/>
        <v>0.13</v>
      </c>
      <c r="Q371" s="159">
        <f t="shared" ca="1" si="455"/>
        <v>0.13</v>
      </c>
      <c r="R371" s="159">
        <f t="shared" ca="1" si="455"/>
        <v>0.13</v>
      </c>
      <c r="S371" s="159">
        <f t="shared" ca="1" si="455"/>
        <v>0.13</v>
      </c>
      <c r="T371" s="159">
        <f t="shared" ca="1" si="455"/>
        <v>0.13</v>
      </c>
      <c r="U371" s="159">
        <f t="shared" ca="1" si="455"/>
        <v>0.13</v>
      </c>
      <c r="V371" s="159">
        <f t="shared" ca="1" si="455"/>
        <v>0.13</v>
      </c>
      <c r="W371" s="159">
        <f t="shared" ca="1" si="455"/>
        <v>0.13</v>
      </c>
      <c r="X371" s="159">
        <f t="shared" ca="1" si="455"/>
        <v>0.13</v>
      </c>
      <c r="Y371" s="159">
        <f t="shared" ca="1" si="455"/>
        <v>0.13</v>
      </c>
      <c r="Z371" s="159">
        <f t="shared" ca="1" si="455"/>
        <v>0.13</v>
      </c>
      <c r="AA371" s="159">
        <f t="shared" ca="1" si="455"/>
        <v>0.13</v>
      </c>
      <c r="AB371" s="159">
        <f t="shared" ca="1" si="455"/>
        <v>0.13</v>
      </c>
      <c r="AC371" s="159">
        <f t="shared" ca="1" si="455"/>
        <v>0.13</v>
      </c>
      <c r="AD371" s="159">
        <f t="shared" ca="1" si="455"/>
        <v>0.13</v>
      </c>
      <c r="AE371" s="159">
        <f t="shared" ca="1" si="455"/>
        <v>0.13</v>
      </c>
      <c r="AF371" s="159">
        <f t="shared" ca="1" si="455"/>
        <v>0.13</v>
      </c>
      <c r="AG371" s="159">
        <f t="shared" ca="1" si="455"/>
        <v>0.13</v>
      </c>
      <c r="AH371" s="159">
        <f t="shared" ca="1" si="455"/>
        <v>0.13</v>
      </c>
      <c r="AI371" s="159">
        <f t="shared" ca="1" si="455"/>
        <v>0.13</v>
      </c>
      <c r="AJ371" s="159">
        <f t="shared" ca="1" si="455"/>
        <v>0.13</v>
      </c>
      <c r="AK371" s="159">
        <f t="shared" ca="1" si="455"/>
        <v>0.13</v>
      </c>
      <c r="AL371" s="159">
        <f t="shared" ref="AL371:CK371" ca="1" si="456">IFERROR(LOOKUP(AL$19,Налоги_года,НДФЛ_ставки),0)</f>
        <v>0.13</v>
      </c>
      <c r="AM371" s="159">
        <f t="shared" ca="1" si="456"/>
        <v>0.13</v>
      </c>
      <c r="AN371" s="159">
        <f t="shared" ca="1" si="456"/>
        <v>0.13</v>
      </c>
      <c r="AO371" s="159">
        <f t="shared" ca="1" si="456"/>
        <v>0.13</v>
      </c>
      <c r="AP371" s="159">
        <f t="shared" ca="1" si="456"/>
        <v>0.13</v>
      </c>
      <c r="AQ371" s="159">
        <f t="shared" ca="1" si="456"/>
        <v>0.13</v>
      </c>
      <c r="AR371" s="159">
        <f t="shared" ca="1" si="456"/>
        <v>0.13</v>
      </c>
      <c r="AS371" s="159">
        <f t="shared" ca="1" si="456"/>
        <v>0.13</v>
      </c>
      <c r="AT371" s="159">
        <f t="shared" ca="1" si="456"/>
        <v>0.13</v>
      </c>
      <c r="AU371" s="159">
        <f t="shared" ca="1" si="456"/>
        <v>0.13</v>
      </c>
      <c r="AV371" s="159">
        <f t="shared" ca="1" si="456"/>
        <v>0.13</v>
      </c>
      <c r="AW371" s="159">
        <f t="shared" ca="1" si="456"/>
        <v>0.13</v>
      </c>
      <c r="AX371" s="159">
        <f t="shared" ca="1" si="456"/>
        <v>0.13</v>
      </c>
      <c r="AY371" s="159">
        <f t="shared" ca="1" si="456"/>
        <v>0.13</v>
      </c>
      <c r="AZ371" s="159">
        <f t="shared" ca="1" si="456"/>
        <v>0.13</v>
      </c>
      <c r="BA371" s="159">
        <f t="shared" ca="1" si="456"/>
        <v>0.13</v>
      </c>
      <c r="BB371" s="159">
        <f t="shared" ca="1" si="456"/>
        <v>0.13</v>
      </c>
      <c r="BC371" s="159">
        <f t="shared" ca="1" si="456"/>
        <v>0.13</v>
      </c>
      <c r="BD371" s="159">
        <f t="shared" ca="1" si="456"/>
        <v>0.13</v>
      </c>
      <c r="BE371" s="159">
        <f t="shared" ca="1" si="456"/>
        <v>0.13</v>
      </c>
      <c r="BF371" s="159">
        <f t="shared" ca="1" si="456"/>
        <v>0.13</v>
      </c>
      <c r="BG371" s="159">
        <f t="shared" ca="1" si="456"/>
        <v>0.13</v>
      </c>
      <c r="BH371" s="159">
        <f t="shared" ca="1" si="456"/>
        <v>0.13</v>
      </c>
      <c r="BI371" s="159">
        <f t="shared" ca="1" si="456"/>
        <v>0.13</v>
      </c>
      <c r="BJ371" s="159">
        <f t="shared" ca="1" si="456"/>
        <v>0.13</v>
      </c>
      <c r="BK371" s="159">
        <f t="shared" ca="1" si="456"/>
        <v>0.13</v>
      </c>
      <c r="BL371" s="159">
        <f t="shared" ca="1" si="456"/>
        <v>0.13</v>
      </c>
      <c r="BM371" s="159">
        <f t="shared" ca="1" si="456"/>
        <v>0.13</v>
      </c>
      <c r="BN371" s="159">
        <f t="shared" ca="1" si="456"/>
        <v>0.13</v>
      </c>
      <c r="BO371" s="159">
        <f t="shared" ca="1" si="456"/>
        <v>0.13</v>
      </c>
      <c r="BP371" s="159">
        <f t="shared" ca="1" si="456"/>
        <v>0.13</v>
      </c>
      <c r="BQ371" s="159">
        <f t="shared" ca="1" si="456"/>
        <v>0.13</v>
      </c>
      <c r="BR371" s="159">
        <f t="shared" ca="1" si="456"/>
        <v>0.13</v>
      </c>
      <c r="BS371" s="159">
        <f t="shared" ca="1" si="456"/>
        <v>0.13</v>
      </c>
      <c r="BT371" s="159">
        <f t="shared" ca="1" si="456"/>
        <v>0.13</v>
      </c>
      <c r="BU371" s="159">
        <f t="shared" ca="1" si="456"/>
        <v>0.13</v>
      </c>
      <c r="BV371" s="159">
        <f t="shared" ca="1" si="456"/>
        <v>0.13</v>
      </c>
      <c r="BW371" s="159">
        <f t="shared" ca="1" si="456"/>
        <v>0.13</v>
      </c>
      <c r="BX371" s="159">
        <f t="shared" ca="1" si="456"/>
        <v>0.13</v>
      </c>
      <c r="BY371" s="159">
        <f t="shared" ca="1" si="456"/>
        <v>0.13</v>
      </c>
      <c r="BZ371" s="159">
        <f t="shared" ca="1" si="456"/>
        <v>0.13</v>
      </c>
      <c r="CA371" s="159">
        <f t="shared" ca="1" si="456"/>
        <v>0.13</v>
      </c>
      <c r="CB371" s="159">
        <f t="shared" ca="1" si="456"/>
        <v>0.13</v>
      </c>
      <c r="CC371" s="159">
        <f t="shared" ca="1" si="456"/>
        <v>0.13</v>
      </c>
      <c r="CD371" s="159">
        <f t="shared" ca="1" si="456"/>
        <v>0.13</v>
      </c>
      <c r="CE371" s="159">
        <f t="shared" ca="1" si="456"/>
        <v>0.13</v>
      </c>
      <c r="CF371" s="159">
        <f t="shared" ca="1" si="456"/>
        <v>0.13</v>
      </c>
      <c r="CG371" s="159">
        <f t="shared" ca="1" si="456"/>
        <v>0.13</v>
      </c>
      <c r="CH371" s="159">
        <f t="shared" ca="1" si="456"/>
        <v>0.13</v>
      </c>
      <c r="CI371" s="159">
        <f t="shared" ca="1" si="456"/>
        <v>0.13</v>
      </c>
      <c r="CJ371" s="159">
        <f t="shared" ca="1" si="456"/>
        <v>0.13</v>
      </c>
      <c r="CK371" s="159">
        <f t="shared" ca="1" si="456"/>
        <v>0.13</v>
      </c>
    </row>
    <row r="372" spans="2:89">
      <c r="B372" s="191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</row>
    <row r="373" spans="2:89" ht="15.75" thickBot="1">
      <c r="B373" s="96" t="s">
        <v>68</v>
      </c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</row>
    <row r="374" spans="2:89"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81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</row>
    <row r="375" spans="2:89">
      <c r="B375" s="77" t="str">
        <f t="array" ref="B375:B377">ФОТ_должности</f>
        <v>рабочие</v>
      </c>
      <c r="C375" s="78"/>
      <c r="D375" s="98">
        <f ca="1">SUM(F375:CK375)</f>
        <v>82136647.593378589</v>
      </c>
      <c r="E375" s="79"/>
      <c r="F375" s="80">
        <f t="array" ref="F375:F377" ca="1">F312:F314*F$371</f>
        <v>0</v>
      </c>
      <c r="G375" s="80">
        <f t="array" ref="G375:G377" ca="1">G312:G314*G$371</f>
        <v>0</v>
      </c>
      <c r="H375" s="80">
        <f t="array" ref="H375:H377" ca="1">H312:H314*H$371</f>
        <v>0</v>
      </c>
      <c r="I375" s="80">
        <f t="array" ref="I375:I377" ca="1">I312:I314*I$371</f>
        <v>0</v>
      </c>
      <c r="J375" s="80">
        <f t="array" ref="J375:J377" ca="1">J312:J314*J$371</f>
        <v>0</v>
      </c>
      <c r="K375" s="80">
        <f t="array" ref="K375:K377" ca="1">K312:K314*K$371</f>
        <v>0</v>
      </c>
      <c r="L375" s="80">
        <f t="array" ref="L375:L377" ca="1">L312:L314*L$371</f>
        <v>0</v>
      </c>
      <c r="M375" s="80">
        <f t="array" ref="M375:M377" ca="1">M312:M314*M$371</f>
        <v>0</v>
      </c>
      <c r="N375" s="80">
        <f t="array" ref="N375:N377" ca="1">N312:N314*N$371</f>
        <v>0</v>
      </c>
      <c r="O375" s="80">
        <f t="array" ref="O375:O377" ca="1">O312:O314*O$371</f>
        <v>0</v>
      </c>
      <c r="P375" s="80">
        <f t="array" ref="P375:P377" ca="1">P312:P314*P$371</f>
        <v>0</v>
      </c>
      <c r="Q375" s="80">
        <f t="array" ref="Q375:Q377" ca="1">Q312:Q314*Q$371</f>
        <v>0</v>
      </c>
      <c r="R375" s="80">
        <f t="array" ref="R375:R377" ca="1">R312:R314*R$371</f>
        <v>906072.67044769053</v>
      </c>
      <c r="S375" s="80">
        <f t="array" ref="S375:S377" ca="1">S312:S314*S$371</f>
        <v>909087.62439471914</v>
      </c>
      <c r="T375" s="80">
        <f t="array" ref="T375:T377" ca="1">T312:T314*T$371</f>
        <v>912014.87345932052</v>
      </c>
      <c r="U375" s="80">
        <f t="array" ref="U375:U377" ca="1">U312:U314*U$371</f>
        <v>915049.60006808839</v>
      </c>
      <c r="V375" s="80">
        <f t="array" ref="V375:V377" ca="1">V312:V314*V$371</f>
        <v>918094.42472005484</v>
      </c>
      <c r="W375" s="80">
        <f t="array" ref="W375:W377" ca="1">W312:W314*W$371</f>
        <v>921050.67555205442</v>
      </c>
      <c r="X375" s="80">
        <f t="array" ref="X375:X377" ca="1">X312:X314*X$371</f>
        <v>924115.46876372583</v>
      </c>
      <c r="Y375" s="80">
        <f t="array" ref="Y375:Y377" ca="1">Y312:Y314*Y$371</f>
        <v>927091.10727087571</v>
      </c>
      <c r="Z375" s="80">
        <f t="array" ref="Z375:Z377" ca="1">Z312:Z314*Z$371</f>
        <v>930175.99999999907</v>
      </c>
      <c r="AA375" s="80">
        <f t="array" ref="AA375:AA377" ca="1">AA312:AA314*AA$371</f>
        <v>933279.65171546175</v>
      </c>
      <c r="AB375" s="80">
        <f t="array" ref="AB375:AB377" ca="1">AB312:AB314*AB$371</f>
        <v>936091.8500550593</v>
      </c>
      <c r="AC375" s="80">
        <f t="array" ref="AC375:AC377" ca="1">AC312:AC314*AC$371</f>
        <v>939215.24076418753</v>
      </c>
      <c r="AD375" s="80">
        <f t="array" ref="AD375:AD377" ca="1">AD312:AD314*AD$371</f>
        <v>1073724.2364395685</v>
      </c>
      <c r="AE375" s="80">
        <f t="array" ref="AE375:AE377" ca="1">AE312:AE314*AE$371</f>
        <v>1077306.8552862809</v>
      </c>
      <c r="AF375" s="80">
        <f t="array" ref="AF375:AF377" ca="1">AF312:AF314*AF$371</f>
        <v>1080785.2870496376</v>
      </c>
      <c r="AG375" s="80">
        <f t="array" ref="AG375:AG377" ca="1">AG312:AG314*AG$371</f>
        <v>1084391.4659987811</v>
      </c>
      <c r="AH375" s="80">
        <f t="array" ref="AH375:AH377" ca="1">AH312:AH314*AH$371</f>
        <v>1088009.6774272423</v>
      </c>
      <c r="AI375" s="80">
        <f t="array" ref="AI375:AI377" ca="1">AI312:AI314*AI$371</f>
        <v>1091522.6666950923</v>
      </c>
      <c r="AJ375" s="80">
        <f t="array" ref="AJ375:AJ377" ca="1">AJ312:AJ314*AJ$371</f>
        <v>1095164.6722907589</v>
      </c>
      <c r="AK375" s="80">
        <f t="array" ref="AK375:AK377" ca="1">AK312:AK314*AK$371</f>
        <v>1098700.7637613639</v>
      </c>
      <c r="AL375" s="80">
        <f t="array" ref="AL375:AL377" ca="1">AL312:AL314*AL$371</f>
        <v>1102366.7199999986</v>
      </c>
      <c r="AM375" s="80">
        <f t="array" ref="AM375:AM377" ca="1">AM312:AM314*AM$371</f>
        <v>1106044.9081725564</v>
      </c>
      <c r="AN375" s="80">
        <f t="array" ref="AN375:AN377" ca="1">AN312:AN314*AN$371</f>
        <v>1109377.6902047861</v>
      </c>
      <c r="AO375" s="80">
        <f t="array" ref="AO375:AO377" ca="1">AO312:AO314*AO$371</f>
        <v>1113079.2713800694</v>
      </c>
      <c r="AP375" s="80">
        <f t="array" ref="AP375:AP377" ca="1">AP312:AP314*AP$371</f>
        <v>1116673.2058971513</v>
      </c>
      <c r="AQ375" s="80">
        <f t="array" ref="AQ375:AQ377" ca="1">AQ312:AQ314*AQ$371</f>
        <v>1120399.129497732</v>
      </c>
      <c r="AR375" s="80">
        <f t="array" ref="AR375:AR377" ca="1">AR312:AR314*AR$371</f>
        <v>1124016.698531623</v>
      </c>
      <c r="AS375" s="80">
        <f t="array" ref="AS375:AS377" ca="1">AS312:AS314*AS$371</f>
        <v>1127767.1246387323</v>
      </c>
      <c r="AT375" s="80">
        <f t="array" ref="AT375:AT377" ca="1">AT312:AT314*AT$371</f>
        <v>1131530.0645243316</v>
      </c>
      <c r="AU375" s="80">
        <f t="array" ref="AU375:AU377" ca="1">AU312:AU314*AU$371</f>
        <v>1135183.5733628958</v>
      </c>
      <c r="AV375" s="80">
        <f t="array" ref="AV375:AV377" ca="1">AV312:AV314*AV$371</f>
        <v>1138971.2591823891</v>
      </c>
      <c r="AW375" s="80">
        <f t="array" ref="AW375:AW377" ca="1">AW312:AW314*AW$371</f>
        <v>1142648.794311818</v>
      </c>
      <c r="AX375" s="80">
        <f t="array" ref="AX375:AX377" ca="1">AX312:AX314*AX$371</f>
        <v>1146461.388799998</v>
      </c>
      <c r="AY375" s="80">
        <f t="array" ref="AY375:AY377" ca="1">AY312:AY314*AY$371</f>
        <v>1150286.7044994582</v>
      </c>
      <c r="AZ375" s="80">
        <f t="array" ref="AZ375:AZ377" ca="1">AZ312:AZ314*AZ$371</f>
        <v>1153752.7978129771</v>
      </c>
      <c r="BA375" s="80">
        <f t="array" ref="BA375:BA377" ca="1">BA312:BA314*BA$371</f>
        <v>1157602.4422352717</v>
      </c>
      <c r="BB375" s="80">
        <f t="array" ref="BB375:BB377" ca="1">BB312:BB314*BB$371</f>
        <v>1161340.1341330367</v>
      </c>
      <c r="BC375" s="80">
        <f t="array" ref="BC375:BC377" ca="1">BC312:BC314*BC$371</f>
        <v>1165215.0946776408</v>
      </c>
      <c r="BD375" s="80">
        <f t="array" ref="BD375:BD377" ca="1">BD312:BD314*BD$371</f>
        <v>1168977.3664728873</v>
      </c>
      <c r="BE375" s="80">
        <f t="array" ref="BE375:BE377" ca="1">BE312:BE314*BE$371</f>
        <v>1172877.8096242808</v>
      </c>
      <c r="BF375" s="80">
        <f t="array" ref="BF375:BF377" ca="1">BF312:BF314*BF$371</f>
        <v>1176791.2671053044</v>
      </c>
      <c r="BG375" s="80">
        <f t="array" ref="BG375:BG377" ca="1">BG312:BG314*BG$371</f>
        <v>1180590.9162974111</v>
      </c>
      <c r="BH375" s="80">
        <f t="array" ref="BH375:BH377" ca="1">BH312:BH314*BH$371</f>
        <v>1184530.1095496842</v>
      </c>
      <c r="BI375" s="80">
        <f t="array" ref="BI375:BI377" ca="1">BI312:BI314*BI$371</f>
        <v>1188354.7460842906</v>
      </c>
      <c r="BJ375" s="80">
        <f t="array" ref="BJ375:BJ377" ca="1">BJ312:BJ314*BJ$371</f>
        <v>1192319.8443519978</v>
      </c>
      <c r="BK375" s="80">
        <f t="array" ref="BK375:BK377" ca="1">BK312:BK314*BK$371</f>
        <v>1196287.2848654322</v>
      </c>
      <c r="BL375" s="80">
        <f t="array" ref="BL375:BL377" ca="1">BL312:BL314*BL$371</f>
        <v>1200010.7121622434</v>
      </c>
      <c r="BM375" s="80">
        <f t="array" ref="BM375:BM377" ca="1">BM312:BM314*BM$371</f>
        <v>1204003.744014007</v>
      </c>
      <c r="BN375" s="80">
        <f t="array" ref="BN375:BN377" ca="1">BN312:BN314*BN$371</f>
        <v>1207880.6187385838</v>
      </c>
      <c r="BO375" s="80">
        <f t="array" ref="BO375:BO377" ca="1">BO312:BO314*BO$371</f>
        <v>1211899.8376796052</v>
      </c>
      <c r="BP375" s="80">
        <f t="array" ref="BP375:BP377" ca="1">BP312:BP314*BP$371</f>
        <v>1215802.1377121243</v>
      </c>
      <c r="BQ375" s="80">
        <f t="array" ref="BQ375:BQ377" ca="1">BQ312:BQ314*BQ$371</f>
        <v>1219847.7154824922</v>
      </c>
      <c r="BR375" s="80">
        <f t="array" ref="BR375:BR377" ca="1">BR312:BR314*BR$371</f>
        <v>1223906.7549001039</v>
      </c>
      <c r="BS375" s="80">
        <f t="array" ref="BS375:BS377" ca="1">BS312:BS314*BS$371</f>
        <v>1227847.7170332382</v>
      </c>
      <c r="BT375" s="80">
        <f t="array" ref="BT375:BT377" ca="1">BT312:BT314*BT$371</f>
        <v>1231933.3764307236</v>
      </c>
      <c r="BU375" s="80">
        <f t="array" ref="BU375:BU377" ca="1">BU312:BU314*BU$371</f>
        <v>1235900.1841696466</v>
      </c>
      <c r="BV375" s="80">
        <f t="array" ref="BV375:BV377" ca="1">BV312:BV314*BV$371</f>
        <v>1240012.6381260769</v>
      </c>
      <c r="BW375" s="80">
        <f t="array" ref="BW375:BW377" ca="1">BW312:BW314*BW$371</f>
        <v>1244150.099586613</v>
      </c>
      <c r="BX375" s="80">
        <f t="array" ref="BX375:BX377" ca="1">BX312:BX314*BX$371</f>
        <v>1247899.026114515</v>
      </c>
      <c r="BY375" s="80">
        <f t="array" ref="BY375:BY377" ca="1">BY312:BY314*BY$371</f>
        <v>1252062.8015216687</v>
      </c>
      <c r="BZ375" s="80">
        <f t="array" ref="BZ375:BZ377" ca="1">BZ312:BZ314*BZ$371</f>
        <v>1256105.4890782915</v>
      </c>
      <c r="CA375" s="80">
        <f t="array" ref="CA375:CA377" ca="1">CA312:CA314*CA$371</f>
        <v>1260296.6464033353</v>
      </c>
      <c r="CB375" s="80">
        <f t="array" ref="CB375:CB377" ca="1">CB312:CB314*CB$371</f>
        <v>1264365.919577074</v>
      </c>
      <c r="CC375" s="80">
        <f t="array" ref="CC375:CC377" ca="1">CC312:CC314*CC$371</f>
        <v>1268584.6388896212</v>
      </c>
      <c r="CD375" s="80">
        <f t="array" ref="CD375:CD377" ca="1">CD312:CD314*CD$371</f>
        <v>1272817.4345010959</v>
      </c>
      <c r="CE375" s="80">
        <f t="array" ref="CE375:CE377" ca="1">CE312:CE314*CE$371</f>
        <v>1276927.1350672788</v>
      </c>
      <c r="CF375" s="80">
        <f t="array" ref="CF375:CF377" ca="1">CF312:CF314*CF$371</f>
        <v>1281187.7664889372</v>
      </c>
      <c r="CG375" s="80">
        <f t="array" ref="CG375:CG377" ca="1">CG312:CG314*CG$371</f>
        <v>1285324.4933647674</v>
      </c>
      <c r="CH375" s="80">
        <f t="array" ref="CH375:CH377" ca="1">CH312:CH314*CH$371</f>
        <v>1289613.1436511194</v>
      </c>
      <c r="CI375" s="80">
        <f t="array" ref="CI375:CI377" ca="1">CI312:CI314*CI$371</f>
        <v>1293916.1035700769</v>
      </c>
      <c r="CJ375" s="80">
        <f t="array" ref="CJ375:CJ377" ca="1">CJ312:CJ314*CJ$371</f>
        <v>1297814.9871590952</v>
      </c>
      <c r="CK375" s="80">
        <f t="array" ref="CK375:CK377" ca="1">CK312:CK314*CK$371</f>
        <v>1302145.3135825349</v>
      </c>
    </row>
    <row r="376" spans="2:89">
      <c r="B376" s="128" t="str">
        <v xml:space="preserve">руководители </v>
      </c>
      <c r="C376" s="78"/>
      <c r="D376" s="98">
        <f t="shared" ref="D376:D377" ca="1" si="457">SUM(F376:CK376)</f>
        <v>15878488.839798661</v>
      </c>
      <c r="E376" s="79"/>
      <c r="F376" s="185">
        <f ca="1"/>
        <v>0</v>
      </c>
      <c r="G376" s="185">
        <f ca="1"/>
        <v>0</v>
      </c>
      <c r="H376" s="185">
        <f ca="1"/>
        <v>0</v>
      </c>
      <c r="I376" s="185">
        <f ca="1"/>
        <v>0</v>
      </c>
      <c r="J376" s="185">
        <f ca="1"/>
        <v>0</v>
      </c>
      <c r="K376" s="185">
        <f ca="1"/>
        <v>0</v>
      </c>
      <c r="L376" s="185">
        <f ca="1"/>
        <v>0</v>
      </c>
      <c r="M376" s="185">
        <f ca="1"/>
        <v>0</v>
      </c>
      <c r="N376" s="185">
        <f ca="1"/>
        <v>0</v>
      </c>
      <c r="O376" s="185">
        <f ca="1"/>
        <v>0</v>
      </c>
      <c r="P376" s="185">
        <f ca="1"/>
        <v>0</v>
      </c>
      <c r="Q376" s="185">
        <f ca="1"/>
        <v>0</v>
      </c>
      <c r="R376" s="185">
        <f ca="1"/>
        <v>142232.33780283513</v>
      </c>
      <c r="S376" s="185">
        <f ca="1"/>
        <v>142705.61545731055</v>
      </c>
      <c r="T376" s="185">
        <f ca="1"/>
        <v>143165.12548489333</v>
      </c>
      <c r="U376" s="185">
        <f ca="1"/>
        <v>143641.50698743245</v>
      </c>
      <c r="V376" s="185">
        <f ca="1"/>
        <v>144119.47364791558</v>
      </c>
      <c r="W376" s="185">
        <f ca="1"/>
        <v>144583.53627852019</v>
      </c>
      <c r="X376" s="185">
        <f ca="1"/>
        <v>145064.63753849184</v>
      </c>
      <c r="Y376" s="185">
        <f ca="1"/>
        <v>145531.74358321886</v>
      </c>
      <c r="Z376" s="185">
        <f ca="1"/>
        <v>146015.99999999985</v>
      </c>
      <c r="AA376" s="185">
        <f ca="1"/>
        <v>146503.20114138062</v>
      </c>
      <c r="AB376" s="185">
        <f ca="1"/>
        <v>146944.65088073604</v>
      </c>
      <c r="AC376" s="185">
        <f ca="1"/>
        <v>147434.95058507595</v>
      </c>
      <c r="AD376" s="185">
        <f ca="1"/>
        <v>213649.21031195499</v>
      </c>
      <c r="AE376" s="185">
        <f ca="1"/>
        <v>214362.07834778039</v>
      </c>
      <c r="AF376" s="185">
        <f ca="1"/>
        <v>215054.21528028502</v>
      </c>
      <c r="AG376" s="185">
        <f ca="1"/>
        <v>215771.7712956758</v>
      </c>
      <c r="AH376" s="185">
        <f ca="1"/>
        <v>216491.72152889002</v>
      </c>
      <c r="AI376" s="185">
        <f ca="1"/>
        <v>217190.7346995337</v>
      </c>
      <c r="AJ376" s="185">
        <f ca="1"/>
        <v>217915.41948642652</v>
      </c>
      <c r="AK376" s="185">
        <f ca="1"/>
        <v>218619.02952394483</v>
      </c>
      <c r="AL376" s="185">
        <f ca="1"/>
        <v>219348.47999999969</v>
      </c>
      <c r="AM376" s="185">
        <f ca="1"/>
        <v>220080.36438127395</v>
      </c>
      <c r="AN376" s="185">
        <f ca="1"/>
        <v>220743.51998972785</v>
      </c>
      <c r="AO376" s="185">
        <f ca="1"/>
        <v>221480.05910113626</v>
      </c>
      <c r="AP376" s="185">
        <f ca="1"/>
        <v>222195.17872443312</v>
      </c>
      <c r="AQ376" s="185">
        <f ca="1"/>
        <v>222936.56148169158</v>
      </c>
      <c r="AR376" s="185">
        <f ca="1"/>
        <v>223656.38389149637</v>
      </c>
      <c r="AS376" s="185">
        <f ca="1"/>
        <v>224402.6421475028</v>
      </c>
      <c r="AT376" s="185">
        <f ca="1"/>
        <v>225151.39039004559</v>
      </c>
      <c r="AU376" s="185">
        <f ca="1"/>
        <v>225878.36408751499</v>
      </c>
      <c r="AV376" s="185">
        <f ca="1"/>
        <v>226632.03626588354</v>
      </c>
      <c r="AW376" s="185">
        <f ca="1"/>
        <v>227363.79070490258</v>
      </c>
      <c r="AX376" s="185">
        <f ca="1"/>
        <v>228122.4191999996</v>
      </c>
      <c r="AY376" s="185">
        <f ca="1"/>
        <v>228883.57895652487</v>
      </c>
      <c r="AZ376" s="185">
        <f ca="1"/>
        <v>229573.26078931688</v>
      </c>
      <c r="BA376" s="185">
        <f ca="1"/>
        <v>230339.26146518163</v>
      </c>
      <c r="BB376" s="185">
        <f ca="1"/>
        <v>231082.98587341033</v>
      </c>
      <c r="BC376" s="185">
        <f ca="1"/>
        <v>231854.02394095916</v>
      </c>
      <c r="BD376" s="185">
        <f ca="1"/>
        <v>232602.63924715613</v>
      </c>
      <c r="BE376" s="185">
        <f ca="1"/>
        <v>233378.7478334028</v>
      </c>
      <c r="BF376" s="185">
        <f ca="1"/>
        <v>234157.4460056473</v>
      </c>
      <c r="BG376" s="185">
        <f ca="1"/>
        <v>234913.49865101551</v>
      </c>
      <c r="BH376" s="185">
        <f ca="1"/>
        <v>235697.3177165188</v>
      </c>
      <c r="BI376" s="185">
        <f ca="1"/>
        <v>236458.34233309861</v>
      </c>
      <c r="BJ376" s="185">
        <f ca="1"/>
        <v>237247.31596799952</v>
      </c>
      <c r="BK376" s="185">
        <f ca="1"/>
        <v>238036.75566199922</v>
      </c>
      <c r="BL376" s="185">
        <f ca="1"/>
        <v>238777.6417057525</v>
      </c>
      <c r="BM376" s="185">
        <f ca="1"/>
        <v>239572.17355380752</v>
      </c>
      <c r="BN376" s="185">
        <f ca="1"/>
        <v>240343.59250410594</v>
      </c>
      <c r="BO376" s="185">
        <f ca="1"/>
        <v>241143.33504849291</v>
      </c>
      <c r="BP376" s="185">
        <f ca="1"/>
        <v>241919.81311618799</v>
      </c>
      <c r="BQ376" s="185">
        <f ca="1"/>
        <v>242724.8005296796</v>
      </c>
      <c r="BR376" s="185">
        <f ca="1"/>
        <v>243532.46653624516</v>
      </c>
      <c r="BS376" s="185">
        <f ca="1"/>
        <v>244316.63757294024</v>
      </c>
      <c r="BT376" s="185">
        <f ca="1"/>
        <v>245129.60041223586</v>
      </c>
      <c r="BU376" s="185">
        <f ca="1"/>
        <v>245918.91419702151</v>
      </c>
      <c r="BV376" s="185">
        <f ca="1"/>
        <v>246737.20860671933</v>
      </c>
      <c r="BW376" s="185">
        <f ca="1"/>
        <v>247560.47899937702</v>
      </c>
      <c r="BX376" s="185">
        <f ca="1"/>
        <v>248306.43886972495</v>
      </c>
      <c r="BY376" s="185">
        <f ca="1"/>
        <v>249134.94520074024</v>
      </c>
      <c r="BZ376" s="185">
        <f ca="1"/>
        <v>249939.35752068047</v>
      </c>
      <c r="CA376" s="185">
        <f ca="1"/>
        <v>250773.31229454122</v>
      </c>
      <c r="CB376" s="185">
        <f ca="1"/>
        <v>251583.01460972385</v>
      </c>
      <c r="CC376" s="185">
        <f ca="1"/>
        <v>252422.45365660827</v>
      </c>
      <c r="CD376" s="185">
        <f ca="1"/>
        <v>253264.69359970788</v>
      </c>
      <c r="CE376" s="185">
        <f ca="1"/>
        <v>254082.44014093812</v>
      </c>
      <c r="CF376" s="185">
        <f ca="1"/>
        <v>254930.21884218653</v>
      </c>
      <c r="CG376" s="185">
        <f ca="1"/>
        <v>255753.34306747923</v>
      </c>
      <c r="CH376" s="185">
        <f ca="1"/>
        <v>256606.69695098809</v>
      </c>
      <c r="CI376" s="185">
        <f ca="1"/>
        <v>257462.89815935201</v>
      </c>
      <c r="CJ376" s="185">
        <f ca="1"/>
        <v>258238.69642451388</v>
      </c>
      <c r="CK376" s="185">
        <f ca="1"/>
        <v>259100.34300876971</v>
      </c>
    </row>
    <row r="377" spans="2:89" ht="15.75" thickBot="1">
      <c r="B377" s="86" t="str">
        <v>специалисты и другие служащие</v>
      </c>
      <c r="C377" s="46"/>
      <c r="D377" s="47">
        <f t="shared" ca="1" si="457"/>
        <v>8518558.6796952691</v>
      </c>
      <c r="E377" s="48"/>
      <c r="F377" s="176">
        <f ca="1"/>
        <v>0</v>
      </c>
      <c r="G377" s="176">
        <f ca="1"/>
        <v>0</v>
      </c>
      <c r="H377" s="176">
        <f ca="1"/>
        <v>0</v>
      </c>
      <c r="I377" s="176">
        <f ca="1"/>
        <v>0</v>
      </c>
      <c r="J377" s="176">
        <f ca="1"/>
        <v>0</v>
      </c>
      <c r="K377" s="176">
        <f ca="1"/>
        <v>0</v>
      </c>
      <c r="L377" s="176">
        <f ca="1"/>
        <v>0</v>
      </c>
      <c r="M377" s="176">
        <f ca="1"/>
        <v>0</v>
      </c>
      <c r="N377" s="176">
        <f ca="1"/>
        <v>0</v>
      </c>
      <c r="O377" s="176">
        <f ca="1"/>
        <v>0</v>
      </c>
      <c r="P377" s="176">
        <f ca="1"/>
        <v>0</v>
      </c>
      <c r="Q377" s="176">
        <f ca="1"/>
        <v>0</v>
      </c>
      <c r="R377" s="176">
        <f ca="1"/>
        <v>118526.94816902927</v>
      </c>
      <c r="S377" s="176">
        <f ca="1"/>
        <v>118921.34621442546</v>
      </c>
      <c r="T377" s="176">
        <f ca="1"/>
        <v>119304.2712374111</v>
      </c>
      <c r="U377" s="176">
        <f ca="1"/>
        <v>119701.2558228604</v>
      </c>
      <c r="V377" s="176">
        <f ca="1"/>
        <v>120099.56137326299</v>
      </c>
      <c r="W377" s="176">
        <f ca="1"/>
        <v>120486.28023210017</v>
      </c>
      <c r="X377" s="176">
        <f ca="1"/>
        <v>120887.19794874321</v>
      </c>
      <c r="Y377" s="176">
        <f ca="1"/>
        <v>121276.45298601571</v>
      </c>
      <c r="Z377" s="176">
        <f ca="1"/>
        <v>121679.99999999988</v>
      </c>
      <c r="AA377" s="176">
        <f ca="1"/>
        <v>122086.00095115053</v>
      </c>
      <c r="AB377" s="176">
        <f ca="1"/>
        <v>122453.87573394671</v>
      </c>
      <c r="AC377" s="176">
        <f ca="1"/>
        <v>122862.4588208966</v>
      </c>
      <c r="AD377" s="176">
        <f ca="1"/>
        <v>106824.60515597749</v>
      </c>
      <c r="AE377" s="176">
        <f ca="1"/>
        <v>107181.0391738902</v>
      </c>
      <c r="AF377" s="176">
        <f ca="1"/>
        <v>107527.10764014251</v>
      </c>
      <c r="AG377" s="176">
        <f ca="1"/>
        <v>107885.8856478379</v>
      </c>
      <c r="AH377" s="176">
        <f ca="1"/>
        <v>108245.86076444501</v>
      </c>
      <c r="AI377" s="176">
        <f ca="1"/>
        <v>108595.36734976685</v>
      </c>
      <c r="AJ377" s="176">
        <f ca="1"/>
        <v>108957.70974321326</v>
      </c>
      <c r="AK377" s="176">
        <f ca="1"/>
        <v>109309.51476197242</v>
      </c>
      <c r="AL377" s="176">
        <f ca="1"/>
        <v>109674.23999999985</v>
      </c>
      <c r="AM377" s="176">
        <f ca="1"/>
        <v>110040.18219063697</v>
      </c>
      <c r="AN377" s="176">
        <f ca="1"/>
        <v>110371.75999486393</v>
      </c>
      <c r="AO377" s="176">
        <f ca="1"/>
        <v>110740.02955056813</v>
      </c>
      <c r="AP377" s="176">
        <f ca="1"/>
        <v>111097.58936221656</v>
      </c>
      <c r="AQ377" s="176">
        <f ca="1"/>
        <v>111468.28074084579</v>
      </c>
      <c r="AR377" s="176">
        <f ca="1"/>
        <v>111828.19194574819</v>
      </c>
      <c r="AS377" s="176">
        <f ca="1"/>
        <v>112201.3210737514</v>
      </c>
      <c r="AT377" s="176">
        <f ca="1"/>
        <v>112575.6951950228</v>
      </c>
      <c r="AU377" s="176">
        <f ca="1"/>
        <v>112939.18204375749</v>
      </c>
      <c r="AV377" s="176">
        <f ca="1"/>
        <v>113316.01813294177</v>
      </c>
      <c r="AW377" s="176">
        <f ca="1"/>
        <v>113681.89535245129</v>
      </c>
      <c r="AX377" s="176">
        <f ca="1"/>
        <v>114061.2095999998</v>
      </c>
      <c r="AY377" s="176">
        <f ca="1"/>
        <v>114441.78947826244</v>
      </c>
      <c r="AZ377" s="176">
        <f ca="1"/>
        <v>114786.63039465844</v>
      </c>
      <c r="BA377" s="176">
        <f ca="1"/>
        <v>115169.63073259081</v>
      </c>
      <c r="BB377" s="176">
        <f ca="1"/>
        <v>115541.49293670517</v>
      </c>
      <c r="BC377" s="176">
        <f ca="1"/>
        <v>115927.01197047958</v>
      </c>
      <c r="BD377" s="176">
        <f ca="1"/>
        <v>116301.31962357806</v>
      </c>
      <c r="BE377" s="176">
        <f ca="1"/>
        <v>116689.3739167014</v>
      </c>
      <c r="BF377" s="176">
        <f ca="1"/>
        <v>117078.72300282365</v>
      </c>
      <c r="BG377" s="176">
        <f ca="1"/>
        <v>117456.74932550776</v>
      </c>
      <c r="BH377" s="176">
        <f ca="1"/>
        <v>117848.6588582594</v>
      </c>
      <c r="BI377" s="176">
        <f ca="1"/>
        <v>118229.17116654931</v>
      </c>
      <c r="BJ377" s="176">
        <f ca="1"/>
        <v>118623.65798399976</v>
      </c>
      <c r="BK377" s="176">
        <f ca="1"/>
        <v>119018.37783099961</v>
      </c>
      <c r="BL377" s="176">
        <f ca="1"/>
        <v>119388.82085287625</v>
      </c>
      <c r="BM377" s="176">
        <f ca="1"/>
        <v>119786.08677690376</v>
      </c>
      <c r="BN377" s="176">
        <f ca="1"/>
        <v>120171.79625205297</v>
      </c>
      <c r="BO377" s="176">
        <f ca="1"/>
        <v>120571.66752424646</v>
      </c>
      <c r="BP377" s="176">
        <f ca="1"/>
        <v>120959.90655809399</v>
      </c>
      <c r="BQ377" s="176">
        <f ca="1"/>
        <v>121362.4002648398</v>
      </c>
      <c r="BR377" s="176">
        <f ca="1"/>
        <v>121766.23326812258</v>
      </c>
      <c r="BS377" s="176">
        <f ca="1"/>
        <v>122158.31878647012</v>
      </c>
      <c r="BT377" s="176">
        <f ca="1"/>
        <v>122564.80020611793</v>
      </c>
      <c r="BU377" s="176">
        <f ca="1"/>
        <v>122959.45709851076</v>
      </c>
      <c r="BV377" s="176">
        <f ca="1"/>
        <v>123368.60430335967</v>
      </c>
      <c r="BW377" s="176">
        <f ca="1"/>
        <v>123780.23949968851</v>
      </c>
      <c r="BX377" s="176">
        <f ca="1"/>
        <v>124153.21943486248</v>
      </c>
      <c r="BY377" s="176">
        <f ca="1"/>
        <v>124567.47260037012</v>
      </c>
      <c r="BZ377" s="176">
        <f ca="1"/>
        <v>124969.67876034023</v>
      </c>
      <c r="CA377" s="176">
        <f ca="1"/>
        <v>125386.65614727061</v>
      </c>
      <c r="CB377" s="176">
        <f ca="1"/>
        <v>125791.50730486192</v>
      </c>
      <c r="CC377" s="176">
        <f ca="1"/>
        <v>126211.22682830413</v>
      </c>
      <c r="CD377" s="176">
        <f ca="1"/>
        <v>126632.34679985394</v>
      </c>
      <c r="CE377" s="176">
        <f ca="1"/>
        <v>127041.22007046906</v>
      </c>
      <c r="CF377" s="176">
        <f ca="1"/>
        <v>127465.10942109326</v>
      </c>
      <c r="CG377" s="176">
        <f ca="1"/>
        <v>127876.67153373962</v>
      </c>
      <c r="CH377" s="176">
        <f ca="1"/>
        <v>128303.34847549404</v>
      </c>
      <c r="CI377" s="176">
        <f ca="1"/>
        <v>128731.44907967601</v>
      </c>
      <c r="CJ377" s="176">
        <f ca="1"/>
        <v>129119.34821225694</v>
      </c>
      <c r="CK377" s="176">
        <f ca="1"/>
        <v>129550.17150438485</v>
      </c>
    </row>
    <row r="378" spans="2:89" ht="15.75" thickTop="1">
      <c r="B378" s="50" t="s">
        <v>50</v>
      </c>
      <c r="C378" s="51"/>
      <c r="D378" s="52">
        <f ca="1">SUM(D375:D377)</f>
        <v>106533695.11287251</v>
      </c>
      <c r="E378" s="53"/>
      <c r="F378" s="54">
        <f ca="1">SUM(F375:F377)</f>
        <v>0</v>
      </c>
      <c r="G378" s="54">
        <f t="shared" ref="G378:AG378" ca="1" si="458">SUM(G375:G377)</f>
        <v>0</v>
      </c>
      <c r="H378" s="54">
        <f t="shared" ca="1" si="458"/>
        <v>0</v>
      </c>
      <c r="I378" s="54">
        <f t="shared" ca="1" si="458"/>
        <v>0</v>
      </c>
      <c r="J378" s="54">
        <f t="shared" ca="1" si="458"/>
        <v>0</v>
      </c>
      <c r="K378" s="54">
        <f t="shared" ca="1" si="458"/>
        <v>0</v>
      </c>
      <c r="L378" s="54">
        <f t="shared" ca="1" si="458"/>
        <v>0</v>
      </c>
      <c r="M378" s="54">
        <f t="shared" ca="1" si="458"/>
        <v>0</v>
      </c>
      <c r="N378" s="54">
        <f t="shared" ca="1" si="458"/>
        <v>0</v>
      </c>
      <c r="O378" s="54">
        <f t="shared" ca="1" si="458"/>
        <v>0</v>
      </c>
      <c r="P378" s="54">
        <f t="shared" ca="1" si="458"/>
        <v>0</v>
      </c>
      <c r="Q378" s="54">
        <f t="shared" ca="1" si="458"/>
        <v>0</v>
      </c>
      <c r="R378" s="54">
        <f t="shared" ca="1" si="458"/>
        <v>1166831.956419555</v>
      </c>
      <c r="S378" s="54">
        <f t="shared" ca="1" si="458"/>
        <v>1170714.5860664551</v>
      </c>
      <c r="T378" s="54">
        <f t="shared" ca="1" si="458"/>
        <v>1174484.2701816249</v>
      </c>
      <c r="U378" s="54">
        <f t="shared" ca="1" si="458"/>
        <v>1178392.3628783813</v>
      </c>
      <c r="V378" s="54">
        <f t="shared" ca="1" si="458"/>
        <v>1182313.4597412334</v>
      </c>
      <c r="W378" s="54">
        <f t="shared" ca="1" si="458"/>
        <v>1186120.4920626748</v>
      </c>
      <c r="X378" s="54">
        <f t="shared" ca="1" si="458"/>
        <v>1190067.3042509607</v>
      </c>
      <c r="Y378" s="54">
        <f t="shared" ca="1" si="458"/>
        <v>1193899.3038401103</v>
      </c>
      <c r="Z378" s="54">
        <f t="shared" ca="1" si="458"/>
        <v>1197871.9999999986</v>
      </c>
      <c r="AA378" s="54">
        <f t="shared" ca="1" si="458"/>
        <v>1201868.8538079928</v>
      </c>
      <c r="AB378" s="54">
        <f t="shared" ca="1" si="458"/>
        <v>1205490.3766697419</v>
      </c>
      <c r="AC378" s="54">
        <f t="shared" ca="1" si="458"/>
        <v>1209512.6501701602</v>
      </c>
      <c r="AD378" s="54">
        <f t="shared" ca="1" si="458"/>
        <v>1394198.051907501</v>
      </c>
      <c r="AE378" s="54">
        <f t="shared" ca="1" si="458"/>
        <v>1398849.9728079515</v>
      </c>
      <c r="AF378" s="54">
        <f t="shared" ca="1" si="458"/>
        <v>1403366.6099700653</v>
      </c>
      <c r="AG378" s="54">
        <f t="shared" ca="1" si="458"/>
        <v>1408049.1229422949</v>
      </c>
      <c r="AH378" s="54">
        <f t="shared" ref="AH378:BM378" ca="1" si="459">SUM(AH375:AH377)</f>
        <v>1412747.2597205774</v>
      </c>
      <c r="AI378" s="54">
        <f t="shared" ca="1" si="459"/>
        <v>1417308.768744393</v>
      </c>
      <c r="AJ378" s="54">
        <f t="shared" ca="1" si="459"/>
        <v>1422037.8015203988</v>
      </c>
      <c r="AK378" s="54">
        <f t="shared" ca="1" si="459"/>
        <v>1426629.3080472813</v>
      </c>
      <c r="AL378" s="54">
        <f t="shared" ca="1" si="459"/>
        <v>1431389.4399999981</v>
      </c>
      <c r="AM378" s="54">
        <f t="shared" ca="1" si="459"/>
        <v>1436165.4547444673</v>
      </c>
      <c r="AN378" s="54">
        <f t="shared" ca="1" si="459"/>
        <v>1440492.9701893779</v>
      </c>
      <c r="AO378" s="54">
        <f t="shared" ca="1" si="459"/>
        <v>1445299.3600317738</v>
      </c>
      <c r="AP378" s="54">
        <f t="shared" ca="1" si="459"/>
        <v>1449965.973983801</v>
      </c>
      <c r="AQ378" s="54">
        <f t="shared" ca="1" si="459"/>
        <v>1454803.9717202694</v>
      </c>
      <c r="AR378" s="54">
        <f t="shared" ca="1" si="459"/>
        <v>1459501.2743688675</v>
      </c>
      <c r="AS378" s="54">
        <f t="shared" ca="1" si="459"/>
        <v>1464371.0878599866</v>
      </c>
      <c r="AT378" s="54">
        <f t="shared" ca="1" si="459"/>
        <v>1469257.1501093998</v>
      </c>
      <c r="AU378" s="54">
        <f t="shared" ca="1" si="459"/>
        <v>1474001.1194941683</v>
      </c>
      <c r="AV378" s="54">
        <f t="shared" ca="1" si="459"/>
        <v>1478919.3135812145</v>
      </c>
      <c r="AW378" s="54">
        <f t="shared" ca="1" si="459"/>
        <v>1483694.4803691718</v>
      </c>
      <c r="AX378" s="54">
        <f t="shared" ca="1" si="459"/>
        <v>1488645.0175999973</v>
      </c>
      <c r="AY378" s="54">
        <f t="shared" ca="1" si="459"/>
        <v>1493612.0729342455</v>
      </c>
      <c r="AZ378" s="54">
        <f t="shared" ca="1" si="459"/>
        <v>1498112.6889969525</v>
      </c>
      <c r="BA378" s="54">
        <f t="shared" ca="1" si="459"/>
        <v>1503111.3344330441</v>
      </c>
      <c r="BB378" s="54">
        <f t="shared" ca="1" si="459"/>
        <v>1507964.6129431522</v>
      </c>
      <c r="BC378" s="54">
        <f t="shared" ca="1" si="459"/>
        <v>1512996.1305890796</v>
      </c>
      <c r="BD378" s="54">
        <f t="shared" ca="1" si="459"/>
        <v>1517881.3253436217</v>
      </c>
      <c r="BE378" s="54">
        <f t="shared" ca="1" si="459"/>
        <v>1522945.931374385</v>
      </c>
      <c r="BF378" s="54">
        <f t="shared" ca="1" si="459"/>
        <v>1528027.4361137752</v>
      </c>
      <c r="BG378" s="54">
        <f t="shared" ca="1" si="459"/>
        <v>1532961.1642739344</v>
      </c>
      <c r="BH378" s="54">
        <f t="shared" ca="1" si="459"/>
        <v>1538076.0861244625</v>
      </c>
      <c r="BI378" s="54">
        <f t="shared" ca="1" si="459"/>
        <v>1543042.2595839384</v>
      </c>
      <c r="BJ378" s="54">
        <f t="shared" ca="1" si="459"/>
        <v>1548190.8183039972</v>
      </c>
      <c r="BK378" s="54">
        <f t="shared" ca="1" si="459"/>
        <v>1553342.418358431</v>
      </c>
      <c r="BL378" s="54">
        <f t="shared" ca="1" si="459"/>
        <v>1558177.1747208722</v>
      </c>
      <c r="BM378" s="54">
        <f t="shared" ca="1" si="459"/>
        <v>1563362.0043447183</v>
      </c>
      <c r="BN378" s="54">
        <f t="shared" ref="BN378:CK378" ca="1" si="460">SUM(BN375:BN377)</f>
        <v>1568396.0074947427</v>
      </c>
      <c r="BO378" s="54">
        <f t="shared" ca="1" si="460"/>
        <v>1573614.8402523447</v>
      </c>
      <c r="BP378" s="54">
        <f t="shared" ca="1" si="460"/>
        <v>1578681.8573864063</v>
      </c>
      <c r="BQ378" s="54">
        <f t="shared" ca="1" si="460"/>
        <v>1583934.9162770116</v>
      </c>
      <c r="BR378" s="54">
        <f t="shared" ca="1" si="460"/>
        <v>1589205.4547044716</v>
      </c>
      <c r="BS378" s="54">
        <f t="shared" ca="1" si="460"/>
        <v>1594322.6733926486</v>
      </c>
      <c r="BT378" s="54">
        <f t="shared" ca="1" si="460"/>
        <v>1599627.7770490774</v>
      </c>
      <c r="BU378" s="54">
        <f t="shared" ca="1" si="460"/>
        <v>1604778.5554651788</v>
      </c>
      <c r="BV378" s="54">
        <f t="shared" ca="1" si="460"/>
        <v>1610118.4510361559</v>
      </c>
      <c r="BW378" s="54">
        <f t="shared" ca="1" si="460"/>
        <v>1615490.8180856786</v>
      </c>
      <c r="BX378" s="54">
        <f t="shared" ca="1" si="460"/>
        <v>1620358.6844191025</v>
      </c>
      <c r="BY378" s="54">
        <f t="shared" ca="1" si="460"/>
        <v>1625765.2193227792</v>
      </c>
      <c r="BZ378" s="54">
        <f t="shared" ca="1" si="460"/>
        <v>1631014.5253593121</v>
      </c>
      <c r="CA378" s="54">
        <f t="shared" ca="1" si="460"/>
        <v>1636456.6148451471</v>
      </c>
      <c r="CB378" s="54">
        <f t="shared" ca="1" si="460"/>
        <v>1641740.4414916597</v>
      </c>
      <c r="CC378" s="54">
        <f t="shared" ca="1" si="460"/>
        <v>1647218.3193745336</v>
      </c>
      <c r="CD378" s="54">
        <f t="shared" ca="1" si="460"/>
        <v>1652714.4749006578</v>
      </c>
      <c r="CE378" s="54">
        <f t="shared" ca="1" si="460"/>
        <v>1658050.7952786859</v>
      </c>
      <c r="CF378" s="54">
        <f t="shared" ca="1" si="460"/>
        <v>1663583.0947522169</v>
      </c>
      <c r="CG378" s="54">
        <f t="shared" ca="1" si="460"/>
        <v>1668954.5079659864</v>
      </c>
      <c r="CH378" s="54">
        <f t="shared" ca="1" si="460"/>
        <v>1674523.1890776015</v>
      </c>
      <c r="CI378" s="54">
        <f t="shared" ca="1" si="460"/>
        <v>1680110.4508091048</v>
      </c>
      <c r="CJ378" s="54">
        <f t="shared" ca="1" si="460"/>
        <v>1685173.0317958661</v>
      </c>
      <c r="CK378" s="54">
        <f t="shared" ca="1" si="460"/>
        <v>1690795.8280956894</v>
      </c>
    </row>
    <row r="379" spans="2:89"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</row>
    <row r="380" spans="2:89" ht="15.75" thickBot="1">
      <c r="B380" s="96" t="s">
        <v>142</v>
      </c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</row>
    <row r="381" spans="2:89"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</row>
    <row r="382" spans="2:89">
      <c r="B382" s="77" t="s">
        <v>57</v>
      </c>
      <c r="C382" s="78"/>
      <c r="D382" s="98">
        <v>0</v>
      </c>
      <c r="E382" s="79"/>
      <c r="F382" s="80">
        <f t="shared" ref="F382:AK382" si="461">E385</f>
        <v>0</v>
      </c>
      <c r="G382" s="80">
        <f t="shared" ca="1" si="461"/>
        <v>0</v>
      </c>
      <c r="H382" s="80">
        <f t="shared" ca="1" si="461"/>
        <v>0</v>
      </c>
      <c r="I382" s="80">
        <f t="shared" ca="1" si="461"/>
        <v>0</v>
      </c>
      <c r="J382" s="80">
        <f t="shared" ca="1" si="461"/>
        <v>0</v>
      </c>
      <c r="K382" s="80">
        <f t="shared" ca="1" si="461"/>
        <v>0</v>
      </c>
      <c r="L382" s="80">
        <f t="shared" ca="1" si="461"/>
        <v>0</v>
      </c>
      <c r="M382" s="80">
        <f t="shared" ca="1" si="461"/>
        <v>0</v>
      </c>
      <c r="N382" s="80">
        <f t="shared" ca="1" si="461"/>
        <v>0</v>
      </c>
      <c r="O382" s="80">
        <f t="shared" ca="1" si="461"/>
        <v>0</v>
      </c>
      <c r="P382" s="80">
        <f t="shared" ca="1" si="461"/>
        <v>0</v>
      </c>
      <c r="Q382" s="80">
        <f t="shared" ca="1" si="461"/>
        <v>0</v>
      </c>
      <c r="R382" s="80">
        <f t="shared" ca="1" si="461"/>
        <v>0</v>
      </c>
      <c r="S382" s="80">
        <f t="shared" ca="1" si="461"/>
        <v>1166831.956419555</v>
      </c>
      <c r="T382" s="80">
        <f t="shared" ca="1" si="461"/>
        <v>1170714.5860664551</v>
      </c>
      <c r="U382" s="80">
        <f t="shared" ca="1" si="461"/>
        <v>1174484.2701816247</v>
      </c>
      <c r="V382" s="80">
        <f t="shared" ca="1" si="461"/>
        <v>1178392.362878381</v>
      </c>
      <c r="W382" s="80">
        <f t="shared" ca="1" si="461"/>
        <v>1182313.4597412329</v>
      </c>
      <c r="X382" s="80">
        <f t="shared" ca="1" si="461"/>
        <v>1186120.4920626744</v>
      </c>
      <c r="Y382" s="80">
        <f t="shared" ca="1" si="461"/>
        <v>1190067.3042509602</v>
      </c>
      <c r="Z382" s="80">
        <f t="shared" ca="1" si="461"/>
        <v>1193899.3038401096</v>
      </c>
      <c r="AA382" s="80">
        <f t="shared" ca="1" si="461"/>
        <v>1197871.9999999979</v>
      </c>
      <c r="AB382" s="80">
        <f t="shared" ca="1" si="461"/>
        <v>1201868.8538079918</v>
      </c>
      <c r="AC382" s="80">
        <f t="shared" ca="1" si="461"/>
        <v>1205490.3766697408</v>
      </c>
      <c r="AD382" s="80">
        <f t="shared" ca="1" si="461"/>
        <v>1209512.6501701588</v>
      </c>
      <c r="AE382" s="80">
        <f t="shared" ca="1" si="461"/>
        <v>1394198.0519074996</v>
      </c>
      <c r="AF382" s="80">
        <f t="shared" ca="1" si="461"/>
        <v>1398849.9728079501</v>
      </c>
      <c r="AG382" s="80">
        <f t="shared" ca="1" si="461"/>
        <v>1403366.6099700637</v>
      </c>
      <c r="AH382" s="80">
        <f t="shared" ca="1" si="461"/>
        <v>1408049.1229422935</v>
      </c>
      <c r="AI382" s="80">
        <f t="shared" ca="1" si="461"/>
        <v>1412747.259720576</v>
      </c>
      <c r="AJ382" s="80">
        <f t="shared" ca="1" si="461"/>
        <v>1417308.7687443919</v>
      </c>
      <c r="AK382" s="80">
        <f t="shared" ca="1" si="461"/>
        <v>1422037.8015203977</v>
      </c>
      <c r="AL382" s="80">
        <f t="shared" ref="AL382:BM382" ca="1" si="462">AK385</f>
        <v>1426629.3080472802</v>
      </c>
      <c r="AM382" s="80">
        <f t="shared" ca="1" si="462"/>
        <v>1431389.4399999969</v>
      </c>
      <c r="AN382" s="80">
        <f t="shared" ca="1" si="462"/>
        <v>1436165.4547444661</v>
      </c>
      <c r="AO382" s="80">
        <f t="shared" ca="1" si="462"/>
        <v>1440492.970189377</v>
      </c>
      <c r="AP382" s="80">
        <f t="shared" ca="1" si="462"/>
        <v>1445299.3600317731</v>
      </c>
      <c r="AQ382" s="80">
        <f t="shared" ca="1" si="462"/>
        <v>1449965.9739838005</v>
      </c>
      <c r="AR382" s="80">
        <f t="shared" ca="1" si="462"/>
        <v>1454803.9717202689</v>
      </c>
      <c r="AS382" s="80">
        <f t="shared" ca="1" si="462"/>
        <v>1459501.2743688668</v>
      </c>
      <c r="AT382" s="80">
        <f t="shared" ca="1" si="462"/>
        <v>1464371.0878599861</v>
      </c>
      <c r="AU382" s="80">
        <f t="shared" ca="1" si="462"/>
        <v>1469257.1501093993</v>
      </c>
      <c r="AV382" s="80">
        <f t="shared" ca="1" si="462"/>
        <v>1474001.1194941679</v>
      </c>
      <c r="AW382" s="80">
        <f t="shared" ca="1" si="462"/>
        <v>1478919.3135812141</v>
      </c>
      <c r="AX382" s="80">
        <f t="shared" ca="1" si="462"/>
        <v>1483694.4803691714</v>
      </c>
      <c r="AY382" s="80">
        <f t="shared" ca="1" si="462"/>
        <v>1488645.0175999969</v>
      </c>
      <c r="AZ382" s="80">
        <f t="shared" ca="1" si="462"/>
        <v>1493612.072934245</v>
      </c>
      <c r="BA382" s="80">
        <f t="shared" ca="1" si="462"/>
        <v>1498112.6889969523</v>
      </c>
      <c r="BB382" s="80">
        <f t="shared" ca="1" si="462"/>
        <v>1503111.3344330438</v>
      </c>
      <c r="BC382" s="80">
        <f t="shared" ca="1" si="462"/>
        <v>1507964.6129431522</v>
      </c>
      <c r="BD382" s="80">
        <f t="shared" ca="1" si="462"/>
        <v>1512996.1305890798</v>
      </c>
      <c r="BE382" s="80">
        <f t="shared" ca="1" si="462"/>
        <v>1517881.3253436219</v>
      </c>
      <c r="BF382" s="80">
        <f t="shared" ca="1" si="462"/>
        <v>1522945.9313743853</v>
      </c>
      <c r="BG382" s="80">
        <f t="shared" ca="1" si="462"/>
        <v>1528027.4361137757</v>
      </c>
      <c r="BH382" s="80">
        <f t="shared" ca="1" si="462"/>
        <v>1532961.1642739349</v>
      </c>
      <c r="BI382" s="80">
        <f t="shared" ca="1" si="462"/>
        <v>1538076.086124463</v>
      </c>
      <c r="BJ382" s="80">
        <f t="shared" ca="1" si="462"/>
        <v>1543042.2595839389</v>
      </c>
      <c r="BK382" s="80">
        <f t="shared" ca="1" si="462"/>
        <v>1548190.8183039976</v>
      </c>
      <c r="BL382" s="80">
        <f t="shared" ca="1" si="462"/>
        <v>1553342.4183584317</v>
      </c>
      <c r="BM382" s="80">
        <f t="shared" ca="1" si="462"/>
        <v>1558177.1747208729</v>
      </c>
      <c r="BN382" s="80">
        <f t="shared" ref="BN382" ca="1" si="463">BM385</f>
        <v>1563362.004344719</v>
      </c>
      <c r="BO382" s="80">
        <f t="shared" ref="BO382" ca="1" si="464">BN385</f>
        <v>1568396.0074947432</v>
      </c>
      <c r="BP382" s="80">
        <f t="shared" ref="BP382" ca="1" si="465">BO385</f>
        <v>1573614.8402523452</v>
      </c>
      <c r="BQ382" s="80">
        <f t="shared" ref="BQ382" ca="1" si="466">BP385</f>
        <v>1578681.8573864067</v>
      </c>
      <c r="BR382" s="80">
        <f t="shared" ref="BR382" ca="1" si="467">BQ385</f>
        <v>1583934.9162770121</v>
      </c>
      <c r="BS382" s="80">
        <f t="shared" ref="BS382" ca="1" si="468">BR385</f>
        <v>1589205.4547044721</v>
      </c>
      <c r="BT382" s="80">
        <f t="shared" ref="BT382" ca="1" si="469">BS385</f>
        <v>1594322.673392649</v>
      </c>
      <c r="BU382" s="80">
        <f t="shared" ref="BU382" ca="1" si="470">BT385</f>
        <v>1599627.7770490779</v>
      </c>
      <c r="BV382" s="80">
        <f t="shared" ref="BV382" ca="1" si="471">BU385</f>
        <v>1604778.5554651793</v>
      </c>
      <c r="BW382" s="80">
        <f t="shared" ref="BW382" ca="1" si="472">BV385</f>
        <v>1610118.4510361564</v>
      </c>
      <c r="BX382" s="80">
        <f t="shared" ref="BX382" ca="1" si="473">BW385</f>
        <v>1615490.8180856791</v>
      </c>
      <c r="BY382" s="80">
        <f t="shared" ref="BY382" ca="1" si="474">BX385</f>
        <v>1620358.6844191032</v>
      </c>
      <c r="BZ382" s="80">
        <f t="shared" ref="BZ382" ca="1" si="475">BY385</f>
        <v>1625765.2193227797</v>
      </c>
      <c r="CA382" s="80">
        <f t="shared" ref="CA382" ca="1" si="476">BZ385</f>
        <v>1631014.5253593125</v>
      </c>
      <c r="CB382" s="80">
        <f t="shared" ref="CB382" ca="1" si="477">CA385</f>
        <v>1636456.6148451474</v>
      </c>
      <c r="CC382" s="80">
        <f t="shared" ref="CC382" ca="1" si="478">CB385</f>
        <v>1641740.44149166</v>
      </c>
      <c r="CD382" s="80">
        <f t="shared" ref="CD382" ca="1" si="479">CC385</f>
        <v>1647218.3193745338</v>
      </c>
      <c r="CE382" s="80">
        <f t="shared" ref="CE382" ca="1" si="480">CD385</f>
        <v>1652714.474900658</v>
      </c>
      <c r="CF382" s="80">
        <f t="shared" ref="CF382" ca="1" si="481">CE385</f>
        <v>1658050.7952786861</v>
      </c>
      <c r="CG382" s="80">
        <f t="shared" ref="CG382" ca="1" si="482">CF385</f>
        <v>1663583.0947522169</v>
      </c>
      <c r="CH382" s="80">
        <f t="shared" ref="CH382" ca="1" si="483">CG385</f>
        <v>1668954.5079659864</v>
      </c>
      <c r="CI382" s="80">
        <f t="shared" ref="CI382" ca="1" si="484">CH385</f>
        <v>1674523.1890776015</v>
      </c>
      <c r="CJ382" s="80">
        <f t="shared" ref="CJ382" ca="1" si="485">CI385</f>
        <v>1680110.4508091046</v>
      </c>
      <c r="CK382" s="80">
        <f t="shared" ref="CK382" ca="1" si="486">CJ385</f>
        <v>1685173.0317958659</v>
      </c>
    </row>
    <row r="383" spans="2:89">
      <c r="B383" s="77" t="s">
        <v>218</v>
      </c>
      <c r="C383" s="78"/>
      <c r="D383" s="98">
        <f ca="1">SUM(F383:CK383)</f>
        <v>106533695.11287254</v>
      </c>
      <c r="E383" s="79"/>
      <c r="F383" s="80">
        <f ca="1">F378</f>
        <v>0</v>
      </c>
      <c r="G383" s="80">
        <f t="shared" ref="G383:AG383" ca="1" si="487">G378</f>
        <v>0</v>
      </c>
      <c r="H383" s="80">
        <f t="shared" ca="1" si="487"/>
        <v>0</v>
      </c>
      <c r="I383" s="80">
        <f t="shared" ca="1" si="487"/>
        <v>0</v>
      </c>
      <c r="J383" s="80">
        <f t="shared" ca="1" si="487"/>
        <v>0</v>
      </c>
      <c r="K383" s="80">
        <f t="shared" ca="1" si="487"/>
        <v>0</v>
      </c>
      <c r="L383" s="80">
        <f t="shared" ca="1" si="487"/>
        <v>0</v>
      </c>
      <c r="M383" s="80">
        <f t="shared" ca="1" si="487"/>
        <v>0</v>
      </c>
      <c r="N383" s="80">
        <f t="shared" ca="1" si="487"/>
        <v>0</v>
      </c>
      <c r="O383" s="80">
        <f t="shared" ca="1" si="487"/>
        <v>0</v>
      </c>
      <c r="P383" s="80">
        <f t="shared" ca="1" si="487"/>
        <v>0</v>
      </c>
      <c r="Q383" s="80">
        <f t="shared" ca="1" si="487"/>
        <v>0</v>
      </c>
      <c r="R383" s="80">
        <f t="shared" ca="1" si="487"/>
        <v>1166831.956419555</v>
      </c>
      <c r="S383" s="80">
        <f t="shared" ca="1" si="487"/>
        <v>1170714.5860664551</v>
      </c>
      <c r="T383" s="80">
        <f t="shared" ca="1" si="487"/>
        <v>1174484.2701816249</v>
      </c>
      <c r="U383" s="80">
        <f t="shared" ca="1" si="487"/>
        <v>1178392.3628783813</v>
      </c>
      <c r="V383" s="80">
        <f t="shared" ca="1" si="487"/>
        <v>1182313.4597412334</v>
      </c>
      <c r="W383" s="80">
        <f t="shared" ca="1" si="487"/>
        <v>1186120.4920626748</v>
      </c>
      <c r="X383" s="80">
        <f t="shared" ca="1" si="487"/>
        <v>1190067.3042509607</v>
      </c>
      <c r="Y383" s="80">
        <f t="shared" ca="1" si="487"/>
        <v>1193899.3038401103</v>
      </c>
      <c r="Z383" s="80">
        <f t="shared" ca="1" si="487"/>
        <v>1197871.9999999986</v>
      </c>
      <c r="AA383" s="80">
        <f t="shared" ca="1" si="487"/>
        <v>1201868.8538079928</v>
      </c>
      <c r="AB383" s="80">
        <f t="shared" ca="1" si="487"/>
        <v>1205490.3766697419</v>
      </c>
      <c r="AC383" s="80">
        <f t="shared" ca="1" si="487"/>
        <v>1209512.6501701602</v>
      </c>
      <c r="AD383" s="80">
        <f t="shared" ca="1" si="487"/>
        <v>1394198.051907501</v>
      </c>
      <c r="AE383" s="80">
        <f t="shared" ca="1" si="487"/>
        <v>1398849.9728079515</v>
      </c>
      <c r="AF383" s="80">
        <f t="shared" ca="1" si="487"/>
        <v>1403366.6099700653</v>
      </c>
      <c r="AG383" s="80">
        <f t="shared" ca="1" si="487"/>
        <v>1408049.1229422949</v>
      </c>
      <c r="AH383" s="80">
        <f t="shared" ref="AH383:BM383" ca="1" si="488">AH378</f>
        <v>1412747.2597205774</v>
      </c>
      <c r="AI383" s="80">
        <f t="shared" ca="1" si="488"/>
        <v>1417308.768744393</v>
      </c>
      <c r="AJ383" s="80">
        <f t="shared" ca="1" si="488"/>
        <v>1422037.8015203988</v>
      </c>
      <c r="AK383" s="80">
        <f t="shared" ca="1" si="488"/>
        <v>1426629.3080472813</v>
      </c>
      <c r="AL383" s="80">
        <f t="shared" ca="1" si="488"/>
        <v>1431389.4399999981</v>
      </c>
      <c r="AM383" s="80">
        <f t="shared" ca="1" si="488"/>
        <v>1436165.4547444673</v>
      </c>
      <c r="AN383" s="80">
        <f t="shared" ca="1" si="488"/>
        <v>1440492.9701893779</v>
      </c>
      <c r="AO383" s="80">
        <f t="shared" ca="1" si="488"/>
        <v>1445299.3600317738</v>
      </c>
      <c r="AP383" s="80">
        <f t="shared" ca="1" si="488"/>
        <v>1449965.973983801</v>
      </c>
      <c r="AQ383" s="80">
        <f t="shared" ca="1" si="488"/>
        <v>1454803.9717202694</v>
      </c>
      <c r="AR383" s="80">
        <f t="shared" ca="1" si="488"/>
        <v>1459501.2743688675</v>
      </c>
      <c r="AS383" s="80">
        <f t="shared" ca="1" si="488"/>
        <v>1464371.0878599866</v>
      </c>
      <c r="AT383" s="80">
        <f t="shared" ca="1" si="488"/>
        <v>1469257.1501093998</v>
      </c>
      <c r="AU383" s="80">
        <f t="shared" ca="1" si="488"/>
        <v>1474001.1194941683</v>
      </c>
      <c r="AV383" s="80">
        <f t="shared" ca="1" si="488"/>
        <v>1478919.3135812145</v>
      </c>
      <c r="AW383" s="80">
        <f t="shared" ca="1" si="488"/>
        <v>1483694.4803691718</v>
      </c>
      <c r="AX383" s="80">
        <f t="shared" ca="1" si="488"/>
        <v>1488645.0175999973</v>
      </c>
      <c r="AY383" s="80">
        <f t="shared" ca="1" si="488"/>
        <v>1493612.0729342455</v>
      </c>
      <c r="AZ383" s="80">
        <f t="shared" ca="1" si="488"/>
        <v>1498112.6889969525</v>
      </c>
      <c r="BA383" s="80">
        <f t="shared" ca="1" si="488"/>
        <v>1503111.3344330441</v>
      </c>
      <c r="BB383" s="80">
        <f t="shared" ca="1" si="488"/>
        <v>1507964.6129431522</v>
      </c>
      <c r="BC383" s="80">
        <f t="shared" ca="1" si="488"/>
        <v>1512996.1305890796</v>
      </c>
      <c r="BD383" s="80">
        <f t="shared" ca="1" si="488"/>
        <v>1517881.3253436217</v>
      </c>
      <c r="BE383" s="80">
        <f t="shared" ca="1" si="488"/>
        <v>1522945.931374385</v>
      </c>
      <c r="BF383" s="80">
        <f t="shared" ca="1" si="488"/>
        <v>1528027.4361137752</v>
      </c>
      <c r="BG383" s="80">
        <f t="shared" ca="1" si="488"/>
        <v>1532961.1642739344</v>
      </c>
      <c r="BH383" s="80">
        <f t="shared" ca="1" si="488"/>
        <v>1538076.0861244625</v>
      </c>
      <c r="BI383" s="80">
        <f t="shared" ca="1" si="488"/>
        <v>1543042.2595839384</v>
      </c>
      <c r="BJ383" s="80">
        <f t="shared" ca="1" si="488"/>
        <v>1548190.8183039972</v>
      </c>
      <c r="BK383" s="80">
        <f t="shared" ca="1" si="488"/>
        <v>1553342.418358431</v>
      </c>
      <c r="BL383" s="80">
        <f t="shared" ca="1" si="488"/>
        <v>1558177.1747208722</v>
      </c>
      <c r="BM383" s="80">
        <f t="shared" ca="1" si="488"/>
        <v>1563362.0043447183</v>
      </c>
      <c r="BN383" s="80">
        <f t="shared" ref="BN383:CK383" ca="1" si="489">BN378</f>
        <v>1568396.0074947427</v>
      </c>
      <c r="BO383" s="80">
        <f t="shared" ca="1" si="489"/>
        <v>1573614.8402523447</v>
      </c>
      <c r="BP383" s="80">
        <f t="shared" ca="1" si="489"/>
        <v>1578681.8573864063</v>
      </c>
      <c r="BQ383" s="80">
        <f t="shared" ca="1" si="489"/>
        <v>1583934.9162770116</v>
      </c>
      <c r="BR383" s="80">
        <f t="shared" ca="1" si="489"/>
        <v>1589205.4547044716</v>
      </c>
      <c r="BS383" s="80">
        <f t="shared" ca="1" si="489"/>
        <v>1594322.6733926486</v>
      </c>
      <c r="BT383" s="80">
        <f t="shared" ca="1" si="489"/>
        <v>1599627.7770490774</v>
      </c>
      <c r="BU383" s="80">
        <f t="shared" ca="1" si="489"/>
        <v>1604778.5554651788</v>
      </c>
      <c r="BV383" s="80">
        <f t="shared" ca="1" si="489"/>
        <v>1610118.4510361559</v>
      </c>
      <c r="BW383" s="80">
        <f t="shared" ca="1" si="489"/>
        <v>1615490.8180856786</v>
      </c>
      <c r="BX383" s="80">
        <f t="shared" ca="1" si="489"/>
        <v>1620358.6844191025</v>
      </c>
      <c r="BY383" s="80">
        <f t="shared" ca="1" si="489"/>
        <v>1625765.2193227792</v>
      </c>
      <c r="BZ383" s="80">
        <f t="shared" ca="1" si="489"/>
        <v>1631014.5253593121</v>
      </c>
      <c r="CA383" s="80">
        <f t="shared" ca="1" si="489"/>
        <v>1636456.6148451471</v>
      </c>
      <c r="CB383" s="80">
        <f t="shared" ca="1" si="489"/>
        <v>1641740.4414916597</v>
      </c>
      <c r="CC383" s="80">
        <f t="shared" ca="1" si="489"/>
        <v>1647218.3193745336</v>
      </c>
      <c r="CD383" s="80">
        <f t="shared" ca="1" si="489"/>
        <v>1652714.4749006578</v>
      </c>
      <c r="CE383" s="80">
        <f t="shared" ca="1" si="489"/>
        <v>1658050.7952786859</v>
      </c>
      <c r="CF383" s="80">
        <f t="shared" ca="1" si="489"/>
        <v>1663583.0947522169</v>
      </c>
      <c r="CG383" s="80">
        <f t="shared" ca="1" si="489"/>
        <v>1668954.5079659864</v>
      </c>
      <c r="CH383" s="80">
        <f t="shared" ca="1" si="489"/>
        <v>1674523.1890776015</v>
      </c>
      <c r="CI383" s="80">
        <f t="shared" ca="1" si="489"/>
        <v>1680110.4508091048</v>
      </c>
      <c r="CJ383" s="80">
        <f t="shared" ca="1" si="489"/>
        <v>1685173.0317958661</v>
      </c>
      <c r="CK383" s="80">
        <f t="shared" ca="1" si="489"/>
        <v>1690795.8280956894</v>
      </c>
    </row>
    <row r="384" spans="2:89" ht="15.75" thickBot="1">
      <c r="B384" s="45" t="s">
        <v>219</v>
      </c>
      <c r="C384" s="46"/>
      <c r="D384" s="47">
        <f ca="1">SUM(F384:CK384)</f>
        <v>-104842899.28477685</v>
      </c>
      <c r="E384" s="48"/>
      <c r="F384" s="49">
        <f t="shared" ref="F384:AF384" ca="1" si="490">-OFFSET(F383,,-1)</f>
        <v>0</v>
      </c>
      <c r="G384" s="49">
        <f t="shared" ca="1" si="490"/>
        <v>0</v>
      </c>
      <c r="H384" s="49">
        <f t="shared" ca="1" si="490"/>
        <v>0</v>
      </c>
      <c r="I384" s="49">
        <f t="shared" ca="1" si="490"/>
        <v>0</v>
      </c>
      <c r="J384" s="49">
        <f t="shared" ca="1" si="490"/>
        <v>0</v>
      </c>
      <c r="K384" s="49">
        <f t="shared" ca="1" si="490"/>
        <v>0</v>
      </c>
      <c r="L384" s="49">
        <f t="shared" ca="1" si="490"/>
        <v>0</v>
      </c>
      <c r="M384" s="49">
        <f t="shared" ca="1" si="490"/>
        <v>0</v>
      </c>
      <c r="N384" s="49">
        <f t="shared" ca="1" si="490"/>
        <v>0</v>
      </c>
      <c r="O384" s="49">
        <f t="shared" ca="1" si="490"/>
        <v>0</v>
      </c>
      <c r="P384" s="49">
        <f t="shared" ca="1" si="490"/>
        <v>0</v>
      </c>
      <c r="Q384" s="49">
        <f t="shared" ca="1" si="490"/>
        <v>0</v>
      </c>
      <c r="R384" s="49">
        <f t="shared" ca="1" si="490"/>
        <v>0</v>
      </c>
      <c r="S384" s="49">
        <f t="shared" ca="1" si="490"/>
        <v>-1166831.956419555</v>
      </c>
      <c r="T384" s="49">
        <f t="shared" ca="1" si="490"/>
        <v>-1170714.5860664551</v>
      </c>
      <c r="U384" s="49">
        <f t="shared" ca="1" si="490"/>
        <v>-1174484.2701816249</v>
      </c>
      <c r="V384" s="49">
        <f t="shared" ca="1" si="490"/>
        <v>-1178392.3628783813</v>
      </c>
      <c r="W384" s="49">
        <f t="shared" ca="1" si="490"/>
        <v>-1182313.4597412334</v>
      </c>
      <c r="X384" s="49">
        <f t="shared" ca="1" si="490"/>
        <v>-1186120.4920626748</v>
      </c>
      <c r="Y384" s="49">
        <f t="shared" ca="1" si="490"/>
        <v>-1190067.3042509607</v>
      </c>
      <c r="Z384" s="49">
        <f t="shared" ca="1" si="490"/>
        <v>-1193899.3038401103</v>
      </c>
      <c r="AA384" s="49">
        <f t="shared" ca="1" si="490"/>
        <v>-1197871.9999999986</v>
      </c>
      <c r="AB384" s="49">
        <f t="shared" ca="1" si="490"/>
        <v>-1201868.8538079928</v>
      </c>
      <c r="AC384" s="49">
        <f t="shared" ca="1" si="490"/>
        <v>-1205490.3766697419</v>
      </c>
      <c r="AD384" s="49">
        <f t="shared" ca="1" si="490"/>
        <v>-1209512.6501701602</v>
      </c>
      <c r="AE384" s="49">
        <f t="shared" ca="1" si="490"/>
        <v>-1394198.051907501</v>
      </c>
      <c r="AF384" s="49">
        <f t="shared" ca="1" si="490"/>
        <v>-1398849.9728079515</v>
      </c>
      <c r="AG384" s="49">
        <f t="shared" ref="AG384:BM384" ca="1" si="491">-OFFSET(AG383,,-1)</f>
        <v>-1403366.6099700653</v>
      </c>
      <c r="AH384" s="49">
        <f t="shared" ca="1" si="491"/>
        <v>-1408049.1229422949</v>
      </c>
      <c r="AI384" s="49">
        <f t="shared" ca="1" si="491"/>
        <v>-1412747.2597205774</v>
      </c>
      <c r="AJ384" s="49">
        <f t="shared" ca="1" si="491"/>
        <v>-1417308.768744393</v>
      </c>
      <c r="AK384" s="49">
        <f t="shared" ca="1" si="491"/>
        <v>-1422037.8015203988</v>
      </c>
      <c r="AL384" s="49">
        <f t="shared" ca="1" si="491"/>
        <v>-1426629.3080472813</v>
      </c>
      <c r="AM384" s="49">
        <f t="shared" ca="1" si="491"/>
        <v>-1431389.4399999981</v>
      </c>
      <c r="AN384" s="49">
        <f t="shared" ca="1" si="491"/>
        <v>-1436165.4547444673</v>
      </c>
      <c r="AO384" s="49">
        <f t="shared" ca="1" si="491"/>
        <v>-1440492.9701893779</v>
      </c>
      <c r="AP384" s="49">
        <f t="shared" ca="1" si="491"/>
        <v>-1445299.3600317738</v>
      </c>
      <c r="AQ384" s="49">
        <f t="shared" ca="1" si="491"/>
        <v>-1449965.973983801</v>
      </c>
      <c r="AR384" s="49">
        <f t="shared" ca="1" si="491"/>
        <v>-1454803.9717202694</v>
      </c>
      <c r="AS384" s="49">
        <f t="shared" ca="1" si="491"/>
        <v>-1459501.2743688675</v>
      </c>
      <c r="AT384" s="49">
        <f t="shared" ca="1" si="491"/>
        <v>-1464371.0878599866</v>
      </c>
      <c r="AU384" s="49">
        <f t="shared" ca="1" si="491"/>
        <v>-1469257.1501093998</v>
      </c>
      <c r="AV384" s="49">
        <f t="shared" ca="1" si="491"/>
        <v>-1474001.1194941683</v>
      </c>
      <c r="AW384" s="49">
        <f t="shared" ca="1" si="491"/>
        <v>-1478919.3135812145</v>
      </c>
      <c r="AX384" s="49">
        <f t="shared" ca="1" si="491"/>
        <v>-1483694.4803691718</v>
      </c>
      <c r="AY384" s="49">
        <f t="shared" ca="1" si="491"/>
        <v>-1488645.0175999973</v>
      </c>
      <c r="AZ384" s="49">
        <f t="shared" ca="1" si="491"/>
        <v>-1493612.0729342455</v>
      </c>
      <c r="BA384" s="49">
        <f t="shared" ca="1" si="491"/>
        <v>-1498112.6889969525</v>
      </c>
      <c r="BB384" s="49">
        <f t="shared" ca="1" si="491"/>
        <v>-1503111.3344330441</v>
      </c>
      <c r="BC384" s="49">
        <f t="shared" ca="1" si="491"/>
        <v>-1507964.6129431522</v>
      </c>
      <c r="BD384" s="49">
        <f t="shared" ca="1" si="491"/>
        <v>-1512996.1305890796</v>
      </c>
      <c r="BE384" s="49">
        <f t="shared" ca="1" si="491"/>
        <v>-1517881.3253436217</v>
      </c>
      <c r="BF384" s="49">
        <f t="shared" ca="1" si="491"/>
        <v>-1522945.931374385</v>
      </c>
      <c r="BG384" s="49">
        <f t="shared" ca="1" si="491"/>
        <v>-1528027.4361137752</v>
      </c>
      <c r="BH384" s="49">
        <f t="shared" ca="1" si="491"/>
        <v>-1532961.1642739344</v>
      </c>
      <c r="BI384" s="49">
        <f t="shared" ca="1" si="491"/>
        <v>-1538076.0861244625</v>
      </c>
      <c r="BJ384" s="49">
        <f t="shared" ca="1" si="491"/>
        <v>-1543042.2595839384</v>
      </c>
      <c r="BK384" s="49">
        <f t="shared" ca="1" si="491"/>
        <v>-1548190.8183039972</v>
      </c>
      <c r="BL384" s="49">
        <f t="shared" ca="1" si="491"/>
        <v>-1553342.418358431</v>
      </c>
      <c r="BM384" s="49">
        <f t="shared" ca="1" si="491"/>
        <v>-1558177.1747208722</v>
      </c>
      <c r="BN384" s="49">
        <f t="shared" ref="BN384:CK384" ca="1" si="492">-OFFSET(BN383,,-1)</f>
        <v>-1563362.0043447183</v>
      </c>
      <c r="BO384" s="49">
        <f t="shared" ca="1" si="492"/>
        <v>-1568396.0074947427</v>
      </c>
      <c r="BP384" s="49">
        <f t="shared" ca="1" si="492"/>
        <v>-1573614.8402523447</v>
      </c>
      <c r="BQ384" s="49">
        <f t="shared" ca="1" si="492"/>
        <v>-1578681.8573864063</v>
      </c>
      <c r="BR384" s="49">
        <f t="shared" ca="1" si="492"/>
        <v>-1583934.9162770116</v>
      </c>
      <c r="BS384" s="49">
        <f t="shared" ca="1" si="492"/>
        <v>-1589205.4547044716</v>
      </c>
      <c r="BT384" s="49">
        <f t="shared" ca="1" si="492"/>
        <v>-1594322.6733926486</v>
      </c>
      <c r="BU384" s="49">
        <f t="shared" ca="1" si="492"/>
        <v>-1599627.7770490774</v>
      </c>
      <c r="BV384" s="49">
        <f t="shared" ca="1" si="492"/>
        <v>-1604778.5554651788</v>
      </c>
      <c r="BW384" s="49">
        <f t="shared" ca="1" si="492"/>
        <v>-1610118.4510361559</v>
      </c>
      <c r="BX384" s="49">
        <f t="shared" ca="1" si="492"/>
        <v>-1615490.8180856786</v>
      </c>
      <c r="BY384" s="49">
        <f t="shared" ca="1" si="492"/>
        <v>-1620358.6844191025</v>
      </c>
      <c r="BZ384" s="49">
        <f t="shared" ca="1" si="492"/>
        <v>-1625765.2193227792</v>
      </c>
      <c r="CA384" s="49">
        <f t="shared" ca="1" si="492"/>
        <v>-1631014.5253593121</v>
      </c>
      <c r="CB384" s="49">
        <f t="shared" ca="1" si="492"/>
        <v>-1636456.6148451471</v>
      </c>
      <c r="CC384" s="49">
        <f t="shared" ca="1" si="492"/>
        <v>-1641740.4414916597</v>
      </c>
      <c r="CD384" s="49">
        <f t="shared" ca="1" si="492"/>
        <v>-1647218.3193745336</v>
      </c>
      <c r="CE384" s="49">
        <f t="shared" ca="1" si="492"/>
        <v>-1652714.4749006578</v>
      </c>
      <c r="CF384" s="49">
        <f t="shared" ca="1" si="492"/>
        <v>-1658050.7952786859</v>
      </c>
      <c r="CG384" s="49">
        <f t="shared" ca="1" si="492"/>
        <v>-1663583.0947522169</v>
      </c>
      <c r="CH384" s="49">
        <f t="shared" ca="1" si="492"/>
        <v>-1668954.5079659864</v>
      </c>
      <c r="CI384" s="49">
        <f t="shared" ca="1" si="492"/>
        <v>-1674523.1890776015</v>
      </c>
      <c r="CJ384" s="49">
        <f t="shared" ca="1" si="492"/>
        <v>-1680110.4508091048</v>
      </c>
      <c r="CK384" s="49">
        <f t="shared" ca="1" si="492"/>
        <v>-1685173.0317958661</v>
      </c>
    </row>
    <row r="385" spans="2:89" ht="15.75" thickTop="1">
      <c r="B385" s="50" t="s">
        <v>58</v>
      </c>
      <c r="C385" s="51"/>
      <c r="D385" s="52">
        <f ca="1">SUM(D382:D384)</f>
        <v>1690795.8280956894</v>
      </c>
      <c r="E385" s="53"/>
      <c r="F385" s="54">
        <f ca="1">SUM(F382:F384)</f>
        <v>0</v>
      </c>
      <c r="G385" s="54">
        <f t="shared" ref="G385:AG385" ca="1" si="493">SUM(G382:G384)</f>
        <v>0</v>
      </c>
      <c r="H385" s="54">
        <f t="shared" ca="1" si="493"/>
        <v>0</v>
      </c>
      <c r="I385" s="54">
        <f t="shared" ca="1" si="493"/>
        <v>0</v>
      </c>
      <c r="J385" s="54">
        <f t="shared" ca="1" si="493"/>
        <v>0</v>
      </c>
      <c r="K385" s="54">
        <f t="shared" ca="1" si="493"/>
        <v>0</v>
      </c>
      <c r="L385" s="54">
        <f t="shared" ca="1" si="493"/>
        <v>0</v>
      </c>
      <c r="M385" s="54">
        <f t="shared" ca="1" si="493"/>
        <v>0</v>
      </c>
      <c r="N385" s="54">
        <f t="shared" ca="1" si="493"/>
        <v>0</v>
      </c>
      <c r="O385" s="54">
        <f t="shared" ca="1" si="493"/>
        <v>0</v>
      </c>
      <c r="P385" s="54">
        <f t="shared" ca="1" si="493"/>
        <v>0</v>
      </c>
      <c r="Q385" s="54">
        <f t="shared" ca="1" si="493"/>
        <v>0</v>
      </c>
      <c r="R385" s="54">
        <f t="shared" ca="1" si="493"/>
        <v>1166831.956419555</v>
      </c>
      <c r="S385" s="54">
        <f t="shared" ca="1" si="493"/>
        <v>1170714.5860664551</v>
      </c>
      <c r="T385" s="54">
        <f t="shared" ca="1" si="493"/>
        <v>1174484.2701816247</v>
      </c>
      <c r="U385" s="54">
        <f t="shared" ca="1" si="493"/>
        <v>1178392.362878381</v>
      </c>
      <c r="V385" s="54">
        <f t="shared" ca="1" si="493"/>
        <v>1182313.4597412329</v>
      </c>
      <c r="W385" s="54">
        <f t="shared" ca="1" si="493"/>
        <v>1186120.4920626744</v>
      </c>
      <c r="X385" s="54">
        <f t="shared" ca="1" si="493"/>
        <v>1190067.3042509602</v>
      </c>
      <c r="Y385" s="54">
        <f t="shared" ca="1" si="493"/>
        <v>1193899.3038401096</v>
      </c>
      <c r="Z385" s="54">
        <f t="shared" ca="1" si="493"/>
        <v>1197871.9999999979</v>
      </c>
      <c r="AA385" s="54">
        <f t="shared" ca="1" si="493"/>
        <v>1201868.8538079918</v>
      </c>
      <c r="AB385" s="54">
        <f t="shared" ca="1" si="493"/>
        <v>1205490.3766697408</v>
      </c>
      <c r="AC385" s="54">
        <f t="shared" ca="1" si="493"/>
        <v>1209512.6501701588</v>
      </c>
      <c r="AD385" s="54">
        <f t="shared" ca="1" si="493"/>
        <v>1394198.0519074996</v>
      </c>
      <c r="AE385" s="54">
        <f t="shared" ca="1" si="493"/>
        <v>1398849.9728079501</v>
      </c>
      <c r="AF385" s="54">
        <f t="shared" ca="1" si="493"/>
        <v>1403366.6099700637</v>
      </c>
      <c r="AG385" s="54">
        <f t="shared" ca="1" si="493"/>
        <v>1408049.1229422935</v>
      </c>
      <c r="AH385" s="54">
        <f t="shared" ref="AH385:BM385" ca="1" si="494">SUM(AH382:AH384)</f>
        <v>1412747.259720576</v>
      </c>
      <c r="AI385" s="54">
        <f t="shared" ca="1" si="494"/>
        <v>1417308.7687443919</v>
      </c>
      <c r="AJ385" s="54">
        <f t="shared" ca="1" si="494"/>
        <v>1422037.8015203977</v>
      </c>
      <c r="AK385" s="54">
        <f t="shared" ca="1" si="494"/>
        <v>1426629.3080472802</v>
      </c>
      <c r="AL385" s="54">
        <f t="shared" ca="1" si="494"/>
        <v>1431389.4399999969</v>
      </c>
      <c r="AM385" s="54">
        <f t="shared" ca="1" si="494"/>
        <v>1436165.4547444661</v>
      </c>
      <c r="AN385" s="54">
        <f t="shared" ca="1" si="494"/>
        <v>1440492.970189377</v>
      </c>
      <c r="AO385" s="54">
        <f t="shared" ca="1" si="494"/>
        <v>1445299.3600317731</v>
      </c>
      <c r="AP385" s="54">
        <f t="shared" ca="1" si="494"/>
        <v>1449965.9739838005</v>
      </c>
      <c r="AQ385" s="54">
        <f t="shared" ca="1" si="494"/>
        <v>1454803.9717202689</v>
      </c>
      <c r="AR385" s="54">
        <f t="shared" ca="1" si="494"/>
        <v>1459501.2743688668</v>
      </c>
      <c r="AS385" s="54">
        <f t="shared" ca="1" si="494"/>
        <v>1464371.0878599861</v>
      </c>
      <c r="AT385" s="54">
        <f t="shared" ca="1" si="494"/>
        <v>1469257.1501093993</v>
      </c>
      <c r="AU385" s="54">
        <f t="shared" ca="1" si="494"/>
        <v>1474001.1194941679</v>
      </c>
      <c r="AV385" s="54">
        <f t="shared" ca="1" si="494"/>
        <v>1478919.3135812141</v>
      </c>
      <c r="AW385" s="54">
        <f t="shared" ca="1" si="494"/>
        <v>1483694.4803691714</v>
      </c>
      <c r="AX385" s="54">
        <f t="shared" ca="1" si="494"/>
        <v>1488645.0175999969</v>
      </c>
      <c r="AY385" s="54">
        <f t="shared" ca="1" si="494"/>
        <v>1493612.072934245</v>
      </c>
      <c r="AZ385" s="54">
        <f t="shared" ca="1" si="494"/>
        <v>1498112.6889969523</v>
      </c>
      <c r="BA385" s="54">
        <f t="shared" ca="1" si="494"/>
        <v>1503111.3344330438</v>
      </c>
      <c r="BB385" s="54">
        <f t="shared" ca="1" si="494"/>
        <v>1507964.6129431522</v>
      </c>
      <c r="BC385" s="54">
        <f t="shared" ca="1" si="494"/>
        <v>1512996.1305890798</v>
      </c>
      <c r="BD385" s="54">
        <f t="shared" ca="1" si="494"/>
        <v>1517881.3253436219</v>
      </c>
      <c r="BE385" s="54">
        <f t="shared" ca="1" si="494"/>
        <v>1522945.9313743853</v>
      </c>
      <c r="BF385" s="54">
        <f t="shared" ca="1" si="494"/>
        <v>1528027.4361137757</v>
      </c>
      <c r="BG385" s="54">
        <f t="shared" ca="1" si="494"/>
        <v>1532961.1642739349</v>
      </c>
      <c r="BH385" s="54">
        <f t="shared" ca="1" si="494"/>
        <v>1538076.086124463</v>
      </c>
      <c r="BI385" s="54">
        <f t="shared" ca="1" si="494"/>
        <v>1543042.2595839389</v>
      </c>
      <c r="BJ385" s="54">
        <f t="shared" ca="1" si="494"/>
        <v>1548190.8183039976</v>
      </c>
      <c r="BK385" s="54">
        <f t="shared" ca="1" si="494"/>
        <v>1553342.4183584317</v>
      </c>
      <c r="BL385" s="54">
        <f t="shared" ca="1" si="494"/>
        <v>1558177.1747208729</v>
      </c>
      <c r="BM385" s="54">
        <f t="shared" ca="1" si="494"/>
        <v>1563362.004344719</v>
      </c>
      <c r="BN385" s="54">
        <f t="shared" ref="BN385:CK385" ca="1" si="495">SUM(BN382:BN384)</f>
        <v>1568396.0074947432</v>
      </c>
      <c r="BO385" s="54">
        <f t="shared" ca="1" si="495"/>
        <v>1573614.8402523452</v>
      </c>
      <c r="BP385" s="54">
        <f t="shared" ca="1" si="495"/>
        <v>1578681.8573864067</v>
      </c>
      <c r="BQ385" s="54">
        <f t="shared" ca="1" si="495"/>
        <v>1583934.9162770121</v>
      </c>
      <c r="BR385" s="54">
        <f t="shared" ca="1" si="495"/>
        <v>1589205.4547044721</v>
      </c>
      <c r="BS385" s="54">
        <f t="shared" ca="1" si="495"/>
        <v>1594322.673392649</v>
      </c>
      <c r="BT385" s="54">
        <f t="shared" ca="1" si="495"/>
        <v>1599627.7770490779</v>
      </c>
      <c r="BU385" s="54">
        <f t="shared" ca="1" si="495"/>
        <v>1604778.5554651793</v>
      </c>
      <c r="BV385" s="54">
        <f t="shared" ca="1" si="495"/>
        <v>1610118.4510361564</v>
      </c>
      <c r="BW385" s="54">
        <f t="shared" ca="1" si="495"/>
        <v>1615490.8180856791</v>
      </c>
      <c r="BX385" s="54">
        <f t="shared" ca="1" si="495"/>
        <v>1620358.6844191032</v>
      </c>
      <c r="BY385" s="54">
        <f t="shared" ca="1" si="495"/>
        <v>1625765.2193227797</v>
      </c>
      <c r="BZ385" s="54">
        <f t="shared" ca="1" si="495"/>
        <v>1631014.5253593125</v>
      </c>
      <c r="CA385" s="54">
        <f t="shared" ca="1" si="495"/>
        <v>1636456.6148451474</v>
      </c>
      <c r="CB385" s="54">
        <f t="shared" ca="1" si="495"/>
        <v>1641740.44149166</v>
      </c>
      <c r="CC385" s="54">
        <f t="shared" ca="1" si="495"/>
        <v>1647218.3193745338</v>
      </c>
      <c r="CD385" s="54">
        <f t="shared" ca="1" si="495"/>
        <v>1652714.474900658</v>
      </c>
      <c r="CE385" s="54">
        <f t="shared" ca="1" si="495"/>
        <v>1658050.7952786861</v>
      </c>
      <c r="CF385" s="54">
        <f t="shared" ca="1" si="495"/>
        <v>1663583.0947522169</v>
      </c>
      <c r="CG385" s="54">
        <f t="shared" ca="1" si="495"/>
        <v>1668954.5079659864</v>
      </c>
      <c r="CH385" s="54">
        <f t="shared" ca="1" si="495"/>
        <v>1674523.1890776015</v>
      </c>
      <c r="CI385" s="54">
        <f t="shared" ca="1" si="495"/>
        <v>1680110.4508091046</v>
      </c>
      <c r="CJ385" s="54">
        <f t="shared" ca="1" si="495"/>
        <v>1685173.0317958659</v>
      </c>
      <c r="CK385" s="54">
        <f t="shared" ca="1" si="495"/>
        <v>1690795.8280956892</v>
      </c>
    </row>
    <row r="386" spans="2:89"/>
    <row r="387" spans="2:89" ht="12.75" customHeight="1"/>
    <row r="388" spans="2:89" ht="12.75" customHeight="1"/>
    <row r="389" spans="2:89" ht="12.75" customHeight="1"/>
    <row r="390" spans="2:89" ht="12.75" hidden="1" customHeight="1"/>
    <row r="391" spans="2:89" ht="12.75" hidden="1" customHeight="1"/>
    <row r="392" spans="2:89" ht="12.75" hidden="1" customHeight="1"/>
    <row r="393" spans="2:89" ht="12.75" hidden="1" customHeight="1"/>
    <row r="394" spans="2:89" ht="12.75" hidden="1" customHeight="1"/>
    <row r="395" spans="2:89" ht="12.75" hidden="1" customHeight="1"/>
    <row r="396" spans="2:89" ht="12.75" hidden="1" customHeight="1"/>
    <row r="397" spans="2:89" ht="12.75" hidden="1" customHeight="1"/>
    <row r="398" spans="2:89" ht="12.75" hidden="1" customHeight="1"/>
    <row r="399" spans="2:89" ht="12.75" hidden="1" customHeight="1"/>
    <row r="400" spans="2:89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</sheetData>
  <sheetProtection algorithmName="SHA-512" hashValue="i8EhFMrVkmfg5PX1JvJ3Hju5l5Hky3d+Ln1ItjJNFycF7u8eocy7hg/MYTpqMPCpz+E9aB8SW/McHeGUgMnMrQ==" saltValue="pnJDDy/UU8VT11Ww1eYLOw==" spinCount="100000" sheet="1" objects="1" scenarios="1"/>
  <mergeCells count="1">
    <mergeCell ref="E1:G2"/>
  </mergeCells>
  <conditionalFormatting sqref="F326:CK326">
    <cfRule type="cellIs" dxfId="26" priority="3" operator="equal">
      <formula>1</formula>
    </cfRule>
  </conditionalFormatting>
  <conditionalFormatting sqref="F13:CK14">
    <cfRule type="cellIs" dxfId="25" priority="2" operator="equal">
      <formula>1</formula>
    </cfRule>
  </conditionalFormatting>
  <conditionalFormatting sqref="K1:K2">
    <cfRule type="expression" dxfId="24" priority="1">
      <formula>$K$2="ошибка!"</formula>
    </cfRule>
  </conditionalFormatting>
  <hyperlinks>
    <hyperlink ref="K1" location="Лист_Сигналы" tooltip="нажмите здесь для перехода к листу Сигналы" display="Лист_Сигналы"/>
    <hyperlink ref="K2" location="Лист_Сигналы" tooltip="нажмите здесь для перехода к листу Сигналы" display="Лист_Сигналы"/>
    <hyperlink ref="E1:G2" location="Лист_Оглавление" tooltip="нажмите для перехода к оглавлению" display="Æ   Оглавление"/>
    <hyperlink ref="I1:I2" location="Лист_Сценарии" tooltip="нажмите для перехода к сценариям" display="Текущий сценарий: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118</vt:i4>
      </vt:variant>
    </vt:vector>
  </HeadingPairs>
  <TitlesOfParts>
    <vt:vector size="135" baseType="lpstr">
      <vt:lpstr>Титульный</vt:lpstr>
      <vt:lpstr>Оглавление</vt:lpstr>
      <vt:lpstr>Имена</vt:lpstr>
      <vt:lpstr>Отчет</vt:lpstr>
      <vt:lpstr>Предпосылки</vt:lpstr>
      <vt:lpstr>Сценарии</vt:lpstr>
      <vt:lpstr>Время</vt:lpstr>
      <vt:lpstr>Инвестиции</vt:lpstr>
      <vt:lpstr>Операции</vt:lpstr>
      <vt:lpstr>Налоги</vt:lpstr>
      <vt:lpstr>Финансирование</vt:lpstr>
      <vt:lpstr>Оборотный_капитал</vt:lpstr>
      <vt:lpstr>Оценка</vt:lpstr>
      <vt:lpstr>Отчетность_по_периодам</vt:lpstr>
      <vt:lpstr>Отчетность_по_годам</vt:lpstr>
      <vt:lpstr>Коэффициенты</vt:lpstr>
      <vt:lpstr>Сигналы</vt:lpstr>
      <vt:lpstr>АК_доля</vt:lpstr>
      <vt:lpstr>АК_лимит</vt:lpstr>
      <vt:lpstr>АК_стоимость</vt:lpstr>
      <vt:lpstr>Ед_измерения_денег</vt:lpstr>
      <vt:lpstr>Ед_измерения_периода</vt:lpstr>
      <vt:lpstr>Ед_измерения_продукции</vt:lpstr>
      <vt:lpstr>Ед_измерения_регулярных_платежей</vt:lpstr>
      <vt:lpstr>Ед_измерения_цен</vt:lpstr>
      <vt:lpstr>ЗК_стоимость</vt:lpstr>
      <vt:lpstr>ИК_стоимость</vt:lpstr>
      <vt:lpstr>Инвестиции_в_склад_год_инфляции</vt:lpstr>
      <vt:lpstr>Инвестиции_в_склад_график_оплаты</vt:lpstr>
      <vt:lpstr>Инвестиции_в_склад_наименования</vt:lpstr>
      <vt:lpstr>Инвестиции_в_склад_суммы</vt:lpstr>
      <vt:lpstr>Инвестиции_в_склад_уровень_инфляции</vt:lpstr>
      <vt:lpstr>Капексы_год_инфляции</vt:lpstr>
      <vt:lpstr>Капексы_график_оплаты</vt:lpstr>
      <vt:lpstr>Капексы_наименования</vt:lpstr>
      <vt:lpstr>Капексы_суммы</vt:lpstr>
      <vt:lpstr>Капексы_уровень_инфляции</vt:lpstr>
      <vt:lpstr>Кв_в_году</vt:lpstr>
      <vt:lpstr>Компания</vt:lpstr>
      <vt:lpstr>Конец_инвест</vt:lpstr>
      <vt:lpstr>Конец_тек</vt:lpstr>
      <vt:lpstr>Лист_время</vt:lpstr>
      <vt:lpstr>Лист_имена</vt:lpstr>
      <vt:lpstr>Лист_инвестиции</vt:lpstr>
      <vt:lpstr>Лист_коэффициенты</vt:lpstr>
      <vt:lpstr>Лист_налоги</vt:lpstr>
      <vt:lpstr>Лист_оборотный_капитал</vt:lpstr>
      <vt:lpstr>Лист_оглавление</vt:lpstr>
      <vt:lpstr>Лист_операции</vt:lpstr>
      <vt:lpstr>Лист_отчет</vt:lpstr>
      <vt:lpstr>Лист_отчетность_по_годам</vt:lpstr>
      <vt:lpstr>Лист_отчетность_по_периодам_планирования</vt:lpstr>
      <vt:lpstr>Лист_оценка</vt:lpstr>
      <vt:lpstr>Лист_предпосылки</vt:lpstr>
      <vt:lpstr>Лист_сигналы</vt:lpstr>
      <vt:lpstr>Лист_сценарии</vt:lpstr>
      <vt:lpstr>Лист_финансирование</vt:lpstr>
      <vt:lpstr>Мес_в_году</vt:lpstr>
      <vt:lpstr>Мес_в_кв</vt:lpstr>
      <vt:lpstr>Мес_в_полугод</vt:lpstr>
      <vt:lpstr>Налоги_года</vt:lpstr>
      <vt:lpstr>Начало_инвест</vt:lpstr>
      <vt:lpstr>Начало_тек</vt:lpstr>
      <vt:lpstr>Начальная_дата</vt:lpstr>
      <vt:lpstr>НДС_вложения_в_склад_ставки</vt:lpstr>
      <vt:lpstr>НДС_выручка_ставки</vt:lpstr>
      <vt:lpstr>НДС_капекс_ставки</vt:lpstr>
      <vt:lpstr>НДС_текзатраты_ставки</vt:lpstr>
      <vt:lpstr>НДФЛ_ставки</vt:lpstr>
      <vt:lpstr>НнИ_ставки</vt:lpstr>
      <vt:lpstr>НнП_ставки</vt:lpstr>
      <vt:lpstr>Оборачиваемость_год</vt:lpstr>
      <vt:lpstr>Оборачиваемость_дебиторка</vt:lpstr>
      <vt:lpstr>Оборачиваемость_запасы</vt:lpstr>
      <vt:lpstr>Оборачиваемость_кредиторка</vt:lpstr>
      <vt:lpstr>Оборачиваемость_показатели</vt:lpstr>
      <vt:lpstr>ПМЗ_год_инфляции</vt:lpstr>
      <vt:lpstr>ПМЗ_наименования</vt:lpstr>
      <vt:lpstr>ПМЗ_ставки</vt:lpstr>
      <vt:lpstr>ПМЗ_уровень_инфляции</vt:lpstr>
      <vt:lpstr>ПНЗ_год_инфляции</vt:lpstr>
      <vt:lpstr>ПНЗ_наименования</vt:lpstr>
      <vt:lpstr>ПНЗ_ставки</vt:lpstr>
      <vt:lpstr>ПНЗ_уровень_инфляции</vt:lpstr>
      <vt:lpstr>Полугод_в_году</vt:lpstr>
      <vt:lpstr>Постоянные_затраты_год_инфляции</vt:lpstr>
      <vt:lpstr>Постоянные_затраты_наименования</vt:lpstr>
      <vt:lpstr>Постоянные_затраты_суммы</vt:lpstr>
      <vt:lpstr>Постоянные_затраты_уровень_инфляции</vt:lpstr>
      <vt:lpstr>Постпрогноз_NOPAT</vt:lpstr>
      <vt:lpstr>Постпрогноз_доля_ЗК</vt:lpstr>
      <vt:lpstr>Продажи_год_инфляции</vt:lpstr>
      <vt:lpstr>Продажи_год_прироста</vt:lpstr>
      <vt:lpstr>Продажи_наименования</vt:lpstr>
      <vt:lpstr>Продажи_натуральное_выражение</vt:lpstr>
      <vt:lpstr>Продажи_уровень_инфляции</vt:lpstr>
      <vt:lpstr>Продажи_уровень_прироста_продукт1</vt:lpstr>
      <vt:lpstr>Продажи_уровень_прироста_продукт10</vt:lpstr>
      <vt:lpstr>Продажи_уровень_прироста_продукт11</vt:lpstr>
      <vt:lpstr>Продажи_уровень_прироста_продукт2</vt:lpstr>
      <vt:lpstr>Продажи_уровень_прироста_продукт3</vt:lpstr>
      <vt:lpstr>Продажи_уровень_прироста_продукт4</vt:lpstr>
      <vt:lpstr>Продажи_уровень_прироста_продукт5</vt:lpstr>
      <vt:lpstr>Продажи_уровень_прироста_продукт6</vt:lpstr>
      <vt:lpstr>Продажи_уровень_прироста_продукт7</vt:lpstr>
      <vt:lpstr>Продажи_уровень_прироста_продукт8</vt:lpstr>
      <vt:lpstr>Продажи_уровень_прироста_продукт9</vt:lpstr>
      <vt:lpstr>Продажи_цены</vt:lpstr>
      <vt:lpstr>Проект</vt:lpstr>
      <vt:lpstr>Сельхозналог_ставки</vt:lpstr>
      <vt:lpstr>Ставка_дисконтирования_постпрогноз</vt:lpstr>
      <vt:lpstr>Ставка_дисконтирования_прогноз</vt:lpstr>
      <vt:lpstr>Страховые_взносы_года</vt:lpstr>
      <vt:lpstr>Страховые_взносы_пониженная_ставка</vt:lpstr>
      <vt:lpstr>Страховые_взносы_ставка</vt:lpstr>
      <vt:lpstr>Страховые_взносы_ставка_отсечения</vt:lpstr>
      <vt:lpstr>Сценарий</vt:lpstr>
      <vt:lpstr>Сценарий_затраты_на_первоначальный_склад</vt:lpstr>
      <vt:lpstr>Сценарий_капитальные_затраты</vt:lpstr>
      <vt:lpstr>Сценарий_название</vt:lpstr>
      <vt:lpstr>Сценарий_номера</vt:lpstr>
      <vt:lpstr>Сценарий_объем_продаж</vt:lpstr>
      <vt:lpstr>Сценарий_переменные_материальные_затраты</vt:lpstr>
      <vt:lpstr>Сценарий_переменные_нематериальные_затраты</vt:lpstr>
      <vt:lpstr>Сценарий_постоянные_затраты</vt:lpstr>
      <vt:lpstr>Сценарии_результаты</vt:lpstr>
      <vt:lpstr>Сценарий_цена</vt:lpstr>
      <vt:lpstr>Фазы_название</vt:lpstr>
      <vt:lpstr>ФОТ_год_инфляции</vt:lpstr>
      <vt:lpstr>ФОТ_должности</vt:lpstr>
      <vt:lpstr>ФОТ_единицы_измерения</vt:lpstr>
      <vt:lpstr>ФОТ_количество_персонала</vt:lpstr>
      <vt:lpstr>ФОТ_операционный_год</vt:lpstr>
      <vt:lpstr>ФОТ_ставки_ЗП</vt:lpstr>
      <vt:lpstr>ФОТ_уровень_инфляции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2022-04-17T08:44:04Z</dcterms:created>
  <dcterms:modified xsi:type="dcterms:W3CDTF">2023-02-28T09:00:12Z</dcterms:modified>
</cp:coreProperties>
</file>