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66925"/>
  <xr:revisionPtr revIDLastSave="6369" documentId="11_924874E5C5FBB6926123EA198B3E8C185103838B" xr6:coauthVersionLast="47" xr6:coauthVersionMax="47" xr10:uidLastSave="{E9C8A960-EBB4-4B48-B7F8-0638E3D52A55}"/>
  <bookViews>
    <workbookView xWindow="240" yWindow="105" windowWidth="14805" windowHeight="8010" firstSheet="4" activeTab="4" xr2:uid="{00000000-000D-0000-FFFF-FFFF00000000}"/>
  </bookViews>
  <sheets>
    <sheet name="Титульный лист" sheetId="1" r:id="rId1"/>
    <sheet name="Затраты и издержки" sheetId="10" r:id="rId2"/>
    <sheet name="ФОТ" sheetId="5" r:id="rId3"/>
    <sheet name="Продажи" sheetId="4" r:id="rId4"/>
    <sheet name="Расчет окупаемости" sheetId="7" r:id="rId5"/>
    <sheet name="GPT cache" sheetId="9" state="veryHidden" r:id="rId6"/>
    <sheet name="Экономические показатели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7" l="1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N10" i="10"/>
  <c r="C14" i="1"/>
  <c r="C12" i="1"/>
  <c r="H74" i="10"/>
  <c r="F15" i="4"/>
  <c r="F14" i="4"/>
  <c r="AY22" i="4"/>
  <c r="AY23" i="4"/>
  <c r="AY24" i="4"/>
  <c r="AY25" i="4"/>
  <c r="AY26" i="4"/>
  <c r="AY27" i="4"/>
  <c r="AY21" i="4"/>
  <c r="AX21" i="4"/>
  <c r="AZ29" i="4"/>
  <c r="AX29" i="4"/>
  <c r="AZ28" i="4"/>
  <c r="AX28" i="4"/>
  <c r="AZ22" i="4"/>
  <c r="AZ23" i="4"/>
  <c r="AZ24" i="4"/>
  <c r="AZ25" i="4"/>
  <c r="AZ26" i="4"/>
  <c r="AZ27" i="4"/>
  <c r="AZ21" i="4"/>
  <c r="AZ32" i="4" s="1"/>
  <c r="Y3" i="7" s="1"/>
  <c r="AX24" i="4"/>
  <c r="AX22" i="4"/>
  <c r="AX23" i="4"/>
  <c r="AX25" i="4"/>
  <c r="AX26" i="4"/>
  <c r="AX27" i="4"/>
  <c r="AV21" i="4"/>
  <c r="AX32" i="4"/>
  <c r="X3" i="7" s="1"/>
  <c r="AV29" i="4"/>
  <c r="AV28" i="4"/>
  <c r="AT29" i="4"/>
  <c r="AT28" i="4"/>
  <c r="AV22" i="4"/>
  <c r="AV23" i="4"/>
  <c r="AV25" i="4"/>
  <c r="AV26" i="4"/>
  <c r="AV27" i="4"/>
  <c r="AT21" i="4"/>
  <c r="AU24" i="4"/>
  <c r="AV24" i="4" s="1"/>
  <c r="AR29" i="4"/>
  <c r="AR28" i="4"/>
  <c r="AT22" i="4"/>
  <c r="AT23" i="4"/>
  <c r="AT25" i="4"/>
  <c r="AT26" i="4"/>
  <c r="AT27" i="4"/>
  <c r="AR21" i="4"/>
  <c r="AS24" i="4"/>
  <c r="AT24" i="4" s="1"/>
  <c r="AP29" i="4"/>
  <c r="AP28" i="4"/>
  <c r="AR22" i="4"/>
  <c r="AR23" i="4"/>
  <c r="AR25" i="4"/>
  <c r="AR26" i="4"/>
  <c r="AR27" i="4"/>
  <c r="AP21" i="4"/>
  <c r="AQ24" i="4"/>
  <c r="AR24" i="4" s="1"/>
  <c r="AO24" i="4"/>
  <c r="AP24" i="4"/>
  <c r="AP22" i="4"/>
  <c r="AP23" i="4"/>
  <c r="AP25" i="4"/>
  <c r="AP27" i="4"/>
  <c r="AO26" i="4"/>
  <c r="AP26" i="4" s="1"/>
  <c r="AL21" i="4"/>
  <c r="AM27" i="4"/>
  <c r="AN27" i="4" s="1"/>
  <c r="AK27" i="4"/>
  <c r="AM22" i="4"/>
  <c r="AN22" i="4" s="1"/>
  <c r="AK22" i="4"/>
  <c r="AM26" i="4"/>
  <c r="AN26" i="4" s="1"/>
  <c r="AM25" i="4"/>
  <c r="AN25" i="4" s="1"/>
  <c r="AM24" i="4"/>
  <c r="AN24" i="4" s="1"/>
  <c r="AM23" i="4"/>
  <c r="AN23" i="4" s="1"/>
  <c r="AM21" i="4"/>
  <c r="AN21" i="4" s="1"/>
  <c r="AN32" i="4" s="1"/>
  <c r="S3" i="7" s="1"/>
  <c r="AL22" i="4"/>
  <c r="AL23" i="4"/>
  <c r="AI27" i="4"/>
  <c r="AK26" i="4"/>
  <c r="AK25" i="4"/>
  <c r="AK24" i="4"/>
  <c r="AL24" i="4" s="1"/>
  <c r="AI22" i="4"/>
  <c r="C37" i="4"/>
  <c r="AJ27" i="4"/>
  <c r="AG27" i="4"/>
  <c r="AI26" i="4"/>
  <c r="AI25" i="4"/>
  <c r="AI24" i="4"/>
  <c r="AJ24" i="4" s="1"/>
  <c r="AG24" i="4"/>
  <c r="AI23" i="4"/>
  <c r="AG23" i="4"/>
  <c r="AG22" i="4"/>
  <c r="AH22" i="4" s="1"/>
  <c r="AI21" i="4"/>
  <c r="AG21" i="4"/>
  <c r="AH21" i="4" s="1"/>
  <c r="AJ21" i="4" s="1"/>
  <c r="AH24" i="4"/>
  <c r="AH23" i="4"/>
  <c r="AJ23" i="4" s="1"/>
  <c r="AJ22" i="4"/>
  <c r="AH27" i="4"/>
  <c r="AC27" i="4"/>
  <c r="AG26" i="4"/>
  <c r="AH26" i="4" s="1"/>
  <c r="AJ26" i="4" s="1"/>
  <c r="AL26" i="4" s="1"/>
  <c r="AG25" i="4"/>
  <c r="AH25" i="4" s="1"/>
  <c r="AC22" i="4"/>
  <c r="AE22" i="4"/>
  <c r="AE27" i="4"/>
  <c r="AD27" i="4"/>
  <c r="AF27" i="4" s="1"/>
  <c r="AA27" i="4"/>
  <c r="AC26" i="4"/>
  <c r="AC25" i="4"/>
  <c r="AC24" i="4"/>
  <c r="AC23" i="4"/>
  <c r="AA22" i="4"/>
  <c r="AC21" i="4"/>
  <c r="AA21" i="4"/>
  <c r="AB21" i="4" s="1"/>
  <c r="AB22" i="4"/>
  <c r="AB27" i="4"/>
  <c r="Y27" i="4"/>
  <c r="AA26" i="4"/>
  <c r="AB26" i="4" s="1"/>
  <c r="AA25" i="4"/>
  <c r="AB25" i="4" s="1"/>
  <c r="AA24" i="4"/>
  <c r="AB24" i="4" s="1"/>
  <c r="AA23" i="4"/>
  <c r="AB23" i="4" s="1"/>
  <c r="Y22" i="4"/>
  <c r="Z22" i="4"/>
  <c r="Z27" i="4"/>
  <c r="W27" i="4"/>
  <c r="Y26" i="4"/>
  <c r="Z26" i="4" s="1"/>
  <c r="Y25" i="4"/>
  <c r="Z25" i="4" s="1"/>
  <c r="Y24" i="4"/>
  <c r="Z24" i="4" s="1"/>
  <c r="Y23" i="4"/>
  <c r="Z23" i="4" s="1"/>
  <c r="Y21" i="4"/>
  <c r="Z21" i="4" s="1"/>
  <c r="U22" i="4"/>
  <c r="U27" i="4"/>
  <c r="W26" i="4"/>
  <c r="W25" i="4"/>
  <c r="W24" i="4"/>
  <c r="W23" i="4"/>
  <c r="W22" i="4"/>
  <c r="W21" i="4"/>
  <c r="U21" i="4"/>
  <c r="V21" i="4" s="1"/>
  <c r="X21" i="4" s="1"/>
  <c r="V22" i="4"/>
  <c r="X22" i="4" s="1"/>
  <c r="V27" i="4"/>
  <c r="X27" i="4" s="1"/>
  <c r="U26" i="4"/>
  <c r="V26" i="4" s="1"/>
  <c r="X26" i="4" s="1"/>
  <c r="U25" i="4"/>
  <c r="V25" i="4" s="1"/>
  <c r="X25" i="4" s="1"/>
  <c r="U24" i="4"/>
  <c r="V24" i="4" s="1"/>
  <c r="X24" i="4" s="1"/>
  <c r="U23" i="4"/>
  <c r="V23" i="4" s="1"/>
  <c r="S22" i="4"/>
  <c r="S24" i="4"/>
  <c r="T30" i="4"/>
  <c r="V30" i="4" s="1"/>
  <c r="X30" i="4" s="1"/>
  <c r="Z30" i="4" s="1"/>
  <c r="AB30" i="4" s="1"/>
  <c r="T31" i="4"/>
  <c r="V31" i="4" s="1"/>
  <c r="X31" i="4" s="1"/>
  <c r="Z31" i="4" s="1"/>
  <c r="AB31" i="4" s="1"/>
  <c r="AD31" i="4" s="1"/>
  <c r="AF31" i="4" s="1"/>
  <c r="AH31" i="4" s="1"/>
  <c r="AJ31" i="4" s="1"/>
  <c r="AL31" i="4" s="1"/>
  <c r="S21" i="4"/>
  <c r="S23" i="4"/>
  <c r="S25" i="4"/>
  <c r="S26" i="4"/>
  <c r="S27" i="4"/>
  <c r="Q21" i="4"/>
  <c r="R21" i="4" s="1"/>
  <c r="T21" i="4" s="1"/>
  <c r="Q23" i="4"/>
  <c r="R23" i="4"/>
  <c r="T23" i="4" s="1"/>
  <c r="Q27" i="4"/>
  <c r="R27" i="4" s="1"/>
  <c r="T27" i="4" s="1"/>
  <c r="Q26" i="4"/>
  <c r="R26" i="4" s="1"/>
  <c r="T26" i="4" s="1"/>
  <c r="Q25" i="4"/>
  <c r="R25" i="4" s="1"/>
  <c r="T25" i="4" s="1"/>
  <c r="Q24" i="4"/>
  <c r="R24" i="4" s="1"/>
  <c r="T24" i="4" s="1"/>
  <c r="Q22" i="4"/>
  <c r="O22" i="4"/>
  <c r="P22" i="4"/>
  <c r="O27" i="4"/>
  <c r="P27" i="4" s="1"/>
  <c r="O26" i="4"/>
  <c r="P26" i="4" s="1"/>
  <c r="O25" i="4"/>
  <c r="P25" i="4" s="1"/>
  <c r="O24" i="4"/>
  <c r="P24" i="4" s="1"/>
  <c r="O23" i="4"/>
  <c r="P23" i="4" s="1"/>
  <c r="O21" i="4"/>
  <c r="P21" i="4" s="1"/>
  <c r="H15" i="5"/>
  <c r="M22" i="4"/>
  <c r="N22" i="4"/>
  <c r="M27" i="4"/>
  <c r="N27" i="4"/>
  <c r="K26" i="4"/>
  <c r="K27" i="4"/>
  <c r="K23" i="4"/>
  <c r="K22" i="4"/>
  <c r="M26" i="4"/>
  <c r="N26" i="4" s="1"/>
  <c r="M25" i="4"/>
  <c r="N25" i="4" s="1"/>
  <c r="M24" i="4"/>
  <c r="N24" i="4" s="1"/>
  <c r="M23" i="4"/>
  <c r="N23" i="4" s="1"/>
  <c r="M21" i="4"/>
  <c r="N21" i="4" s="1"/>
  <c r="K24" i="4"/>
  <c r="L24" i="4"/>
  <c r="L23" i="4"/>
  <c r="L27" i="4"/>
  <c r="I27" i="4"/>
  <c r="L26" i="4"/>
  <c r="I26" i="4"/>
  <c r="K25" i="4"/>
  <c r="L25" i="4" s="1"/>
  <c r="I25" i="4"/>
  <c r="I24" i="4"/>
  <c r="I23" i="4"/>
  <c r="I22" i="4"/>
  <c r="J22" i="4" s="1"/>
  <c r="K21" i="4"/>
  <c r="L21" i="4" s="1"/>
  <c r="G24" i="4"/>
  <c r="J24" i="4"/>
  <c r="J23" i="4"/>
  <c r="J25" i="4"/>
  <c r="J26" i="4"/>
  <c r="J27" i="4"/>
  <c r="I21" i="4"/>
  <c r="J21" i="4" s="1"/>
  <c r="G21" i="4"/>
  <c r="H21" i="4" s="1"/>
  <c r="H24" i="4"/>
  <c r="G23" i="4"/>
  <c r="H23" i="4" s="1"/>
  <c r="G25" i="4"/>
  <c r="H25" i="4" s="1"/>
  <c r="G26" i="4"/>
  <c r="H26" i="4" s="1"/>
  <c r="G27" i="4"/>
  <c r="H27" i="4" s="1"/>
  <c r="G22" i="4"/>
  <c r="E21" i="4"/>
  <c r="E25" i="4"/>
  <c r="E24" i="4"/>
  <c r="E23" i="4"/>
  <c r="E27" i="4"/>
  <c r="E26" i="4"/>
  <c r="E22" i="4"/>
  <c r="F24" i="4"/>
  <c r="F23" i="4"/>
  <c r="F25" i="4"/>
  <c r="F26" i="4"/>
  <c r="F27" i="4"/>
  <c r="N16" i="10"/>
  <c r="H10" i="10"/>
  <c r="N13" i="10"/>
  <c r="N14" i="10"/>
  <c r="N12" i="10"/>
  <c r="N9" i="10"/>
  <c r="N8" i="10"/>
  <c r="N7" i="10"/>
  <c r="H20" i="10"/>
  <c r="H77" i="10"/>
  <c r="N5" i="10"/>
  <c r="N6" i="10"/>
  <c r="N4" i="10"/>
  <c r="H12" i="4"/>
  <c r="I12" i="4" s="1"/>
  <c r="H13" i="4"/>
  <c r="G14" i="5"/>
  <c r="G11" i="5"/>
  <c r="G10" i="5"/>
  <c r="F10" i="5"/>
  <c r="F11" i="5"/>
  <c r="F14" i="5"/>
  <c r="I13" i="5"/>
  <c r="J13" i="5" s="1"/>
  <c r="D5" i="4"/>
  <c r="D6" i="4"/>
  <c r="D7" i="4"/>
  <c r="D9" i="4"/>
  <c r="D10" i="4"/>
  <c r="H3" i="10"/>
  <c r="H83" i="10" s="1"/>
  <c r="F13" i="4"/>
  <c r="F12" i="4"/>
  <c r="I13" i="4"/>
  <c r="G13" i="4"/>
  <c r="G12" i="4"/>
  <c r="I10" i="5"/>
  <c r="J10" i="5" s="1"/>
  <c r="I11" i="5"/>
  <c r="J11" i="5" s="1"/>
  <c r="I12" i="5"/>
  <c r="J12" i="5" s="1"/>
  <c r="I14" i="5"/>
  <c r="J14" i="5" s="1"/>
  <c r="E9" i="5"/>
  <c r="G9" i="5" s="1"/>
  <c r="E8" i="5"/>
  <c r="G8" i="5" s="1"/>
  <c r="E3" i="5"/>
  <c r="G3" i="5" s="1"/>
  <c r="E4" i="5"/>
  <c r="G4" i="5" s="1"/>
  <c r="E5" i="5"/>
  <c r="G5" i="5" s="1"/>
  <c r="E6" i="5"/>
  <c r="G6" i="5" s="1"/>
  <c r="E7" i="5"/>
  <c r="G7" i="5" s="1"/>
  <c r="E2" i="5"/>
  <c r="E15" i="5" s="1"/>
  <c r="D11" i="4"/>
  <c r="F11" i="4" s="1"/>
  <c r="F6" i="4"/>
  <c r="G6" i="4" s="1"/>
  <c r="D8" i="4"/>
  <c r="AL28" i="4" l="1"/>
  <c r="AJ28" i="4"/>
  <c r="AL29" i="4"/>
  <c r="AJ29" i="4"/>
  <c r="AP32" i="4"/>
  <c r="T3" i="7" s="1"/>
  <c r="AR32" i="4"/>
  <c r="U3" i="7" s="1"/>
  <c r="AT32" i="4"/>
  <c r="V3" i="7" s="1"/>
  <c r="AV32" i="4"/>
  <c r="W3" i="7" s="1"/>
  <c r="H22" i="4"/>
  <c r="B40" i="4"/>
  <c r="B39" i="4"/>
  <c r="L22" i="4"/>
  <c r="B41" i="4"/>
  <c r="B42" i="4"/>
  <c r="B43" i="4"/>
  <c r="R22" i="4"/>
  <c r="T22" i="4" s="1"/>
  <c r="B44" i="4"/>
  <c r="B45" i="4"/>
  <c r="B47" i="4"/>
  <c r="B46" i="4"/>
  <c r="B48" i="4"/>
  <c r="B49" i="4"/>
  <c r="AD22" i="4"/>
  <c r="AF22" i="4" s="1"/>
  <c r="B50" i="4"/>
  <c r="AH28" i="4"/>
  <c r="AD28" i="4"/>
  <c r="AF28" i="4" s="1"/>
  <c r="AB28" i="4"/>
  <c r="Z28" i="4"/>
  <c r="V28" i="4"/>
  <c r="X28" i="4" s="1"/>
  <c r="R28" i="4"/>
  <c r="T28" i="4" s="1"/>
  <c r="P28" i="4"/>
  <c r="AH29" i="4"/>
  <c r="AD29" i="4"/>
  <c r="AF29" i="4" s="1"/>
  <c r="AB29" i="4"/>
  <c r="Z29" i="4"/>
  <c r="V29" i="4"/>
  <c r="X29" i="4" s="1"/>
  <c r="R29" i="4"/>
  <c r="T29" i="4" s="1"/>
  <c r="P29" i="4"/>
  <c r="F22" i="4"/>
  <c r="B38" i="4" s="1"/>
  <c r="AB32" i="4"/>
  <c r="M3" i="7" s="1"/>
  <c r="AD30" i="4"/>
  <c r="AF30" i="4" s="1"/>
  <c r="AH30" i="4" s="1"/>
  <c r="AJ30" i="4" s="1"/>
  <c r="AL30" i="4" s="1"/>
  <c r="X23" i="4"/>
  <c r="V32" i="4"/>
  <c r="J3" i="7" s="1"/>
  <c r="X32" i="4"/>
  <c r="K3" i="7" s="1"/>
  <c r="AD21" i="4"/>
  <c r="AF21" i="4" s="1"/>
  <c r="AE21" i="4"/>
  <c r="AE23" i="4"/>
  <c r="AD23" i="4"/>
  <c r="AF23" i="4" s="1"/>
  <c r="AE24" i="4"/>
  <c r="AD24" i="4"/>
  <c r="AF24" i="4" s="1"/>
  <c r="AE25" i="4"/>
  <c r="AD25" i="4"/>
  <c r="AF25" i="4" s="1"/>
  <c r="AE26" i="4"/>
  <c r="AD26" i="4"/>
  <c r="AF26" i="4" s="1"/>
  <c r="AJ25" i="4"/>
  <c r="AL25" i="4" s="1"/>
  <c r="AH32" i="4"/>
  <c r="P3" i="7" s="1"/>
  <c r="AJ32" i="4"/>
  <c r="Q3" i="7" s="1"/>
  <c r="C38" i="4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AD32" i="4"/>
  <c r="Z32" i="4"/>
  <c r="L3" i="7" s="1"/>
  <c r="T32" i="4"/>
  <c r="I3" i="7" s="1"/>
  <c r="R32" i="4"/>
  <c r="H3" i="7" s="1"/>
  <c r="P32" i="4"/>
  <c r="G3" i="7" s="1"/>
  <c r="N28" i="4"/>
  <c r="L28" i="4"/>
  <c r="N29" i="4"/>
  <c r="L29" i="4"/>
  <c r="N32" i="4"/>
  <c r="F3" i="7" s="1"/>
  <c r="F28" i="4"/>
  <c r="J28" i="4"/>
  <c r="H28" i="4"/>
  <c r="F29" i="4"/>
  <c r="J29" i="4"/>
  <c r="H29" i="4"/>
  <c r="H32" i="4"/>
  <c r="C3" i="7" s="1"/>
  <c r="L32" i="4"/>
  <c r="E3" i="7" s="1"/>
  <c r="J32" i="4"/>
  <c r="D3" i="7" s="1"/>
  <c r="F21" i="4"/>
  <c r="F32" i="4"/>
  <c r="H10" i="4"/>
  <c r="F10" i="4"/>
  <c r="H9" i="4"/>
  <c r="F9" i="4"/>
  <c r="H7" i="4"/>
  <c r="F7" i="4"/>
  <c r="H6" i="4"/>
  <c r="I6" i="4" s="1"/>
  <c r="H5" i="4"/>
  <c r="F5" i="4"/>
  <c r="F8" i="4"/>
  <c r="H8" i="4"/>
  <c r="H11" i="4"/>
  <c r="I11" i="4" s="1"/>
  <c r="G11" i="4"/>
  <c r="I10" i="4"/>
  <c r="G10" i="4"/>
  <c r="I9" i="4"/>
  <c r="G9" i="4"/>
  <c r="I7" i="4"/>
  <c r="G2" i="5"/>
  <c r="G15" i="5" s="1"/>
  <c r="I5" i="4"/>
  <c r="H15" i="4"/>
  <c r="G15" i="4"/>
  <c r="F9" i="5"/>
  <c r="F8" i="5"/>
  <c r="F7" i="5"/>
  <c r="F6" i="5"/>
  <c r="F5" i="5"/>
  <c r="F4" i="5"/>
  <c r="F3" i="5"/>
  <c r="F2" i="5"/>
  <c r="I2" i="5"/>
  <c r="I7" i="5"/>
  <c r="J7" i="5" s="1"/>
  <c r="I6" i="5"/>
  <c r="J6" i="5" s="1"/>
  <c r="I5" i="5"/>
  <c r="J5" i="5" s="1"/>
  <c r="I4" i="5"/>
  <c r="J4" i="5" s="1"/>
  <c r="I3" i="5"/>
  <c r="J3" i="5" s="1"/>
  <c r="I8" i="5"/>
  <c r="J8" i="5" s="1"/>
  <c r="I9" i="5"/>
  <c r="J9" i="5" s="1"/>
  <c r="J2" i="5"/>
  <c r="J15" i="5" s="1"/>
  <c r="I8" i="4"/>
  <c r="G8" i="4"/>
  <c r="I15" i="5" l="1"/>
  <c r="AL32" i="4"/>
  <c r="R3" i="7" s="1"/>
  <c r="AF32" i="4"/>
  <c r="O3" i="7" s="1"/>
  <c r="N3" i="7"/>
  <c r="B3" i="7"/>
  <c r="I15" i="4"/>
  <c r="G5" i="4"/>
  <c r="G7" i="4"/>
  <c r="H14" i="4"/>
  <c r="I14" i="4" s="1"/>
  <c r="I16" i="4" s="1"/>
  <c r="H16" i="4"/>
  <c r="C13" i="1" l="1"/>
  <c r="M3" i="10"/>
  <c r="G14" i="4"/>
  <c r="F16" i="4"/>
  <c r="G16" i="4" s="1"/>
  <c r="M17" i="10" l="1"/>
  <c r="N3" i="10"/>
  <c r="Y4" i="7" l="1"/>
  <c r="Y13" i="7" s="1"/>
  <c r="Q4" i="7"/>
  <c r="Q13" i="7" s="1"/>
  <c r="M4" i="7"/>
  <c r="M13" i="7" s="1"/>
  <c r="G4" i="7"/>
  <c r="G13" i="7" s="1"/>
  <c r="X4" i="7"/>
  <c r="X13" i="7" s="1"/>
  <c r="T4" i="7"/>
  <c r="T13" i="7" s="1"/>
  <c r="P4" i="7"/>
  <c r="P13" i="7" s="1"/>
  <c r="L4" i="7"/>
  <c r="L13" i="7" s="1"/>
  <c r="H4" i="7"/>
  <c r="H13" i="7" s="1"/>
  <c r="D4" i="7"/>
  <c r="W4" i="7"/>
  <c r="W13" i="7" s="1"/>
  <c r="V4" i="7"/>
  <c r="V13" i="7" s="1"/>
  <c r="U4" i="7"/>
  <c r="U13" i="7" s="1"/>
  <c r="S4" i="7"/>
  <c r="S13" i="7" s="1"/>
  <c r="R4" i="7"/>
  <c r="R13" i="7" s="1"/>
  <c r="O4" i="7"/>
  <c r="O13" i="7" s="1"/>
  <c r="N4" i="7"/>
  <c r="N13" i="7" s="1"/>
  <c r="K4" i="7"/>
  <c r="K13" i="7" s="1"/>
  <c r="J4" i="7"/>
  <c r="J13" i="7" s="1"/>
  <c r="I4" i="7"/>
  <c r="I13" i="7" s="1"/>
  <c r="F4" i="7"/>
  <c r="E4" i="7"/>
  <c r="C4" i="7"/>
  <c r="B4" i="7"/>
  <c r="B13" i="7" s="1"/>
  <c r="N17" i="10"/>
  <c r="D13" i="7"/>
  <c r="Y5" i="7"/>
  <c r="Y6" i="7" s="1"/>
  <c r="Y7" i="7" s="1"/>
  <c r="X5" i="7"/>
  <c r="X6" i="7" s="1"/>
  <c r="X7" i="7" s="1"/>
  <c r="W5" i="7"/>
  <c r="W6" i="7" s="1"/>
  <c r="W7" i="7" s="1"/>
  <c r="V5" i="7"/>
  <c r="V6" i="7" s="1"/>
  <c r="V7" i="7" s="1"/>
  <c r="U5" i="7"/>
  <c r="U6" i="7" s="1"/>
  <c r="U7" i="7" s="1"/>
  <c r="T5" i="7"/>
  <c r="T6" i="7" s="1"/>
  <c r="T7" i="7" s="1"/>
  <c r="S5" i="7"/>
  <c r="S6" i="7" s="1"/>
  <c r="S7" i="7" s="1"/>
  <c r="R5" i="7"/>
  <c r="R6" i="7" s="1"/>
  <c r="R7" i="7" s="1"/>
  <c r="Q5" i="7"/>
  <c r="Q6" i="7" s="1"/>
  <c r="Q7" i="7" s="1"/>
  <c r="P5" i="7"/>
  <c r="P6" i="7" s="1"/>
  <c r="P7" i="7" s="1"/>
  <c r="O5" i="7"/>
  <c r="O6" i="7" s="1"/>
  <c r="O7" i="7" s="1"/>
  <c r="N5" i="7"/>
  <c r="N6" i="7" s="1"/>
  <c r="N7" i="7" s="1"/>
  <c r="M5" i="7"/>
  <c r="M6" i="7" s="1"/>
  <c r="M7" i="7" s="1"/>
  <c r="L5" i="7"/>
  <c r="L6" i="7" s="1"/>
  <c r="L7" i="7" s="1"/>
  <c r="K5" i="7"/>
  <c r="K6" i="7" s="1"/>
  <c r="K7" i="7" s="1"/>
  <c r="J5" i="7"/>
  <c r="J6" i="7" s="1"/>
  <c r="J7" i="7" s="1"/>
  <c r="I5" i="7"/>
  <c r="I6" i="7" s="1"/>
  <c r="I7" i="7" s="1"/>
  <c r="H5" i="7"/>
  <c r="H6" i="7" s="1"/>
  <c r="H7" i="7" s="1"/>
  <c r="G5" i="7"/>
  <c r="G6" i="7" s="1"/>
  <c r="G7" i="7" s="1"/>
  <c r="E5" i="7"/>
  <c r="E6" i="7" s="1"/>
  <c r="E7" i="7" s="1"/>
  <c r="D5" i="7"/>
  <c r="D6" i="7" s="1"/>
  <c r="D7" i="7" s="1"/>
  <c r="B5" i="7"/>
  <c r="C13" i="7" l="1"/>
  <c r="C5" i="7"/>
  <c r="C6" i="7" s="1"/>
  <c r="E13" i="7"/>
  <c r="B6" i="7"/>
  <c r="B7" i="7" s="1"/>
  <c r="C7" i="7"/>
  <c r="B15" i="7" l="1"/>
  <c r="B16" i="7"/>
  <c r="F13" i="7"/>
  <c r="Z13" i="7" s="1"/>
  <c r="C9" i="6" s="1"/>
  <c r="F5" i="7"/>
  <c r="F6" i="7" s="1"/>
  <c r="F7" i="7" s="1"/>
  <c r="B8" i="7"/>
  <c r="C13" i="6"/>
  <c r="C12" i="6"/>
  <c r="B9" i="7"/>
  <c r="C9" i="1" l="1"/>
  <c r="C16" i="7"/>
  <c r="C8" i="7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D8" i="7" l="1"/>
  <c r="E8" i="7" s="1"/>
  <c r="F8" i="7" s="1"/>
  <c r="G8" i="7" s="1"/>
  <c r="H8" i="7" s="1"/>
  <c r="I8" i="7" s="1"/>
  <c r="J8" i="7" s="1"/>
  <c r="K8" i="7" s="1"/>
  <c r="L8" i="7" s="1"/>
  <c r="M8" i="7" s="1"/>
  <c r="N8" i="7" s="1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D16" i="7"/>
  <c r="O8" i="7"/>
  <c r="C23" i="6"/>
  <c r="E16" i="7" l="1"/>
  <c r="P8" i="7"/>
  <c r="C14" i="6"/>
  <c r="F16" i="7" l="1"/>
  <c r="Q8" i="7"/>
  <c r="C15" i="6"/>
  <c r="G16" i="7" l="1"/>
  <c r="R8" i="7"/>
  <c r="C16" i="6"/>
  <c r="H16" i="7" l="1"/>
  <c r="S8" i="7"/>
  <c r="C17" i="6"/>
  <c r="I16" i="7" l="1"/>
  <c r="T8" i="7"/>
  <c r="C18" i="6"/>
  <c r="J16" i="7" l="1"/>
  <c r="U8" i="7"/>
  <c r="C19" i="6"/>
  <c r="K16" i="7" l="1"/>
  <c r="V8" i="7"/>
  <c r="W8" i="7" s="1"/>
  <c r="X8" i="7" s="1"/>
  <c r="Y8" i="7" s="1"/>
  <c r="C20" i="6"/>
  <c r="L16" i="7" l="1"/>
  <c r="C21" i="6"/>
  <c r="C6" i="6" s="1"/>
  <c r="C24" i="6"/>
  <c r="M16" i="7" l="1"/>
  <c r="C7" i="6"/>
  <c r="N16" i="7" l="1"/>
  <c r="O16" i="7" l="1"/>
  <c r="R16" i="7" l="1"/>
  <c r="P16" i="7"/>
  <c r="Q16" i="7"/>
  <c r="S16" i="7" l="1"/>
  <c r="T16" i="7" l="1"/>
  <c r="U16" i="7" l="1"/>
  <c r="V16" i="7" l="1"/>
  <c r="W16" i="7" l="1"/>
  <c r="Y16" i="7" l="1"/>
  <c r="X16" i="7"/>
  <c r="Z16" i="7" s="1"/>
</calcChain>
</file>

<file path=xl/sharedStrings.xml><?xml version="1.0" encoding="utf-8"?>
<sst xmlns="http://schemas.openxmlformats.org/spreadsheetml/2006/main" count="461" uniqueCount="364">
  <si>
    <t>Rocking Ride</t>
  </si>
  <si>
    <t>Финансовая модель</t>
  </si>
  <si>
    <t>Основные показатели</t>
  </si>
  <si>
    <t>Сумма первоначальных инвестиций</t>
  </si>
  <si>
    <t>Точка безубыточности (мес)</t>
  </si>
  <si>
    <t>Срок окупаемости (мес)</t>
  </si>
  <si>
    <t>Средняя ежемесячная прибыль</t>
  </si>
  <si>
    <t>Редактируемые показатели</t>
  </si>
  <si>
    <t>Реклама</t>
  </si>
  <si>
    <t>Рынок оплаты труда</t>
  </si>
  <si>
    <t>Коммунальные расходы</t>
  </si>
  <si>
    <t>Разовые расходы</t>
  </si>
  <si>
    <t>Постоянные расходы</t>
  </si>
  <si>
    <t>№</t>
  </si>
  <si>
    <t>Направление расходов</t>
  </si>
  <si>
    <t>Статья расхода</t>
  </si>
  <si>
    <t>Размер/объем</t>
  </si>
  <si>
    <t>Кол-во ед.</t>
  </si>
  <si>
    <t>Цена за ед.</t>
  </si>
  <si>
    <t>Итог</t>
  </si>
  <si>
    <t>Итог/мес.</t>
  </si>
  <si>
    <t>Итог/год</t>
  </si>
  <si>
    <t>Участок и его благоустройство</t>
  </si>
  <si>
    <t>Покупка участка</t>
  </si>
  <si>
    <t>2,2га</t>
  </si>
  <si>
    <t>Нлоговые вычеты</t>
  </si>
  <si>
    <t>УСН</t>
  </si>
  <si>
    <t>2</t>
  </si>
  <si>
    <t>Асфальтирование</t>
  </si>
  <si>
    <t>3</t>
  </si>
  <si>
    <t>Комунальные расходы</t>
  </si>
  <si>
    <t>Оплата электроэнергии</t>
  </si>
  <si>
    <t>Устройсто разметки</t>
  </si>
  <si>
    <t>4</t>
  </si>
  <si>
    <t>Оплата водоснабжения</t>
  </si>
  <si>
    <t>Озеленение</t>
  </si>
  <si>
    <t>5</t>
  </si>
  <si>
    <t>Вывоз мусора</t>
  </si>
  <si>
    <t>Оборудование площадок</t>
  </si>
  <si>
    <t>6</t>
  </si>
  <si>
    <t>Обслуживание техники и связи</t>
  </si>
  <si>
    <t>Интернет</t>
  </si>
  <si>
    <t>Проведение электричества</t>
  </si>
  <si>
    <t>7</t>
  </si>
  <si>
    <t>Обслуживание камеры видеонаблюдения</t>
  </si>
  <si>
    <t>Проведение водоснабжения</t>
  </si>
  <si>
    <t>8</t>
  </si>
  <si>
    <t>Мониторинг транспорта</t>
  </si>
  <si>
    <t>Открытие</t>
  </si>
  <si>
    <t>Государственная пошлина за рассмотрение документов в налоговом органе</t>
  </si>
  <si>
    <t>Обслуживание номера</t>
  </si>
  <si>
    <t>9</t>
  </si>
  <si>
    <t>Юридические услуги по регистрации</t>
  </si>
  <si>
    <t>10</t>
  </si>
  <si>
    <t>Уставной капитал</t>
  </si>
  <si>
    <t>11</t>
  </si>
  <si>
    <t>Реклама на радио</t>
  </si>
  <si>
    <t>Печать</t>
  </si>
  <si>
    <t>12</t>
  </si>
  <si>
    <t>Обслуживание сайта</t>
  </si>
  <si>
    <t>ККТ</t>
  </si>
  <si>
    <t>13</t>
  </si>
  <si>
    <t>Продвижение VK</t>
  </si>
  <si>
    <t>Наружная реклама</t>
  </si>
  <si>
    <t>14</t>
  </si>
  <si>
    <t>Вывоз и откачка ЖБО</t>
  </si>
  <si>
    <t>Подключение номера</t>
  </si>
  <si>
    <t>15</t>
  </si>
  <si>
    <t>Обслуживание расчетного счета</t>
  </si>
  <si>
    <t>Оплата интернета</t>
  </si>
  <si>
    <t>16</t>
  </si>
  <si>
    <t>Обслуживание камеры видеонаблюдения + камера</t>
  </si>
  <si>
    <t>17</t>
  </si>
  <si>
    <t>19</t>
  </si>
  <si>
    <t>Здание офиса/автошколы</t>
  </si>
  <si>
    <t>Профтруба</t>
  </si>
  <si>
    <t>100/100/ 3-4</t>
  </si>
  <si>
    <t>466м</t>
  </si>
  <si>
    <t>20</t>
  </si>
  <si>
    <t>60/120/ 4-5_80/120</t>
  </si>
  <si>
    <t>72м</t>
  </si>
  <si>
    <t>21</t>
  </si>
  <si>
    <t xml:space="preserve">Брус </t>
  </si>
  <si>
    <t>150/50</t>
  </si>
  <si>
    <t>498м</t>
  </si>
  <si>
    <t>22</t>
  </si>
  <si>
    <t>Закладные</t>
  </si>
  <si>
    <t>50/100</t>
  </si>
  <si>
    <t>200шт - 20уп.</t>
  </si>
  <si>
    <t>23</t>
  </si>
  <si>
    <t>Отражающая изоляция Порилекс</t>
  </si>
  <si>
    <t>15м.кв</t>
  </si>
  <si>
    <t>18шт</t>
  </si>
  <si>
    <t>24</t>
  </si>
  <si>
    <t>Утеплитель ТеплоKnauf</t>
  </si>
  <si>
    <t>50 мм 6 м.кв</t>
  </si>
  <si>
    <t>54шт</t>
  </si>
  <si>
    <t>25</t>
  </si>
  <si>
    <t>Экструдированный пенополистирол</t>
  </si>
  <si>
    <t>50 мм 0,39м.кв</t>
  </si>
  <si>
    <t>308шт</t>
  </si>
  <si>
    <t>26</t>
  </si>
  <si>
    <t>Ветро-влаго защитная мембрана</t>
  </si>
  <si>
    <t>35м.кв</t>
  </si>
  <si>
    <t xml:space="preserve"> 9шт.</t>
  </si>
  <si>
    <t>27</t>
  </si>
  <si>
    <t xml:space="preserve">Пароизоляция </t>
  </si>
  <si>
    <t>70м.кв</t>
  </si>
  <si>
    <t>4шт.</t>
  </si>
  <si>
    <t>28</t>
  </si>
  <si>
    <t>Доска</t>
  </si>
  <si>
    <t>50/150</t>
  </si>
  <si>
    <t>1890м - 315шт</t>
  </si>
  <si>
    <t>29</t>
  </si>
  <si>
    <t>Плита ОСБ-3 влагостойкая</t>
  </si>
  <si>
    <t>9х2500х1250 мм</t>
  </si>
  <si>
    <t>41шт</t>
  </si>
  <si>
    <t>30</t>
  </si>
  <si>
    <t>Плита ОСБ</t>
  </si>
  <si>
    <t>9мм</t>
  </si>
  <si>
    <t>71шт.</t>
  </si>
  <si>
    <t>31</t>
  </si>
  <si>
    <t>22мм</t>
  </si>
  <si>
    <t>84шт</t>
  </si>
  <si>
    <t>32</t>
  </si>
  <si>
    <t>33</t>
  </si>
  <si>
    <t>Подложка под напольное покрытие</t>
  </si>
  <si>
    <t>1,5мм 10м.кв</t>
  </si>
  <si>
    <t>45м.кв</t>
  </si>
  <si>
    <t>34</t>
  </si>
  <si>
    <t>Линолеум</t>
  </si>
  <si>
    <t>4мм</t>
  </si>
  <si>
    <t>36м.кв</t>
  </si>
  <si>
    <t>35</t>
  </si>
  <si>
    <t>Ламинат</t>
  </si>
  <si>
    <t>12мм</t>
  </si>
  <si>
    <t>72м.кв</t>
  </si>
  <si>
    <t>Плитка керамическая</t>
  </si>
  <si>
    <t>1м.кв</t>
  </si>
  <si>
    <t>68м.кв</t>
  </si>
  <si>
    <t>Обустройство санузла (3 комнаты)</t>
  </si>
  <si>
    <t>36</t>
  </si>
  <si>
    <t>Планкен из древесно-полимерного композита</t>
  </si>
  <si>
    <t>144м.кв</t>
  </si>
  <si>
    <t>37</t>
  </si>
  <si>
    <t>Панорамное остекление</t>
  </si>
  <si>
    <t>63м.кв</t>
  </si>
  <si>
    <t>38</t>
  </si>
  <si>
    <t>Фотообои</t>
  </si>
  <si>
    <t>10,5м.кв</t>
  </si>
  <si>
    <t>39</t>
  </si>
  <si>
    <t>Обои</t>
  </si>
  <si>
    <t>34м.кв</t>
  </si>
  <si>
    <t>40</t>
  </si>
  <si>
    <t>Натяжной потолок со светов</t>
  </si>
  <si>
    <t>100м.кв</t>
  </si>
  <si>
    <t>41</t>
  </si>
  <si>
    <t>Монтаж лестницы</t>
  </si>
  <si>
    <t>42</t>
  </si>
  <si>
    <t>Фальцевая крыша</t>
  </si>
  <si>
    <t>76м.кв</t>
  </si>
  <si>
    <t>43</t>
  </si>
  <si>
    <t>Наклонный подъемник</t>
  </si>
  <si>
    <t>44</t>
  </si>
  <si>
    <t>Парта</t>
  </si>
  <si>
    <t>45</t>
  </si>
  <si>
    <t>Стул</t>
  </si>
  <si>
    <t>46</t>
  </si>
  <si>
    <t>Кресло офисное руководительское</t>
  </si>
  <si>
    <t>47</t>
  </si>
  <si>
    <t>Кресло офисное 1</t>
  </si>
  <si>
    <t>48</t>
  </si>
  <si>
    <t>Кресло офисное 2</t>
  </si>
  <si>
    <t>49</t>
  </si>
  <si>
    <t>Интерактивная доска</t>
  </si>
  <si>
    <t>Ноутбук + необходимое оборудование</t>
  </si>
  <si>
    <t>Принтер лазерный + комплектация</t>
  </si>
  <si>
    <t>50</t>
  </si>
  <si>
    <t xml:space="preserve">Светодиодный видеостенд </t>
  </si>
  <si>
    <t>51</t>
  </si>
  <si>
    <t>Стол рабочий 1</t>
  </si>
  <si>
    <t>52</t>
  </si>
  <si>
    <t>Стол рабочий 2</t>
  </si>
  <si>
    <t>53</t>
  </si>
  <si>
    <t>Стол рабочий 3</t>
  </si>
  <si>
    <t>54</t>
  </si>
  <si>
    <t>Стойка для зарядки мобильных устройств</t>
  </si>
  <si>
    <t>55</t>
  </si>
  <si>
    <t>Диван</t>
  </si>
  <si>
    <t>56</t>
  </si>
  <si>
    <t>Шкаф офисный</t>
  </si>
  <si>
    <t>57</t>
  </si>
  <si>
    <t>58</t>
  </si>
  <si>
    <t>Ковер</t>
  </si>
  <si>
    <t>59</t>
  </si>
  <si>
    <t>Ресепшн</t>
  </si>
  <si>
    <t>60</t>
  </si>
  <si>
    <t>Контурная мягкая игрушка "Полиция" RA-311</t>
  </si>
  <si>
    <t>61</t>
  </si>
  <si>
    <t>Мягкое детское кресло "Мяч"</t>
  </si>
  <si>
    <t>62</t>
  </si>
  <si>
    <t>Пластиковый игровой комплекс с горкой "Машинка"</t>
  </si>
  <si>
    <t>63</t>
  </si>
  <si>
    <t>Детская игрушка №1</t>
  </si>
  <si>
    <t>64</t>
  </si>
  <si>
    <t>Стол детский</t>
  </si>
  <si>
    <t>65</t>
  </si>
  <si>
    <t>Концелярские принадлежности</t>
  </si>
  <si>
    <t>66</t>
  </si>
  <si>
    <t>Автотренажер 1</t>
  </si>
  <si>
    <t>67</t>
  </si>
  <si>
    <t>Автотренажер 2</t>
  </si>
  <si>
    <t>68</t>
  </si>
  <si>
    <t>Прочие расходы, связанные с покупкой инструментов и средств строительства, а также оплатой строительных услуг</t>
  </si>
  <si>
    <t>69</t>
  </si>
  <si>
    <t>Здание кафетерия (возможно партнерство)</t>
  </si>
  <si>
    <t>Строительство и материалы</t>
  </si>
  <si>
    <t>70</t>
  </si>
  <si>
    <t>Оборудование</t>
  </si>
  <si>
    <t>71</t>
  </si>
  <si>
    <t>Беседки</t>
  </si>
  <si>
    <t>3шт</t>
  </si>
  <si>
    <t>72</t>
  </si>
  <si>
    <t>73</t>
  </si>
  <si>
    <t xml:space="preserve">Сайт </t>
  </si>
  <si>
    <t>74</t>
  </si>
  <si>
    <t xml:space="preserve">Бутылка с водой брендированная </t>
  </si>
  <si>
    <t>0,5л</t>
  </si>
  <si>
    <t>300шт</t>
  </si>
  <si>
    <t>75</t>
  </si>
  <si>
    <t>Прочая реклама (листовки, общественные акции из плана реализации)</t>
  </si>
  <si>
    <t>76</t>
  </si>
  <si>
    <t xml:space="preserve">Организация фестиваля </t>
  </si>
  <si>
    <t xml:space="preserve">Сотрудник </t>
  </si>
  <si>
    <t>Смена</t>
  </si>
  <si>
    <t>Часы работы/нед.</t>
  </si>
  <si>
    <t>Заработная плата/сут/смена</t>
  </si>
  <si>
    <t>Заработная плата/мес. без вычета налогов</t>
  </si>
  <si>
    <t>Заработная плата/мес. с вычетом налогов</t>
  </si>
  <si>
    <t>Премии</t>
  </si>
  <si>
    <t>Содержание</t>
  </si>
  <si>
    <t>Месячный расход</t>
  </si>
  <si>
    <t>Годовой расход</t>
  </si>
  <si>
    <t>Автоинструктор 1</t>
  </si>
  <si>
    <t>3/3 с 8.00 до 20.00</t>
  </si>
  <si>
    <t>36ч</t>
  </si>
  <si>
    <t>Автоинструктор 2</t>
  </si>
  <si>
    <t>Автоинструктор 3</t>
  </si>
  <si>
    <t>Автоинструктор 4</t>
  </si>
  <si>
    <t xml:space="preserve">   3/3 с 8.00 до 20.00</t>
  </si>
  <si>
    <t>Автоинструктор 5</t>
  </si>
  <si>
    <t>Автоинструктор 6</t>
  </si>
  <si>
    <t>Специалист call-центра 1</t>
  </si>
  <si>
    <t>3/3 c 8.00 по 20.00</t>
  </si>
  <si>
    <t>Специалист call-центра 2</t>
  </si>
  <si>
    <t>Бухгалтер</t>
  </si>
  <si>
    <t>5/2 c 10.00 до 18.00</t>
  </si>
  <si>
    <t>40ч</t>
  </si>
  <si>
    <t>Завхоз</t>
  </si>
  <si>
    <t>Клининг</t>
  </si>
  <si>
    <t>ЧОП</t>
  </si>
  <si>
    <t xml:space="preserve">Менеджер по маркетингу </t>
  </si>
  <si>
    <t>Итог:</t>
  </si>
  <si>
    <t>Средний показатель продаж</t>
  </si>
  <si>
    <t>Услуга</t>
  </si>
  <si>
    <t xml:space="preserve">Максимальное кол-во предоставления </t>
  </si>
  <si>
    <t>Прогноз предоставления услуг</t>
  </si>
  <si>
    <t>Цена услуги</t>
  </si>
  <si>
    <t>Прибыль/мес. (номинальная)</t>
  </si>
  <si>
    <t>Прибыль/год (номинальная</t>
  </si>
  <si>
    <t>Прибыль/мес. (реальная)</t>
  </si>
  <si>
    <t>Прибыль/год (реальная)</t>
  </si>
  <si>
    <r>
      <rPr>
        <sz val="12"/>
        <color rgb="FFC65911"/>
        <rFont val="Calibri"/>
        <scheme val="minor"/>
      </rPr>
      <t>Услцга 1</t>
    </r>
    <r>
      <rPr>
        <sz val="12"/>
        <color rgb="FF000000"/>
        <rFont val="Calibri"/>
        <scheme val="minor"/>
      </rPr>
      <t xml:space="preserve"> (аренда доступа к автодрому (для практики на своем транспорте)</t>
    </r>
  </si>
  <si>
    <r>
      <rPr>
        <sz val="12"/>
        <color rgb="FFC65911"/>
        <rFont val="Calibri"/>
      </rPr>
      <t>Услуга 2</t>
    </r>
    <r>
      <rPr>
        <sz val="12"/>
        <color rgb="FF000000"/>
        <rFont val="Calibri"/>
      </rPr>
      <t xml:space="preserve"> (прокат автомобиля)</t>
    </r>
  </si>
  <si>
    <r>
      <rPr>
        <sz val="12"/>
        <color rgb="FFC65911"/>
        <rFont val="Calibri"/>
        <scheme val="minor"/>
      </rPr>
      <t>Услуга 3</t>
    </r>
    <r>
      <rPr>
        <sz val="12"/>
        <color rgb="FF000000"/>
        <rFont val="Calibri"/>
        <scheme val="minor"/>
      </rPr>
      <t xml:space="preserve"> (услуги автоинструктора)</t>
    </r>
  </si>
  <si>
    <r>
      <rPr>
        <sz val="12"/>
        <color rgb="FFC65911"/>
        <rFont val="Calibri"/>
        <scheme val="minor"/>
      </rPr>
      <t xml:space="preserve">Услуга 4 </t>
    </r>
    <r>
      <rPr>
        <sz val="12"/>
        <color rgb="FF000000"/>
        <rFont val="Calibri"/>
        <scheme val="minor"/>
      </rPr>
      <t>(обучающие интенсивы)</t>
    </r>
  </si>
  <si>
    <r>
      <rPr>
        <sz val="12"/>
        <color rgb="FFC65911"/>
        <rFont val="Calibri"/>
        <scheme val="minor"/>
      </rPr>
      <t>Услуга 5</t>
    </r>
    <r>
      <rPr>
        <sz val="12"/>
        <color rgb="FF000000"/>
        <rFont val="Calibri"/>
        <scheme val="minor"/>
      </rPr>
      <t xml:space="preserve"> (аренда симулятора)</t>
    </r>
  </si>
  <si>
    <r>
      <rPr>
        <sz val="12"/>
        <color rgb="FFC65911"/>
        <rFont val="Calibri"/>
        <scheme val="minor"/>
      </rPr>
      <t>Услуга 6</t>
    </r>
    <r>
      <rPr>
        <sz val="12"/>
        <color rgb="FF000000"/>
        <rFont val="Calibri"/>
        <scheme val="minor"/>
      </rPr>
      <t xml:space="preserve"> (аренда беседки)</t>
    </r>
  </si>
  <si>
    <r>
      <rPr>
        <sz val="12"/>
        <color rgb="FFC65911"/>
        <rFont val="Calibri"/>
        <scheme val="minor"/>
      </rPr>
      <t>Услуга 7</t>
    </r>
    <r>
      <rPr>
        <sz val="12"/>
        <color rgb="FF000000"/>
        <rFont val="Calibri"/>
        <scheme val="minor"/>
      </rPr>
      <t xml:space="preserve"> (аренда места на стоянке)</t>
    </r>
  </si>
  <si>
    <r>
      <rPr>
        <sz val="12"/>
        <color rgb="FFC65911"/>
        <rFont val="Calibri"/>
        <scheme val="minor"/>
      </rPr>
      <t>Источник дохода 2</t>
    </r>
    <r>
      <rPr>
        <sz val="12"/>
        <color rgb="FF000000"/>
        <rFont val="Calibri"/>
        <scheme val="minor"/>
      </rPr>
      <t xml:space="preserve"> (прибыль автошколы)</t>
    </r>
  </si>
  <si>
    <t>-</t>
  </si>
  <si>
    <r>
      <rPr>
        <sz val="12"/>
        <color rgb="FFC65911"/>
        <rFont val="Calibri"/>
        <scheme val="minor"/>
      </rPr>
      <t>Источник дохода 3</t>
    </r>
    <r>
      <rPr>
        <sz val="12"/>
        <color rgb="FF000000"/>
        <rFont val="Calibri"/>
        <scheme val="minor"/>
      </rPr>
      <t xml:space="preserve"> (прибыль кафетерия)</t>
    </r>
  </si>
  <si>
    <r>
      <rPr>
        <sz val="12"/>
        <color rgb="FFC65911"/>
        <rFont val="Calibri"/>
      </rPr>
      <t>Источник дохода 4</t>
    </r>
    <r>
      <rPr>
        <sz val="12"/>
        <color rgb="FF000000"/>
        <rFont val="Calibri"/>
      </rPr>
      <t xml:space="preserve"> Топливо 92</t>
    </r>
  </si>
  <si>
    <t>3000л</t>
  </si>
  <si>
    <r>
      <rPr>
        <sz val="12"/>
        <color rgb="FFC65911"/>
        <rFont val="Calibri"/>
      </rPr>
      <t>Источник дохода 5</t>
    </r>
    <r>
      <rPr>
        <sz val="12"/>
        <color rgb="FF000000"/>
        <rFont val="Calibri"/>
      </rPr>
      <t xml:space="preserve"> Топливо 95</t>
    </r>
  </si>
  <si>
    <t>2000л</t>
  </si>
  <si>
    <t>Источники дохода</t>
  </si>
  <si>
    <t>Показатели</t>
  </si>
  <si>
    <t>Продажи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</si>
  <si>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</si>
  <si>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</si>
  <si>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</si>
  <si>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</si>
  <si>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</si>
  <si>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</si>
  <si>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</si>
  <si>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</si>
  <si>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</si>
  <si>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</si>
  <si>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</si>
  <si>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</si>
  <si>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</si>
  <si>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</si>
  <si>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</si>
  <si>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</si>
  <si>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</si>
  <si>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</si>
  <si>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</si>
  <si>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</si>
  <si>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</si>
  <si>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</si>
  <si>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</si>
  <si>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</si>
  <si>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Оказание услуг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</si>
  <si>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</si>
  <si>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</si>
  <si>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</si>
  <si>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</si>
  <si>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</si>
  <si>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</si>
  <si>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</si>
  <si>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 xml:space="preserve">Источник дохода 2 </t>
  </si>
  <si>
    <t xml:space="preserve">Источник дохода 3 </t>
  </si>
  <si>
    <t>Источник дохода 4</t>
  </si>
  <si>
    <t>Источник дохода 5</t>
  </si>
  <si>
    <t xml:space="preserve"> </t>
  </si>
  <si>
    <t>Скрытые строки: 1-16 (Средний показатель продаж)/ 35-50 (выплаты по автомобилям)</t>
  </si>
  <si>
    <t xml:space="preserve">Выплаты по автомобилям </t>
  </si>
  <si>
    <t xml:space="preserve">Платеж </t>
  </si>
  <si>
    <t>Остаток</t>
  </si>
  <si>
    <t>Расчет окупаемости компании</t>
  </si>
  <si>
    <t>Выручка (доход)</t>
  </si>
  <si>
    <t>Ежемесячные затраты</t>
  </si>
  <si>
    <t>Валовый доход</t>
  </si>
  <si>
    <t>Налоги (6%)</t>
  </si>
  <si>
    <t>Чистая прибыль</t>
  </si>
  <si>
    <t>Чистая прибыль нарастающим итогом</t>
  </si>
  <si>
    <t>Инвестзатраты</t>
  </si>
  <si>
    <t>Срок окупаемости, мес.</t>
  </si>
  <si>
    <t>11 месяцев</t>
  </si>
  <si>
    <t>Инвестору (нарастающим потоком) - 35%</t>
  </si>
  <si>
    <t>ООО</t>
  </si>
  <si>
    <t>{"hash":"328ad72a5441a1dee9ec7699cef9fb50c8d7bcb559ffe80f1996e2f4e00b3cb4","version":1,"value":"[[\"Hi! How can I assist you today?\"]]"}</t>
  </si>
  <si>
    <t>Показатель</t>
  </si>
  <si>
    <t>Значение</t>
  </si>
  <si>
    <t>Ставка дисконтирования, %</t>
  </si>
  <si>
    <t>Период окупаемости – РВ, мес.</t>
  </si>
  <si>
    <t>Дисконтированный срок окупаемости – DPB, мес.</t>
  </si>
  <si>
    <t>Чистый дисконтированный доход – NPV, руб.</t>
  </si>
  <si>
    <t>Индекс прибыльности – PI</t>
  </si>
  <si>
    <t>Внутренняя норма рентабельности – IRR,%</t>
  </si>
  <si>
    <t>Рентабельность продаж</t>
  </si>
  <si>
    <t>PV1 год 1</t>
  </si>
  <si>
    <t>PV2 месяц 13</t>
  </si>
  <si>
    <t>PV3 месяц 14</t>
  </si>
  <si>
    <t>PV4 месяц 15</t>
  </si>
  <si>
    <t>PV5 месяц 16</t>
  </si>
  <si>
    <t>PV6 месяц 17</t>
  </si>
  <si>
    <t>PV7 месяц 18</t>
  </si>
  <si>
    <t>PV8 месяц 19</t>
  </si>
  <si>
    <t>PV9 месяц 20</t>
  </si>
  <si>
    <t>PV1 год 2</t>
  </si>
  <si>
    <t>Доходы 1</t>
  </si>
  <si>
    <t>Доходы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</si>
</sst>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#,##0.00\ [$₽-419]"/>
    <numFmt numFmtId="165" formatCode="#,##0.00\ &quot;₽&quot;"/>
    <numFmt numFmtId="166" formatCode="#,##0.000\ &quot;₽&quot;"/>
    <numFmt numFmtId="167" formatCode="0.0"/>
    <numFmt numFmtId="168" formatCode="#,##0\ &quot;₽&quot;"/>
  </numFmts>
  <fonts count="22">
    <font>
      <sz val="11"/>
      <color theme="1"/>
      <name val="Calibri"/>
      <family val="2"/>
      <scheme val="minor"/>
    </font>
    <font>
      <sz val="11"/>
      <color rgb="FF242424"/>
      <name val="Calibri"/>
      <family val="2"/>
      <charset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sz val="12"/>
      <color theme="0"/>
      <name val="Calibri"/>
      <scheme val="minor"/>
    </font>
    <font>
      <sz val="11"/>
      <color rgb="FF000000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65911"/>
      <name val="Calibri"/>
      <scheme val="minor"/>
    </font>
    <font>
      <sz val="12"/>
      <color rgb="FF000000"/>
      <name val="Calibri"/>
      <scheme val="minor"/>
    </font>
    <font>
      <sz val="12"/>
      <color rgb="FFC65911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AC3F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DAFF"/>
        <bgColor indexed="64"/>
      </patternFill>
    </fill>
    <fill>
      <patternFill patternType="solid">
        <fgColor rgb="FF5CA3FF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000000"/>
      </left>
      <right/>
      <top/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5" xfId="0" applyFont="1" applyBorder="1" applyAlignment="1">
      <alignment readingOrder="1"/>
    </xf>
    <xf numFmtId="0" fontId="4" fillId="8" borderId="3" xfId="0" applyFont="1" applyFill="1" applyBorder="1" applyAlignment="1">
      <alignment readingOrder="1"/>
    </xf>
    <xf numFmtId="0" fontId="5" fillId="0" borderId="0" xfId="0" applyFont="1" applyAlignment="1">
      <alignment readingOrder="1"/>
    </xf>
    <xf numFmtId="0" fontId="4" fillId="10" borderId="3" xfId="0" applyFont="1" applyFill="1" applyBorder="1" applyAlignment="1">
      <alignment readingOrder="1"/>
    </xf>
    <xf numFmtId="165" fontId="4" fillId="0" borderId="4" xfId="0" applyNumberFormat="1" applyFont="1" applyBorder="1" applyAlignment="1">
      <alignment horizontal="center" readingOrder="1"/>
    </xf>
    <xf numFmtId="165" fontId="5" fillId="0" borderId="0" xfId="0" applyNumberFormat="1" applyFont="1" applyAlignment="1">
      <alignment horizontal="center" readingOrder="1"/>
    </xf>
    <xf numFmtId="165" fontId="5" fillId="0" borderId="5" xfId="0" applyNumberFormat="1" applyFont="1" applyBorder="1" applyAlignment="1">
      <alignment horizontal="center" readingOrder="1"/>
    </xf>
    <xf numFmtId="0" fontId="6" fillId="9" borderId="1" xfId="0" applyFont="1" applyFill="1" applyBorder="1" applyAlignment="1">
      <alignment horizontal="center" vertical="center" readingOrder="1"/>
    </xf>
    <xf numFmtId="0" fontId="6" fillId="9" borderId="2" xfId="0" applyFont="1" applyFill="1" applyBorder="1" applyAlignment="1">
      <alignment horizontal="center" readingOrder="1"/>
    </xf>
    <xf numFmtId="0" fontId="4" fillId="11" borderId="3" xfId="0" applyFont="1" applyFill="1" applyBorder="1" applyAlignment="1">
      <alignment readingOrder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165" fontId="0" fillId="0" borderId="6" xfId="0" applyNumberFormat="1" applyBorder="1" applyAlignment="1">
      <alignment vertical="center"/>
    </xf>
    <xf numFmtId="165" fontId="0" fillId="5" borderId="6" xfId="0" applyNumberFormat="1" applyFill="1" applyBorder="1" applyAlignment="1">
      <alignment horizontal="right" vertical="top"/>
    </xf>
    <xf numFmtId="165" fontId="0" fillId="5" borderId="6" xfId="0" applyNumberFormat="1" applyFill="1" applyBorder="1" applyAlignment="1">
      <alignment horizontal="right" vertical="center"/>
    </xf>
    <xf numFmtId="0" fontId="3" fillId="0" borderId="6" xfId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0" fillId="5" borderId="6" xfId="0" applyFill="1" applyBorder="1" applyAlignment="1">
      <alignment vertical="top" wrapText="1"/>
    </xf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 horizontal="right" vertical="center"/>
    </xf>
    <xf numFmtId="165" fontId="0" fillId="5" borderId="6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165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vertical="center"/>
    </xf>
    <xf numFmtId="2" fontId="4" fillId="0" borderId="4" xfId="0" applyNumberFormat="1" applyFont="1" applyBorder="1" applyAlignment="1">
      <alignment horizontal="center" readingOrder="1"/>
    </xf>
    <xf numFmtId="166" fontId="0" fillId="0" borderId="0" xfId="0" applyNumberFormat="1"/>
    <xf numFmtId="10" fontId="4" fillId="0" borderId="4" xfId="0" applyNumberFormat="1" applyFont="1" applyBorder="1" applyAlignment="1">
      <alignment horizontal="center" readingOrder="1"/>
    </xf>
    <xf numFmtId="0" fontId="8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0" fontId="13" fillId="0" borderId="0" xfId="0" applyFont="1"/>
    <xf numFmtId="2" fontId="5" fillId="0" borderId="0" xfId="0" applyNumberFormat="1" applyFont="1"/>
    <xf numFmtId="0" fontId="4" fillId="0" borderId="0" xfId="0" applyFont="1"/>
    <xf numFmtId="165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0" fillId="0" borderId="12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8" fillId="0" borderId="0" xfId="0" applyNumberFormat="1" applyFont="1" applyAlignment="1">
      <alignment horizontal="left"/>
    </xf>
    <xf numFmtId="167" fontId="8" fillId="0" borderId="0" xfId="0" applyNumberFormat="1" applyFont="1"/>
    <xf numFmtId="167" fontId="4" fillId="0" borderId="4" xfId="0" applyNumberFormat="1" applyFont="1" applyBorder="1" applyAlignment="1">
      <alignment horizontal="center" readingOrder="1"/>
    </xf>
    <xf numFmtId="0" fontId="8" fillId="12" borderId="0" xfId="0" applyFont="1" applyFill="1"/>
    <xf numFmtId="0" fontId="8" fillId="12" borderId="0" xfId="0" applyFont="1" applyFill="1" applyAlignment="1">
      <alignment horizontal="right"/>
    </xf>
    <xf numFmtId="165" fontId="8" fillId="12" borderId="0" xfId="0" applyNumberFormat="1" applyFont="1" applyFill="1"/>
    <xf numFmtId="0" fontId="0" fillId="0" borderId="6" xfId="0" applyBorder="1" applyAlignment="1">
      <alignment horizontal="center" vertical="top" wrapText="1"/>
    </xf>
    <xf numFmtId="0" fontId="0" fillId="2" borderId="20" xfId="0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1" fontId="0" fillId="2" borderId="0" xfId="0" applyNumberFormat="1" applyFill="1"/>
    <xf numFmtId="165" fontId="0" fillId="0" borderId="6" xfId="0" applyNumberFormat="1" applyBorder="1" applyAlignment="1">
      <alignment horizontal="left" vertical="center" wrapText="1"/>
    </xf>
    <xf numFmtId="0" fontId="8" fillId="0" borderId="12" xfId="0" applyFont="1" applyBorder="1"/>
    <xf numFmtId="165" fontId="8" fillId="0" borderId="12" xfId="0" applyNumberFormat="1" applyFont="1" applyBorder="1"/>
    <xf numFmtId="1" fontId="8" fillId="0" borderId="12" xfId="0" applyNumberFormat="1" applyFont="1" applyBorder="1" applyAlignment="1">
      <alignment horizontal="right"/>
    </xf>
    <xf numFmtId="168" fontId="8" fillId="0" borderId="12" xfId="0" applyNumberFormat="1" applyFont="1" applyBorder="1"/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65" fontId="0" fillId="5" borderId="12" xfId="0" applyNumberFormat="1" applyFill="1" applyBorder="1" applyAlignment="1">
      <alignment horizontal="right" vertical="center"/>
    </xf>
    <xf numFmtId="165" fontId="0" fillId="6" borderId="12" xfId="0" applyNumberFormat="1" applyFill="1" applyBorder="1" applyAlignment="1">
      <alignment horizontal="right" vertical="center"/>
    </xf>
    <xf numFmtId="0" fontId="17" fillId="13" borderId="0" xfId="0" applyFont="1" applyFill="1" applyAlignment="1">
      <alignment vertical="center"/>
    </xf>
    <xf numFmtId="165" fontId="17" fillId="13" borderId="0" xfId="0" applyNumberFormat="1" applyFont="1" applyFill="1" applyAlignment="1">
      <alignment horizontal="right" vertical="center"/>
    </xf>
    <xf numFmtId="0" fontId="17" fillId="13" borderId="0" xfId="0" applyFont="1" applyFill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/>
    </xf>
    <xf numFmtId="167" fontId="8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18" fillId="2" borderId="0" xfId="0" applyFont="1" applyFill="1"/>
    <xf numFmtId="165" fontId="18" fillId="2" borderId="0" xfId="0" applyNumberFormat="1" applyFont="1" applyFill="1" applyAlignment="1">
      <alignment horizontal="center" vertical="center"/>
    </xf>
    <xf numFmtId="165" fontId="18" fillId="2" borderId="0" xfId="0" applyNumberFormat="1" applyFont="1" applyFill="1"/>
    <xf numFmtId="0" fontId="8" fillId="2" borderId="0" xfId="0" applyFont="1" applyFill="1"/>
    <xf numFmtId="0" fontId="11" fillId="13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0" fillId="5" borderId="10" xfId="0" applyNumberFormat="1" applyFill="1" applyBorder="1" applyAlignment="1">
      <alignment horizontal="right" vertical="top"/>
    </xf>
    <xf numFmtId="165" fontId="0" fillId="5" borderId="11" xfId="0" applyNumberFormat="1" applyFill="1" applyBorder="1" applyAlignment="1">
      <alignment horizontal="right" vertical="top"/>
    </xf>
    <xf numFmtId="165" fontId="0" fillId="5" borderId="8" xfId="0" applyNumberFormat="1" applyFill="1" applyBorder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5" borderId="15" xfId="0" applyNumberFormat="1" applyFill="1" applyBorder="1" applyAlignment="1">
      <alignment horizontal="right" vertical="center"/>
    </xf>
    <xf numFmtId="165" fontId="0" fillId="5" borderId="18" xfId="0" applyNumberFormat="1" applyFill="1" applyBorder="1" applyAlignment="1">
      <alignment horizontal="right" vertical="center"/>
    </xf>
    <xf numFmtId="165" fontId="0" fillId="6" borderId="15" xfId="0" applyNumberFormat="1" applyFill="1" applyBorder="1" applyAlignment="1">
      <alignment horizontal="right" vertical="center"/>
    </xf>
    <xf numFmtId="165" fontId="0" fillId="6" borderId="18" xfId="0" applyNumberFormat="1" applyFill="1" applyBorder="1" applyAlignment="1">
      <alignment horizontal="right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 wrapText="1"/>
    </xf>
    <xf numFmtId="165" fontId="0" fillId="5" borderId="6" xfId="0" applyNumberFormat="1" applyFill="1" applyBorder="1" applyAlignment="1">
      <alignment horizontal="right" vertical="top"/>
    </xf>
    <xf numFmtId="165" fontId="0" fillId="5" borderId="6" xfId="0" applyNumberFormat="1" applyFill="1" applyBorder="1" applyAlignment="1">
      <alignment horizontal="right" vertical="center"/>
    </xf>
    <xf numFmtId="165" fontId="0" fillId="0" borderId="6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1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7" fillId="14" borderId="0" xfId="0" applyFont="1" applyFill="1" applyAlignment="1">
      <alignment vertical="center"/>
    </xf>
    <xf numFmtId="0" fontId="17" fillId="14" borderId="0" xfId="0" applyFont="1" applyFill="1" applyAlignment="1">
      <alignment horizontal="center" vertical="top" wrapText="1"/>
    </xf>
    <xf numFmtId="0" fontId="17" fillId="14" borderId="0" xfId="0" applyFont="1" applyFill="1" applyAlignment="1">
      <alignment horizontal="center" vertical="center" wrapText="1"/>
    </xf>
    <xf numFmtId="0" fontId="17" fillId="14" borderId="0" xfId="0" applyFont="1" applyFill="1" applyAlignment="1">
      <alignment horizontal="center" vertical="center"/>
    </xf>
    <xf numFmtId="165" fontId="17" fillId="14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vertical="center" wrapText="1"/>
    </xf>
  </cellXfs>
  <cellStyles count="2">
    <cellStyle name="Hyperlink" xfId="1" xr:uid="{00000000-000B-0000-0000-000008000000}"/>
    <cellStyle name="Обычный" xfId="0" builtinId="0"/>
  </cellStyles>
  <dxfs count="0"/>
  <tableStyles count="0" defaultTableStyle="TableStyleMedium2" defaultPivotStyle="PivotStyleMedium9"/>
  <colors>
    <mruColors>
      <color rgb="FFAEAAAA"/>
      <color rgb="FFAAC3FA"/>
      <color rgb="FFFCC19A"/>
      <color rgb="FF5CA3FF"/>
      <color rgb="FFEDEDE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266700</xdr:rowOff>
    </xdr:from>
    <xdr:to>
      <xdr:col>9</xdr:col>
      <xdr:colOff>152400</xdr:colOff>
      <xdr:row>14</xdr:row>
      <xdr:rowOff>180975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1E1A74-421A-4894-BABD-3FFB10128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0" y="266700"/>
          <a:ext cx="3305175" cy="3305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18</xdr:row>
      <xdr:rowOff>0</xdr:rowOff>
    </xdr:from>
    <xdr:to>
      <xdr:col>58</xdr:col>
      <xdr:colOff>257175</xdr:colOff>
      <xdr:row>33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5F7031-FDA8-4FC1-A60F-9C248FD74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69475" y="381000"/>
          <a:ext cx="3305175" cy="3305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9</xdr:col>
      <xdr:colOff>257175</xdr:colOff>
      <xdr:row>25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4922136-B696-4215-9CE4-8EC153EFF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190500"/>
          <a:ext cx="3305175" cy="330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994434A-DAD3-4C7B-AC15-E64AFA89A689}">
  <we:reference id="wa200005502" version="1.0.0.9" store="en-US" storeType="omex"/>
  <we:alternateReferences>
    <we:reference id="wa200005502" version="1.0.0.9" store="en-US" storeType="omex"/>
  </we:alternateReferences>
  <we:properties>
    <we:property name="docId" value="&quot;7b2f2cb7-9b15-4093-993c-9bf1fe577921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go-rizont.ru/tovar/konturnaya-myagkaya-igrushka-policiya-ra-311" TargetMode="External"/><Relationship Id="rId18" Type="http://schemas.openxmlformats.org/officeDocument/2006/relationships/hyperlink" Target="https://sam.saturn.net/catalog/Stroymateriali/Izdeliya-iz-drevesini/DREVESNO-PLITNIE-MATERIALI/OSP-OSB/Plita-OSB-3-vlagostoykaya-9h2500h1250-mm-evropeyskiy-standart-Rossiya/" TargetMode="External"/><Relationship Id="rId26" Type="http://schemas.openxmlformats.org/officeDocument/2006/relationships/hyperlink" Target="https://leroymerlin.ru/product/podlozhka-pod-napolnoe-pokrytie-atrium-15-mm-10-m-87208930/" TargetMode="External"/><Relationship Id="rId39" Type="http://schemas.openxmlformats.org/officeDocument/2006/relationships/hyperlink" Target="https://hoff.ru/catalog/ofis/domashniy_ofis/ofisnye_kresla/dizaynerskiye_ofisnye_kresla/kreslo_ofisnoe_polli_id8960809/?articul=80545629" TargetMode="External"/><Relationship Id="rId21" Type="http://schemas.openxmlformats.org/officeDocument/2006/relationships/hyperlink" Target="https://lesobaza-samara.ru/page5" TargetMode="External"/><Relationship Id="rId34" Type="http://schemas.openxmlformats.org/officeDocument/2006/relationships/hyperlink" Target="https://union63.ru/catalog/product/falc-dvojnoj-stoyachij-045-drap-s-plenkoj-na-zamkah-ral-8017-shokolad/" TargetMode="External"/><Relationship Id="rId42" Type="http://schemas.openxmlformats.org/officeDocument/2006/relationships/hyperlink" Target="https://hoff.ru/catalog/ofis/domashniy_ofis/komputernye_stoly/stoly/pismennyy_stol_fantom_id6362333/?articul=80352865" TargetMode="External"/><Relationship Id="rId47" Type="http://schemas.openxmlformats.org/officeDocument/2006/relationships/hyperlink" Target="https://market.yandex.ru/product--svetodiodnyi-videopilon-p4-1920x960mm-interernyi-led-pilon-led-garant/1776775000?sku=101851572061&amp;do-waremd5=0bimc9XwjhvcUJdhYqIXyA&amp;uniqueId=1169067" TargetMode="External"/><Relationship Id="rId50" Type="http://schemas.openxmlformats.org/officeDocument/2006/relationships/hyperlink" Target="https://www.eldorado.ru/cat/detail/noutbuk-lenovo-ideapad-flex-5-14itl05-82hs00k8ru/" TargetMode="External"/><Relationship Id="rId7" Type="http://schemas.openxmlformats.org/officeDocument/2006/relationships/hyperlink" Target="https://sam.evraz.market/metalloprokat/truby/truba_profilnaya/truba_profilnaya_120kh80kh4_st3sp_gost_30245_2003/" TargetMode="External"/><Relationship Id="rId2" Type="http://schemas.openxmlformats.org/officeDocument/2006/relationships/hyperlink" Target="https://lesobaza-samara.ru/page9" TargetMode="External"/><Relationship Id="rId16" Type="http://schemas.openxmlformats.org/officeDocument/2006/relationships/hyperlink" Target="https://www.ozon.ru/product/detskiy-stol-kruglyy-derevyannyy-mega-toys-stolik-dlya-malyshey-iz-dereva-risovaniya-igrovoy-komnaty-553305550/?asb=wg2TH%252BPByr6gt0pIFHyJLEt7pZ7PRceCtr2QXqY3njo%253D&amp;asb2=GRSMqDuNwyO82NfP0lmLHR0zWDpOSTcjSAJiCoYIrfhPLq-SaX0RuK9s_FhXWp09&amp;avtc=1&amp;avte=2&amp;avts=1702055299&amp;keywords=&#1089;&#1090;&#1086;&#1083;&#1080;&#1082;+&#1076;&#1077;&#1090;&#1089;&#1082;&#1080;&#1081;+&#1082;&#1088;&#1091;&#1075;&#1083;&#1099;&#1081;" TargetMode="External"/><Relationship Id="rId29" Type="http://schemas.openxmlformats.org/officeDocument/2006/relationships/hyperlink" Target="https://fotovdom.ru/katalog-fotooboev/zakaz/" TargetMode="External"/><Relationship Id="rId11" Type="http://schemas.openxmlformats.org/officeDocument/2006/relationships/hyperlink" Target="https://samara.bestmebelshop.ru/catalog/mebel-dlya-ofisa/stoyka-resepshn-frank-1-bms/" TargetMode="External"/><Relationship Id="rId24" Type="http://schemas.openxmlformats.org/officeDocument/2006/relationships/hyperlink" Target="https://samara.leroymerlin.ru/product/linoleum-dub-vagner-33-klass-4-m-83707653/" TargetMode="External"/><Relationship Id="rId32" Type="http://schemas.openxmlformats.org/officeDocument/2006/relationships/hyperlink" Target="https://stolyarych.ru/portfolio?project_type=1" TargetMode="External"/><Relationship Id="rId37" Type="http://schemas.openxmlformats.org/officeDocument/2006/relationships/hyperlink" Target="https://hoff.ru/catalog/ofis/domashniy_ofis/ofisnye_kresla/kresla_rukovoditelya/kreslo_comet_id8198373/?articul=80450191" TargetMode="External"/><Relationship Id="rId40" Type="http://schemas.openxmlformats.org/officeDocument/2006/relationships/hyperlink" Target="https://www.ozon.ru/product/86-interaktivnaya-panel-digitouch-t3-11-86-chernyy-1209404707/?advert=uR6mZuanadqoFmrF5ko2QtbU2RaIKg5cLVgaCFjNp6D8-3HgGyEn2fYjnk4kGmrDqCf9Jr-2qikqIFazFxFjvaNe5cyaFBUH0J0pw5wpbjIgxk6EV9lx8ikBI3VM2ARyN7EgQ4YECUy4_5k0SjcnvMovvU9RL_gTnugzosDfOHfxSun4XPmdsBm4-XseZ7_VBniaNcBCMmFnQ7ddEqBtCrp5y9TpvO_DNdBQhpdN14utZVquo9SCaBS_c-XX3A7LLmDnKfL8-pf3SOf_FZuSfRiHVPMLYXZ_DK-poi_Qh4idptCFnXuCjVNhLrDHRkYWUgE2a-gJgyFjS1-CF3c&amp;avtc=1&amp;avte=2&amp;avts=1702297836&amp;keywords=&#1080;&#1085;&#1090;&#1077;&#1088;&#1072;&#1082;&#1090;&#1080;&#1074;&#1085;&#1072;&#1103;+&#1087;&#1072;&#1085;&#1077;&#1083;&#1100;+&#1076;&#1083;&#1103;+&#1096;&#1082;&#1086;&#1083;&#1099;" TargetMode="External"/><Relationship Id="rId45" Type="http://schemas.openxmlformats.org/officeDocument/2006/relationships/hyperlink" Target="https://bizorg.su/avtotrenazhery-r/p23634861-avtotrener3p" TargetMode="External"/><Relationship Id="rId5" Type="http://schemas.openxmlformats.org/officeDocument/2006/relationships/hyperlink" Target="https://tolyatti.vseinstrumenti.ru/product/paropronitsaemaya-vetro-vlagozaschitnaya-membrana-nanoizol-a-35-kv-m-nanoizol-4620008720142-1647187/" TargetMode="External"/><Relationship Id="rId15" Type="http://schemas.openxmlformats.org/officeDocument/2006/relationships/hyperlink" Target="https://www.ozon.ru/product/nabor-igrovoy-hot-wheels-siti-tryukovoy-garazh-gnl70-685717068/?avtc=1&amp;avte=2&amp;avts=1702054913" TargetMode="External"/><Relationship Id="rId23" Type="http://schemas.openxmlformats.org/officeDocument/2006/relationships/hyperlink" Target="https://samara.leroymerlin.ru/product/ekstrudirovannyy-penopolistirol-50-mm-tehnonikol-carbon-eco-580x1180-mm-069-m-89143445/" TargetMode="External"/><Relationship Id="rId28" Type="http://schemas.openxmlformats.org/officeDocument/2006/relationships/hyperlink" Target="https://samara.leroymerlin.ru/product/oboi-flizelinovye-aspekt-ru-muza-belye-106-m-asp30251-11e-87964084/" TargetMode="External"/><Relationship Id="rId36" Type="http://schemas.openxmlformats.org/officeDocument/2006/relationships/hyperlink" Target="https://hoff.ru/catalog/ofis/domashniy_ofis/ofisnye_kresla/dizaynerskiye_ofisnye_kresla/kreslo_ofisnoe_vans_id9218813/?articul=80560303" TargetMode="External"/><Relationship Id="rId49" Type="http://schemas.openxmlformats.org/officeDocument/2006/relationships/hyperlink" Target="https://plitkaoboi63.ru/kupit-plitka-v-samare" TargetMode="External"/><Relationship Id="rId10" Type="http://schemas.openxmlformats.org/officeDocument/2006/relationships/hyperlink" Target="https://torgkom70.ru/product/zarjadnaja-stancija-stol-power-table-t1-soho/" TargetMode="External"/><Relationship Id="rId19" Type="http://schemas.openxmlformats.org/officeDocument/2006/relationships/hyperlink" Target="https://sam.saturn.net/catalog/Stroymateriali/Izdeliya-iz-drevesini/DREVESNO-PLITNIE-MATERIALI/OSP-OSB/Plita-OSB-3-vlagostoykaya-22h2500h1250-mm-evropeyskiy-standart-Rossiya/" TargetMode="External"/><Relationship Id="rId31" Type="http://schemas.openxmlformats.org/officeDocument/2006/relationships/hyperlink" Target="https://samara.allumax.ru/product/panoramnoe-aljuminievoe-okno/" TargetMode="External"/><Relationship Id="rId44" Type="http://schemas.openxmlformats.org/officeDocument/2006/relationships/hyperlink" Target="https://hoff.ru/catalog/ofis/mebel_dlya_ofisa/ofisnye_shkafy_i_stellazhi/ofisnye_shkafy/shkaf_dlya_odezhdy_avance_id8693737/?articul=80530118" TargetMode="External"/><Relationship Id="rId4" Type="http://schemas.openxmlformats.org/officeDocument/2006/relationships/hyperlink" Target="https://samara.leroymerlin.ru/product/otrazhayushchaya-izolyaciya-porileks-npe-lp-3-mm-15-m-82616272/" TargetMode="External"/><Relationship Id="rId9" Type="http://schemas.openxmlformats.org/officeDocument/2006/relationships/hyperlink" Target="https://hoff.ru/catalog/gostinaya/divany/pryamye/divan_komo_id8422123/?articul=80512308" TargetMode="External"/><Relationship Id="rId14" Type="http://schemas.openxmlformats.org/officeDocument/2006/relationships/hyperlink" Target="https://go-rizont.ru/tovar/myagkoe-detskoe-kreslo-myach-d-80-belyy-s-cvetnymi-vstavkami-la64" TargetMode="External"/><Relationship Id="rId22" Type="http://schemas.openxmlformats.org/officeDocument/2006/relationships/hyperlink" Target="https://samara.leroymerlin.ru/product/uteplitel-teploknauf-stena-plita-50-mm-6-m-18482116/" TargetMode="External"/><Relationship Id="rId27" Type="http://schemas.openxmlformats.org/officeDocument/2006/relationships/hyperlink" Target="https://gardeck.ru/planken_iz_dpk" TargetMode="External"/><Relationship Id="rId30" Type="http://schemas.openxmlformats.org/officeDocument/2006/relationships/hyperlink" Target="https://veara.ru/ru/catalog/npu-001" TargetMode="External"/><Relationship Id="rId35" Type="http://schemas.openxmlformats.org/officeDocument/2006/relationships/hyperlink" Target="https://www.komus.ru/katalog/mebel/mebel-dlya-obrazovatelnykh-uchrezhdenij/shkolnaya-mebel/party/stol-uchenicheskij-dvukhmestnyj-seryj-rost-7-/p/1537889/?from=block-301-0_11" TargetMode="External"/><Relationship Id="rId43" Type="http://schemas.openxmlformats.org/officeDocument/2006/relationships/hyperlink" Target="https://hoff.ru/catalog/ofis/mebel_dlya_ofisa/ofisnye_shkafy_i_stellazhi/ofisnye_shkafy/shkaf_byudzhet_id7673537/?articul=80401622" TargetMode="External"/><Relationship Id="rId48" Type="http://schemas.openxmlformats.org/officeDocument/2006/relationships/hyperlink" Target="https://krugdom.ru/calc/" TargetMode="External"/><Relationship Id="rId8" Type="http://schemas.openxmlformats.org/officeDocument/2006/relationships/hyperlink" Target="https://lesobaza-samara.ru/page8?pid=72622614" TargetMode="External"/><Relationship Id="rId51" Type="http://schemas.openxmlformats.org/officeDocument/2006/relationships/hyperlink" Target="https://www.eldorado.ru/cat/detail/lazernyy-printer-pantum-p3010d-71666461/" TargetMode="External"/><Relationship Id="rId3" Type="http://schemas.openxmlformats.org/officeDocument/2006/relationships/hyperlink" Target="https://market.yandex.ru/product--opora-brusa-50kh100mm-otkrytaia-obr-r-10-sht/1778041478?sponsored=1&amp;sku=1769126033&amp;do-waremd5=52UAwa1822D3ITJJnIBAeA&amp;uniqueId=767167" TargetMode="External"/><Relationship Id="rId12" Type="http://schemas.openxmlformats.org/officeDocument/2006/relationships/hyperlink" Target="https://go-rizont.ru/tovar/plastikovyy-igrovoy-kompleks-s-gorkoy-mashinka-dlya-dachi-i-doma-siniy-vt-458" TargetMode="External"/><Relationship Id="rId17" Type="http://schemas.openxmlformats.org/officeDocument/2006/relationships/hyperlink" Target="https://www.ozon.ru/product/kovrik-pazl-plyushevaya-dlya-zimy-1305500572/?advert=kARXvPpdA_1s6hfVEK3Ul8--3Nk1TiaBRBVAo6_hW9W5kuXAs0lS4SKdzR8V2-ie13OxpHUaL5s5tbY5Ss52Ikg7dJEmnQOadVcU89BARM1WiK4R_GC-_snQmHAhG83ynm8OT-Myo8tGHukE76P6oo0u8tf5n7UCvqr-a7fqu77fjNamQtmsRYdxGZV0xZix6Z4VBna-QUtepRLCXoGXI98rnRTwNuk-MKozFyqxKU57X_AtOLFdVaddp0mxKsZ0DMue-lIa0cILwFJN6_NV_3av8BVl_p6bI_ghcUCSL9QCJmcI_W6TXZRu2kBdYXYHvi9PSua1kIKval1YXuoRVkAch2Pj&amp;avtc=1&amp;avte=2&amp;avts=1702126700&amp;keywords=&#1082;&#1086;&#1074;&#1088;&#1080;&#1082;+&#1087;&#1072;&#1079;&#1083;" TargetMode="External"/><Relationship Id="rId25" Type="http://schemas.openxmlformats.org/officeDocument/2006/relationships/hyperlink" Target="https://samara.leroymerlin.ru/product/laminatlamiwood-dubdymchatyy34-klass-tolshchina-12-mm-s-faskoy-175-m-90564671/" TargetMode="External"/><Relationship Id="rId33" Type="http://schemas.openxmlformats.org/officeDocument/2006/relationships/hyperlink" Target="https://potolki-sam.ru/ceny.html" TargetMode="External"/><Relationship Id="rId38" Type="http://schemas.openxmlformats.org/officeDocument/2006/relationships/hyperlink" Target="https://hoff.ru/catalog/ofis/domashniy_ofis/ofisnye_kresla/kresla/kreslo_rabochee_chaplin_id6681161/?articul=80344862" TargetMode="External"/><Relationship Id="rId46" Type="http://schemas.openxmlformats.org/officeDocument/2006/relationships/hyperlink" Target="https://bizorg.su/avtotrenazhery-r/p13645169-avtotrenazher-masterkamaz" TargetMode="External"/><Relationship Id="rId20" Type="http://schemas.openxmlformats.org/officeDocument/2006/relationships/hyperlink" Target="https://lesobaza-samara.ru/page5" TargetMode="External"/><Relationship Id="rId41" Type="http://schemas.openxmlformats.org/officeDocument/2006/relationships/hyperlink" Target="https://hoff.ru/catalog/ofis/domashniy_ofis/komputernye_stoly/stoly/stol_s_tremya_yashchikami_kvart_md_767_id2035671/?articul=80300350" TargetMode="External"/><Relationship Id="rId1" Type="http://schemas.openxmlformats.org/officeDocument/2006/relationships/hyperlink" Target="https://sam.evraz.market/metalloprokat/truby/truba_profilnaya/truba_profilnaya_100kh100kh4_st3sp_gost_30245_2003/" TargetMode="External"/><Relationship Id="rId6" Type="http://schemas.openxmlformats.org/officeDocument/2006/relationships/hyperlink" Target="https://tolyatti.vseinstrumenti.ru/product/paroizolyatsiya-nanoizol-b-70-kv-m-nanoizol-4620008720159-1647162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4"/>
  <sheetViews>
    <sheetView showGridLines="0" workbookViewId="0">
      <selection activeCell="D14" sqref="D14"/>
    </sheetView>
  </sheetViews>
  <sheetFormatPr defaultRowHeight="15"/>
  <cols>
    <col min="1" max="1" width="9.28515625" customWidth="1"/>
    <col min="2" max="2" width="55" customWidth="1"/>
    <col min="3" max="3" width="37.28515625" customWidth="1"/>
  </cols>
  <sheetData>
    <row r="1" spans="2:3" ht="26.25" customHeight="1"/>
    <row r="2" spans="2:3" ht="30.75" customHeight="1">
      <c r="B2" s="142" t="s">
        <v>0</v>
      </c>
      <c r="C2" s="142"/>
    </row>
    <row r="3" spans="2:3" ht="23.25" customHeight="1">
      <c r="B3" s="143" t="s">
        <v>1</v>
      </c>
      <c r="C3" s="143"/>
    </row>
    <row r="4" spans="2:3">
      <c r="B4" s="144"/>
      <c r="C4" s="145"/>
    </row>
    <row r="5" spans="2:3" ht="17.25" customHeight="1">
      <c r="B5" s="141" t="s">
        <v>2</v>
      </c>
      <c r="C5" s="141"/>
    </row>
    <row r="6" spans="2:3" ht="17.25" customHeight="1">
      <c r="B6" s="105" t="s">
        <v>3</v>
      </c>
      <c r="C6" s="106">
        <v>23000000</v>
      </c>
    </row>
    <row r="7" spans="2:3" ht="18" customHeight="1">
      <c r="B7" s="105" t="s">
        <v>4</v>
      </c>
      <c r="C7" s="107">
        <v>1</v>
      </c>
    </row>
    <row r="8" spans="2:3" ht="17.25" customHeight="1">
      <c r="B8" s="105" t="s">
        <v>5</v>
      </c>
      <c r="C8" s="105">
        <v>11</v>
      </c>
    </row>
    <row r="9" spans="2:3" ht="18" customHeight="1">
      <c r="B9" s="105" t="s">
        <v>6</v>
      </c>
      <c r="C9" s="108">
        <f>AVERAGE('Расчет окупаемости'!B7:Y7)</f>
        <v>3456272.3543333341</v>
      </c>
    </row>
    <row r="11" spans="2:3" ht="18" customHeight="1">
      <c r="B11" s="141" t="s">
        <v>7</v>
      </c>
      <c r="C11" s="141"/>
    </row>
    <row r="12" spans="2:3" ht="17.25" customHeight="1">
      <c r="B12" s="105" t="s">
        <v>8</v>
      </c>
      <c r="C12" s="108">
        <f>SUM('Затраты и издержки'!M12:M14)</f>
        <v>119350</v>
      </c>
    </row>
    <row r="13" spans="2:3" ht="17.25" customHeight="1">
      <c r="B13" s="105" t="s">
        <v>9</v>
      </c>
      <c r="C13" s="108">
        <f>ФОТ!I15-ФОТ!G15</f>
        <v>573120</v>
      </c>
    </row>
    <row r="14" spans="2:3" ht="16.5" customHeight="1">
      <c r="B14" s="105" t="s">
        <v>10</v>
      </c>
      <c r="C14" s="108">
        <f>SUM('Затраты и издержки'!M4:M6)</f>
        <v>13036.95</v>
      </c>
    </row>
  </sheetData>
  <mergeCells count="5">
    <mergeCell ref="B11:C11"/>
    <mergeCell ref="B2:C2"/>
    <mergeCell ref="B3:C3"/>
    <mergeCell ref="B5:C5"/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9B04-74CE-4A3F-8F8B-BEB8DD87213B}">
  <dimension ref="A1:N83"/>
  <sheetViews>
    <sheetView showGridLines="0" workbookViewId="0">
      <pane ySplit="2" topLeftCell="A3" activePane="bottomLeft" state="frozen"/>
      <selection pane="bottomLeft" activeCell="H3" sqref="H3:H9"/>
    </sheetView>
  </sheetViews>
  <sheetFormatPr defaultColWidth="9.140625" defaultRowHeight="15"/>
  <cols>
    <col min="1" max="1" width="4" customWidth="1"/>
    <col min="2" max="2" width="15.5703125" style="14" customWidth="1"/>
    <col min="3" max="3" width="25.42578125" style="12" customWidth="1"/>
    <col min="4" max="4" width="15.140625" style="11" customWidth="1"/>
    <col min="5" max="5" width="10.7109375" style="11" customWidth="1"/>
    <col min="6" max="6" width="13.7109375" style="10" customWidth="1"/>
    <col min="7" max="7" width="16.42578125" style="13" customWidth="1"/>
    <col min="8" max="8" width="19.85546875" style="13" customWidth="1"/>
    <col min="9" max="9" width="9.140625" style="167"/>
    <col min="10" max="10" width="3.85546875" customWidth="1"/>
    <col min="11" max="11" width="21.7109375" customWidth="1"/>
    <col min="12" max="12" width="27.28515625" customWidth="1"/>
    <col min="13" max="13" width="20.5703125" customWidth="1"/>
    <col min="14" max="14" width="16.85546875" customWidth="1"/>
  </cols>
  <sheetData>
    <row r="1" spans="1:14" ht="15.75">
      <c r="A1" s="195" t="s">
        <v>11</v>
      </c>
      <c r="B1" s="195"/>
      <c r="C1" s="195"/>
      <c r="D1" s="195"/>
      <c r="E1" s="195"/>
      <c r="F1" s="195"/>
      <c r="G1" s="195"/>
      <c r="H1" s="195"/>
      <c r="J1" s="194" t="s">
        <v>12</v>
      </c>
      <c r="K1" s="194"/>
      <c r="L1" s="194"/>
      <c r="M1" s="194"/>
      <c r="N1" s="194"/>
    </row>
    <row r="2" spans="1:14" s="5" customFormat="1" ht="33.75" customHeight="1">
      <c r="A2" s="189" t="s">
        <v>13</v>
      </c>
      <c r="B2" s="190" t="s">
        <v>14</v>
      </c>
      <c r="C2" s="191" t="s">
        <v>15</v>
      </c>
      <c r="D2" s="192" t="s">
        <v>16</v>
      </c>
      <c r="E2" s="192" t="s">
        <v>17</v>
      </c>
      <c r="F2" s="193" t="s">
        <v>18</v>
      </c>
      <c r="G2" s="193"/>
      <c r="H2" s="193" t="s">
        <v>19</v>
      </c>
      <c r="I2" s="167"/>
      <c r="J2" s="119" t="s">
        <v>13</v>
      </c>
      <c r="K2" s="119" t="s">
        <v>14</v>
      </c>
      <c r="L2" s="119" t="s">
        <v>15</v>
      </c>
      <c r="M2" s="120" t="s">
        <v>20</v>
      </c>
      <c r="N2" s="121" t="s">
        <v>21</v>
      </c>
    </row>
    <row r="3" spans="1:14" s="1" customFormat="1" ht="15" customHeight="1">
      <c r="A3" s="26">
        <v>1</v>
      </c>
      <c r="B3" s="171" t="s">
        <v>22</v>
      </c>
      <c r="C3" s="27" t="s">
        <v>23</v>
      </c>
      <c r="D3" s="28" t="s">
        <v>24</v>
      </c>
      <c r="E3" s="28">
        <v>1</v>
      </c>
      <c r="F3" s="29">
        <v>4500000</v>
      </c>
      <c r="G3" s="30">
        <v>3000000</v>
      </c>
      <c r="H3" s="169">
        <f>SUM(G3:G9)</f>
        <v>10400000</v>
      </c>
      <c r="I3" s="167"/>
      <c r="J3" s="109">
        <v>1</v>
      </c>
      <c r="K3" s="64" t="s">
        <v>25</v>
      </c>
      <c r="L3" s="64" t="s">
        <v>26</v>
      </c>
      <c r="M3" s="117">
        <f>Продажи!H16*0.06</f>
        <v>155978.51999999999</v>
      </c>
      <c r="N3" s="118">
        <f t="shared" ref="N3" si="0">M3*12</f>
        <v>1871742.2399999998</v>
      </c>
    </row>
    <row r="4" spans="1:14" s="1" customFormat="1">
      <c r="A4" s="25" t="s">
        <v>27</v>
      </c>
      <c r="B4" s="168"/>
      <c r="C4" s="27" t="s">
        <v>28</v>
      </c>
      <c r="D4" s="28"/>
      <c r="E4" s="28"/>
      <c r="F4" s="29">
        <v>4200000</v>
      </c>
      <c r="G4" s="30">
        <v>5000000</v>
      </c>
      <c r="H4" s="169"/>
      <c r="I4" s="167"/>
      <c r="J4" s="109" t="s">
        <v>29</v>
      </c>
      <c r="K4" s="149" t="s">
        <v>30</v>
      </c>
      <c r="L4" s="64" t="s">
        <v>31</v>
      </c>
      <c r="M4" s="117">
        <v>11284</v>
      </c>
      <c r="N4" s="118">
        <f>M4*12</f>
        <v>135408</v>
      </c>
    </row>
    <row r="5" spans="1:14" s="1" customFormat="1">
      <c r="A5" s="25" t="s">
        <v>29</v>
      </c>
      <c r="B5" s="168"/>
      <c r="C5" s="27" t="s">
        <v>32</v>
      </c>
      <c r="D5" s="28"/>
      <c r="E5" s="28"/>
      <c r="F5" s="146">
        <v>2000000</v>
      </c>
      <c r="G5" s="170">
        <v>2000000</v>
      </c>
      <c r="H5" s="169"/>
      <c r="I5" s="167"/>
      <c r="J5" s="109" t="s">
        <v>33</v>
      </c>
      <c r="K5" s="149"/>
      <c r="L5" s="64" t="s">
        <v>34</v>
      </c>
      <c r="M5" s="117">
        <v>1130.8800000000001</v>
      </c>
      <c r="N5" s="118">
        <f t="shared" ref="N5:N6" si="1">M5*12</f>
        <v>13570.560000000001</v>
      </c>
    </row>
    <row r="6" spans="1:14" s="1" customFormat="1">
      <c r="A6" s="25" t="s">
        <v>33</v>
      </c>
      <c r="B6" s="168"/>
      <c r="C6" s="27" t="s">
        <v>35</v>
      </c>
      <c r="D6" s="28"/>
      <c r="E6" s="28"/>
      <c r="F6" s="147"/>
      <c r="G6" s="170"/>
      <c r="H6" s="169"/>
      <c r="I6" s="167"/>
      <c r="J6" s="109" t="s">
        <v>36</v>
      </c>
      <c r="K6" s="149"/>
      <c r="L6" s="64" t="s">
        <v>37</v>
      </c>
      <c r="M6" s="117">
        <v>622.07000000000005</v>
      </c>
      <c r="N6" s="118">
        <f t="shared" si="1"/>
        <v>7464.84</v>
      </c>
    </row>
    <row r="7" spans="1:14" s="1" customFormat="1" ht="15" customHeight="1">
      <c r="A7" s="25" t="s">
        <v>36</v>
      </c>
      <c r="B7" s="168"/>
      <c r="C7" s="27" t="s">
        <v>38</v>
      </c>
      <c r="D7" s="28"/>
      <c r="E7" s="28"/>
      <c r="F7" s="148"/>
      <c r="G7" s="170"/>
      <c r="H7" s="169"/>
      <c r="I7" s="167"/>
      <c r="J7" s="109" t="s">
        <v>39</v>
      </c>
      <c r="K7" s="150" t="s">
        <v>40</v>
      </c>
      <c r="L7" s="64" t="s">
        <v>41</v>
      </c>
      <c r="M7" s="117">
        <v>3800</v>
      </c>
      <c r="N7" s="118">
        <f t="shared" ref="N7:N14" si="2">M7*12</f>
        <v>45600</v>
      </c>
    </row>
    <row r="8" spans="1:14" s="1" customFormat="1" ht="30.75">
      <c r="A8" s="25" t="s">
        <v>39</v>
      </c>
      <c r="B8" s="168"/>
      <c r="C8" s="27" t="s">
        <v>42</v>
      </c>
      <c r="D8" s="28"/>
      <c r="E8" s="28"/>
      <c r="F8" s="146">
        <v>400000</v>
      </c>
      <c r="G8" s="170">
        <v>400000</v>
      </c>
      <c r="H8" s="169"/>
      <c r="I8" s="167"/>
      <c r="J8" s="109" t="s">
        <v>43</v>
      </c>
      <c r="K8" s="151"/>
      <c r="L8" s="110" t="s">
        <v>44</v>
      </c>
      <c r="M8" s="117">
        <v>400</v>
      </c>
      <c r="N8" s="118">
        <f t="shared" si="2"/>
        <v>4800</v>
      </c>
    </row>
    <row r="9" spans="1:14" s="1" customFormat="1" ht="44.25" customHeight="1">
      <c r="A9" s="25" t="s">
        <v>43</v>
      </c>
      <c r="B9" s="168"/>
      <c r="C9" s="27" t="s">
        <v>45</v>
      </c>
      <c r="D9" s="28"/>
      <c r="E9" s="28"/>
      <c r="F9" s="148"/>
      <c r="G9" s="170"/>
      <c r="H9" s="169"/>
      <c r="I9" s="167"/>
      <c r="J9" s="114" t="s">
        <v>46</v>
      </c>
      <c r="K9" s="151"/>
      <c r="L9" s="113" t="s">
        <v>47</v>
      </c>
      <c r="M9" s="117">
        <v>425</v>
      </c>
      <c r="N9" s="118">
        <f t="shared" si="2"/>
        <v>5100</v>
      </c>
    </row>
    <row r="10" spans="1:14" s="1" customFormat="1" ht="74.25" customHeight="1">
      <c r="A10" s="25" t="s">
        <v>46</v>
      </c>
      <c r="B10" s="164" t="s">
        <v>48</v>
      </c>
      <c r="C10" s="27" t="s">
        <v>49</v>
      </c>
      <c r="D10" s="28"/>
      <c r="E10" s="28">
        <v>1</v>
      </c>
      <c r="F10" s="29">
        <v>4000</v>
      </c>
      <c r="G10" s="30">
        <v>4000</v>
      </c>
      <c r="H10" s="153">
        <f>SUM(G10:G19)</f>
        <v>127525</v>
      </c>
      <c r="I10" s="167"/>
      <c r="J10" s="115"/>
      <c r="K10" s="151"/>
      <c r="L10" s="156" t="s">
        <v>50</v>
      </c>
      <c r="M10" s="158">
        <v>1500</v>
      </c>
      <c r="N10" s="160">
        <f>M10*12</f>
        <v>18000</v>
      </c>
    </row>
    <row r="11" spans="1:14" s="1" customFormat="1" ht="47.25" customHeight="1">
      <c r="A11" s="25" t="s">
        <v>51</v>
      </c>
      <c r="B11" s="165"/>
      <c r="C11" s="27" t="s">
        <v>52</v>
      </c>
      <c r="D11" s="28"/>
      <c r="E11" s="28">
        <v>1</v>
      </c>
      <c r="F11" s="29">
        <v>7000</v>
      </c>
      <c r="G11" s="30">
        <v>7000</v>
      </c>
      <c r="H11" s="154"/>
      <c r="I11" s="167"/>
      <c r="J11" s="116"/>
      <c r="K11" s="152"/>
      <c r="L11" s="157"/>
      <c r="M11" s="159"/>
      <c r="N11" s="161"/>
    </row>
    <row r="12" spans="1:14" s="1" customFormat="1">
      <c r="A12" s="25" t="s">
        <v>53</v>
      </c>
      <c r="B12" s="165"/>
      <c r="C12" s="27" t="s">
        <v>54</v>
      </c>
      <c r="D12" s="28"/>
      <c r="E12" s="28">
        <v>1</v>
      </c>
      <c r="F12" s="29">
        <v>10000</v>
      </c>
      <c r="G12" s="30">
        <v>10000</v>
      </c>
      <c r="H12" s="154"/>
      <c r="I12" s="167"/>
      <c r="J12" s="109" t="s">
        <v>55</v>
      </c>
      <c r="K12" s="149" t="s">
        <v>8</v>
      </c>
      <c r="L12" s="64" t="s">
        <v>56</v>
      </c>
      <c r="M12" s="117">
        <v>106600</v>
      </c>
      <c r="N12" s="118">
        <f t="shared" si="2"/>
        <v>1279200</v>
      </c>
    </row>
    <row r="13" spans="1:14" s="1" customFormat="1">
      <c r="A13" s="25" t="s">
        <v>55</v>
      </c>
      <c r="B13" s="165"/>
      <c r="C13" s="104" t="s">
        <v>57</v>
      </c>
      <c r="D13" s="28"/>
      <c r="E13" s="28">
        <v>1</v>
      </c>
      <c r="F13" s="29">
        <v>800</v>
      </c>
      <c r="G13" s="30">
        <v>800</v>
      </c>
      <c r="H13" s="154"/>
      <c r="I13" s="167"/>
      <c r="J13" s="109" t="s">
        <v>58</v>
      </c>
      <c r="K13" s="149"/>
      <c r="L13" s="110" t="s">
        <v>59</v>
      </c>
      <c r="M13" s="117">
        <v>6000</v>
      </c>
      <c r="N13" s="118">
        <f t="shared" si="2"/>
        <v>72000</v>
      </c>
    </row>
    <row r="14" spans="1:14" s="1" customFormat="1">
      <c r="A14" s="25" t="s">
        <v>58</v>
      </c>
      <c r="B14" s="165"/>
      <c r="C14" s="27" t="s">
        <v>60</v>
      </c>
      <c r="D14" s="28"/>
      <c r="E14" s="28">
        <v>1</v>
      </c>
      <c r="F14" s="29">
        <v>25000</v>
      </c>
      <c r="G14" s="30">
        <v>25000</v>
      </c>
      <c r="H14" s="154"/>
      <c r="I14" s="167"/>
      <c r="J14" s="109" t="s">
        <v>61</v>
      </c>
      <c r="K14" s="149"/>
      <c r="L14" s="110" t="s">
        <v>62</v>
      </c>
      <c r="M14" s="117">
        <v>6750</v>
      </c>
      <c r="N14" s="118">
        <f t="shared" si="2"/>
        <v>81000</v>
      </c>
    </row>
    <row r="15" spans="1:14" s="1" customFormat="1">
      <c r="A15" s="25" t="s">
        <v>61</v>
      </c>
      <c r="B15" s="165"/>
      <c r="C15" s="27" t="s">
        <v>63</v>
      </c>
      <c r="D15" s="28"/>
      <c r="E15" s="28"/>
      <c r="F15" s="29">
        <v>68000</v>
      </c>
      <c r="G15" s="30">
        <v>68000</v>
      </c>
      <c r="H15" s="154"/>
      <c r="I15" s="167"/>
      <c r="J15" s="109" t="s">
        <v>64</v>
      </c>
      <c r="K15" s="149"/>
      <c r="L15" s="64" t="s">
        <v>65</v>
      </c>
      <c r="M15" s="118"/>
      <c r="N15" s="118">
        <v>1300</v>
      </c>
    </row>
    <row r="16" spans="1:14" s="1" customFormat="1" ht="30.75">
      <c r="A16" s="25" t="s">
        <v>64</v>
      </c>
      <c r="B16" s="165"/>
      <c r="C16" s="27" t="s">
        <v>66</v>
      </c>
      <c r="D16" s="28"/>
      <c r="E16" s="28"/>
      <c r="F16" s="29">
        <v>2000</v>
      </c>
      <c r="G16" s="30">
        <v>2000</v>
      </c>
      <c r="H16" s="154"/>
      <c r="I16" s="167"/>
      <c r="J16" s="109" t="s">
        <v>67</v>
      </c>
      <c r="K16" s="149"/>
      <c r="L16" s="110" t="s">
        <v>68</v>
      </c>
      <c r="M16" s="117">
        <v>4900</v>
      </c>
      <c r="N16" s="118">
        <f t="shared" ref="N16" si="3">M16*12</f>
        <v>58800</v>
      </c>
    </row>
    <row r="17" spans="1:14" s="1" customFormat="1">
      <c r="A17" s="25" t="s">
        <v>67</v>
      </c>
      <c r="B17" s="165"/>
      <c r="C17" s="27" t="s">
        <v>69</v>
      </c>
      <c r="D17" s="28"/>
      <c r="E17" s="28"/>
      <c r="F17" s="29">
        <v>3800</v>
      </c>
      <c r="G17" s="30">
        <v>3800</v>
      </c>
      <c r="H17" s="154"/>
      <c r="I17" s="167"/>
      <c r="J17" s="111"/>
      <c r="K17" s="112"/>
      <c r="L17" s="112"/>
      <c r="M17" s="118">
        <f>M3+M4+M5+M6+M7+M8+M9+M12+M13+M14+M15+M16</f>
        <v>297890.46999999997</v>
      </c>
      <c r="N17" s="118">
        <f>M17*12</f>
        <v>3574685.6399999997</v>
      </c>
    </row>
    <row r="18" spans="1:14" s="1" customFormat="1" ht="37.5" customHeight="1">
      <c r="A18" s="25" t="s">
        <v>70</v>
      </c>
      <c r="B18" s="165"/>
      <c r="C18" s="27" t="s">
        <v>71</v>
      </c>
      <c r="D18" s="28"/>
      <c r="E18" s="28"/>
      <c r="F18" s="29">
        <v>6500</v>
      </c>
      <c r="G18" s="30">
        <v>6500</v>
      </c>
      <c r="H18" s="154"/>
      <c r="I18" s="167"/>
      <c r="J18" s="41"/>
      <c r="K18" s="40"/>
      <c r="L18" s="42"/>
      <c r="M18" s="43"/>
      <c r="N18" s="43"/>
    </row>
    <row r="19" spans="1:14" s="1" customFormat="1">
      <c r="A19" s="25" t="s">
        <v>72</v>
      </c>
      <c r="B19" s="166"/>
      <c r="C19" s="27" t="s">
        <v>47</v>
      </c>
      <c r="D19" s="28"/>
      <c r="E19" s="28"/>
      <c r="F19" s="29">
        <v>425</v>
      </c>
      <c r="G19" s="30">
        <v>425</v>
      </c>
      <c r="H19" s="155"/>
      <c r="I19" s="167"/>
      <c r="J19" s="41"/>
      <c r="K19" s="40"/>
      <c r="L19" s="42"/>
      <c r="M19" s="43"/>
      <c r="N19" s="43"/>
    </row>
    <row r="20" spans="1:14" s="1" customFormat="1" ht="15.75" customHeight="1">
      <c r="A20" s="25" t="s">
        <v>73</v>
      </c>
      <c r="B20" s="164" t="s">
        <v>74</v>
      </c>
      <c r="C20" s="32" t="s">
        <v>75</v>
      </c>
      <c r="D20" s="33" t="s">
        <v>76</v>
      </c>
      <c r="E20" s="28" t="s">
        <v>77</v>
      </c>
      <c r="F20" s="29">
        <v>853</v>
      </c>
      <c r="G20" s="30">
        <v>397498</v>
      </c>
      <c r="H20" s="169">
        <f>SUM(G20:G73)</f>
        <v>7190401</v>
      </c>
      <c r="I20" s="167"/>
      <c r="J20" s="41"/>
      <c r="K20" s="44"/>
      <c r="L20" s="40"/>
      <c r="M20" s="43"/>
      <c r="N20" s="43"/>
    </row>
    <row r="21" spans="1:14" s="1" customFormat="1" ht="34.5" customHeight="1">
      <c r="A21" s="25" t="s">
        <v>78</v>
      </c>
      <c r="B21" s="165"/>
      <c r="C21" s="32" t="s">
        <v>75</v>
      </c>
      <c r="D21" s="34" t="s">
        <v>79</v>
      </c>
      <c r="E21" s="28" t="s">
        <v>80</v>
      </c>
      <c r="F21" s="29">
        <v>897</v>
      </c>
      <c r="G21" s="31">
        <v>64584</v>
      </c>
      <c r="H21" s="169"/>
      <c r="I21" s="167"/>
      <c r="J21" s="41"/>
      <c r="K21" s="40"/>
      <c r="L21" s="42"/>
      <c r="M21" s="43"/>
      <c r="N21" s="43"/>
    </row>
    <row r="22" spans="1:14" s="1" customFormat="1">
      <c r="A22" s="25" t="s">
        <v>81</v>
      </c>
      <c r="B22" s="165"/>
      <c r="C22" s="32" t="s">
        <v>82</v>
      </c>
      <c r="D22" s="28" t="s">
        <v>83</v>
      </c>
      <c r="E22" s="28" t="s">
        <v>84</v>
      </c>
      <c r="F22" s="29">
        <v>930</v>
      </c>
      <c r="G22" s="30">
        <v>77190</v>
      </c>
      <c r="H22" s="169"/>
      <c r="I22" s="167"/>
      <c r="J22" s="41"/>
      <c r="K22" s="40"/>
      <c r="L22" s="40"/>
      <c r="M22" s="43"/>
      <c r="N22" s="43"/>
    </row>
    <row r="23" spans="1:14" s="1" customFormat="1" ht="26.25" customHeight="1">
      <c r="A23" s="25" t="s">
        <v>85</v>
      </c>
      <c r="B23" s="165"/>
      <c r="C23" s="32" t="s">
        <v>86</v>
      </c>
      <c r="D23" s="28" t="s">
        <v>87</v>
      </c>
      <c r="E23" s="28" t="s">
        <v>88</v>
      </c>
      <c r="F23" s="29">
        <v>752</v>
      </c>
      <c r="G23" s="30">
        <v>15040</v>
      </c>
      <c r="H23" s="169"/>
      <c r="I23" s="167"/>
      <c r="J23" s="8"/>
      <c r="L23" s="2"/>
      <c r="M23" s="6"/>
      <c r="N23" s="6"/>
    </row>
    <row r="24" spans="1:14" s="1" customFormat="1" ht="30" customHeight="1">
      <c r="A24" s="25" t="s">
        <v>89</v>
      </c>
      <c r="B24" s="165"/>
      <c r="C24" s="32" t="s">
        <v>90</v>
      </c>
      <c r="D24" s="28" t="s">
        <v>91</v>
      </c>
      <c r="E24" s="28" t="s">
        <v>92</v>
      </c>
      <c r="F24" s="29">
        <v>887</v>
      </c>
      <c r="G24" s="30">
        <v>15966</v>
      </c>
      <c r="H24" s="169"/>
      <c r="I24" s="167"/>
      <c r="J24" s="8"/>
      <c r="M24" s="6"/>
      <c r="N24" s="6"/>
    </row>
    <row r="25" spans="1:14" s="1" customFormat="1" ht="27" customHeight="1">
      <c r="A25" s="25" t="s">
        <v>93</v>
      </c>
      <c r="B25" s="165"/>
      <c r="C25" s="32" t="s">
        <v>94</v>
      </c>
      <c r="D25" s="28" t="s">
        <v>95</v>
      </c>
      <c r="E25" s="28" t="s">
        <v>96</v>
      </c>
      <c r="F25" s="29">
        <v>1161</v>
      </c>
      <c r="G25" s="30">
        <v>62694</v>
      </c>
      <c r="H25" s="169"/>
      <c r="I25" s="167"/>
      <c r="J25" s="8"/>
      <c r="M25" s="6"/>
      <c r="N25" s="6"/>
    </row>
    <row r="26" spans="1:14" s="1" customFormat="1" ht="32.25" customHeight="1">
      <c r="A26" s="25" t="s">
        <v>97</v>
      </c>
      <c r="B26" s="165"/>
      <c r="C26" s="32" t="s">
        <v>98</v>
      </c>
      <c r="D26" s="28" t="s">
        <v>99</v>
      </c>
      <c r="E26" s="28" t="s">
        <v>100</v>
      </c>
      <c r="F26" s="29">
        <v>370</v>
      </c>
      <c r="G26" s="30">
        <v>113960</v>
      </c>
      <c r="H26" s="169"/>
      <c r="I26" s="167"/>
      <c r="J26" s="8"/>
      <c r="M26" s="6"/>
      <c r="N26" s="6"/>
    </row>
    <row r="27" spans="1:14" s="1" customFormat="1" ht="36.75" customHeight="1">
      <c r="A27" s="25" t="s">
        <v>101</v>
      </c>
      <c r="B27" s="165"/>
      <c r="C27" s="32" t="s">
        <v>102</v>
      </c>
      <c r="D27" s="28" t="s">
        <v>103</v>
      </c>
      <c r="E27" s="28" t="s">
        <v>104</v>
      </c>
      <c r="F27" s="29">
        <v>981</v>
      </c>
      <c r="G27" s="30">
        <v>8829</v>
      </c>
      <c r="H27" s="169"/>
      <c r="I27" s="167"/>
      <c r="J27" s="8"/>
      <c r="M27" s="6"/>
      <c r="N27" s="6"/>
    </row>
    <row r="28" spans="1:14" s="1" customFormat="1">
      <c r="A28" s="25" t="s">
        <v>105</v>
      </c>
      <c r="B28" s="165"/>
      <c r="C28" s="32" t="s">
        <v>106</v>
      </c>
      <c r="D28" s="28" t="s">
        <v>107</v>
      </c>
      <c r="E28" s="28" t="s">
        <v>108</v>
      </c>
      <c r="F28" s="29">
        <v>1335</v>
      </c>
      <c r="G28" s="30">
        <v>5340</v>
      </c>
      <c r="H28" s="169"/>
      <c r="I28" s="167"/>
      <c r="J28" s="8"/>
      <c r="M28" s="6"/>
      <c r="N28" s="6"/>
    </row>
    <row r="29" spans="1:14" s="1" customFormat="1">
      <c r="A29" s="25" t="s">
        <v>109</v>
      </c>
      <c r="B29" s="165"/>
      <c r="C29" s="32" t="s">
        <v>110</v>
      </c>
      <c r="D29" s="28" t="s">
        <v>111</v>
      </c>
      <c r="E29" s="28" t="s">
        <v>112</v>
      </c>
      <c r="F29" s="29">
        <v>450</v>
      </c>
      <c r="G29" s="30">
        <v>141750</v>
      </c>
      <c r="H29" s="169"/>
      <c r="I29" s="167"/>
      <c r="J29" s="8"/>
      <c r="M29" s="6"/>
      <c r="N29" s="6"/>
    </row>
    <row r="30" spans="1:14" s="1" customFormat="1">
      <c r="A30" s="25" t="s">
        <v>113</v>
      </c>
      <c r="B30" s="165"/>
      <c r="C30" s="32" t="s">
        <v>114</v>
      </c>
      <c r="D30" s="28" t="s">
        <v>115</v>
      </c>
      <c r="E30" s="28" t="s">
        <v>116</v>
      </c>
      <c r="F30" s="29">
        <v>677</v>
      </c>
      <c r="G30" s="30">
        <v>27757</v>
      </c>
      <c r="H30" s="169"/>
      <c r="I30" s="167"/>
      <c r="J30" s="8"/>
      <c r="M30" s="6"/>
      <c r="N30" s="6"/>
    </row>
    <row r="31" spans="1:14" s="1" customFormat="1">
      <c r="A31" s="25" t="s">
        <v>117</v>
      </c>
      <c r="B31" s="165"/>
      <c r="C31" s="32" t="s">
        <v>118</v>
      </c>
      <c r="D31" s="28" t="s">
        <v>119</v>
      </c>
      <c r="E31" s="28" t="s">
        <v>120</v>
      </c>
      <c r="F31" s="29">
        <v>600</v>
      </c>
      <c r="G31" s="30">
        <v>42600</v>
      </c>
      <c r="H31" s="169"/>
      <c r="I31" s="167"/>
      <c r="J31" s="8"/>
      <c r="M31" s="6"/>
      <c r="N31" s="6"/>
    </row>
    <row r="32" spans="1:14" s="1" customFormat="1">
      <c r="A32" s="25" t="s">
        <v>121</v>
      </c>
      <c r="B32" s="165"/>
      <c r="C32" s="32" t="s">
        <v>114</v>
      </c>
      <c r="D32" s="28" t="s">
        <v>122</v>
      </c>
      <c r="E32" s="28" t="s">
        <v>123</v>
      </c>
      <c r="F32" s="29">
        <v>1591</v>
      </c>
      <c r="G32" s="30">
        <v>133644</v>
      </c>
      <c r="H32" s="169"/>
      <c r="I32" s="167"/>
      <c r="J32" s="8"/>
      <c r="M32" s="6"/>
      <c r="N32" s="6"/>
    </row>
    <row r="33" spans="1:14" s="1" customFormat="1">
      <c r="A33" s="25" t="s">
        <v>124</v>
      </c>
      <c r="B33" s="165"/>
      <c r="C33" s="32" t="s">
        <v>118</v>
      </c>
      <c r="D33" s="28" t="s">
        <v>122</v>
      </c>
      <c r="E33" s="28" t="s">
        <v>123</v>
      </c>
      <c r="F33" s="29">
        <v>1350</v>
      </c>
      <c r="G33" s="30">
        <v>113400</v>
      </c>
      <c r="H33" s="169"/>
      <c r="I33" s="167"/>
      <c r="J33" s="8"/>
      <c r="M33" s="6"/>
      <c r="N33" s="6"/>
    </row>
    <row r="34" spans="1:14" s="1" customFormat="1" ht="45.75" customHeight="1">
      <c r="A34" s="25" t="s">
        <v>125</v>
      </c>
      <c r="B34" s="165"/>
      <c r="C34" s="32" t="s">
        <v>126</v>
      </c>
      <c r="D34" s="28" t="s">
        <v>127</v>
      </c>
      <c r="E34" s="28" t="s">
        <v>128</v>
      </c>
      <c r="F34" s="29">
        <v>1440</v>
      </c>
      <c r="G34" s="30">
        <v>15840</v>
      </c>
      <c r="H34" s="169"/>
      <c r="I34" s="167"/>
      <c r="J34" s="8"/>
      <c r="M34" s="6"/>
      <c r="N34" s="6"/>
    </row>
    <row r="35" spans="1:14" s="1" customFormat="1">
      <c r="A35" s="25" t="s">
        <v>129</v>
      </c>
      <c r="B35" s="165"/>
      <c r="C35" s="32" t="s">
        <v>130</v>
      </c>
      <c r="D35" s="28" t="s">
        <v>131</v>
      </c>
      <c r="E35" s="28" t="s">
        <v>132</v>
      </c>
      <c r="F35" s="29">
        <v>1150</v>
      </c>
      <c r="G35" s="30">
        <v>41400</v>
      </c>
      <c r="H35" s="169"/>
      <c r="I35" s="167"/>
      <c r="J35" s="8"/>
      <c r="M35" s="6"/>
      <c r="N35" s="6"/>
    </row>
    <row r="36" spans="1:14" s="1" customFormat="1">
      <c r="A36" s="25" t="s">
        <v>133</v>
      </c>
      <c r="B36" s="165"/>
      <c r="C36" s="32" t="s">
        <v>134</v>
      </c>
      <c r="D36" s="28" t="s">
        <v>135</v>
      </c>
      <c r="E36" s="28" t="s">
        <v>136</v>
      </c>
      <c r="F36" s="29">
        <v>1599</v>
      </c>
      <c r="G36" s="30">
        <v>115128</v>
      </c>
      <c r="H36" s="169"/>
      <c r="I36" s="167"/>
      <c r="J36" s="8"/>
      <c r="M36" s="6"/>
      <c r="N36" s="6"/>
    </row>
    <row r="37" spans="1:14" s="1" customFormat="1">
      <c r="A37" s="25"/>
      <c r="B37" s="165"/>
      <c r="C37" s="32" t="s">
        <v>137</v>
      </c>
      <c r="D37" s="28" t="s">
        <v>138</v>
      </c>
      <c r="E37" s="28" t="s">
        <v>139</v>
      </c>
      <c r="F37" s="29">
        <v>1234</v>
      </c>
      <c r="G37" s="30">
        <v>83912</v>
      </c>
      <c r="H37" s="169"/>
      <c r="I37" s="167"/>
      <c r="J37" s="8"/>
      <c r="M37" s="6"/>
      <c r="N37" s="6"/>
    </row>
    <row r="38" spans="1:14" s="1" customFormat="1" ht="30.75">
      <c r="A38" s="25"/>
      <c r="B38" s="165"/>
      <c r="C38" s="32" t="s">
        <v>140</v>
      </c>
      <c r="D38" s="28"/>
      <c r="E38" s="28"/>
      <c r="F38" s="29"/>
      <c r="G38" s="30">
        <v>300000</v>
      </c>
      <c r="H38" s="169"/>
      <c r="I38" s="167"/>
      <c r="J38" s="8"/>
      <c r="M38" s="6"/>
      <c r="N38" s="6"/>
    </row>
    <row r="39" spans="1:14" s="1" customFormat="1" ht="51" customHeight="1">
      <c r="A39" s="25" t="s">
        <v>141</v>
      </c>
      <c r="B39" s="165"/>
      <c r="C39" s="32" t="s">
        <v>142</v>
      </c>
      <c r="D39" s="28" t="s">
        <v>138</v>
      </c>
      <c r="E39" s="28" t="s">
        <v>143</v>
      </c>
      <c r="F39" s="29">
        <v>2500</v>
      </c>
      <c r="G39" s="30">
        <v>360000</v>
      </c>
      <c r="H39" s="169"/>
      <c r="I39" s="167"/>
      <c r="J39" s="8"/>
      <c r="M39" s="6"/>
      <c r="N39" s="6"/>
    </row>
    <row r="40" spans="1:14" s="1" customFormat="1">
      <c r="A40" s="25" t="s">
        <v>144</v>
      </c>
      <c r="B40" s="165"/>
      <c r="C40" s="32" t="s">
        <v>145</v>
      </c>
      <c r="D40" s="28"/>
      <c r="E40" s="28" t="s">
        <v>146</v>
      </c>
      <c r="F40" s="29">
        <v>2500</v>
      </c>
      <c r="G40" s="30">
        <v>157500</v>
      </c>
      <c r="H40" s="169"/>
      <c r="I40" s="167"/>
      <c r="J40" s="8"/>
      <c r="M40" s="6"/>
      <c r="N40" s="6"/>
    </row>
    <row r="41" spans="1:14" s="1" customFormat="1">
      <c r="A41" s="25" t="s">
        <v>147</v>
      </c>
      <c r="B41" s="165"/>
      <c r="C41" s="32" t="s">
        <v>148</v>
      </c>
      <c r="D41" s="28"/>
      <c r="E41" s="28" t="s">
        <v>149</v>
      </c>
      <c r="F41" s="29">
        <v>1500</v>
      </c>
      <c r="G41" s="30">
        <v>15750</v>
      </c>
      <c r="H41" s="169"/>
      <c r="I41" s="167"/>
      <c r="J41" s="8"/>
      <c r="M41" s="6"/>
      <c r="N41" s="6"/>
    </row>
    <row r="42" spans="1:14" s="1" customFormat="1">
      <c r="A42" s="25" t="s">
        <v>150</v>
      </c>
      <c r="B42" s="165"/>
      <c r="C42" s="32" t="s">
        <v>151</v>
      </c>
      <c r="D42" s="28"/>
      <c r="E42" s="28" t="s">
        <v>152</v>
      </c>
      <c r="F42" s="29">
        <v>1573</v>
      </c>
      <c r="G42" s="30">
        <v>53482</v>
      </c>
      <c r="H42" s="169"/>
      <c r="I42" s="167"/>
      <c r="J42" s="8"/>
      <c r="M42" s="6"/>
      <c r="N42" s="6"/>
    </row>
    <row r="43" spans="1:14" s="1" customFormat="1" ht="32.25" customHeight="1">
      <c r="A43" s="25" t="s">
        <v>153</v>
      </c>
      <c r="B43" s="165"/>
      <c r="C43" s="32" t="s">
        <v>154</v>
      </c>
      <c r="D43" s="28"/>
      <c r="E43" s="28" t="s">
        <v>155</v>
      </c>
      <c r="F43" s="29">
        <v>1100</v>
      </c>
      <c r="G43" s="30">
        <v>110000</v>
      </c>
      <c r="H43" s="169"/>
      <c r="I43" s="167"/>
      <c r="J43" s="8"/>
      <c r="M43" s="6"/>
      <c r="N43" s="6"/>
    </row>
    <row r="44" spans="1:14" s="1" customFormat="1">
      <c r="A44" s="25" t="s">
        <v>156</v>
      </c>
      <c r="B44" s="165"/>
      <c r="C44" s="32" t="s">
        <v>157</v>
      </c>
      <c r="D44" s="28"/>
      <c r="E44" s="28">
        <v>1</v>
      </c>
      <c r="F44" s="29">
        <v>100000</v>
      </c>
      <c r="G44" s="30">
        <v>100000</v>
      </c>
      <c r="H44" s="169"/>
      <c r="I44" s="167"/>
      <c r="J44" s="8"/>
      <c r="M44" s="6"/>
      <c r="N44" s="6"/>
    </row>
    <row r="45" spans="1:14" s="1" customFormat="1">
      <c r="A45" s="25" t="s">
        <v>158</v>
      </c>
      <c r="B45" s="165"/>
      <c r="C45" s="32" t="s">
        <v>159</v>
      </c>
      <c r="D45" s="28"/>
      <c r="E45" s="28" t="s">
        <v>160</v>
      </c>
      <c r="F45" s="29">
        <v>586</v>
      </c>
      <c r="G45" s="30">
        <v>44536</v>
      </c>
      <c r="H45" s="169"/>
      <c r="I45" s="167"/>
      <c r="J45" s="8"/>
      <c r="M45" s="6"/>
      <c r="N45" s="6"/>
    </row>
    <row r="46" spans="1:14" s="1" customFormat="1">
      <c r="A46" s="25" t="s">
        <v>161</v>
      </c>
      <c r="B46" s="165"/>
      <c r="C46" s="32" t="s">
        <v>162</v>
      </c>
      <c r="D46" s="28"/>
      <c r="E46" s="28">
        <v>1</v>
      </c>
      <c r="F46" s="29">
        <v>99000</v>
      </c>
      <c r="G46" s="30">
        <v>99000</v>
      </c>
      <c r="H46" s="169"/>
      <c r="I46" s="167"/>
      <c r="J46" s="8"/>
      <c r="M46" s="6"/>
      <c r="N46" s="6"/>
    </row>
    <row r="47" spans="1:14" s="1" customFormat="1">
      <c r="A47" s="25" t="s">
        <v>163</v>
      </c>
      <c r="B47" s="165"/>
      <c r="C47" s="32" t="s">
        <v>164</v>
      </c>
      <c r="D47" s="28"/>
      <c r="E47" s="28">
        <v>16</v>
      </c>
      <c r="F47" s="29">
        <v>3150</v>
      </c>
      <c r="G47" s="30">
        <v>50400</v>
      </c>
      <c r="H47" s="169"/>
      <c r="I47" s="167"/>
      <c r="J47" s="8"/>
      <c r="M47" s="6"/>
      <c r="N47" s="6"/>
    </row>
    <row r="48" spans="1:14" s="1" customFormat="1">
      <c r="A48" s="25" t="s">
        <v>165</v>
      </c>
      <c r="B48" s="165"/>
      <c r="C48" s="32" t="s">
        <v>166</v>
      </c>
      <c r="D48" s="28"/>
      <c r="E48" s="28">
        <v>32</v>
      </c>
      <c r="F48" s="29">
        <v>4829</v>
      </c>
      <c r="G48" s="30">
        <v>154528</v>
      </c>
      <c r="H48" s="169"/>
      <c r="I48" s="167"/>
      <c r="J48" s="8"/>
      <c r="M48" s="6"/>
      <c r="N48" s="6"/>
    </row>
    <row r="49" spans="1:14" s="1" customFormat="1" ht="33" customHeight="1">
      <c r="A49" s="25" t="s">
        <v>167</v>
      </c>
      <c r="B49" s="165"/>
      <c r="C49" s="32" t="s">
        <v>168</v>
      </c>
      <c r="D49" s="28"/>
      <c r="E49" s="28">
        <v>1</v>
      </c>
      <c r="F49" s="29">
        <v>12999</v>
      </c>
      <c r="G49" s="30">
        <v>12999</v>
      </c>
      <c r="H49" s="169"/>
      <c r="I49" s="167"/>
      <c r="J49" s="8"/>
      <c r="M49" s="6"/>
      <c r="N49" s="6"/>
    </row>
    <row r="50" spans="1:14" s="1" customFormat="1">
      <c r="A50" s="25" t="s">
        <v>169</v>
      </c>
      <c r="B50" s="165"/>
      <c r="C50" s="32" t="s">
        <v>170</v>
      </c>
      <c r="D50" s="28"/>
      <c r="E50" s="28">
        <v>3</v>
      </c>
      <c r="F50" s="29">
        <v>7999</v>
      </c>
      <c r="G50" s="30">
        <v>23997</v>
      </c>
      <c r="H50" s="169"/>
      <c r="I50" s="167"/>
      <c r="J50" s="8"/>
      <c r="M50" s="6"/>
      <c r="N50" s="6"/>
    </row>
    <row r="51" spans="1:14" s="1" customFormat="1">
      <c r="A51" s="25" t="s">
        <v>171</v>
      </c>
      <c r="B51" s="165"/>
      <c r="C51" s="32" t="s">
        <v>172</v>
      </c>
      <c r="D51" s="28"/>
      <c r="E51" s="28">
        <v>1</v>
      </c>
      <c r="F51" s="29">
        <v>7999</v>
      </c>
      <c r="G51" s="30">
        <v>7999</v>
      </c>
      <c r="H51" s="169"/>
      <c r="I51" s="167"/>
      <c r="J51" s="8"/>
      <c r="M51" s="6"/>
      <c r="N51" s="6"/>
    </row>
    <row r="52" spans="1:14" s="1" customFormat="1">
      <c r="A52" s="25" t="s">
        <v>173</v>
      </c>
      <c r="B52" s="165"/>
      <c r="C52" s="32" t="s">
        <v>174</v>
      </c>
      <c r="D52" s="28"/>
      <c r="E52" s="28">
        <v>1</v>
      </c>
      <c r="F52" s="29">
        <v>334818</v>
      </c>
      <c r="G52" s="30">
        <v>334818</v>
      </c>
      <c r="H52" s="169"/>
      <c r="I52" s="167"/>
      <c r="J52" s="8"/>
      <c r="M52" s="6"/>
      <c r="N52" s="6"/>
    </row>
    <row r="53" spans="1:14" s="1" customFormat="1" ht="30.75">
      <c r="A53" s="25"/>
      <c r="B53" s="165"/>
      <c r="C53" s="32" t="s">
        <v>175</v>
      </c>
      <c r="D53" s="28"/>
      <c r="E53" s="28">
        <v>3</v>
      </c>
      <c r="F53" s="29">
        <v>21000</v>
      </c>
      <c r="G53" s="31">
        <v>63000</v>
      </c>
      <c r="H53" s="169"/>
      <c r="I53" s="167"/>
      <c r="J53" s="8"/>
      <c r="M53" s="6"/>
      <c r="N53" s="6"/>
    </row>
    <row r="54" spans="1:14" s="1" customFormat="1" ht="30.75">
      <c r="A54" s="25"/>
      <c r="B54" s="165"/>
      <c r="C54" s="32" t="s">
        <v>176</v>
      </c>
      <c r="D54" s="28"/>
      <c r="E54" s="28">
        <v>3</v>
      </c>
      <c r="F54" s="29">
        <v>23199</v>
      </c>
      <c r="G54" s="31">
        <v>69597</v>
      </c>
      <c r="H54" s="169"/>
      <c r="I54" s="167"/>
      <c r="J54" s="8"/>
      <c r="M54" s="6"/>
      <c r="N54" s="6"/>
    </row>
    <row r="55" spans="1:14" s="1" customFormat="1">
      <c r="A55" s="25" t="s">
        <v>177</v>
      </c>
      <c r="B55" s="165"/>
      <c r="C55" s="32" t="s">
        <v>178</v>
      </c>
      <c r="D55" s="28"/>
      <c r="E55" s="28">
        <v>2</v>
      </c>
      <c r="F55" s="29">
        <v>195679</v>
      </c>
      <c r="G55" s="30">
        <v>391358</v>
      </c>
      <c r="H55" s="169"/>
      <c r="I55" s="167"/>
      <c r="J55" s="8"/>
      <c r="M55" s="6"/>
      <c r="N55" s="6"/>
    </row>
    <row r="56" spans="1:14" s="1" customFormat="1">
      <c r="A56" s="25" t="s">
        <v>179</v>
      </c>
      <c r="B56" s="165"/>
      <c r="C56" s="32" t="s">
        <v>180</v>
      </c>
      <c r="D56" s="28"/>
      <c r="E56" s="28">
        <v>1</v>
      </c>
      <c r="F56" s="29">
        <v>24399</v>
      </c>
      <c r="G56" s="30">
        <v>24399</v>
      </c>
      <c r="H56" s="169"/>
      <c r="I56" s="167"/>
      <c r="J56" s="8"/>
      <c r="M56" s="6"/>
      <c r="N56" s="6"/>
    </row>
    <row r="57" spans="1:14" s="1" customFormat="1">
      <c r="A57" s="25" t="s">
        <v>181</v>
      </c>
      <c r="B57" s="165"/>
      <c r="C57" s="32" t="s">
        <v>182</v>
      </c>
      <c r="D57" s="28"/>
      <c r="E57" s="28">
        <v>1</v>
      </c>
      <c r="F57" s="29">
        <v>14999</v>
      </c>
      <c r="G57" s="30">
        <v>14999</v>
      </c>
      <c r="H57" s="169"/>
      <c r="I57" s="167"/>
      <c r="J57" s="8"/>
      <c r="M57" s="6"/>
      <c r="N57" s="6"/>
    </row>
    <row r="58" spans="1:14" s="1" customFormat="1">
      <c r="A58" s="25" t="s">
        <v>183</v>
      </c>
      <c r="B58" s="165"/>
      <c r="C58" s="32" t="s">
        <v>184</v>
      </c>
      <c r="D58" s="28"/>
      <c r="E58" s="28">
        <v>1</v>
      </c>
      <c r="F58" s="29">
        <v>13999</v>
      </c>
      <c r="G58" s="30">
        <v>13999</v>
      </c>
      <c r="H58" s="169"/>
      <c r="I58" s="167"/>
      <c r="J58" s="8"/>
      <c r="M58" s="6"/>
      <c r="N58" s="6"/>
    </row>
    <row r="59" spans="1:14" s="1" customFormat="1" ht="32.25" customHeight="1">
      <c r="A59" s="25" t="s">
        <v>185</v>
      </c>
      <c r="B59" s="165"/>
      <c r="C59" s="32" t="s">
        <v>186</v>
      </c>
      <c r="D59" s="28"/>
      <c r="E59" s="28">
        <v>1</v>
      </c>
      <c r="F59" s="29">
        <v>57420</v>
      </c>
      <c r="G59" s="30">
        <v>57420</v>
      </c>
      <c r="H59" s="169"/>
      <c r="I59" s="167"/>
      <c r="J59" s="8"/>
      <c r="M59" s="6"/>
      <c r="N59" s="6"/>
    </row>
    <row r="60" spans="1:14" s="1" customFormat="1">
      <c r="A60" s="25" t="s">
        <v>187</v>
      </c>
      <c r="B60" s="165"/>
      <c r="C60" s="32" t="s">
        <v>188</v>
      </c>
      <c r="D60" s="28"/>
      <c r="E60" s="28">
        <v>1</v>
      </c>
      <c r="F60" s="29">
        <v>20799</v>
      </c>
      <c r="G60" s="30">
        <v>20799</v>
      </c>
      <c r="H60" s="169"/>
      <c r="I60" s="167"/>
      <c r="J60" s="8"/>
      <c r="M60" s="6"/>
      <c r="N60" s="6"/>
    </row>
    <row r="61" spans="1:14" s="1" customFormat="1">
      <c r="A61" s="25" t="s">
        <v>189</v>
      </c>
      <c r="B61" s="165"/>
      <c r="C61" s="32" t="s">
        <v>190</v>
      </c>
      <c r="D61" s="28"/>
      <c r="E61" s="28">
        <v>1</v>
      </c>
      <c r="F61" s="29">
        <v>12299</v>
      </c>
      <c r="G61" s="30">
        <v>12299</v>
      </c>
      <c r="H61" s="169"/>
      <c r="I61" s="167"/>
      <c r="J61" s="8"/>
      <c r="M61" s="6"/>
      <c r="N61" s="6"/>
    </row>
    <row r="62" spans="1:14" s="1" customFormat="1">
      <c r="A62" s="25" t="s">
        <v>191</v>
      </c>
      <c r="B62" s="165"/>
      <c r="C62" s="32" t="s">
        <v>190</v>
      </c>
      <c r="D62" s="28"/>
      <c r="E62" s="28">
        <v>1</v>
      </c>
      <c r="F62" s="29">
        <v>19599</v>
      </c>
      <c r="G62" s="30">
        <v>19599</v>
      </c>
      <c r="H62" s="169"/>
      <c r="I62" s="167"/>
      <c r="J62" s="8"/>
      <c r="M62" s="6"/>
      <c r="N62" s="6"/>
    </row>
    <row r="63" spans="1:14" s="1" customFormat="1">
      <c r="A63" s="25" t="s">
        <v>192</v>
      </c>
      <c r="B63" s="165"/>
      <c r="C63" s="32" t="s">
        <v>193</v>
      </c>
      <c r="D63" s="28"/>
      <c r="E63" s="28"/>
      <c r="F63" s="29">
        <v>1163</v>
      </c>
      <c r="G63" s="30">
        <v>1163</v>
      </c>
      <c r="H63" s="169"/>
      <c r="I63" s="167"/>
      <c r="J63" s="8"/>
      <c r="M63" s="6"/>
      <c r="N63" s="6"/>
    </row>
    <row r="64" spans="1:14" s="1" customFormat="1">
      <c r="A64" s="25" t="s">
        <v>194</v>
      </c>
      <c r="B64" s="165"/>
      <c r="C64" s="32" t="s">
        <v>195</v>
      </c>
      <c r="D64" s="28"/>
      <c r="E64" s="28">
        <v>1</v>
      </c>
      <c r="F64" s="29">
        <v>33340</v>
      </c>
      <c r="G64" s="30">
        <v>33340</v>
      </c>
      <c r="H64" s="169"/>
      <c r="I64" s="167"/>
      <c r="J64" s="8"/>
      <c r="M64" s="6"/>
      <c r="N64" s="6"/>
    </row>
    <row r="65" spans="1:14" s="1" customFormat="1" ht="43.5" customHeight="1">
      <c r="A65" s="25" t="s">
        <v>196</v>
      </c>
      <c r="B65" s="165"/>
      <c r="C65" s="32" t="s">
        <v>197</v>
      </c>
      <c r="D65" s="28"/>
      <c r="E65" s="28">
        <v>1</v>
      </c>
      <c r="F65" s="29">
        <v>2003</v>
      </c>
      <c r="G65" s="30">
        <v>2003</v>
      </c>
      <c r="H65" s="169"/>
      <c r="I65" s="167"/>
      <c r="J65" s="8"/>
      <c r="M65" s="6"/>
      <c r="N65" s="6"/>
    </row>
    <row r="66" spans="1:14" s="1" customFormat="1" ht="39.75" customHeight="1">
      <c r="A66" s="25" t="s">
        <v>198</v>
      </c>
      <c r="B66" s="165"/>
      <c r="C66" s="32" t="s">
        <v>199</v>
      </c>
      <c r="D66" s="28"/>
      <c r="E66" s="28">
        <v>1</v>
      </c>
      <c r="F66" s="29">
        <v>5260</v>
      </c>
      <c r="G66" s="30">
        <v>5260</v>
      </c>
      <c r="H66" s="169"/>
      <c r="I66" s="167"/>
      <c r="J66" s="8"/>
      <c r="M66" s="6"/>
      <c r="N66" s="6"/>
    </row>
    <row r="67" spans="1:14" s="1" customFormat="1" ht="57" customHeight="1">
      <c r="A67" s="25" t="s">
        <v>200</v>
      </c>
      <c r="B67" s="165"/>
      <c r="C67" s="32" t="s">
        <v>201</v>
      </c>
      <c r="D67" s="28"/>
      <c r="E67" s="28">
        <v>1</v>
      </c>
      <c r="F67" s="29">
        <v>24250</v>
      </c>
      <c r="G67" s="30">
        <v>24250</v>
      </c>
      <c r="H67" s="169"/>
      <c r="I67" s="167"/>
      <c r="J67" s="8"/>
      <c r="M67" s="6"/>
      <c r="N67" s="6"/>
    </row>
    <row r="68" spans="1:14" s="1" customFormat="1">
      <c r="A68" s="25" t="s">
        <v>202</v>
      </c>
      <c r="B68" s="165"/>
      <c r="C68" s="32" t="s">
        <v>203</v>
      </c>
      <c r="D68" s="28"/>
      <c r="E68" s="28">
        <v>1</v>
      </c>
      <c r="F68" s="29">
        <v>3565</v>
      </c>
      <c r="G68" s="30">
        <v>3565</v>
      </c>
      <c r="H68" s="169"/>
      <c r="I68" s="167"/>
      <c r="J68" s="8"/>
      <c r="M68" s="6"/>
      <c r="N68" s="6"/>
    </row>
    <row r="69" spans="1:14" s="1" customFormat="1">
      <c r="A69" s="25" t="s">
        <v>204</v>
      </c>
      <c r="B69" s="165"/>
      <c r="C69" s="32" t="s">
        <v>205</v>
      </c>
      <c r="D69" s="28"/>
      <c r="E69" s="28">
        <v>1</v>
      </c>
      <c r="F69" s="29">
        <v>1810</v>
      </c>
      <c r="G69" s="30">
        <v>1810</v>
      </c>
      <c r="H69" s="169"/>
      <c r="I69" s="167"/>
      <c r="J69" s="8"/>
      <c r="M69" s="6"/>
      <c r="N69" s="6"/>
    </row>
    <row r="70" spans="1:14" s="1" customFormat="1" ht="32.25" customHeight="1">
      <c r="A70" s="25" t="s">
        <v>206</v>
      </c>
      <c r="B70" s="165"/>
      <c r="C70" s="32" t="s">
        <v>207</v>
      </c>
      <c r="D70" s="28"/>
      <c r="E70" s="28"/>
      <c r="F70" s="29">
        <v>20000</v>
      </c>
      <c r="G70" s="30">
        <v>20000</v>
      </c>
      <c r="H70" s="169"/>
      <c r="I70" s="167"/>
      <c r="J70" s="8"/>
      <c r="M70" s="6"/>
      <c r="N70" s="6"/>
    </row>
    <row r="71" spans="1:14" s="1" customFormat="1">
      <c r="A71" s="25" t="s">
        <v>208</v>
      </c>
      <c r="B71" s="165"/>
      <c r="C71" s="32" t="s">
        <v>209</v>
      </c>
      <c r="D71" s="28"/>
      <c r="E71" s="28">
        <v>1</v>
      </c>
      <c r="F71" s="29">
        <v>360000</v>
      </c>
      <c r="G71" s="30">
        <v>360000</v>
      </c>
      <c r="H71" s="169"/>
      <c r="I71" s="167"/>
      <c r="J71" s="8"/>
      <c r="M71" s="6"/>
      <c r="N71" s="6"/>
    </row>
    <row r="72" spans="1:14" s="1" customFormat="1">
      <c r="A72" s="25" t="s">
        <v>210</v>
      </c>
      <c r="B72" s="166"/>
      <c r="C72" s="32" t="s">
        <v>211</v>
      </c>
      <c r="D72" s="28"/>
      <c r="E72" s="28">
        <v>1</v>
      </c>
      <c r="F72" s="29">
        <v>250000</v>
      </c>
      <c r="G72" s="30">
        <v>250000</v>
      </c>
      <c r="H72" s="169"/>
      <c r="I72" s="167"/>
      <c r="J72" s="8"/>
      <c r="M72" s="6"/>
      <c r="N72" s="6"/>
    </row>
    <row r="73" spans="1:14" s="1" customFormat="1" ht="47.25" customHeight="1">
      <c r="A73" s="25" t="s">
        <v>212</v>
      </c>
      <c r="B73" s="162" t="s">
        <v>213</v>
      </c>
      <c r="C73" s="163"/>
      <c r="D73" s="28"/>
      <c r="E73" s="28"/>
      <c r="F73" s="29">
        <v>2500000</v>
      </c>
      <c r="G73" s="30">
        <v>2500000</v>
      </c>
      <c r="H73" s="169"/>
      <c r="I73" s="167"/>
      <c r="J73" s="8"/>
      <c r="M73" s="6"/>
      <c r="N73" s="6"/>
    </row>
    <row r="74" spans="1:14" s="1" customFormat="1" ht="54" customHeight="1">
      <c r="A74" s="25" t="s">
        <v>214</v>
      </c>
      <c r="B74" s="172" t="s">
        <v>215</v>
      </c>
      <c r="C74" s="32" t="s">
        <v>216</v>
      </c>
      <c r="D74" s="28"/>
      <c r="E74" s="28"/>
      <c r="F74" s="29">
        <v>1901916</v>
      </c>
      <c r="G74" s="30">
        <v>1901916</v>
      </c>
      <c r="H74" s="153">
        <f>SUM(G74:G76)</f>
        <v>4201916</v>
      </c>
      <c r="I74" s="167"/>
      <c r="J74" s="8"/>
      <c r="M74" s="6"/>
      <c r="N74" s="6"/>
    </row>
    <row r="75" spans="1:14" s="1" customFormat="1">
      <c r="A75" s="25" t="s">
        <v>217</v>
      </c>
      <c r="B75" s="173"/>
      <c r="C75" s="27" t="s">
        <v>218</v>
      </c>
      <c r="D75" s="28"/>
      <c r="E75" s="28"/>
      <c r="F75" s="29">
        <v>2000000</v>
      </c>
      <c r="G75" s="30">
        <v>2000000</v>
      </c>
      <c r="H75" s="154"/>
      <c r="I75" s="167"/>
      <c r="J75" s="8"/>
      <c r="M75" s="6"/>
      <c r="N75" s="6"/>
    </row>
    <row r="76" spans="1:14" s="1" customFormat="1">
      <c r="A76" s="25" t="s">
        <v>219</v>
      </c>
      <c r="B76" s="174"/>
      <c r="C76" s="27" t="s">
        <v>220</v>
      </c>
      <c r="D76" s="28"/>
      <c r="E76" s="28" t="s">
        <v>221</v>
      </c>
      <c r="F76" s="29">
        <v>100000</v>
      </c>
      <c r="G76" s="30">
        <v>300000</v>
      </c>
      <c r="H76" s="155"/>
      <c r="I76" s="167"/>
      <c r="J76" s="8"/>
      <c r="M76" s="6"/>
      <c r="N76" s="6"/>
    </row>
    <row r="77" spans="1:14" s="1" customFormat="1">
      <c r="A77" s="25" t="s">
        <v>222</v>
      </c>
      <c r="B77" s="168" t="s">
        <v>8</v>
      </c>
      <c r="C77" s="27" t="s">
        <v>56</v>
      </c>
      <c r="D77" s="28"/>
      <c r="E77" s="28"/>
      <c r="F77" s="29">
        <v>106600</v>
      </c>
      <c r="G77" s="30">
        <v>106600</v>
      </c>
      <c r="H77" s="169">
        <f>SUM(G77:G81)</f>
        <v>357050</v>
      </c>
      <c r="I77" s="167"/>
      <c r="J77" s="8"/>
      <c r="M77" s="6"/>
      <c r="N77" s="6"/>
    </row>
    <row r="78" spans="1:14" s="1" customFormat="1">
      <c r="A78" s="25" t="s">
        <v>223</v>
      </c>
      <c r="B78" s="168"/>
      <c r="C78" s="27" t="s">
        <v>224</v>
      </c>
      <c r="D78" s="28"/>
      <c r="E78" s="28"/>
      <c r="F78" s="29">
        <v>6000</v>
      </c>
      <c r="G78" s="30">
        <v>6000</v>
      </c>
      <c r="H78" s="169"/>
      <c r="I78" s="167"/>
      <c r="J78" s="8"/>
      <c r="M78" s="6"/>
      <c r="N78" s="6"/>
    </row>
    <row r="79" spans="1:14" s="1" customFormat="1" ht="30.75" customHeight="1">
      <c r="A79" s="25" t="s">
        <v>225</v>
      </c>
      <c r="B79" s="168"/>
      <c r="C79" s="27" t="s">
        <v>226</v>
      </c>
      <c r="D79" s="28" t="s">
        <v>227</v>
      </c>
      <c r="E79" s="28" t="s">
        <v>228</v>
      </c>
      <c r="F79" s="29">
        <v>59</v>
      </c>
      <c r="G79" s="30">
        <v>17700</v>
      </c>
      <c r="H79" s="169"/>
      <c r="I79" s="167"/>
      <c r="J79" s="8"/>
      <c r="M79" s="6"/>
      <c r="N79" s="6"/>
    </row>
    <row r="80" spans="1:14" s="1" customFormat="1" ht="13.5" customHeight="1">
      <c r="A80" s="25"/>
      <c r="B80" s="168"/>
      <c r="C80" s="27" t="s">
        <v>62</v>
      </c>
      <c r="D80" s="28"/>
      <c r="E80" s="28"/>
      <c r="F80" s="29">
        <v>6750</v>
      </c>
      <c r="G80" s="30">
        <v>6750</v>
      </c>
      <c r="H80" s="169"/>
      <c r="I80" s="167"/>
      <c r="J80" s="8"/>
      <c r="M80" s="6"/>
      <c r="N80" s="6"/>
    </row>
    <row r="81" spans="1:14" s="1" customFormat="1" ht="60.75">
      <c r="A81" s="25" t="s">
        <v>229</v>
      </c>
      <c r="B81" s="168"/>
      <c r="C81" s="27" t="s">
        <v>230</v>
      </c>
      <c r="D81" s="28"/>
      <c r="E81" s="28"/>
      <c r="F81" s="29">
        <v>220000</v>
      </c>
      <c r="G81" s="30">
        <v>220000</v>
      </c>
      <c r="H81" s="169"/>
      <c r="I81" s="167"/>
      <c r="J81" s="8"/>
      <c r="M81" s="6"/>
      <c r="N81" s="6"/>
    </row>
    <row r="82" spans="1:14" s="1" customFormat="1">
      <c r="A82" s="25" t="s">
        <v>231</v>
      </c>
      <c r="B82" s="99" t="s">
        <v>48</v>
      </c>
      <c r="C82" s="27" t="s">
        <v>232</v>
      </c>
      <c r="D82" s="28"/>
      <c r="E82" s="28"/>
      <c r="F82" s="29"/>
      <c r="G82" s="30">
        <v>250000</v>
      </c>
      <c r="H82" s="30">
        <v>250000</v>
      </c>
      <c r="I82" s="167"/>
      <c r="J82" s="8"/>
      <c r="M82" s="6"/>
      <c r="N82" s="6"/>
    </row>
    <row r="83" spans="1:14" ht="28.5" customHeight="1">
      <c r="A83" s="25"/>
      <c r="B83" s="35" t="s">
        <v>19</v>
      </c>
      <c r="C83" s="36"/>
      <c r="D83" s="37"/>
      <c r="E83" s="37"/>
      <c r="F83" s="38"/>
      <c r="G83" s="30"/>
      <c r="H83" s="30">
        <f>SUM(H77,H74,H20,H10,H3,H82)</f>
        <v>22526892</v>
      </c>
      <c r="J83" s="8"/>
      <c r="K83" s="5"/>
      <c r="M83" s="7"/>
      <c r="N83" s="7"/>
    </row>
  </sheetData>
  <mergeCells count="25">
    <mergeCell ref="I1:I1048576"/>
    <mergeCell ref="A1:H1"/>
    <mergeCell ref="K4:K6"/>
    <mergeCell ref="B77:B81"/>
    <mergeCell ref="H77:H81"/>
    <mergeCell ref="G5:G7"/>
    <mergeCell ref="G8:G9"/>
    <mergeCell ref="B3:B9"/>
    <mergeCell ref="H74:H76"/>
    <mergeCell ref="B74:B76"/>
    <mergeCell ref="H3:H9"/>
    <mergeCell ref="H20:H73"/>
    <mergeCell ref="B10:B19"/>
    <mergeCell ref="J1:N1"/>
    <mergeCell ref="L10:L11"/>
    <mergeCell ref="M10:M11"/>
    <mergeCell ref="N10:N11"/>
    <mergeCell ref="B73:C73"/>
    <mergeCell ref="B20:B72"/>
    <mergeCell ref="F5:F7"/>
    <mergeCell ref="F8:F9"/>
    <mergeCell ref="K12:K14"/>
    <mergeCell ref="K7:K11"/>
    <mergeCell ref="H10:H19"/>
    <mergeCell ref="K15:K16"/>
  </mergeCells>
  <hyperlinks>
    <hyperlink ref="C20" r:id="rId1" xr:uid="{CD0E00B7-7BFF-44F6-B6A0-A5EB4595E06B}"/>
    <hyperlink ref="C22" r:id="rId2" xr:uid="{C5F1BC68-6D29-4005-B60C-ED2F08462C95}"/>
    <hyperlink ref="C23" r:id="rId3" xr:uid="{6F4447E7-FD61-4073-8B13-B3B65AEF5886}"/>
    <hyperlink ref="C24" r:id="rId4" xr:uid="{77AD03B8-A8A1-4639-9AFF-6E91793A1D05}"/>
    <hyperlink ref="C27" r:id="rId5" xr:uid="{90A1C001-AAA3-4156-8C6A-4E6CE0AA3710}"/>
    <hyperlink ref="C28" r:id="rId6" location="searchQuery=пароизоляция&amp;searchType=redirect" xr:uid="{AAFF0B6A-CAB8-4CCC-87C9-E7A75CC0F29A}"/>
    <hyperlink ref="C21" r:id="rId7" xr:uid="{A74CA97E-59C9-49B8-ADF9-8E076383F3C5}"/>
    <hyperlink ref="C29" r:id="rId8" xr:uid="{D527BB16-259C-4800-8F1A-FAB719E40272}"/>
    <hyperlink ref="C60" r:id="rId9" xr:uid="{79F0738C-6C8B-474F-83BE-E52356026D16}"/>
    <hyperlink ref="C59" r:id="rId10" xr:uid="{3DB983CE-DB0C-4016-B286-D2F67A7174C4}"/>
    <hyperlink ref="C64" r:id="rId11" xr:uid="{95D50C07-FF6D-418E-8540-664A09B34ED9}"/>
    <hyperlink ref="C67" r:id="rId12" xr:uid="{F2DDEA58-2897-4DEA-AA1F-BD75D8DC65E7}"/>
    <hyperlink ref="C65" r:id="rId13" xr:uid="{BB1E04C1-BE62-47CA-8A61-329221BB4940}"/>
    <hyperlink ref="C66" r:id="rId14" xr:uid="{F3933C62-D1F3-4D5B-A0FC-BF9E0CD8624E}"/>
    <hyperlink ref="C68" r:id="rId15" xr:uid="{85151EAE-CE48-486F-B58C-409AC89A9040}"/>
    <hyperlink ref="C69" r:id="rId16" xr:uid="{4F820F2B-F659-468A-BBA3-37C14D5D65A4}"/>
    <hyperlink ref="C63" r:id="rId17" xr:uid="{5C47C538-9601-4AD5-A05B-D27CA30EEAA0}"/>
    <hyperlink ref="C30" r:id="rId18" xr:uid="{C2191BDE-FD8D-4C44-95FE-FBE7A5881314}"/>
    <hyperlink ref="C32" r:id="rId19" xr:uid="{3B4ADF00-95A9-4B30-9DC1-79DD6DB74644}"/>
    <hyperlink ref="C31" r:id="rId20" xr:uid="{63002421-57AA-42EF-B97E-D6D50899EFCB}"/>
    <hyperlink ref="C33" r:id="rId21" xr:uid="{1212B8A7-A0E8-4915-A4C0-7F70F4DCF19F}"/>
    <hyperlink ref="C25" r:id="rId22" xr:uid="{188DDCFE-7D0F-4651-BB28-45761602A3F7}"/>
    <hyperlink ref="C26" r:id="rId23" xr:uid="{6AC5136C-DF7D-4175-A5F0-8B8260BA42FC}"/>
    <hyperlink ref="C35" r:id="rId24" xr:uid="{0CCBDCF4-A513-4218-B160-C74A811000A7}"/>
    <hyperlink ref="C36" r:id="rId25" xr:uid="{8782A911-A3A7-47FA-829F-741387D2F84F}"/>
    <hyperlink ref="C34" r:id="rId26" xr:uid="{0F30957A-98A9-4A31-A88D-B68798DAA0F8}"/>
    <hyperlink ref="C39" r:id="rId27" xr:uid="{75A1425B-D58D-4DB4-8C09-C27C210DE8E6}"/>
    <hyperlink ref="C42" r:id="rId28" xr:uid="{886069E7-B487-4F59-BBCC-77184BA401AF}"/>
    <hyperlink ref="C41" r:id="rId29" xr:uid="{2CF15CC8-9C5F-4BAF-8244-7CCA34D05AB8}"/>
    <hyperlink ref="C46" r:id="rId30" xr:uid="{79C7ABBF-408D-488B-9463-88EC9F2BEA7F}"/>
    <hyperlink ref="C40" r:id="rId31" xr:uid="{3894E08C-1611-4AB6-940D-59F4B24B0E26}"/>
    <hyperlink ref="C44" r:id="rId32" xr:uid="{84909345-0802-441B-8BEF-DFB8DE0A0C51}"/>
    <hyperlink ref="C43" r:id="rId33" display="Натяжной потолок" xr:uid="{F1A3C68D-F89D-49DE-9905-B848C8D25998}"/>
    <hyperlink ref="C45" r:id="rId34" xr:uid="{29C70DEF-8D2A-40E4-9BF1-0065F22D306B}"/>
    <hyperlink ref="C47" r:id="rId35" display="Парты" xr:uid="{5D30EA11-BEDF-43E6-B8C0-9502C5A65AE5}"/>
    <hyperlink ref="C48" r:id="rId36" xr:uid="{3EF81B48-59B8-4F84-BC83-40942E78EB7C}"/>
    <hyperlink ref="C49" r:id="rId37" xr:uid="{421FE81B-824E-4162-BDB0-016ED5BE0A7C}"/>
    <hyperlink ref="C50" r:id="rId38" xr:uid="{E4BB1A23-28E0-457A-911E-68377711FFB4}"/>
    <hyperlink ref="C51" r:id="rId39" xr:uid="{BF70ED14-0825-4104-9E0F-9486C9FC1DEB}"/>
    <hyperlink ref="C52" r:id="rId40" xr:uid="{290A2F93-5995-464E-8CC7-6095D5F1F02E}"/>
    <hyperlink ref="C56" r:id="rId41" display="Рабочий стол" xr:uid="{62FC8B7E-3E0B-401F-8F16-630FA83D392E}"/>
    <hyperlink ref="C58" r:id="rId42" xr:uid="{87DFE007-4BB5-4D27-AD97-E18899E4A40D}"/>
    <hyperlink ref="C61" r:id="rId43" display="Офисный шкаф" xr:uid="{279BC16B-57D2-407B-9B29-9A8C1314927A}"/>
    <hyperlink ref="C62" r:id="rId44" xr:uid="{91BC78E5-3341-4228-89C3-A85CB0B9D18D}"/>
    <hyperlink ref="C71" r:id="rId45" display="Автотренажер" xr:uid="{46E56E61-2EAC-441A-8E6D-E149DD3E8047}"/>
    <hyperlink ref="C72" r:id="rId46" xr:uid="{799366C4-7E8A-4DC9-B544-F147822CD1CA}"/>
    <hyperlink ref="C55" r:id="rId47" xr:uid="{A845C642-D7DF-4BD6-9798-4887C496798B}"/>
    <hyperlink ref="C74" r:id="rId48" xr:uid="{C980CDDE-A05F-43D9-9FBA-E121E21E4EFE}"/>
    <hyperlink ref="C37" r:id="rId49" xr:uid="{5CBBCD2A-567A-48DB-A234-7BF4A10A0F54}"/>
    <hyperlink ref="C53" r:id="rId50" display="Ноутбук" xr:uid="{CA1A293F-4C62-4DFC-BE1C-8F908243A1B6}"/>
    <hyperlink ref="C54" r:id="rId51" xr:uid="{F54785F6-4FF3-40A3-A692-AFCBD96C8C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1004-7937-4E82-BED4-336EBD99746E}">
  <dimension ref="A1:N15"/>
  <sheetViews>
    <sheetView workbookViewId="0">
      <pane xSplit="1" topLeftCell="D1" activePane="topRight" state="frozen"/>
      <selection pane="topRight" activeCell="D3" sqref="D3"/>
    </sheetView>
  </sheetViews>
  <sheetFormatPr defaultRowHeight="15"/>
  <cols>
    <col min="1" max="1" width="26.5703125" customWidth="1"/>
    <col min="2" max="2" width="20.7109375" customWidth="1"/>
    <col min="3" max="3" width="18" customWidth="1"/>
    <col min="4" max="4" width="27.7109375" customWidth="1"/>
    <col min="5" max="6" width="22.7109375" customWidth="1"/>
    <col min="7" max="7" width="28" customWidth="1"/>
    <col min="8" max="8" width="22.7109375" customWidth="1"/>
    <col min="9" max="9" width="19.28515625" customWidth="1"/>
    <col min="10" max="10" width="17.28515625" customWidth="1"/>
  </cols>
  <sheetData>
    <row r="1" spans="1:14" ht="48.75">
      <c r="A1" s="132" t="s">
        <v>233</v>
      </c>
      <c r="B1" s="132" t="s">
        <v>234</v>
      </c>
      <c r="C1" s="132" t="s">
        <v>235</v>
      </c>
      <c r="D1" s="132" t="s">
        <v>236</v>
      </c>
      <c r="E1" s="133" t="s">
        <v>237</v>
      </c>
      <c r="F1" s="133" t="s">
        <v>238</v>
      </c>
      <c r="G1" s="132" t="s">
        <v>239</v>
      </c>
      <c r="H1" s="132" t="s">
        <v>240</v>
      </c>
      <c r="I1" s="132" t="s">
        <v>241</v>
      </c>
      <c r="J1" s="132" t="s">
        <v>242</v>
      </c>
    </row>
    <row r="2" spans="1:14" ht="15.75">
      <c r="A2" s="140" t="s">
        <v>243</v>
      </c>
      <c r="B2" s="134" t="s">
        <v>244</v>
      </c>
      <c r="C2" s="134" t="s">
        <v>245</v>
      </c>
      <c r="D2" s="135">
        <v>3500</v>
      </c>
      <c r="E2" s="135">
        <f>D2*10</f>
        <v>35000</v>
      </c>
      <c r="F2" s="135">
        <f>E2-E2*0.22-E2*0.05-E2*0.03</f>
        <v>24500</v>
      </c>
      <c r="G2" s="135">
        <f>E2*0.15</f>
        <v>5250</v>
      </c>
      <c r="H2" s="135">
        <v>2400</v>
      </c>
      <c r="I2" s="136">
        <f>E2+G2+H2</f>
        <v>42650</v>
      </c>
      <c r="J2" s="136">
        <f>I2*12</f>
        <v>511800</v>
      </c>
      <c r="K2" s="1"/>
      <c r="L2" s="1"/>
      <c r="M2" s="1"/>
      <c r="N2" s="1"/>
    </row>
    <row r="3" spans="1:14" ht="15.75">
      <c r="A3" s="140" t="s">
        <v>246</v>
      </c>
      <c r="B3" s="134" t="s">
        <v>244</v>
      </c>
      <c r="C3" s="134" t="s">
        <v>245</v>
      </c>
      <c r="D3" s="135">
        <v>3500</v>
      </c>
      <c r="E3" s="135">
        <f t="shared" ref="E3:E7" si="0">D3*10</f>
        <v>35000</v>
      </c>
      <c r="F3" s="135">
        <f t="shared" ref="F3:F14" si="1">E3-E3*0.22-E3*0.05-E3*0.03</f>
        <v>24500</v>
      </c>
      <c r="G3" s="135">
        <f t="shared" ref="G3:G11" si="2">E3*0.15</f>
        <v>5250</v>
      </c>
      <c r="H3" s="135">
        <v>2400</v>
      </c>
      <c r="I3" s="136">
        <f>E3+G3+H3</f>
        <v>42650</v>
      </c>
      <c r="J3" s="136">
        <f t="shared" ref="J3:J14" si="3">I3*12</f>
        <v>511800</v>
      </c>
      <c r="K3" s="1"/>
      <c r="L3" s="1"/>
      <c r="M3" s="1"/>
      <c r="N3" s="1"/>
    </row>
    <row r="4" spans="1:14" ht="15.75">
      <c r="A4" s="140" t="s">
        <v>247</v>
      </c>
      <c r="B4" s="134" t="s">
        <v>244</v>
      </c>
      <c r="C4" s="134" t="s">
        <v>245</v>
      </c>
      <c r="D4" s="135">
        <v>3500</v>
      </c>
      <c r="E4" s="135">
        <f t="shared" si="0"/>
        <v>35000</v>
      </c>
      <c r="F4" s="135">
        <f t="shared" si="1"/>
        <v>24500</v>
      </c>
      <c r="G4" s="135">
        <f t="shared" si="2"/>
        <v>5250</v>
      </c>
      <c r="H4" s="135">
        <v>2400</v>
      </c>
      <c r="I4" s="136">
        <f>E4+G4+H4</f>
        <v>42650</v>
      </c>
      <c r="J4" s="136">
        <f t="shared" si="3"/>
        <v>511800</v>
      </c>
      <c r="K4" s="1"/>
      <c r="L4" s="1"/>
      <c r="M4" s="1"/>
      <c r="N4" s="1"/>
    </row>
    <row r="5" spans="1:14" ht="15.75">
      <c r="A5" s="140" t="s">
        <v>248</v>
      </c>
      <c r="B5" s="134" t="s">
        <v>249</v>
      </c>
      <c r="C5" s="134" t="s">
        <v>245</v>
      </c>
      <c r="D5" s="135">
        <v>3500</v>
      </c>
      <c r="E5" s="135">
        <f t="shared" si="0"/>
        <v>35000</v>
      </c>
      <c r="F5" s="135">
        <f t="shared" si="1"/>
        <v>24500</v>
      </c>
      <c r="G5" s="135">
        <f t="shared" si="2"/>
        <v>5250</v>
      </c>
      <c r="H5" s="135">
        <v>2400</v>
      </c>
      <c r="I5" s="136">
        <f>E5+G5+H5</f>
        <v>42650</v>
      </c>
      <c r="J5" s="136">
        <f t="shared" si="3"/>
        <v>511800</v>
      </c>
      <c r="K5" s="1"/>
      <c r="L5" s="1"/>
      <c r="M5" s="1"/>
      <c r="N5" s="1"/>
    </row>
    <row r="6" spans="1:14" ht="15.75">
      <c r="A6" s="140" t="s">
        <v>250</v>
      </c>
      <c r="B6" s="134" t="s">
        <v>249</v>
      </c>
      <c r="C6" s="134" t="s">
        <v>245</v>
      </c>
      <c r="D6" s="135">
        <v>3500</v>
      </c>
      <c r="E6" s="135">
        <f t="shared" si="0"/>
        <v>35000</v>
      </c>
      <c r="F6" s="135">
        <f t="shared" si="1"/>
        <v>24500</v>
      </c>
      <c r="G6" s="135">
        <f t="shared" si="2"/>
        <v>5250</v>
      </c>
      <c r="H6" s="135">
        <v>2400</v>
      </c>
      <c r="I6" s="136">
        <f>E6+G6+H6</f>
        <v>42650</v>
      </c>
      <c r="J6" s="136">
        <f t="shared" si="3"/>
        <v>511800</v>
      </c>
      <c r="K6" s="1"/>
      <c r="L6" s="1"/>
      <c r="M6" s="1"/>
      <c r="N6" s="1"/>
    </row>
    <row r="7" spans="1:14" ht="15.75">
      <c r="A7" s="140" t="s">
        <v>251</v>
      </c>
      <c r="B7" s="134" t="s">
        <v>249</v>
      </c>
      <c r="C7" s="134" t="s">
        <v>245</v>
      </c>
      <c r="D7" s="135">
        <v>3500</v>
      </c>
      <c r="E7" s="135">
        <f t="shared" si="0"/>
        <v>35000</v>
      </c>
      <c r="F7" s="135">
        <f t="shared" si="1"/>
        <v>24500</v>
      </c>
      <c r="G7" s="135">
        <f t="shared" si="2"/>
        <v>5250</v>
      </c>
      <c r="H7" s="135">
        <v>2400</v>
      </c>
      <c r="I7" s="136">
        <f>E7+G7+H7</f>
        <v>42650</v>
      </c>
      <c r="J7" s="136">
        <f t="shared" si="3"/>
        <v>511800</v>
      </c>
      <c r="K7" s="1"/>
      <c r="L7" s="1"/>
      <c r="M7" s="1"/>
      <c r="N7" s="1"/>
    </row>
    <row r="8" spans="1:14" ht="15.75">
      <c r="A8" s="140" t="s">
        <v>252</v>
      </c>
      <c r="B8" s="134" t="s">
        <v>253</v>
      </c>
      <c r="C8" s="134" t="s">
        <v>245</v>
      </c>
      <c r="D8" s="135">
        <v>2500</v>
      </c>
      <c r="E8" s="135">
        <f>D8*12</f>
        <v>30000</v>
      </c>
      <c r="F8" s="135">
        <f t="shared" si="1"/>
        <v>21000</v>
      </c>
      <c r="G8" s="135">
        <f t="shared" si="2"/>
        <v>4500</v>
      </c>
      <c r="H8" s="135">
        <v>2400</v>
      </c>
      <c r="I8" s="136">
        <f>E8+G8+H8</f>
        <v>36900</v>
      </c>
      <c r="J8" s="136">
        <f t="shared" si="3"/>
        <v>442800</v>
      </c>
      <c r="K8" s="1"/>
      <c r="L8" s="1"/>
      <c r="M8" s="1"/>
      <c r="N8" s="1"/>
    </row>
    <row r="9" spans="1:14" ht="15.75">
      <c r="A9" s="140" t="s">
        <v>254</v>
      </c>
      <c r="B9" s="134" t="s">
        <v>253</v>
      </c>
      <c r="C9" s="134" t="s">
        <v>245</v>
      </c>
      <c r="D9" s="135">
        <v>2500</v>
      </c>
      <c r="E9" s="135">
        <f>D9*12</f>
        <v>30000</v>
      </c>
      <c r="F9" s="135">
        <f t="shared" si="1"/>
        <v>21000</v>
      </c>
      <c r="G9" s="135">
        <f t="shared" si="2"/>
        <v>4500</v>
      </c>
      <c r="H9" s="135">
        <v>2400</v>
      </c>
      <c r="I9" s="136">
        <f>E9+G9+H9</f>
        <v>36900</v>
      </c>
      <c r="J9" s="136">
        <f t="shared" si="3"/>
        <v>442800</v>
      </c>
      <c r="K9" s="1"/>
      <c r="L9" s="1"/>
      <c r="M9" s="1"/>
      <c r="N9" s="1"/>
    </row>
    <row r="10" spans="1:14" ht="15.75">
      <c r="A10" s="140" t="s">
        <v>255</v>
      </c>
      <c r="B10" s="134" t="s">
        <v>256</v>
      </c>
      <c r="C10" s="134" t="s">
        <v>257</v>
      </c>
      <c r="D10" s="135"/>
      <c r="E10" s="135">
        <v>70000</v>
      </c>
      <c r="F10" s="135">
        <f t="shared" si="1"/>
        <v>49000</v>
      </c>
      <c r="G10" s="135">
        <f t="shared" si="2"/>
        <v>10500</v>
      </c>
      <c r="H10" s="135">
        <v>4800</v>
      </c>
      <c r="I10" s="136">
        <f>E10+G10+H10</f>
        <v>85300</v>
      </c>
      <c r="J10" s="136">
        <f t="shared" si="3"/>
        <v>1023600</v>
      </c>
      <c r="K10" s="1"/>
      <c r="L10" s="1"/>
      <c r="M10" s="1"/>
      <c r="N10" s="1"/>
    </row>
    <row r="11" spans="1:14" ht="15.75">
      <c r="A11" s="140" t="s">
        <v>258</v>
      </c>
      <c r="B11" s="134" t="s">
        <v>256</v>
      </c>
      <c r="C11" s="134" t="s">
        <v>257</v>
      </c>
      <c r="D11" s="135"/>
      <c r="E11" s="135">
        <v>60000</v>
      </c>
      <c r="F11" s="135">
        <f t="shared" si="1"/>
        <v>42000</v>
      </c>
      <c r="G11" s="135">
        <f t="shared" si="2"/>
        <v>9000</v>
      </c>
      <c r="H11" s="135">
        <v>4800</v>
      </c>
      <c r="I11" s="136">
        <f>E11+G11+H11</f>
        <v>73800</v>
      </c>
      <c r="J11" s="136">
        <f t="shared" si="3"/>
        <v>885600</v>
      </c>
      <c r="K11" s="1"/>
      <c r="L11" s="1"/>
      <c r="M11" s="1"/>
      <c r="N11" s="1"/>
    </row>
    <row r="12" spans="1:14" ht="15.75">
      <c r="A12" s="140" t="s">
        <v>259</v>
      </c>
      <c r="B12" s="134"/>
      <c r="C12" s="134"/>
      <c r="D12" s="135"/>
      <c r="E12" s="135">
        <v>20000</v>
      </c>
      <c r="F12" s="135"/>
      <c r="G12" s="135">
        <v>0</v>
      </c>
      <c r="H12" s="135">
        <v>7440</v>
      </c>
      <c r="I12" s="136">
        <f>E12+G12+H12</f>
        <v>27440</v>
      </c>
      <c r="J12" s="136">
        <f t="shared" si="3"/>
        <v>329280</v>
      </c>
      <c r="K12" s="1"/>
      <c r="L12" s="1"/>
      <c r="M12" s="1"/>
      <c r="N12" s="1"/>
    </row>
    <row r="13" spans="1:14" ht="15.75">
      <c r="A13" s="140" t="s">
        <v>260</v>
      </c>
      <c r="B13" s="135"/>
      <c r="C13" s="134"/>
      <c r="D13" s="135">
        <v>2880</v>
      </c>
      <c r="E13" s="135">
        <v>44640</v>
      </c>
      <c r="F13" s="135"/>
      <c r="G13" s="135">
        <v>0</v>
      </c>
      <c r="H13" s="135">
        <v>7440</v>
      </c>
      <c r="I13" s="136">
        <f>E13+G13+H13</f>
        <v>52080</v>
      </c>
      <c r="J13" s="136">
        <f t="shared" si="3"/>
        <v>624960</v>
      </c>
      <c r="K13" s="1"/>
      <c r="L13" s="1"/>
      <c r="M13" s="1"/>
      <c r="N13" s="1"/>
    </row>
    <row r="14" spans="1:14" ht="15.75">
      <c r="A14" s="140" t="s">
        <v>261</v>
      </c>
      <c r="B14" s="134" t="s">
        <v>256</v>
      </c>
      <c r="C14" s="134" t="s">
        <v>257</v>
      </c>
      <c r="D14" s="135"/>
      <c r="E14" s="135">
        <v>60000</v>
      </c>
      <c r="F14" s="135">
        <f t="shared" si="1"/>
        <v>42000</v>
      </c>
      <c r="G14" s="135">
        <f>E14*0.15</f>
        <v>9000</v>
      </c>
      <c r="H14" s="135">
        <v>4800</v>
      </c>
      <c r="I14" s="136">
        <f>E14+G14+H14</f>
        <v>73800</v>
      </c>
      <c r="J14" s="136">
        <f t="shared" si="3"/>
        <v>885600</v>
      </c>
      <c r="K14" s="1"/>
      <c r="L14" s="1"/>
      <c r="M14" s="1"/>
      <c r="N14" s="1"/>
    </row>
    <row r="15" spans="1:14" ht="15.75">
      <c r="A15" s="137" t="s">
        <v>262</v>
      </c>
      <c r="B15" s="137"/>
      <c r="C15" s="137"/>
      <c r="D15" s="137"/>
      <c r="E15" s="138">
        <f>SUM(E2,E3,E4,E5,E6,E7,E8,E9,E10,E11,E12,E13,E14)</f>
        <v>524640</v>
      </c>
      <c r="F15" s="138"/>
      <c r="G15" s="138">
        <f>SUM(G2,G3,G4,G5,G6,G7,G8,G9,G10,G11,G12,G13,G14)</f>
        <v>69000</v>
      </c>
      <c r="H15" s="138">
        <f>SUM(H2,H3,H4,H5,H6,H7,H8,H9,H10,H11,H12,H13,H14)</f>
        <v>48480</v>
      </c>
      <c r="I15" s="139">
        <f>I2+I3+I4+I5+I6+I7+I8+I9+I10+I11+I12+I13+I14</f>
        <v>642120</v>
      </c>
      <c r="J15" s="139">
        <f>J2+J3+J4+J5+J6+J7+J8+J9+J10+J11+J12+J13+J14</f>
        <v>7705440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4BD2-3B66-47C2-BFC2-9FD2AE2DC1D4}">
  <dimension ref="A1:BE58"/>
  <sheetViews>
    <sheetView showGridLines="0" topLeftCell="A17" workbookViewId="0">
      <selection activeCell="B33" sqref="B33"/>
    </sheetView>
  </sheetViews>
  <sheetFormatPr defaultRowHeight="15"/>
  <cols>
    <col min="2" max="2" width="14.85546875" customWidth="1"/>
    <col min="3" max="3" width="27.7109375" customWidth="1"/>
    <col min="4" max="4" width="17" customWidth="1"/>
    <col min="5" max="5" width="18" customWidth="1"/>
    <col min="6" max="6" width="15.7109375" customWidth="1"/>
    <col min="7" max="7" width="17.85546875" customWidth="1"/>
    <col min="8" max="8" width="15.28515625" style="7" customWidth="1"/>
    <col min="9" max="9" width="19.28515625" customWidth="1"/>
    <col min="10" max="10" width="17.85546875" style="7" customWidth="1"/>
    <col min="12" max="12" width="17.28515625" style="7" customWidth="1"/>
    <col min="13" max="13" width="13" customWidth="1"/>
    <col min="14" max="14" width="19.140625" style="7" customWidth="1"/>
    <col min="15" max="15" width="16.85546875" customWidth="1"/>
    <col min="16" max="16" width="19.7109375" style="7" customWidth="1"/>
    <col min="17" max="17" width="16.5703125" customWidth="1"/>
    <col min="18" max="18" width="14.85546875" style="7" customWidth="1"/>
    <col min="19" max="19" width="18" customWidth="1"/>
    <col min="20" max="20" width="18" style="7" customWidth="1"/>
    <col min="21" max="21" width="17.140625" customWidth="1"/>
    <col min="22" max="22" width="15.5703125" style="7" customWidth="1"/>
    <col min="23" max="23" width="18.85546875" customWidth="1"/>
    <col min="24" max="24" width="17.28515625" style="7" customWidth="1"/>
    <col min="25" max="25" width="13.5703125" customWidth="1"/>
    <col min="26" max="26" width="15.7109375" style="7" customWidth="1"/>
    <col min="27" max="27" width="14.28515625" customWidth="1"/>
    <col min="28" max="28" width="16.5703125" style="7" customWidth="1"/>
    <col min="29" max="29" width="16.7109375" customWidth="1"/>
    <col min="30" max="30" width="15.42578125" style="7" customWidth="1"/>
    <col min="31" max="31" width="18" customWidth="1"/>
    <col min="32" max="32" width="15.42578125" style="7" customWidth="1"/>
    <col min="33" max="33" width="16.5703125" customWidth="1"/>
    <col min="34" max="34" width="15" style="7" customWidth="1"/>
    <col min="35" max="35" width="20.85546875" customWidth="1"/>
    <col min="36" max="36" width="15" style="7" customWidth="1"/>
    <col min="37" max="37" width="18.5703125" customWidth="1"/>
    <col min="38" max="38" width="16.7109375" style="7" customWidth="1"/>
    <col min="39" max="39" width="20.42578125" customWidth="1"/>
    <col min="40" max="40" width="17.85546875" style="7" customWidth="1"/>
    <col min="41" max="41" width="20.42578125" customWidth="1"/>
    <col min="42" max="42" width="16.5703125" style="7" customWidth="1"/>
    <col min="43" max="43" width="20.28515625" customWidth="1"/>
    <col min="44" max="44" width="16.28515625" style="7" customWidth="1"/>
    <col min="45" max="45" width="27" customWidth="1"/>
    <col min="46" max="46" width="15" style="7" customWidth="1"/>
    <col min="47" max="47" width="15.7109375" customWidth="1"/>
    <col min="48" max="48" width="18.42578125" style="7" customWidth="1"/>
    <col min="49" max="50" width="19.5703125" customWidth="1"/>
    <col min="51" max="51" width="21.7109375" customWidth="1"/>
    <col min="52" max="52" width="17.85546875" style="7" customWidth="1"/>
  </cols>
  <sheetData>
    <row r="1" spans="2:16" hidden="1"/>
    <row r="2" spans="2:16" ht="15.75" hidden="1">
      <c r="B2" s="196" t="s">
        <v>263</v>
      </c>
      <c r="C2" s="196"/>
      <c r="D2" s="196"/>
      <c r="E2" s="196"/>
      <c r="F2" s="196"/>
      <c r="G2" s="196"/>
      <c r="H2" s="196"/>
      <c r="I2" s="196"/>
    </row>
    <row r="3" spans="2:16" ht="14.25" hidden="1" customHeight="1">
      <c r="B3" s="197"/>
      <c r="C3" s="198"/>
      <c r="D3" s="198"/>
      <c r="E3" s="198"/>
      <c r="F3" s="198"/>
      <c r="G3" s="198"/>
      <c r="H3" s="198"/>
      <c r="I3" s="198"/>
    </row>
    <row r="4" spans="2:16" ht="66.75" hidden="1" customHeight="1">
      <c r="B4" s="202" t="s">
        <v>264</v>
      </c>
      <c r="C4" s="202" t="s">
        <v>265</v>
      </c>
      <c r="D4" s="202" t="s">
        <v>266</v>
      </c>
      <c r="E4" s="202" t="s">
        <v>267</v>
      </c>
      <c r="F4" s="203" t="s">
        <v>268</v>
      </c>
      <c r="G4" s="203" t="s">
        <v>269</v>
      </c>
      <c r="H4" s="204" t="s">
        <v>270</v>
      </c>
      <c r="I4" s="205" t="s">
        <v>271</v>
      </c>
      <c r="J4" s="81"/>
      <c r="K4" s="2"/>
      <c r="L4" s="81"/>
      <c r="M4" s="2"/>
      <c r="N4" s="81"/>
      <c r="O4" s="3"/>
      <c r="P4" s="83"/>
    </row>
    <row r="5" spans="2:16" ht="113.25" hidden="1" customHeight="1">
      <c r="B5" s="199" t="s">
        <v>272</v>
      </c>
      <c r="C5" s="49">
        <v>130</v>
      </c>
      <c r="D5" s="49">
        <f>C5-C5*0.4</f>
        <v>78</v>
      </c>
      <c r="E5" s="49">
        <v>210</v>
      </c>
      <c r="F5" s="57">
        <f>D5*E5*30</f>
        <v>491400</v>
      </c>
      <c r="G5" s="200">
        <f>F5*12</f>
        <v>5896800</v>
      </c>
      <c r="H5" s="78">
        <f>(D5*E5)*30</f>
        <v>491400</v>
      </c>
      <c r="I5" s="201">
        <f>H5*12</f>
        <v>5896800</v>
      </c>
      <c r="J5" s="81"/>
      <c r="K5" s="2"/>
      <c r="L5" s="81"/>
      <c r="M5" s="2"/>
      <c r="N5" s="81"/>
      <c r="O5" s="3"/>
      <c r="P5" s="83"/>
    </row>
    <row r="6" spans="2:16" ht="61.5" hidden="1" customHeight="1">
      <c r="B6" s="60" t="s">
        <v>273</v>
      </c>
      <c r="C6" s="50">
        <v>39</v>
      </c>
      <c r="D6" s="54">
        <f>C6*0.6</f>
        <v>23.4</v>
      </c>
      <c r="E6" s="50">
        <v>380</v>
      </c>
      <c r="F6" s="51">
        <f t="shared" ref="F6:F11" si="0">D6*E6*30</f>
        <v>266760</v>
      </c>
      <c r="G6" s="52">
        <f t="shared" ref="G6:G16" si="1">F6*12</f>
        <v>3201120</v>
      </c>
      <c r="H6" s="79">
        <f>(D6*E6)*30*0.2</f>
        <v>53352</v>
      </c>
      <c r="I6" s="53">
        <f>H6*12</f>
        <v>640224</v>
      </c>
      <c r="J6" s="81"/>
      <c r="K6" s="2"/>
      <c r="L6" s="81"/>
      <c r="M6" s="2"/>
      <c r="N6" s="81"/>
      <c r="O6" s="3"/>
      <c r="P6" s="83"/>
    </row>
    <row r="7" spans="2:16" ht="69" hidden="1" customHeight="1">
      <c r="B7" s="59" t="s">
        <v>274</v>
      </c>
      <c r="C7" s="50">
        <v>52</v>
      </c>
      <c r="D7" s="54">
        <f>C7*0.6</f>
        <v>31.2</v>
      </c>
      <c r="E7" s="50">
        <v>420</v>
      </c>
      <c r="F7" s="51">
        <f>D7*E7*30</f>
        <v>393120</v>
      </c>
      <c r="G7" s="52">
        <f t="shared" si="1"/>
        <v>4717440</v>
      </c>
      <c r="H7" s="79">
        <f>(D7*E7)*30</f>
        <v>393120</v>
      </c>
      <c r="I7" s="53">
        <f>H7*12</f>
        <v>4717440</v>
      </c>
      <c r="J7" s="81"/>
      <c r="K7" s="2"/>
      <c r="L7" s="81"/>
      <c r="M7" s="2"/>
      <c r="N7" s="81"/>
      <c r="O7" s="3"/>
      <c r="P7" s="83"/>
    </row>
    <row r="8" spans="2:16" ht="19.5" hidden="1" customHeight="1">
      <c r="B8" s="59" t="s">
        <v>275</v>
      </c>
      <c r="C8" s="50">
        <v>2700</v>
      </c>
      <c r="D8" s="50">
        <f>C8-C8*0.6</f>
        <v>1080</v>
      </c>
      <c r="E8" s="50">
        <v>800</v>
      </c>
      <c r="F8" s="51">
        <f>D8*E8</f>
        <v>864000</v>
      </c>
      <c r="G8" s="52">
        <f t="shared" si="1"/>
        <v>10368000</v>
      </c>
      <c r="H8" s="79">
        <f>(D8*E8)</f>
        <v>864000</v>
      </c>
      <c r="I8" s="53">
        <f>H8*12</f>
        <v>10368000</v>
      </c>
      <c r="J8" s="81"/>
      <c r="K8" s="2"/>
      <c r="L8" s="81"/>
      <c r="M8" s="2"/>
      <c r="N8" s="81"/>
      <c r="O8" s="3"/>
      <c r="P8" s="83"/>
    </row>
    <row r="9" spans="2:16" ht="48.75" hidden="1">
      <c r="B9" s="59" t="s">
        <v>276</v>
      </c>
      <c r="C9" s="50">
        <v>78</v>
      </c>
      <c r="D9" s="54">
        <f>C9*0.4</f>
        <v>31.200000000000003</v>
      </c>
      <c r="E9" s="50">
        <v>180</v>
      </c>
      <c r="F9" s="51">
        <f>D9*E9*30</f>
        <v>168480.00000000003</v>
      </c>
      <c r="G9" s="52">
        <f t="shared" si="1"/>
        <v>2021760.0000000005</v>
      </c>
      <c r="H9" s="79">
        <f>(D9*E9)*30</f>
        <v>168480.00000000003</v>
      </c>
      <c r="I9" s="53">
        <f>H9*12</f>
        <v>2021760.0000000005</v>
      </c>
      <c r="J9" s="81"/>
      <c r="K9" s="2"/>
      <c r="L9" s="81"/>
      <c r="M9" s="2"/>
      <c r="N9" s="81"/>
      <c r="O9" s="3"/>
      <c r="P9" s="83"/>
    </row>
    <row r="10" spans="2:16" ht="48.75" hidden="1">
      <c r="B10" s="59" t="s">
        <v>277</v>
      </c>
      <c r="C10" s="50">
        <v>39</v>
      </c>
      <c r="D10" s="54">
        <f>C10*0.4</f>
        <v>15.600000000000001</v>
      </c>
      <c r="E10" s="50">
        <v>300</v>
      </c>
      <c r="F10" s="51">
        <f>D10*E10*30</f>
        <v>140400</v>
      </c>
      <c r="G10" s="52">
        <f t="shared" si="1"/>
        <v>1684800</v>
      </c>
      <c r="H10" s="79">
        <f>(D10*E10)*30</f>
        <v>140400</v>
      </c>
      <c r="I10" s="53">
        <f>H10*12</f>
        <v>1684800</v>
      </c>
      <c r="J10" s="81"/>
      <c r="K10" s="2"/>
      <c r="L10" s="81"/>
      <c r="M10" s="2"/>
      <c r="N10" s="81"/>
      <c r="O10" s="3"/>
      <c r="P10" s="83"/>
    </row>
    <row r="11" spans="2:16" ht="48.75" hidden="1">
      <c r="B11" s="59" t="s">
        <v>278</v>
      </c>
      <c r="C11" s="50">
        <v>100</v>
      </c>
      <c r="D11" s="50">
        <f>C11-C11*0.6</f>
        <v>40</v>
      </c>
      <c r="E11" s="50">
        <v>80</v>
      </c>
      <c r="F11" s="51">
        <f>D11*E11*30</f>
        <v>96000</v>
      </c>
      <c r="G11" s="52">
        <f t="shared" si="1"/>
        <v>1152000</v>
      </c>
      <c r="H11" s="79">
        <f>(D11*E11)*31</f>
        <v>99200</v>
      </c>
      <c r="I11" s="53">
        <f>H11*12</f>
        <v>1190400</v>
      </c>
      <c r="J11" s="81"/>
      <c r="K11" s="2"/>
      <c r="L11" s="81"/>
      <c r="M11" s="2"/>
      <c r="N11" s="81"/>
      <c r="O11" s="3"/>
      <c r="P11" s="83"/>
    </row>
    <row r="12" spans="2:16" ht="64.5" hidden="1">
      <c r="B12" s="59" t="s">
        <v>279</v>
      </c>
      <c r="C12" s="50" t="s">
        <v>280</v>
      </c>
      <c r="D12" s="50" t="s">
        <v>280</v>
      </c>
      <c r="E12" s="50" t="s">
        <v>280</v>
      </c>
      <c r="F12" s="51">
        <f>400000</f>
        <v>400000</v>
      </c>
      <c r="G12" s="52">
        <f>F12*12</f>
        <v>4800000</v>
      </c>
      <c r="H12" s="80">
        <f>400000*0.2</f>
        <v>80000</v>
      </c>
      <c r="I12" s="55">
        <f>H12*12</f>
        <v>960000</v>
      </c>
      <c r="J12" s="81"/>
      <c r="K12" s="2"/>
      <c r="L12" s="81"/>
      <c r="M12" s="2"/>
      <c r="N12" s="81"/>
      <c r="O12" s="3"/>
      <c r="P12" s="83"/>
    </row>
    <row r="13" spans="2:16" ht="64.5" hidden="1">
      <c r="B13" s="59" t="s">
        <v>281</v>
      </c>
      <c r="C13" s="50" t="s">
        <v>280</v>
      </c>
      <c r="D13" s="50" t="s">
        <v>280</v>
      </c>
      <c r="E13" s="50" t="s">
        <v>280</v>
      </c>
      <c r="F13" s="51">
        <f>400000</f>
        <v>400000</v>
      </c>
      <c r="G13" s="52">
        <f>F13*12</f>
        <v>4800000</v>
      </c>
      <c r="H13" s="80">
        <f>400000*0.2</f>
        <v>80000</v>
      </c>
      <c r="I13" s="55">
        <f>H13*12</f>
        <v>960000</v>
      </c>
      <c r="J13" s="81"/>
      <c r="K13" s="2"/>
      <c r="L13" s="81"/>
      <c r="M13" s="2"/>
      <c r="N13" s="81"/>
      <c r="O13" s="3"/>
      <c r="P13" s="83"/>
    </row>
    <row r="14" spans="2:16" ht="48.75" hidden="1">
      <c r="B14" s="60" t="s">
        <v>282</v>
      </c>
      <c r="C14" s="50" t="s">
        <v>283</v>
      </c>
      <c r="D14" s="50" t="s">
        <v>283</v>
      </c>
      <c r="E14" s="50">
        <v>44.63</v>
      </c>
      <c r="F14" s="51">
        <f>E14*3000</f>
        <v>133890</v>
      </c>
      <c r="G14" s="52">
        <f>F14*12</f>
        <v>1606680</v>
      </c>
      <c r="H14" s="80">
        <f>Продажи!F14</f>
        <v>133890</v>
      </c>
      <c r="I14" s="55">
        <f>H14*12</f>
        <v>1606680</v>
      </c>
      <c r="J14" s="81"/>
      <c r="K14" s="2"/>
      <c r="L14" s="81"/>
      <c r="M14" s="2"/>
      <c r="N14" s="81"/>
      <c r="O14" s="3"/>
      <c r="P14" s="83"/>
    </row>
    <row r="15" spans="2:16" ht="48.75" hidden="1">
      <c r="B15" s="60" t="s">
        <v>284</v>
      </c>
      <c r="C15" s="50" t="s">
        <v>285</v>
      </c>
      <c r="D15" s="50" t="s">
        <v>285</v>
      </c>
      <c r="E15" s="50">
        <v>47.9</v>
      </c>
      <c r="F15" s="51">
        <f>E15*2000</f>
        <v>95800</v>
      </c>
      <c r="G15" s="52">
        <f>F15*12</f>
        <v>1149600</v>
      </c>
      <c r="H15" s="80">
        <f>F15</f>
        <v>95800</v>
      </c>
      <c r="I15" s="55">
        <f>H15*12</f>
        <v>1149600</v>
      </c>
      <c r="J15" s="81"/>
      <c r="K15" s="2"/>
      <c r="L15" s="81"/>
      <c r="M15" s="2"/>
      <c r="N15" s="81"/>
      <c r="O15" s="3"/>
      <c r="P15" s="83"/>
    </row>
    <row r="16" spans="2:16" ht="16.5" hidden="1">
      <c r="B16" s="56" t="s">
        <v>19</v>
      </c>
      <c r="C16" s="56"/>
      <c r="D16" s="56"/>
      <c r="E16" s="56"/>
      <c r="F16" s="57">
        <f>F5+F6+F7+F8+F9+F10+F11+F12+F13+F14</f>
        <v>3354050</v>
      </c>
      <c r="G16" s="51">
        <f t="shared" si="1"/>
        <v>40248600</v>
      </c>
      <c r="H16" s="79">
        <f>H5+H6+H7+H8+H9+H10+H11+H12+H13+Продажи!H14+Продажи!H15</f>
        <v>2599642</v>
      </c>
      <c r="I16" s="53">
        <f>SUM(I5,I6,I7,I8,I9,I10,I11,I12,I13,I14)</f>
        <v>30046104</v>
      </c>
      <c r="J16" s="81"/>
      <c r="K16" s="2"/>
      <c r="L16" s="81"/>
      <c r="M16" s="2"/>
      <c r="N16" s="81"/>
      <c r="O16" s="3"/>
      <c r="P16" s="83"/>
    </row>
    <row r="17" spans="2:57">
      <c r="B17" s="2"/>
      <c r="C17" s="2"/>
      <c r="D17" s="2"/>
      <c r="E17" s="2"/>
      <c r="F17" s="2"/>
      <c r="G17" s="2"/>
      <c r="H17" s="81"/>
      <c r="I17" s="2"/>
      <c r="J17" s="81"/>
      <c r="K17" s="2"/>
      <c r="L17" s="81"/>
      <c r="M17" s="2"/>
      <c r="N17" s="81"/>
      <c r="O17" s="3"/>
      <c r="P17" s="83"/>
    </row>
    <row r="18" spans="2:57">
      <c r="B18" s="2"/>
      <c r="C18" s="2"/>
      <c r="D18" s="2"/>
      <c r="E18" s="2"/>
      <c r="F18" s="2"/>
      <c r="G18" s="2"/>
      <c r="H18" s="81"/>
      <c r="I18" s="2"/>
      <c r="J18" s="81"/>
      <c r="K18" s="2"/>
      <c r="L18" s="81"/>
      <c r="M18" s="2"/>
      <c r="N18" s="81"/>
      <c r="O18" s="3"/>
      <c r="P18" s="83"/>
    </row>
    <row r="19" spans="2:57" s="1" customFormat="1" ht="32.25" customHeight="1">
      <c r="B19" s="183" t="s">
        <v>286</v>
      </c>
      <c r="C19" s="186" t="s">
        <v>287</v>
      </c>
      <c r="D19" s="186" t="s">
        <v>267</v>
      </c>
      <c r="E19" s="186" t="s">
        <v>288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</row>
    <row r="20" spans="2:57" s="1" customFormat="1" ht="16.5">
      <c r="B20" s="184"/>
      <c r="C20" s="186"/>
      <c r="D20" s="186"/>
      <c r="E20" s="122" t="s">
        <v>289</v>
      </c>
      <c r="F20" s="122"/>
      <c r="G20" s="122" t="s">
        <v>290</v>
      </c>
      <c r="H20" s="126"/>
      <c r="I20" s="122" t="s">
        <v>291</v>
      </c>
      <c r="J20" s="126"/>
      <c r="K20" s="122" t="s">
        <v>292</v>
      </c>
      <c r="L20" s="126"/>
      <c r="M20" s="122" t="s">
        <v>293</v>
      </c>
      <c r="N20" s="126"/>
      <c r="O20" s="122" t="s">
        <v>294</v>
      </c>
      <c r="P20" s="126"/>
      <c r="Q20" s="122" t="s">
        <v>295</v>
      </c>
      <c r="R20" s="126"/>
      <c r="S20" s="122" t="s">
        <v>296</v>
      </c>
      <c r="T20" s="126"/>
      <c r="U20" s="122" t="s">
        <v>297</v>
      </c>
      <c r="V20" s="126"/>
      <c r="W20" s="122" t="s">
        <v>298</v>
      </c>
      <c r="X20" s="126"/>
      <c r="Y20" s="122" t="s">
        <v>299</v>
      </c>
      <c r="Z20" s="126"/>
      <c r="AA20" s="122" t="s">
        <v>300</v>
      </c>
      <c r="AB20" s="126"/>
      <c r="AC20" s="122" t="s">
        <v>301</v>
      </c>
      <c r="AD20" s="126"/>
      <c r="AE20" s="122" t="s">
        <v>302</v>
      </c>
      <c r="AF20" s="126"/>
      <c r="AG20" s="122" t="s">
        <v>303</v>
      </c>
      <c r="AH20" s="126"/>
      <c r="AI20" s="122" t="s">
        <v>304</v>
      </c>
      <c r="AJ20" s="126"/>
      <c r="AK20" s="122" t="s">
        <v>305</v>
      </c>
      <c r="AL20" s="126"/>
      <c r="AM20" s="122" t="s">
        <v>306</v>
      </c>
      <c r="AN20" s="126"/>
      <c r="AO20" s="122" t="s">
        <v>307</v>
      </c>
      <c r="AP20" s="126"/>
      <c r="AQ20" s="122" t="s">
        <v>308</v>
      </c>
      <c r="AR20" s="126"/>
      <c r="AS20" s="122" t="s">
        <v>309</v>
      </c>
      <c r="AT20" s="126"/>
      <c r="AU20" s="122" t="s">
        <v>310</v>
      </c>
      <c r="AV20" s="126"/>
      <c r="AW20" s="122" t="s">
        <v>311</v>
      </c>
      <c r="AX20" s="122"/>
      <c r="AY20" s="122" t="s">
        <v>312</v>
      </c>
      <c r="AZ20" s="126"/>
      <c r="BA20" s="61"/>
      <c r="BB20" s="61"/>
      <c r="BC20" s="61"/>
      <c r="BD20" s="61"/>
      <c r="BE20" s="61"/>
    </row>
    <row r="21" spans="2:57" s="1" customFormat="1" ht="15.75">
      <c r="B21" s="183" t="s">
        <v>313</v>
      </c>
      <c r="C21" s="123" t="s">
        <v>314</v>
      </c>
      <c r="D21" s="122">
        <v>210</v>
      </c>
      <c r="E21" s="65">
        <f>C5*0.3</f>
        <v>39</v>
      </c>
      <c r="F21" s="67">
        <f>E21*D21*30</f>
        <v>245700</v>
      </c>
      <c r="G21" s="65">
        <f>C5*0.4</f>
        <v>52</v>
      </c>
      <c r="H21" s="67">
        <f>G21*D21*30</f>
        <v>327600</v>
      </c>
      <c r="I21" s="63">
        <f>C5*0.4</f>
        <v>52</v>
      </c>
      <c r="J21" s="67">
        <f>D21*I21*30</f>
        <v>327600</v>
      </c>
      <c r="K21" s="63">
        <f>C5*0.5</f>
        <v>65</v>
      </c>
      <c r="L21" s="67">
        <f>D21*K21*30</f>
        <v>409500</v>
      </c>
      <c r="M21" s="63">
        <f>C5*0.6</f>
        <v>78</v>
      </c>
      <c r="N21" s="67">
        <f>D21*M21*30</f>
        <v>491400</v>
      </c>
      <c r="O21" s="86">
        <f>C5*0.7</f>
        <v>91</v>
      </c>
      <c r="P21" s="67">
        <f>D21*O21*30</f>
        <v>573300</v>
      </c>
      <c r="Q21" s="86">
        <f>C5*0.8</f>
        <v>104</v>
      </c>
      <c r="R21" s="91">
        <f>D21*Q21*30</f>
        <v>655200</v>
      </c>
      <c r="S21" s="86">
        <f>C5*0.8</f>
        <v>104</v>
      </c>
      <c r="T21" s="67">
        <f t="shared" ref="T21:X31" si="2">R21</f>
        <v>655200</v>
      </c>
      <c r="U21" s="86">
        <f>C5*0.9</f>
        <v>117</v>
      </c>
      <c r="V21" s="67">
        <f>D21*U21*30</f>
        <v>737100</v>
      </c>
      <c r="W21" s="86">
        <f>C5*0.9</f>
        <v>117</v>
      </c>
      <c r="X21" s="67">
        <f>V21</f>
        <v>737100</v>
      </c>
      <c r="Y21" s="86">
        <f>C5*0.92</f>
        <v>119.60000000000001</v>
      </c>
      <c r="Z21" s="67">
        <f>D21*Y21*30</f>
        <v>753480</v>
      </c>
      <c r="AA21" s="86">
        <f>C5*0.95</f>
        <v>123.5</v>
      </c>
      <c r="AB21" s="67">
        <f>D21*AA21*30</f>
        <v>778050</v>
      </c>
      <c r="AC21" s="88">
        <f>C5*0.98</f>
        <v>127.39999999999999</v>
      </c>
      <c r="AD21" s="84">
        <f>D21*AC21*30</f>
        <v>802620</v>
      </c>
      <c r="AE21" s="88">
        <f t="shared" ref="AE21:AE32" si="3">AC21</f>
        <v>127.39999999999999</v>
      </c>
      <c r="AF21" s="84">
        <f>AD21</f>
        <v>802620</v>
      </c>
      <c r="AG21" s="88">
        <f>C5*0.982</f>
        <v>127.66</v>
      </c>
      <c r="AH21" s="84">
        <f>D21*AG21*30</f>
        <v>804258</v>
      </c>
      <c r="AI21" s="88">
        <f>C5*0.985</f>
        <v>128.05000000000001</v>
      </c>
      <c r="AJ21" s="84">
        <f>AH21</f>
        <v>804258</v>
      </c>
      <c r="AK21" s="88">
        <v>129</v>
      </c>
      <c r="AL21" s="84">
        <f>D21*AK21*30</f>
        <v>812700</v>
      </c>
      <c r="AM21" s="88">
        <f>C5</f>
        <v>130</v>
      </c>
      <c r="AN21" s="84">
        <f>D21*AM21*30</f>
        <v>819000</v>
      </c>
      <c r="AO21" s="88">
        <v>130</v>
      </c>
      <c r="AP21" s="84">
        <f>D21*AO21*30</f>
        <v>819000</v>
      </c>
      <c r="AQ21" s="88">
        <v>130</v>
      </c>
      <c r="AR21" s="84">
        <f>D21*AQ21*30</f>
        <v>819000</v>
      </c>
      <c r="AS21" s="88">
        <v>130</v>
      </c>
      <c r="AT21" s="84">
        <f>D21*AS21*30</f>
        <v>819000</v>
      </c>
      <c r="AU21" s="88">
        <v>130</v>
      </c>
      <c r="AV21" s="84">
        <f>D21*AU21*30</f>
        <v>819000</v>
      </c>
      <c r="AW21" s="88">
        <v>130</v>
      </c>
      <c r="AX21" s="84">
        <f>D21*AW21*30</f>
        <v>819000</v>
      </c>
      <c r="AY21" s="88">
        <f>AW21+AW21*0.05</f>
        <v>136.5</v>
      </c>
      <c r="AZ21" s="71">
        <f>D21*AY21*30</f>
        <v>859950</v>
      </c>
    </row>
    <row r="22" spans="2:57" s="1" customFormat="1" ht="15.75">
      <c r="B22" s="185"/>
      <c r="C22" s="123" t="s">
        <v>315</v>
      </c>
      <c r="D22" s="122">
        <v>380</v>
      </c>
      <c r="E22" s="65">
        <f>C6*0.3</f>
        <v>11.7</v>
      </c>
      <c r="F22" s="67">
        <f>E22*D22*30*0.4</f>
        <v>53352</v>
      </c>
      <c r="G22" s="65">
        <f>C6*0.4</f>
        <v>15.600000000000001</v>
      </c>
      <c r="H22" s="67">
        <f>G22*D22*30*0.4</f>
        <v>71136.000000000015</v>
      </c>
      <c r="I22" s="86">
        <f>C6*0.4</f>
        <v>15.600000000000001</v>
      </c>
      <c r="J22" s="67">
        <f>D22*I22*30*0.4</f>
        <v>71136.000000000015</v>
      </c>
      <c r="K22" s="86">
        <f>C6*0.5</f>
        <v>19.5</v>
      </c>
      <c r="L22" s="67">
        <f>D22*K22*30*0.4</f>
        <v>88920</v>
      </c>
      <c r="M22" s="86">
        <f>C6*0.6</f>
        <v>23.4</v>
      </c>
      <c r="N22" s="67">
        <f>D22*M22*30*0.4</f>
        <v>106704</v>
      </c>
      <c r="O22" s="86">
        <f>C6*0.7</f>
        <v>27.299999999999997</v>
      </c>
      <c r="P22" s="67">
        <f>D22*O22*30*0.4</f>
        <v>124487.99999999999</v>
      </c>
      <c r="Q22" s="86">
        <f>C6*0.8</f>
        <v>31.200000000000003</v>
      </c>
      <c r="R22" s="91">
        <f>D22*Q22*30*0.4</f>
        <v>142272.00000000003</v>
      </c>
      <c r="S22" s="86">
        <f>C6*0.8</f>
        <v>31.200000000000003</v>
      </c>
      <c r="T22" s="6">
        <f t="shared" si="2"/>
        <v>142272.00000000003</v>
      </c>
      <c r="U22" s="86">
        <f>C6*0.9</f>
        <v>35.1</v>
      </c>
      <c r="V22" s="67">
        <f>D22*U22*30*0.4</f>
        <v>160056</v>
      </c>
      <c r="W22" s="86">
        <f>C6*0.9</f>
        <v>35.1</v>
      </c>
      <c r="X22" s="67">
        <f t="shared" ref="X21:AD32" si="4">V22</f>
        <v>160056</v>
      </c>
      <c r="Y22" s="86">
        <f>C6*0.92</f>
        <v>35.880000000000003</v>
      </c>
      <c r="Z22" s="67">
        <f>D22*Y22*30*0.4</f>
        <v>163612.80000000005</v>
      </c>
      <c r="AA22" s="86">
        <f>C6*0.95</f>
        <v>37.049999999999997</v>
      </c>
      <c r="AB22" s="67">
        <f>D22*AA22*30*0.4</f>
        <v>168948</v>
      </c>
      <c r="AC22" s="88">
        <f>C6*0.98</f>
        <v>38.22</v>
      </c>
      <c r="AD22" s="84">
        <f>D22*AC22*30-18070.8</f>
        <v>417637.2</v>
      </c>
      <c r="AE22" s="88">
        <f>AC22</f>
        <v>38.22</v>
      </c>
      <c r="AF22" s="84">
        <f t="shared" ref="AF21:AL32" si="5">AD22</f>
        <v>417637.2</v>
      </c>
      <c r="AG22" s="88">
        <f>C6*0.982</f>
        <v>38.298000000000002</v>
      </c>
      <c r="AH22" s="84">
        <f>D22*AG22*30</f>
        <v>436597.20000000007</v>
      </c>
      <c r="AI22" s="88">
        <f>C6*0.985</f>
        <v>38.414999999999999</v>
      </c>
      <c r="AJ22" s="84">
        <f>AH22</f>
        <v>436597.20000000007</v>
      </c>
      <c r="AK22" s="88">
        <f>C6*0.988</f>
        <v>38.531999999999996</v>
      </c>
      <c r="AL22" s="84">
        <f t="shared" ref="AL22:AL27" si="6">D22*AK22*30</f>
        <v>439264.79999999993</v>
      </c>
      <c r="AM22" s="88">
        <f>C6</f>
        <v>39</v>
      </c>
      <c r="AN22" s="84">
        <f t="shared" ref="AN22:AN27" si="7">D22*AM22*30</f>
        <v>444600</v>
      </c>
      <c r="AO22" s="88">
        <v>39</v>
      </c>
      <c r="AP22" s="84">
        <f t="shared" ref="AP22:AP27" si="8">D22*AO22*30</f>
        <v>444600</v>
      </c>
      <c r="AQ22" s="88">
        <v>39</v>
      </c>
      <c r="AR22" s="84">
        <f t="shared" ref="AR22:AR27" si="9">D22*AQ22*30</f>
        <v>444600</v>
      </c>
      <c r="AS22" s="88">
        <v>39</v>
      </c>
      <c r="AT22" s="84">
        <f t="shared" ref="AT22:AT27" si="10">D22*AS22*30</f>
        <v>444600</v>
      </c>
      <c r="AU22" s="88">
        <v>39</v>
      </c>
      <c r="AV22" s="84">
        <f t="shared" ref="AV22:AV27" si="11">D22*AU22*30</f>
        <v>444600</v>
      </c>
      <c r="AW22" s="88">
        <v>39</v>
      </c>
      <c r="AX22" s="84">
        <f t="shared" ref="AX22:AX27" si="12">D22*AW22*30</f>
        <v>444600</v>
      </c>
      <c r="AY22" s="88">
        <f t="shared" ref="AY22:AY27" si="13">AW22+AW22*0.05</f>
        <v>40.950000000000003</v>
      </c>
      <c r="AZ22" s="71">
        <f t="shared" ref="AZ22:AZ27" si="14">D22*AY22*30</f>
        <v>466830.00000000006</v>
      </c>
    </row>
    <row r="23" spans="2:57" s="1" customFormat="1" ht="15.75">
      <c r="B23" s="185"/>
      <c r="C23" s="123" t="s">
        <v>316</v>
      </c>
      <c r="D23" s="122">
        <v>420</v>
      </c>
      <c r="E23" s="65">
        <f>C7*0.3</f>
        <v>15.6</v>
      </c>
      <c r="F23" s="67">
        <f t="shared" ref="F22:F27" si="15">E23*D23*30</f>
        <v>196560</v>
      </c>
      <c r="G23" s="65">
        <f t="shared" ref="G23:G27" si="16">C7*0.4</f>
        <v>20.8</v>
      </c>
      <c r="H23" s="67">
        <f t="shared" ref="H22:H27" si="17">G23*D23*30</f>
        <v>262080</v>
      </c>
      <c r="I23" s="86">
        <f>C7*0.4</f>
        <v>20.8</v>
      </c>
      <c r="J23" s="67">
        <f t="shared" ref="J22:L27" si="18">D23*I23*30</f>
        <v>262080</v>
      </c>
      <c r="K23" s="86">
        <f>C7*0.5</f>
        <v>26</v>
      </c>
      <c r="L23" s="67">
        <f t="shared" ref="L22:N27" si="19">D23*K23*30</f>
        <v>327600</v>
      </c>
      <c r="M23" s="86">
        <f>C7*0.6</f>
        <v>31.2</v>
      </c>
      <c r="N23" s="67">
        <f t="shared" ref="N23:P27" si="20">D23*M23*30</f>
        <v>393120</v>
      </c>
      <c r="O23" s="86">
        <f>C7*0.7</f>
        <v>36.4</v>
      </c>
      <c r="P23" s="67">
        <f>D23*O23*30</f>
        <v>458640</v>
      </c>
      <c r="Q23" s="86">
        <f>C7*0.8</f>
        <v>41.6</v>
      </c>
      <c r="R23" s="91">
        <f t="shared" ref="R22:T31" si="21">D23*Q23*30</f>
        <v>524160</v>
      </c>
      <c r="S23" s="86">
        <f t="shared" ref="S22:S27" si="22">C7*0.8</f>
        <v>41.6</v>
      </c>
      <c r="T23" s="67">
        <f t="shared" si="2"/>
        <v>524160</v>
      </c>
      <c r="U23" s="86">
        <f>C7*0.9</f>
        <v>46.800000000000004</v>
      </c>
      <c r="V23" s="67">
        <f t="shared" ref="V22:X27" si="23">D23*U23*30</f>
        <v>589680</v>
      </c>
      <c r="W23" s="86">
        <f>C7*0.9</f>
        <v>46.800000000000004</v>
      </c>
      <c r="X23" s="67">
        <f t="shared" si="4"/>
        <v>589680</v>
      </c>
      <c r="Y23" s="86">
        <f>C7*0.92</f>
        <v>47.84</v>
      </c>
      <c r="Z23" s="67">
        <f t="shared" ref="Z22:Z27" si="24">D23*Y23*30</f>
        <v>602784.00000000012</v>
      </c>
      <c r="AA23" s="86">
        <f>C7*0.95</f>
        <v>49.4</v>
      </c>
      <c r="AB23" s="67">
        <f t="shared" ref="AB22:AB27" si="25">D23*AA23*30</f>
        <v>622440</v>
      </c>
      <c r="AC23" s="88">
        <f>C7*0.98</f>
        <v>50.96</v>
      </c>
      <c r="AD23" s="84">
        <f t="shared" ref="AD22:AD27" si="26">D23*AC23*30</f>
        <v>642096</v>
      </c>
      <c r="AE23" s="88">
        <f t="shared" si="3"/>
        <v>50.96</v>
      </c>
      <c r="AF23" s="84">
        <f t="shared" si="5"/>
        <v>642096</v>
      </c>
      <c r="AG23" s="88">
        <f>C7*0.982</f>
        <v>51.064</v>
      </c>
      <c r="AH23" s="84">
        <f t="shared" ref="AH22:AH27" si="27">D23*AG23*30</f>
        <v>643406.4</v>
      </c>
      <c r="AI23" s="88">
        <f>C7*0.985</f>
        <v>51.22</v>
      </c>
      <c r="AJ23" s="84">
        <f>AH23</f>
        <v>643406.4</v>
      </c>
      <c r="AK23" s="88">
        <v>52</v>
      </c>
      <c r="AL23" s="84">
        <f t="shared" si="6"/>
        <v>655200</v>
      </c>
      <c r="AM23" s="88">
        <f>C7</f>
        <v>52</v>
      </c>
      <c r="AN23" s="84">
        <f t="shared" si="7"/>
        <v>655200</v>
      </c>
      <c r="AO23" s="88">
        <v>52</v>
      </c>
      <c r="AP23" s="84">
        <f t="shared" si="8"/>
        <v>655200</v>
      </c>
      <c r="AQ23" s="88">
        <v>52</v>
      </c>
      <c r="AR23" s="84">
        <f t="shared" si="9"/>
        <v>655200</v>
      </c>
      <c r="AS23" s="88">
        <v>52</v>
      </c>
      <c r="AT23" s="84">
        <f t="shared" si="10"/>
        <v>655200</v>
      </c>
      <c r="AU23" s="88">
        <v>52</v>
      </c>
      <c r="AV23" s="84">
        <f t="shared" si="11"/>
        <v>655200</v>
      </c>
      <c r="AW23" s="88">
        <v>52</v>
      </c>
      <c r="AX23" s="84">
        <f t="shared" si="12"/>
        <v>655200</v>
      </c>
      <c r="AY23" s="88">
        <f t="shared" si="13"/>
        <v>54.6</v>
      </c>
      <c r="AZ23" s="71">
        <f t="shared" si="14"/>
        <v>687960</v>
      </c>
    </row>
    <row r="24" spans="2:57" s="1" customFormat="1" ht="15.75">
      <c r="B24" s="185"/>
      <c r="C24" s="123" t="s">
        <v>317</v>
      </c>
      <c r="D24" s="122">
        <v>800</v>
      </c>
      <c r="E24" s="62">
        <f>C8*0.05</f>
        <v>135</v>
      </c>
      <c r="F24" s="67">
        <f>E24*D24</f>
        <v>108000</v>
      </c>
      <c r="G24" s="65">
        <f>C8*0.1</f>
        <v>270</v>
      </c>
      <c r="H24" s="67">
        <f>G24*D24</f>
        <v>216000</v>
      </c>
      <c r="I24" s="63">
        <f>C8*0.1</f>
        <v>270</v>
      </c>
      <c r="J24" s="67">
        <f>D24*I24</f>
        <v>216000</v>
      </c>
      <c r="K24" s="63">
        <f>C8*0.15</f>
        <v>405</v>
      </c>
      <c r="L24" s="67">
        <f>D24*K24</f>
        <v>324000</v>
      </c>
      <c r="M24" s="63">
        <f>C8*0.2</f>
        <v>540</v>
      </c>
      <c r="N24" s="67">
        <f>D24*M24</f>
        <v>432000</v>
      </c>
      <c r="O24" s="86">
        <f>C8*0.35</f>
        <v>944.99999999999989</v>
      </c>
      <c r="P24" s="67">
        <f>D24*O24</f>
        <v>755999.99999999988</v>
      </c>
      <c r="Q24" s="86">
        <f>C8*0.4</f>
        <v>1080</v>
      </c>
      <c r="R24" s="91">
        <f>D24*Q24</f>
        <v>864000</v>
      </c>
      <c r="S24" s="86">
        <f>C8*0.4</f>
        <v>1080</v>
      </c>
      <c r="T24" s="67">
        <f t="shared" si="2"/>
        <v>864000</v>
      </c>
      <c r="U24" s="86">
        <f>C8*0.45</f>
        <v>1215</v>
      </c>
      <c r="V24" s="67">
        <f>D24*U24</f>
        <v>972000</v>
      </c>
      <c r="W24" s="86">
        <f>C8*0.45</f>
        <v>1215</v>
      </c>
      <c r="X24" s="67">
        <f t="shared" si="4"/>
        <v>972000</v>
      </c>
      <c r="Y24" s="86">
        <f>C8*0.5</f>
        <v>1350</v>
      </c>
      <c r="Z24" s="67">
        <f>D24*Y24</f>
        <v>1080000</v>
      </c>
      <c r="AA24" s="86">
        <f>C8*0.55</f>
        <v>1485.0000000000002</v>
      </c>
      <c r="AB24" s="67">
        <f>D24*AA24</f>
        <v>1188000.0000000002</v>
      </c>
      <c r="AC24" s="88">
        <f>C8*0.6</f>
        <v>1620</v>
      </c>
      <c r="AD24" s="84">
        <f>D24*AC24</f>
        <v>1296000</v>
      </c>
      <c r="AE24" s="88">
        <f t="shared" si="3"/>
        <v>1620</v>
      </c>
      <c r="AF24" s="84">
        <f t="shared" si="5"/>
        <v>1296000</v>
      </c>
      <c r="AG24" s="88">
        <f>C8*0.65</f>
        <v>1755</v>
      </c>
      <c r="AH24" s="84">
        <f>D24*AG24</f>
        <v>1404000</v>
      </c>
      <c r="AI24" s="88">
        <f>C8*0.7</f>
        <v>1889.9999999999998</v>
      </c>
      <c r="AJ24" s="84">
        <f>D24*AI24</f>
        <v>1511999.9999999998</v>
      </c>
      <c r="AK24" s="88">
        <f>C8*0.75</f>
        <v>2025</v>
      </c>
      <c r="AL24" s="84">
        <f>D24*AK24</f>
        <v>1620000</v>
      </c>
      <c r="AM24" s="88">
        <f>C8*0.8</f>
        <v>2160</v>
      </c>
      <c r="AN24" s="84">
        <f>D24*AM24</f>
        <v>1728000</v>
      </c>
      <c r="AO24" s="88">
        <f>C8*0.85</f>
        <v>2295</v>
      </c>
      <c r="AP24" s="84">
        <f>D24*AO24</f>
        <v>1836000</v>
      </c>
      <c r="AQ24" s="88">
        <f>C8*0.9</f>
        <v>2430</v>
      </c>
      <c r="AR24" s="84">
        <f>D24*AQ24</f>
        <v>1944000</v>
      </c>
      <c r="AS24" s="88">
        <f>C8*0.95</f>
        <v>2565</v>
      </c>
      <c r="AT24" s="84">
        <f>D24*AS24</f>
        <v>2052000</v>
      </c>
      <c r="AU24" s="88">
        <f>C8</f>
        <v>2700</v>
      </c>
      <c r="AV24" s="84">
        <f>D24*AU24</f>
        <v>2160000</v>
      </c>
      <c r="AW24" s="88">
        <v>2700</v>
      </c>
      <c r="AX24" s="84">
        <f>D24*AW24</f>
        <v>2160000</v>
      </c>
      <c r="AY24" s="88">
        <f t="shared" si="13"/>
        <v>2835</v>
      </c>
      <c r="AZ24" s="71">
        <f>D24*AY24</f>
        <v>2268000</v>
      </c>
    </row>
    <row r="25" spans="2:57" s="1" customFormat="1" ht="15.75">
      <c r="B25" s="185"/>
      <c r="C25" s="123" t="s">
        <v>318</v>
      </c>
      <c r="D25" s="122">
        <v>180</v>
      </c>
      <c r="E25" s="65">
        <f>C9*0.3</f>
        <v>23.4</v>
      </c>
      <c r="F25" s="67">
        <f t="shared" si="15"/>
        <v>126360</v>
      </c>
      <c r="G25" s="65">
        <f t="shared" si="16"/>
        <v>31.200000000000003</v>
      </c>
      <c r="H25" s="67">
        <f t="shared" si="17"/>
        <v>168480.00000000003</v>
      </c>
      <c r="I25" s="86">
        <f>C9*0.4</f>
        <v>31.200000000000003</v>
      </c>
      <c r="J25" s="67">
        <f t="shared" si="18"/>
        <v>168480.00000000003</v>
      </c>
      <c r="K25" s="86">
        <f>C9*0.4</f>
        <v>31.200000000000003</v>
      </c>
      <c r="L25" s="67">
        <f t="shared" si="19"/>
        <v>168480.00000000003</v>
      </c>
      <c r="M25" s="86">
        <f>C9*0.5</f>
        <v>39</v>
      </c>
      <c r="N25" s="67">
        <f t="shared" si="20"/>
        <v>210600</v>
      </c>
      <c r="O25" s="86">
        <f>C9*0.7</f>
        <v>54.599999999999994</v>
      </c>
      <c r="P25" s="67">
        <f>D25*O25*30</f>
        <v>294839.99999999994</v>
      </c>
      <c r="Q25" s="86">
        <f>C9*0.8</f>
        <v>62.400000000000006</v>
      </c>
      <c r="R25" s="91">
        <f t="shared" si="21"/>
        <v>336960.00000000006</v>
      </c>
      <c r="S25" s="86">
        <f t="shared" si="22"/>
        <v>62.400000000000006</v>
      </c>
      <c r="T25" s="67">
        <f t="shared" si="2"/>
        <v>336960.00000000006</v>
      </c>
      <c r="U25" s="86">
        <f>C9*0.9</f>
        <v>70.2</v>
      </c>
      <c r="V25" s="67">
        <f t="shared" si="23"/>
        <v>379080</v>
      </c>
      <c r="W25" s="86">
        <f>C9*0.9</f>
        <v>70.2</v>
      </c>
      <c r="X25" s="67">
        <f t="shared" si="4"/>
        <v>379080</v>
      </c>
      <c r="Y25" s="86">
        <f>C9*0.92</f>
        <v>71.760000000000005</v>
      </c>
      <c r="Z25" s="67">
        <f t="shared" si="24"/>
        <v>387504.00000000006</v>
      </c>
      <c r="AA25" s="86">
        <f>C9*0.95</f>
        <v>74.099999999999994</v>
      </c>
      <c r="AB25" s="67">
        <f t="shared" si="25"/>
        <v>400139.99999999994</v>
      </c>
      <c r="AC25" s="88">
        <f>C9*0.98</f>
        <v>76.44</v>
      </c>
      <c r="AD25" s="84">
        <f t="shared" si="26"/>
        <v>412775.99999999994</v>
      </c>
      <c r="AE25" s="88">
        <f t="shared" si="3"/>
        <v>76.44</v>
      </c>
      <c r="AF25" s="84">
        <f t="shared" si="5"/>
        <v>412775.99999999994</v>
      </c>
      <c r="AG25" s="88">
        <f>C9*0.982</f>
        <v>76.596000000000004</v>
      </c>
      <c r="AH25" s="84">
        <f t="shared" si="27"/>
        <v>413618.4</v>
      </c>
      <c r="AI25" s="88">
        <f>C9*0.985</f>
        <v>76.83</v>
      </c>
      <c r="AJ25" s="84">
        <f>AH25</f>
        <v>413618.4</v>
      </c>
      <c r="AK25" s="88">
        <f>C9*0.988</f>
        <v>77.063999999999993</v>
      </c>
      <c r="AL25" s="84">
        <f>AJ25</f>
        <v>413618.4</v>
      </c>
      <c r="AM25" s="88">
        <f>C9</f>
        <v>78</v>
      </c>
      <c r="AN25" s="84">
        <f t="shared" si="7"/>
        <v>421200</v>
      </c>
      <c r="AO25" s="88">
        <v>78</v>
      </c>
      <c r="AP25" s="84">
        <f t="shared" si="8"/>
        <v>421200</v>
      </c>
      <c r="AQ25" s="88">
        <v>78</v>
      </c>
      <c r="AR25" s="84">
        <f t="shared" si="9"/>
        <v>421200</v>
      </c>
      <c r="AS25" s="88">
        <v>78</v>
      </c>
      <c r="AT25" s="84">
        <f t="shared" si="10"/>
        <v>421200</v>
      </c>
      <c r="AU25" s="88">
        <v>78</v>
      </c>
      <c r="AV25" s="84">
        <f t="shared" si="11"/>
        <v>421200</v>
      </c>
      <c r="AW25" s="88">
        <v>78</v>
      </c>
      <c r="AX25" s="84">
        <f t="shared" si="12"/>
        <v>421200</v>
      </c>
      <c r="AY25" s="88">
        <f t="shared" si="13"/>
        <v>81.900000000000006</v>
      </c>
      <c r="AZ25" s="71">
        <f t="shared" si="14"/>
        <v>442260.00000000006</v>
      </c>
    </row>
    <row r="26" spans="2:57" s="1" customFormat="1" ht="15.75">
      <c r="B26" s="185"/>
      <c r="C26" s="123" t="s">
        <v>319</v>
      </c>
      <c r="D26" s="122">
        <v>300</v>
      </c>
      <c r="E26" s="65">
        <f>C10*0.3</f>
        <v>11.7</v>
      </c>
      <c r="F26" s="67">
        <f t="shared" si="15"/>
        <v>105300</v>
      </c>
      <c r="G26" s="65">
        <f t="shared" si="16"/>
        <v>15.600000000000001</v>
      </c>
      <c r="H26" s="67">
        <f t="shared" si="17"/>
        <v>140400</v>
      </c>
      <c r="I26" s="86">
        <f>C10*0.4</f>
        <v>15.600000000000001</v>
      </c>
      <c r="J26" s="67">
        <f t="shared" si="18"/>
        <v>140400</v>
      </c>
      <c r="K26" s="86">
        <f>C10*0.5</f>
        <v>19.5</v>
      </c>
      <c r="L26" s="67">
        <f t="shared" si="19"/>
        <v>175500</v>
      </c>
      <c r="M26" s="86">
        <f>C10*0.5</f>
        <v>19.5</v>
      </c>
      <c r="N26" s="67">
        <f t="shared" si="20"/>
        <v>175500</v>
      </c>
      <c r="O26" s="86">
        <f>C10*0.7</f>
        <v>27.299999999999997</v>
      </c>
      <c r="P26" s="67">
        <f>D26*O26*30</f>
        <v>245699.99999999997</v>
      </c>
      <c r="Q26" s="86">
        <f>C10*0.8</f>
        <v>31.200000000000003</v>
      </c>
      <c r="R26" s="91">
        <f t="shared" si="21"/>
        <v>280800</v>
      </c>
      <c r="S26" s="86">
        <f t="shared" si="22"/>
        <v>31.200000000000003</v>
      </c>
      <c r="T26" s="67">
        <f t="shared" si="2"/>
        <v>280800</v>
      </c>
      <c r="U26" s="86">
        <f>C10*0.9</f>
        <v>35.1</v>
      </c>
      <c r="V26" s="67">
        <f t="shared" si="23"/>
        <v>315900</v>
      </c>
      <c r="W26" s="86">
        <f>C10*0.9</f>
        <v>35.1</v>
      </c>
      <c r="X26" s="67">
        <f t="shared" si="4"/>
        <v>315900</v>
      </c>
      <c r="Y26" s="86">
        <f>C10*0.92</f>
        <v>35.880000000000003</v>
      </c>
      <c r="Z26" s="67">
        <f t="shared" si="24"/>
        <v>322920</v>
      </c>
      <c r="AA26" s="86">
        <f>C10*0.95</f>
        <v>37.049999999999997</v>
      </c>
      <c r="AB26" s="67">
        <f t="shared" si="25"/>
        <v>333450</v>
      </c>
      <c r="AC26" s="88">
        <f>C10*0.98</f>
        <v>38.22</v>
      </c>
      <c r="AD26" s="84">
        <f t="shared" si="26"/>
        <v>343980</v>
      </c>
      <c r="AE26" s="88">
        <f t="shared" si="3"/>
        <v>38.22</v>
      </c>
      <c r="AF26" s="84">
        <f t="shared" si="5"/>
        <v>343980</v>
      </c>
      <c r="AG26" s="88">
        <f>C10*0.982</f>
        <v>38.298000000000002</v>
      </c>
      <c r="AH26" s="84">
        <f t="shared" si="27"/>
        <v>344682.00000000006</v>
      </c>
      <c r="AI26" s="88">
        <f>C10*0.985</f>
        <v>38.414999999999999</v>
      </c>
      <c r="AJ26" s="84">
        <f>AH26</f>
        <v>344682.00000000006</v>
      </c>
      <c r="AK26" s="88">
        <f>C10*0.988</f>
        <v>38.531999999999996</v>
      </c>
      <c r="AL26" s="84">
        <f>AJ26</f>
        <v>344682.00000000006</v>
      </c>
      <c r="AM26" s="88">
        <f>C10</f>
        <v>39</v>
      </c>
      <c r="AN26" s="84">
        <f t="shared" si="7"/>
        <v>351000</v>
      </c>
      <c r="AO26" s="88">
        <f>C10</f>
        <v>39</v>
      </c>
      <c r="AP26" s="84">
        <f t="shared" si="8"/>
        <v>351000</v>
      </c>
      <c r="AQ26" s="88">
        <v>39</v>
      </c>
      <c r="AR26" s="84">
        <f t="shared" si="9"/>
        <v>351000</v>
      </c>
      <c r="AS26" s="88">
        <v>39</v>
      </c>
      <c r="AT26" s="84">
        <f t="shared" si="10"/>
        <v>351000</v>
      </c>
      <c r="AU26" s="88">
        <v>39</v>
      </c>
      <c r="AV26" s="84">
        <f t="shared" si="11"/>
        <v>351000</v>
      </c>
      <c r="AW26" s="88">
        <v>39</v>
      </c>
      <c r="AX26" s="84">
        <f t="shared" si="12"/>
        <v>351000</v>
      </c>
      <c r="AY26" s="88">
        <f t="shared" si="13"/>
        <v>40.950000000000003</v>
      </c>
      <c r="AZ26" s="71">
        <f t="shared" si="14"/>
        <v>368550</v>
      </c>
    </row>
    <row r="27" spans="2:57" s="1" customFormat="1" ht="15.75">
      <c r="B27" s="184"/>
      <c r="C27" s="123" t="s">
        <v>320</v>
      </c>
      <c r="D27" s="122">
        <v>80</v>
      </c>
      <c r="E27" s="62">
        <f>C11*0.3</f>
        <v>30</v>
      </c>
      <c r="F27" s="67">
        <f t="shared" si="15"/>
        <v>72000</v>
      </c>
      <c r="G27" s="65">
        <f t="shared" si="16"/>
        <v>40</v>
      </c>
      <c r="H27" s="67">
        <f t="shared" si="17"/>
        <v>96000</v>
      </c>
      <c r="I27" s="63">
        <f>C11*0.4</f>
        <v>40</v>
      </c>
      <c r="J27" s="67">
        <f t="shared" si="18"/>
        <v>96000</v>
      </c>
      <c r="K27" s="63">
        <f>C11*0.5</f>
        <v>50</v>
      </c>
      <c r="L27" s="67">
        <f t="shared" si="19"/>
        <v>120000</v>
      </c>
      <c r="M27" s="63">
        <f>C11*0.6</f>
        <v>60</v>
      </c>
      <c r="N27" s="67">
        <f t="shared" si="20"/>
        <v>144000</v>
      </c>
      <c r="O27" s="86">
        <f>C11*0.7</f>
        <v>70</v>
      </c>
      <c r="P27" s="67">
        <f>D27*O27*30</f>
        <v>168000</v>
      </c>
      <c r="Q27" s="63">
        <f>C11*0.8</f>
        <v>80</v>
      </c>
      <c r="R27" s="91">
        <f t="shared" si="21"/>
        <v>192000</v>
      </c>
      <c r="S27" s="86">
        <f t="shared" si="22"/>
        <v>80</v>
      </c>
      <c r="T27" s="67">
        <f t="shared" si="2"/>
        <v>192000</v>
      </c>
      <c r="U27" s="63">
        <f>C11*0.9</f>
        <v>90</v>
      </c>
      <c r="V27" s="67">
        <f t="shared" si="23"/>
        <v>216000</v>
      </c>
      <c r="W27" s="63">
        <f>C11*0.9</f>
        <v>90</v>
      </c>
      <c r="X27" s="67">
        <f t="shared" si="4"/>
        <v>216000</v>
      </c>
      <c r="Y27" s="63">
        <f>C11*0.92</f>
        <v>92</v>
      </c>
      <c r="Z27" s="67">
        <f t="shared" si="24"/>
        <v>220800</v>
      </c>
      <c r="AA27" s="63">
        <f>C11*0.95</f>
        <v>95</v>
      </c>
      <c r="AB27" s="67">
        <f t="shared" si="25"/>
        <v>228000</v>
      </c>
      <c r="AC27" s="64">
        <f>C11*0.98</f>
        <v>98</v>
      </c>
      <c r="AD27" s="84">
        <f t="shared" si="26"/>
        <v>235200</v>
      </c>
      <c r="AE27" s="64">
        <f t="shared" si="3"/>
        <v>98</v>
      </c>
      <c r="AF27" s="84">
        <f t="shared" si="5"/>
        <v>235200</v>
      </c>
      <c r="AG27" s="88">
        <f>C11*0.985</f>
        <v>98.5</v>
      </c>
      <c r="AH27" s="84">
        <f t="shared" si="27"/>
        <v>236400</v>
      </c>
      <c r="AI27" s="88">
        <f>C11*0.985</f>
        <v>98.5</v>
      </c>
      <c r="AJ27" s="84">
        <f t="shared" ref="AJ27:AL27" si="28">D27*AI27*30</f>
        <v>236400</v>
      </c>
      <c r="AK27" s="88">
        <f>C11*0.988</f>
        <v>98.8</v>
      </c>
      <c r="AL27" s="84">
        <v>236400</v>
      </c>
      <c r="AM27" s="64">
        <f>C11</f>
        <v>100</v>
      </c>
      <c r="AN27" s="84">
        <f t="shared" si="7"/>
        <v>240000</v>
      </c>
      <c r="AO27" s="64">
        <v>100</v>
      </c>
      <c r="AP27" s="84">
        <f t="shared" si="8"/>
        <v>240000</v>
      </c>
      <c r="AQ27" s="64">
        <v>100</v>
      </c>
      <c r="AR27" s="84">
        <f t="shared" si="9"/>
        <v>240000</v>
      </c>
      <c r="AS27" s="64">
        <v>100</v>
      </c>
      <c r="AT27" s="84">
        <f t="shared" si="10"/>
        <v>240000</v>
      </c>
      <c r="AU27" s="64">
        <v>100</v>
      </c>
      <c r="AV27" s="84">
        <f t="shared" si="11"/>
        <v>240000</v>
      </c>
      <c r="AW27" s="64">
        <v>100</v>
      </c>
      <c r="AX27" s="84">
        <f t="shared" si="12"/>
        <v>240000</v>
      </c>
      <c r="AY27" s="88">
        <f t="shared" si="13"/>
        <v>105</v>
      </c>
      <c r="AZ27" s="71">
        <f t="shared" si="14"/>
        <v>252000</v>
      </c>
    </row>
    <row r="28" spans="2:57" s="1" customFormat="1" ht="16.5">
      <c r="B28" s="179" t="s">
        <v>321</v>
      </c>
      <c r="C28" s="179"/>
      <c r="D28" s="122" t="s">
        <v>280</v>
      </c>
      <c r="E28" s="66" t="s">
        <v>280</v>
      </c>
      <c r="F28" s="68">
        <f>F12*0.2</f>
        <v>80000</v>
      </c>
      <c r="G28" s="68" t="s">
        <v>280</v>
      </c>
      <c r="H28" s="68">
        <f>F12*0.3</f>
        <v>120000</v>
      </c>
      <c r="I28" s="63" t="s">
        <v>280</v>
      </c>
      <c r="J28" s="68">
        <f>F12*0.3</f>
        <v>120000</v>
      </c>
      <c r="K28" s="63"/>
      <c r="L28" s="68">
        <f>F12*0.4</f>
        <v>160000</v>
      </c>
      <c r="M28" s="68"/>
      <c r="N28" s="68">
        <f>F12*0.5</f>
        <v>200000</v>
      </c>
      <c r="O28" s="89"/>
      <c r="P28" s="67">
        <f>F12*0.6</f>
        <v>240000</v>
      </c>
      <c r="Q28" s="63"/>
      <c r="R28" s="91">
        <f>F12*0.7</f>
        <v>280000</v>
      </c>
      <c r="S28" s="63"/>
      <c r="T28" s="67">
        <f>R28</f>
        <v>280000</v>
      </c>
      <c r="U28" s="63"/>
      <c r="V28" s="67">
        <f>F12*0.8</f>
        <v>320000</v>
      </c>
      <c r="W28" s="63"/>
      <c r="X28" s="67">
        <f>V28</f>
        <v>320000</v>
      </c>
      <c r="Y28" s="63"/>
      <c r="Z28" s="67">
        <f>F12*0.82</f>
        <v>328000</v>
      </c>
      <c r="AA28" s="63"/>
      <c r="AB28" s="67">
        <f>F12*0.85</f>
        <v>340000</v>
      </c>
      <c r="AC28" s="64"/>
      <c r="AD28" s="84">
        <f>F12*0.88</f>
        <v>352000</v>
      </c>
      <c r="AE28" s="64"/>
      <c r="AF28" s="84">
        <f t="shared" si="5"/>
        <v>352000</v>
      </c>
      <c r="AG28" s="64"/>
      <c r="AH28" s="84">
        <f>F12*0.9</f>
        <v>360000</v>
      </c>
      <c r="AI28" s="92"/>
      <c r="AJ28" s="84">
        <f>F12*0.92</f>
        <v>368000</v>
      </c>
      <c r="AK28" s="64"/>
      <c r="AL28" s="84">
        <f>F12*0.95</f>
        <v>380000</v>
      </c>
      <c r="AM28" s="92"/>
      <c r="AN28" s="84">
        <v>400000</v>
      </c>
      <c r="AO28" s="64"/>
      <c r="AP28" s="84">
        <f>AN28+AN28*0.1</f>
        <v>440000</v>
      </c>
      <c r="AQ28" s="64"/>
      <c r="AR28" s="84">
        <f>AN28+AN28*0.2</f>
        <v>480000</v>
      </c>
      <c r="AS28" s="64"/>
      <c r="AT28" s="84">
        <f>AN28+AN28*0.3</f>
        <v>520000</v>
      </c>
      <c r="AU28" s="64"/>
      <c r="AV28" s="84">
        <f>AN28+AN28*0.4</f>
        <v>560000</v>
      </c>
      <c r="AW28" s="64"/>
      <c r="AX28" s="84">
        <f>AN28+AN28*0.5</f>
        <v>600000</v>
      </c>
      <c r="AY28" s="64"/>
      <c r="AZ28" s="84">
        <f>AN28+AN28*0.6</f>
        <v>640000</v>
      </c>
    </row>
    <row r="29" spans="2:57" s="1" customFormat="1" ht="16.5">
      <c r="B29" s="179" t="s">
        <v>322</v>
      </c>
      <c r="C29" s="179"/>
      <c r="D29" s="122" t="s">
        <v>280</v>
      </c>
      <c r="E29" s="66" t="s">
        <v>280</v>
      </c>
      <c r="F29" s="69">
        <f>F13*0.2</f>
        <v>80000</v>
      </c>
      <c r="G29" s="68" t="s">
        <v>280</v>
      </c>
      <c r="H29" s="69">
        <f>F13*0.3</f>
        <v>120000</v>
      </c>
      <c r="I29" s="63" t="s">
        <v>280</v>
      </c>
      <c r="J29" s="69">
        <f>F13*0.3</f>
        <v>120000</v>
      </c>
      <c r="K29" s="63"/>
      <c r="L29" s="69">
        <f>F13*0.4</f>
        <v>160000</v>
      </c>
      <c r="M29" s="68"/>
      <c r="N29" s="68">
        <f>F13*0.5</f>
        <v>200000</v>
      </c>
      <c r="O29" s="89"/>
      <c r="P29" s="67">
        <f>F13*0.6</f>
        <v>240000</v>
      </c>
      <c r="Q29" s="63"/>
      <c r="R29" s="91">
        <f>F13*0.7</f>
        <v>280000</v>
      </c>
      <c r="S29" s="63"/>
      <c r="T29" s="67">
        <f t="shared" si="2"/>
        <v>280000</v>
      </c>
      <c r="U29" s="63"/>
      <c r="V29" s="67">
        <f>F13*0.8</f>
        <v>320000</v>
      </c>
      <c r="W29" s="63"/>
      <c r="X29" s="67">
        <f t="shared" si="4"/>
        <v>320000</v>
      </c>
      <c r="Y29" s="63"/>
      <c r="Z29" s="67">
        <f>F13*0.82</f>
        <v>328000</v>
      </c>
      <c r="AA29" s="63"/>
      <c r="AB29" s="67">
        <f>F13*0.85</f>
        <v>340000</v>
      </c>
      <c r="AC29" s="64"/>
      <c r="AD29" s="84">
        <f>F13*0.88</f>
        <v>352000</v>
      </c>
      <c r="AE29" s="64"/>
      <c r="AF29" s="84">
        <f>AD29</f>
        <v>352000</v>
      </c>
      <c r="AG29" s="64"/>
      <c r="AH29" s="84">
        <f>F13*0.9</f>
        <v>360000</v>
      </c>
      <c r="AI29" s="92"/>
      <c r="AJ29" s="84">
        <f>F13*0.92</f>
        <v>368000</v>
      </c>
      <c r="AK29" s="64"/>
      <c r="AL29" s="84">
        <f>F13*0.95</f>
        <v>380000</v>
      </c>
      <c r="AM29" s="92"/>
      <c r="AN29" s="84">
        <v>400000</v>
      </c>
      <c r="AO29" s="64"/>
      <c r="AP29" s="84">
        <f>AN29+AN29*0.1</f>
        <v>440000</v>
      </c>
      <c r="AQ29" s="64"/>
      <c r="AR29" s="84">
        <f>AN29+AN29*0.2</f>
        <v>480000</v>
      </c>
      <c r="AS29" s="64"/>
      <c r="AT29" s="84">
        <f>AN29+AN29*0.3</f>
        <v>520000</v>
      </c>
      <c r="AU29" s="64"/>
      <c r="AV29" s="84">
        <f>AN29+AN29*0.4</f>
        <v>560000</v>
      </c>
      <c r="AW29" s="64"/>
      <c r="AX29" s="84">
        <f>AN29+AN29*0.5</f>
        <v>600000</v>
      </c>
      <c r="AY29" s="64"/>
      <c r="AZ29" s="84">
        <f>AN29+AN29*0.6</f>
        <v>640000</v>
      </c>
    </row>
    <row r="30" spans="2:57" s="1" customFormat="1" ht="16.5">
      <c r="B30" s="181" t="s">
        <v>323</v>
      </c>
      <c r="C30" s="182"/>
      <c r="D30" s="124" t="s">
        <v>280</v>
      </c>
      <c r="E30" s="66" t="s">
        <v>280</v>
      </c>
      <c r="F30" s="71">
        <v>130890.00000000001</v>
      </c>
      <c r="G30" s="68" t="s">
        <v>280</v>
      </c>
      <c r="H30" s="71">
        <v>130890.00000000001</v>
      </c>
      <c r="I30" s="63" t="s">
        <v>280</v>
      </c>
      <c r="J30" s="71">
        <v>130890.00000000001</v>
      </c>
      <c r="K30" s="63"/>
      <c r="L30" s="71">
        <v>130890.00000000001</v>
      </c>
      <c r="M30" s="71"/>
      <c r="N30" s="71">
        <v>130890.00000000001</v>
      </c>
      <c r="O30" s="89"/>
      <c r="P30" s="67">
        <v>130890.00000000001</v>
      </c>
      <c r="Q30" s="63"/>
      <c r="R30" s="67">
        <v>130890.00000000001</v>
      </c>
      <c r="S30" s="63"/>
      <c r="T30" s="67">
        <f t="shared" si="2"/>
        <v>130890.00000000001</v>
      </c>
      <c r="U30" s="63"/>
      <c r="V30" s="67">
        <f t="shared" si="2"/>
        <v>130890.00000000001</v>
      </c>
      <c r="W30" s="63"/>
      <c r="X30" s="67">
        <f t="shared" si="4"/>
        <v>130890.00000000001</v>
      </c>
      <c r="Y30" s="63"/>
      <c r="Z30" s="67">
        <f t="shared" si="4"/>
        <v>130890.00000000001</v>
      </c>
      <c r="AA30" s="63"/>
      <c r="AB30" s="67">
        <f t="shared" si="4"/>
        <v>130890.00000000001</v>
      </c>
      <c r="AC30" s="64"/>
      <c r="AD30" s="67">
        <f t="shared" si="4"/>
        <v>130890.00000000001</v>
      </c>
      <c r="AE30" s="64"/>
      <c r="AF30" s="84">
        <f>AD30</f>
        <v>130890.00000000001</v>
      </c>
      <c r="AG30" s="64"/>
      <c r="AH30" s="84">
        <f>AF30</f>
        <v>130890.00000000001</v>
      </c>
      <c r="AI30" s="84"/>
      <c r="AJ30" s="84">
        <f>AH30</f>
        <v>130890.00000000001</v>
      </c>
      <c r="AK30" s="64"/>
      <c r="AL30" s="84">
        <f>AJ30</f>
        <v>130890.00000000001</v>
      </c>
      <c r="AM30" s="64"/>
      <c r="AN30" s="84">
        <v>130890</v>
      </c>
      <c r="AO30" s="64"/>
      <c r="AP30" s="84">
        <v>130890</v>
      </c>
      <c r="AQ30" s="64"/>
      <c r="AR30" s="84">
        <v>130890</v>
      </c>
      <c r="AS30" s="64"/>
      <c r="AT30" s="84">
        <v>130890</v>
      </c>
      <c r="AU30" s="64"/>
      <c r="AV30" s="84">
        <v>130890</v>
      </c>
      <c r="AW30" s="64"/>
      <c r="AX30" s="84">
        <v>130890</v>
      </c>
      <c r="AY30" s="64"/>
      <c r="AZ30" s="84">
        <v>130890</v>
      </c>
    </row>
    <row r="31" spans="2:57" s="1" customFormat="1" ht="16.5">
      <c r="B31" s="180" t="s">
        <v>324</v>
      </c>
      <c r="C31" s="180"/>
      <c r="D31" s="125" t="s">
        <v>280</v>
      </c>
      <c r="E31" s="66" t="s">
        <v>280</v>
      </c>
      <c r="F31" s="76">
        <v>93800</v>
      </c>
      <c r="G31" s="68" t="s">
        <v>280</v>
      </c>
      <c r="H31" s="76">
        <v>93800</v>
      </c>
      <c r="I31" s="63" t="s">
        <v>280</v>
      </c>
      <c r="J31" s="76">
        <v>93800</v>
      </c>
      <c r="K31" s="70"/>
      <c r="L31" s="76">
        <v>93800</v>
      </c>
      <c r="M31" s="76"/>
      <c r="N31" s="76">
        <v>93800</v>
      </c>
      <c r="O31" s="90"/>
      <c r="P31" s="82">
        <v>93800</v>
      </c>
      <c r="Q31" s="70"/>
      <c r="R31" s="82">
        <v>93800</v>
      </c>
      <c r="S31" s="70"/>
      <c r="T31" s="82">
        <f t="shared" si="2"/>
        <v>93800</v>
      </c>
      <c r="U31" s="70"/>
      <c r="V31" s="82">
        <f t="shared" si="2"/>
        <v>93800</v>
      </c>
      <c r="W31" s="70"/>
      <c r="X31" s="82">
        <f t="shared" si="4"/>
        <v>93800</v>
      </c>
      <c r="Y31" s="70"/>
      <c r="Z31" s="82">
        <f t="shared" si="4"/>
        <v>93800</v>
      </c>
      <c r="AA31" s="70"/>
      <c r="AB31" s="82">
        <f t="shared" si="4"/>
        <v>93800</v>
      </c>
      <c r="AC31" s="77"/>
      <c r="AD31" s="82">
        <f t="shared" si="4"/>
        <v>93800</v>
      </c>
      <c r="AE31" s="77"/>
      <c r="AF31" s="85">
        <f t="shared" si="5"/>
        <v>93800</v>
      </c>
      <c r="AG31" s="77"/>
      <c r="AH31" s="85">
        <f t="shared" si="5"/>
        <v>93800</v>
      </c>
      <c r="AI31" s="85"/>
      <c r="AJ31" s="85">
        <f t="shared" si="5"/>
        <v>93800</v>
      </c>
      <c r="AK31" s="77"/>
      <c r="AL31" s="85">
        <f t="shared" si="5"/>
        <v>93800</v>
      </c>
      <c r="AM31" s="77"/>
      <c r="AN31" s="85">
        <v>93800</v>
      </c>
      <c r="AO31" s="77"/>
      <c r="AP31" s="85">
        <v>93800</v>
      </c>
      <c r="AQ31" s="77"/>
      <c r="AR31" s="85">
        <v>93800</v>
      </c>
      <c r="AS31" s="77"/>
      <c r="AT31" s="85">
        <v>93800</v>
      </c>
      <c r="AU31" s="77"/>
      <c r="AV31" s="85">
        <v>93800</v>
      </c>
      <c r="AW31" s="77"/>
      <c r="AX31" s="85">
        <v>93800</v>
      </c>
      <c r="AY31" s="77"/>
      <c r="AZ31" s="85">
        <v>93800</v>
      </c>
    </row>
    <row r="32" spans="2:57" ht="15.75">
      <c r="B32" s="176" t="s">
        <v>19</v>
      </c>
      <c r="C32" s="177"/>
      <c r="D32" s="178"/>
      <c r="E32" s="122"/>
      <c r="F32" s="127">
        <f>SUM(F21:F31)</f>
        <v>1291962</v>
      </c>
      <c r="G32" s="127"/>
      <c r="H32" s="127">
        <f>SUM(H21:H31)</f>
        <v>1746386</v>
      </c>
      <c r="I32" s="127"/>
      <c r="J32" s="127">
        <f t="shared" ref="I32:J32" si="29">SUM(J21:J31)</f>
        <v>1746386</v>
      </c>
      <c r="K32" s="127"/>
      <c r="L32" s="127">
        <f t="shared" ref="L32:N32" si="30">SUM(L21:L31)</f>
        <v>2158690</v>
      </c>
      <c r="M32" s="127"/>
      <c r="N32" s="127">
        <f t="shared" si="30"/>
        <v>2578014</v>
      </c>
      <c r="O32" s="128"/>
      <c r="P32" s="127">
        <f t="shared" ref="P32:Z32" si="31">SUM(P21:P31)</f>
        <v>3325658</v>
      </c>
      <c r="Q32" s="127"/>
      <c r="R32" s="127">
        <f t="shared" si="31"/>
        <v>3780082</v>
      </c>
      <c r="S32" s="127"/>
      <c r="T32" s="127">
        <f t="shared" si="31"/>
        <v>3780082</v>
      </c>
      <c r="U32" s="127"/>
      <c r="V32" s="127">
        <f t="shared" si="31"/>
        <v>4234506</v>
      </c>
      <c r="W32" s="127"/>
      <c r="X32" s="127">
        <f t="shared" si="31"/>
        <v>4234506</v>
      </c>
      <c r="Y32" s="127"/>
      <c r="Z32" s="127">
        <f t="shared" si="31"/>
        <v>4411790.8000000007</v>
      </c>
      <c r="AA32" s="129"/>
      <c r="AB32" s="127">
        <f t="shared" ref="AB32:AD32" si="32">SUM(AB21:AB31)</f>
        <v>4623718</v>
      </c>
      <c r="AC32" s="130"/>
      <c r="AD32" s="127">
        <f t="shared" si="32"/>
        <v>5078999.2</v>
      </c>
      <c r="AE32" s="130"/>
      <c r="AF32" s="131">
        <f t="shared" si="5"/>
        <v>5078999.2</v>
      </c>
      <c r="AG32" s="130"/>
      <c r="AH32" s="131">
        <f>SUM(AH21:AH31)</f>
        <v>5227652</v>
      </c>
      <c r="AI32" s="131"/>
      <c r="AJ32" s="131">
        <f t="shared" ref="AI32:AL32" si="33">SUM(AJ21:AJ31)</f>
        <v>5351652</v>
      </c>
      <c r="AK32" s="130"/>
      <c r="AL32" s="131">
        <f t="shared" si="33"/>
        <v>5506555.2000000002</v>
      </c>
      <c r="AM32" s="131"/>
      <c r="AN32" s="131">
        <f t="shared" ref="AN32:AZ32" si="34">SUM(AN21:AN31)</f>
        <v>5683690</v>
      </c>
      <c r="AO32" s="130"/>
      <c r="AP32" s="131">
        <f t="shared" si="34"/>
        <v>5871690</v>
      </c>
      <c r="AQ32" s="130"/>
      <c r="AR32" s="131">
        <f t="shared" si="34"/>
        <v>6059690</v>
      </c>
      <c r="AS32" s="130"/>
      <c r="AT32" s="131">
        <f t="shared" si="34"/>
        <v>6247690</v>
      </c>
      <c r="AU32" s="130"/>
      <c r="AV32" s="131">
        <f t="shared" si="34"/>
        <v>6435690</v>
      </c>
      <c r="AW32" s="130"/>
      <c r="AX32" s="131">
        <f t="shared" si="34"/>
        <v>6515690</v>
      </c>
      <c r="AY32" s="130"/>
      <c r="AZ32" s="131">
        <f t="shared" si="34"/>
        <v>6850240</v>
      </c>
    </row>
    <row r="33" spans="1:50" ht="15.75">
      <c r="A33" t="s">
        <v>325</v>
      </c>
      <c r="B33" s="206" t="s">
        <v>326</v>
      </c>
      <c r="C33" s="206"/>
      <c r="D33" s="207"/>
      <c r="E33" s="208"/>
      <c r="F33" s="58"/>
      <c r="G33" s="58"/>
      <c r="H33" s="58"/>
      <c r="I33" s="58"/>
      <c r="J33" s="58"/>
      <c r="K33" s="58"/>
      <c r="L33" s="58"/>
      <c r="M33" s="58"/>
      <c r="N33" s="58"/>
      <c r="O33" s="94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48"/>
      <c r="AB33" s="58"/>
      <c r="AD33" s="58"/>
      <c r="AI33" s="7"/>
      <c r="AM33" s="7"/>
      <c r="AX33" s="7"/>
    </row>
    <row r="34" spans="1:50" ht="15.75">
      <c r="B34" s="48"/>
      <c r="C34" s="48"/>
      <c r="D34" s="48"/>
      <c r="E34" s="48"/>
      <c r="F34" s="48"/>
      <c r="G34" s="48"/>
      <c r="H34" s="58"/>
      <c r="I34" s="48"/>
      <c r="J34" s="58"/>
      <c r="K34" s="48"/>
      <c r="L34" s="58"/>
      <c r="M34" s="48"/>
      <c r="N34" s="58"/>
      <c r="O34" s="48"/>
      <c r="P34" s="58"/>
      <c r="Q34" s="48"/>
      <c r="R34" s="58"/>
      <c r="S34" s="48"/>
      <c r="T34" s="58"/>
      <c r="U34" s="48"/>
      <c r="V34" s="58"/>
      <c r="W34" s="48"/>
      <c r="X34" s="58"/>
      <c r="Y34" s="48"/>
      <c r="Z34" s="58"/>
      <c r="AA34" s="48"/>
      <c r="AB34" s="58"/>
    </row>
    <row r="35" spans="1:50" ht="15.75" hidden="1">
      <c r="B35" s="175" t="s">
        <v>327</v>
      </c>
      <c r="C35" s="175"/>
      <c r="D35" s="48"/>
      <c r="E35" s="48"/>
      <c r="F35" s="48"/>
      <c r="G35" s="48"/>
      <c r="H35" s="58"/>
      <c r="I35" s="48"/>
      <c r="J35" s="58"/>
      <c r="K35" s="48"/>
      <c r="L35" s="58"/>
      <c r="M35" s="48"/>
      <c r="N35" s="58"/>
      <c r="O35" s="48"/>
      <c r="P35" s="87"/>
      <c r="Q35" s="48"/>
      <c r="R35" s="58"/>
      <c r="S35" s="48"/>
      <c r="T35" s="58"/>
      <c r="U35" s="48"/>
      <c r="V35" s="58"/>
      <c r="W35" s="48"/>
      <c r="X35" s="58"/>
      <c r="Y35" s="48"/>
      <c r="Z35" s="58"/>
      <c r="AA35" s="48"/>
      <c r="AB35" s="58"/>
    </row>
    <row r="36" spans="1:50" ht="15.75" hidden="1">
      <c r="B36" s="96" t="s">
        <v>328</v>
      </c>
      <c r="C36" s="97" t="s">
        <v>329</v>
      </c>
      <c r="D36" s="48"/>
      <c r="E36" s="48"/>
      <c r="F36" s="48"/>
      <c r="G36" s="48"/>
      <c r="H36" s="58"/>
      <c r="I36" s="48"/>
      <c r="J36" s="58"/>
      <c r="K36" s="48"/>
      <c r="L36" s="58"/>
      <c r="M36" s="48"/>
      <c r="N36" s="58"/>
      <c r="O36" s="48"/>
      <c r="P36" s="58"/>
      <c r="Q36" s="48"/>
      <c r="R36" s="58"/>
      <c r="S36" s="48"/>
      <c r="T36" s="58"/>
      <c r="U36" s="48"/>
      <c r="V36" s="58"/>
      <c r="W36" s="48"/>
      <c r="X36" s="58"/>
      <c r="Y36" s="48"/>
      <c r="Z36" s="58"/>
      <c r="AA36" s="48"/>
      <c r="AB36" s="58"/>
    </row>
    <row r="37" spans="1:50" ht="15.75" hidden="1">
      <c r="B37" s="48"/>
      <c r="C37" s="98">
        <f>732500*3</f>
        <v>2197500</v>
      </c>
      <c r="D37" s="48"/>
      <c r="E37" s="48"/>
      <c r="F37" s="48"/>
      <c r="G37" s="48"/>
      <c r="H37" s="58"/>
      <c r="I37" s="48"/>
      <c r="J37" s="58"/>
      <c r="K37" s="48"/>
      <c r="L37" s="58"/>
      <c r="M37" s="48"/>
      <c r="N37" s="58"/>
      <c r="O37" s="48"/>
      <c r="P37" s="58"/>
      <c r="Q37" s="48"/>
      <c r="R37" s="58"/>
      <c r="S37" s="48"/>
      <c r="T37" s="58"/>
      <c r="U37" s="48"/>
      <c r="V37" s="58"/>
      <c r="W37" s="48"/>
      <c r="X37" s="58"/>
      <c r="Y37" s="48"/>
      <c r="Z37" s="58"/>
      <c r="AA37" s="48"/>
      <c r="AB37" s="58"/>
    </row>
    <row r="38" spans="1:50" ht="15.75" hidden="1">
      <c r="B38" s="93">
        <f>E22*D22*30-F22</f>
        <v>80028</v>
      </c>
      <c r="C38" s="98">
        <f>C37-B38</f>
        <v>2117472</v>
      </c>
      <c r="D38" s="48"/>
      <c r="E38" s="48"/>
      <c r="F38" s="48"/>
      <c r="G38" s="48"/>
      <c r="H38" s="58"/>
      <c r="I38" s="48"/>
      <c r="J38" s="58"/>
      <c r="K38" s="48"/>
      <c r="L38" s="58"/>
      <c r="M38" s="48"/>
      <c r="N38" s="58"/>
      <c r="O38" s="48"/>
      <c r="P38" s="58"/>
      <c r="Q38" s="48"/>
      <c r="R38" s="58"/>
      <c r="S38" s="48"/>
      <c r="T38" s="58"/>
      <c r="U38" s="48"/>
      <c r="V38" s="58"/>
      <c r="W38" s="48"/>
      <c r="X38" s="58"/>
      <c r="Y38" s="48"/>
      <c r="Z38" s="58"/>
      <c r="AA38" s="48"/>
      <c r="AB38" s="58"/>
    </row>
    <row r="39" spans="1:50" ht="15.75" hidden="1">
      <c r="B39" s="93">
        <f>G22*D22*30-H22</f>
        <v>106704.00000000001</v>
      </c>
      <c r="C39" s="98">
        <f>C38-B39</f>
        <v>2010768</v>
      </c>
      <c r="D39" s="48"/>
      <c r="E39" s="48"/>
      <c r="F39" s="48"/>
      <c r="G39" s="48"/>
      <c r="H39" s="58"/>
      <c r="I39" s="48"/>
      <c r="J39" s="58"/>
      <c r="K39" s="48"/>
      <c r="L39" s="58"/>
      <c r="M39" s="48"/>
      <c r="N39" s="58"/>
      <c r="O39" s="48"/>
      <c r="P39" s="58"/>
      <c r="Q39" s="48"/>
      <c r="R39" s="58"/>
      <c r="S39" s="48"/>
      <c r="T39" s="58"/>
      <c r="U39" s="48"/>
      <c r="V39" s="58"/>
      <c r="W39" s="48"/>
      <c r="X39" s="58"/>
      <c r="Y39" s="48"/>
      <c r="Z39" s="58"/>
      <c r="AA39" s="48"/>
      <c r="AB39" s="58"/>
    </row>
    <row r="40" spans="1:50" ht="15.75" hidden="1">
      <c r="B40" s="93">
        <f>G22*D22*30-H22</f>
        <v>106704.00000000001</v>
      </c>
      <c r="C40" s="98">
        <f t="shared" ref="C40:C49" si="35">C39-B40</f>
        <v>1904064</v>
      </c>
      <c r="D40" s="48"/>
      <c r="E40" s="48"/>
      <c r="F40" s="48"/>
      <c r="G40" s="48"/>
      <c r="H40" s="58"/>
      <c r="I40" s="48"/>
      <c r="J40" s="58"/>
      <c r="K40" s="48"/>
      <c r="L40" s="58"/>
      <c r="M40" s="48"/>
      <c r="N40" s="58"/>
      <c r="O40" s="48"/>
      <c r="P40" s="58"/>
      <c r="Q40" s="48"/>
      <c r="R40" s="58"/>
      <c r="S40" s="48"/>
      <c r="T40" s="58"/>
      <c r="U40" s="48"/>
      <c r="V40" s="58"/>
      <c r="W40" s="48"/>
      <c r="X40" s="58"/>
      <c r="Y40" s="48"/>
      <c r="Z40" s="58"/>
      <c r="AA40" s="48"/>
      <c r="AB40" s="58"/>
    </row>
    <row r="41" spans="1:50" ht="15.75" hidden="1">
      <c r="B41" s="93">
        <f>K22*D22*30-L22</f>
        <v>133380</v>
      </c>
      <c r="C41" s="98">
        <f t="shared" si="35"/>
        <v>1770684</v>
      </c>
      <c r="D41" s="48"/>
      <c r="E41" s="48"/>
      <c r="F41" s="48"/>
      <c r="G41" s="48"/>
      <c r="H41" s="58"/>
      <c r="I41" s="48"/>
      <c r="J41" s="58"/>
      <c r="K41" s="48"/>
      <c r="L41" s="58"/>
      <c r="M41" s="48"/>
      <c r="N41" s="58"/>
      <c r="O41" s="48"/>
      <c r="P41" s="58"/>
      <c r="Q41" s="48"/>
      <c r="R41" s="58"/>
      <c r="S41" s="48"/>
      <c r="T41" s="58"/>
      <c r="U41" s="48"/>
      <c r="V41" s="58"/>
      <c r="W41" s="48"/>
      <c r="X41" s="58"/>
      <c r="Y41" s="48"/>
      <c r="Z41" s="58"/>
      <c r="AA41" s="48"/>
      <c r="AB41" s="58"/>
    </row>
    <row r="42" spans="1:50" ht="15.75" hidden="1">
      <c r="B42" s="93">
        <f>M22*D22*30-N22</f>
        <v>160056</v>
      </c>
      <c r="C42" s="98">
        <f t="shared" si="35"/>
        <v>1610628</v>
      </c>
      <c r="D42" s="48"/>
      <c r="E42" s="48"/>
      <c r="F42" s="48"/>
      <c r="G42" s="48"/>
      <c r="H42" s="58"/>
      <c r="I42" s="48"/>
      <c r="J42" s="58"/>
      <c r="K42" s="48"/>
      <c r="L42" s="58"/>
      <c r="M42" s="48"/>
      <c r="N42" s="58"/>
      <c r="O42" s="48"/>
      <c r="P42" s="58"/>
      <c r="Q42" s="48"/>
      <c r="R42" s="58"/>
      <c r="S42" s="48"/>
      <c r="T42" s="58"/>
      <c r="U42" s="48"/>
      <c r="V42" s="58"/>
      <c r="W42" s="48"/>
      <c r="X42" s="58"/>
      <c r="Y42" s="48"/>
      <c r="Z42" s="58"/>
      <c r="AA42" s="48"/>
      <c r="AB42" s="58"/>
    </row>
    <row r="43" spans="1:50" ht="15.75" hidden="1">
      <c r="B43" s="93">
        <f>O22*D22*30-P22</f>
        <v>186731.99999999994</v>
      </c>
      <c r="C43" s="98">
        <f t="shared" si="35"/>
        <v>1423896</v>
      </c>
      <c r="D43" s="48"/>
      <c r="E43" s="48"/>
      <c r="F43" s="48"/>
      <c r="G43" s="48"/>
      <c r="H43" s="58"/>
      <c r="I43" s="48"/>
      <c r="J43" s="58"/>
      <c r="K43" s="48"/>
      <c r="L43" s="58"/>
      <c r="M43" s="48"/>
      <c r="N43" s="58"/>
      <c r="O43" s="48"/>
      <c r="P43" s="58"/>
      <c r="Q43" s="48"/>
      <c r="R43" s="58"/>
      <c r="S43" s="48"/>
      <c r="T43" s="58"/>
      <c r="U43" s="48"/>
      <c r="V43" s="58"/>
      <c r="W43" s="48"/>
      <c r="X43" s="58"/>
      <c r="Y43" s="48"/>
      <c r="Z43" s="58"/>
      <c r="AA43" s="48"/>
      <c r="AB43" s="58"/>
    </row>
    <row r="44" spans="1:50" ht="15.75" hidden="1">
      <c r="B44" s="93">
        <f>Q22*D22*30-R22</f>
        <v>213408.00000000003</v>
      </c>
      <c r="C44" s="98">
        <f t="shared" si="35"/>
        <v>1210488</v>
      </c>
      <c r="D44" s="48"/>
      <c r="E44" s="48"/>
      <c r="F44" s="48"/>
      <c r="G44" s="48"/>
      <c r="H44" s="58"/>
      <c r="I44" s="48"/>
      <c r="J44" s="58"/>
      <c r="K44" s="48"/>
      <c r="L44" s="58"/>
      <c r="M44" s="48"/>
      <c r="N44" s="58"/>
      <c r="O44" s="48"/>
      <c r="P44" s="58"/>
      <c r="Q44" s="48"/>
      <c r="R44" s="58"/>
      <c r="S44" s="48"/>
      <c r="T44" s="58"/>
      <c r="U44" s="48"/>
      <c r="V44" s="58"/>
      <c r="W44" s="48"/>
      <c r="X44" s="58"/>
      <c r="Y44" s="48"/>
      <c r="Z44" s="58"/>
      <c r="AA44" s="48"/>
      <c r="AB44" s="58"/>
    </row>
    <row r="45" spans="1:50" ht="15.75" hidden="1">
      <c r="B45" s="93">
        <f>S22*D22*30-T22</f>
        <v>213408.00000000003</v>
      </c>
      <c r="C45" s="98">
        <f t="shared" si="35"/>
        <v>997080</v>
      </c>
      <c r="D45" s="48"/>
      <c r="E45" s="48"/>
      <c r="F45" s="48"/>
      <c r="G45" s="48"/>
      <c r="H45" s="58"/>
      <c r="I45" s="48"/>
      <c r="J45" s="58"/>
      <c r="K45" s="48"/>
      <c r="L45" s="58"/>
      <c r="M45" s="48"/>
      <c r="N45" s="58"/>
      <c r="O45" s="48"/>
      <c r="P45" s="58"/>
      <c r="Q45" s="48"/>
      <c r="R45" s="58"/>
      <c r="S45" s="48"/>
      <c r="T45" s="58"/>
      <c r="U45" s="48"/>
      <c r="V45" s="58"/>
      <c r="W45" s="48"/>
      <c r="X45" s="58"/>
      <c r="Y45" s="48"/>
      <c r="Z45" s="58"/>
      <c r="AA45" s="48"/>
      <c r="AB45" s="58"/>
    </row>
    <row r="46" spans="1:50" ht="15.75" hidden="1">
      <c r="B46" s="93">
        <f>U22*D22*30-V22</f>
        <v>240084</v>
      </c>
      <c r="C46" s="98">
        <f t="shared" si="35"/>
        <v>756996</v>
      </c>
      <c r="D46" s="48"/>
      <c r="E46" s="48"/>
      <c r="F46" s="48"/>
      <c r="G46" s="48"/>
      <c r="H46" s="58"/>
      <c r="I46" s="48"/>
      <c r="J46" s="58"/>
      <c r="K46" s="48"/>
      <c r="L46" s="58"/>
      <c r="M46" s="48"/>
      <c r="N46" s="58"/>
      <c r="O46" s="48"/>
      <c r="P46" s="58"/>
      <c r="Q46" s="48"/>
      <c r="R46" s="58"/>
      <c r="S46" s="48"/>
      <c r="T46" s="58"/>
      <c r="U46" s="48"/>
      <c r="V46" s="58"/>
      <c r="W46" s="48"/>
      <c r="X46" s="58"/>
      <c r="Y46" s="48"/>
      <c r="Z46" s="58"/>
      <c r="AA46" s="48"/>
      <c r="AB46" s="58"/>
    </row>
    <row r="47" spans="1:50" ht="15.75" hidden="1">
      <c r="B47" s="93">
        <f>W22*D22*30-X22</f>
        <v>240084</v>
      </c>
      <c r="C47" s="98">
        <f t="shared" si="35"/>
        <v>516912</v>
      </c>
      <c r="D47" s="48"/>
      <c r="E47" s="48"/>
      <c r="F47" s="48"/>
      <c r="G47" s="48"/>
      <c r="H47" s="58"/>
      <c r="I47" s="48"/>
      <c r="J47" s="58"/>
      <c r="K47" s="48"/>
      <c r="L47" s="58"/>
      <c r="M47" s="48"/>
      <c r="N47" s="58"/>
      <c r="O47" s="48"/>
      <c r="P47" s="58"/>
      <c r="Q47" s="48"/>
      <c r="R47" s="58"/>
      <c r="S47" s="48"/>
      <c r="T47" s="58"/>
      <c r="U47" s="48"/>
      <c r="V47" s="58"/>
      <c r="W47" s="48"/>
      <c r="X47" s="58"/>
      <c r="Y47" s="48"/>
      <c r="Z47" s="58"/>
      <c r="AA47" s="48"/>
      <c r="AB47" s="58"/>
    </row>
    <row r="48" spans="1:50" ht="15.75" hidden="1">
      <c r="B48" s="93">
        <f>Y22*D22*30-Z22</f>
        <v>245419.2</v>
      </c>
      <c r="C48" s="98">
        <f t="shared" si="35"/>
        <v>271492.8</v>
      </c>
      <c r="D48" s="48"/>
      <c r="E48" s="48"/>
      <c r="F48" s="48"/>
      <c r="G48" s="48"/>
      <c r="H48" s="58"/>
      <c r="I48" s="48"/>
      <c r="J48" s="58"/>
      <c r="K48" s="48"/>
      <c r="L48" s="58"/>
      <c r="M48" s="48"/>
      <c r="N48" s="58"/>
      <c r="O48" s="48"/>
      <c r="P48" s="58"/>
      <c r="Q48" s="48"/>
      <c r="R48" s="58"/>
      <c r="S48" s="48"/>
      <c r="T48" s="58"/>
      <c r="U48" s="48"/>
      <c r="V48" s="58"/>
      <c r="W48" s="48"/>
      <c r="X48" s="58"/>
      <c r="Y48" s="48"/>
      <c r="Z48" s="58"/>
      <c r="AA48" s="48"/>
      <c r="AB48" s="58"/>
    </row>
    <row r="49" spans="2:52" ht="15.75" hidden="1">
      <c r="B49" s="93">
        <f>AA22*D22*30-AB22</f>
        <v>253421.99999999994</v>
      </c>
      <c r="C49" s="98">
        <f t="shared" si="35"/>
        <v>18070.800000000047</v>
      </c>
      <c r="D49" s="48"/>
      <c r="E49" s="48"/>
      <c r="F49" s="48"/>
      <c r="G49" s="48"/>
      <c r="H49" s="58"/>
      <c r="I49" s="48"/>
      <c r="J49" s="58"/>
      <c r="K49" s="48"/>
      <c r="L49" s="58"/>
      <c r="M49" s="48"/>
      <c r="N49" s="58"/>
      <c r="O49" s="48"/>
      <c r="P49" s="58"/>
      <c r="Q49" s="48"/>
      <c r="R49" s="58"/>
      <c r="S49" s="48"/>
      <c r="T49" s="58"/>
      <c r="U49" s="48"/>
      <c r="V49" s="58"/>
      <c r="W49" s="48"/>
      <c r="X49" s="58"/>
      <c r="Y49" s="48"/>
      <c r="Z49" s="58"/>
      <c r="AA49" s="48"/>
      <c r="AB49" s="58"/>
    </row>
    <row r="50" spans="2:52" s="48" customFormat="1" ht="15.75" hidden="1">
      <c r="B50" s="93">
        <f>AC22*D22*30-AD22</f>
        <v>18070.799999999988</v>
      </c>
      <c r="C50" s="98"/>
      <c r="H50" s="58"/>
      <c r="J50" s="58"/>
      <c r="L50" s="58"/>
      <c r="N50" s="58"/>
      <c r="P50" s="58"/>
      <c r="R50" s="58"/>
      <c r="T50" s="58"/>
      <c r="V50" s="58"/>
      <c r="X50" s="58"/>
      <c r="Z50" s="58"/>
      <c r="AB50" s="58"/>
      <c r="AD50" s="58"/>
      <c r="AF50" s="58"/>
      <c r="AH50" s="58"/>
      <c r="AJ50" s="58"/>
      <c r="AL50" s="58"/>
      <c r="AN50" s="58"/>
      <c r="AP50" s="58"/>
      <c r="AR50" s="58"/>
      <c r="AT50" s="58"/>
      <c r="AV50" s="58"/>
      <c r="AZ50" s="58"/>
    </row>
    <row r="51" spans="2:52" s="48" customFormat="1" ht="15.75">
      <c r="B51" s="93"/>
      <c r="C51" s="58"/>
      <c r="H51" s="58"/>
      <c r="J51" s="58"/>
      <c r="L51" s="58"/>
      <c r="N51" s="58"/>
      <c r="P51" s="58"/>
      <c r="R51" s="58"/>
      <c r="T51" s="58"/>
      <c r="V51" s="58"/>
      <c r="X51" s="58"/>
      <c r="Z51" s="58"/>
      <c r="AB51" s="58"/>
      <c r="AD51" s="58"/>
      <c r="AF51" s="58"/>
      <c r="AH51" s="58"/>
      <c r="AJ51" s="58"/>
      <c r="AL51" s="58"/>
      <c r="AN51" s="58"/>
      <c r="AP51" s="58"/>
      <c r="AR51" s="58"/>
      <c r="AT51" s="58"/>
      <c r="AV51" s="58"/>
      <c r="AZ51" s="58"/>
    </row>
    <row r="52" spans="2:52" s="48" customFormat="1" ht="15.75">
      <c r="B52" s="93"/>
      <c r="C52" s="58"/>
      <c r="H52" s="58"/>
      <c r="J52" s="58"/>
      <c r="L52" s="58"/>
      <c r="N52" s="58"/>
      <c r="P52" s="58"/>
      <c r="R52" s="58"/>
      <c r="T52" s="58"/>
      <c r="V52" s="58"/>
      <c r="X52" s="58"/>
      <c r="Z52" s="58"/>
      <c r="AB52" s="58"/>
      <c r="AD52" s="58"/>
      <c r="AF52" s="58"/>
      <c r="AH52" s="58"/>
      <c r="AJ52" s="58"/>
      <c r="AL52" s="58"/>
      <c r="AN52" s="58"/>
      <c r="AP52" s="58"/>
      <c r="AR52" s="58"/>
      <c r="AT52" s="58"/>
      <c r="AV52" s="58"/>
      <c r="AZ52" s="58"/>
    </row>
    <row r="53" spans="2:52" s="48" customFormat="1" ht="15.75">
      <c r="B53" s="93"/>
      <c r="C53" s="58"/>
      <c r="H53" s="58"/>
      <c r="J53" s="58"/>
      <c r="L53" s="58"/>
      <c r="N53" s="58"/>
      <c r="P53" s="58"/>
      <c r="R53" s="58"/>
      <c r="T53" s="58"/>
      <c r="V53" s="58"/>
      <c r="X53" s="58"/>
      <c r="Z53" s="58"/>
      <c r="AB53" s="58"/>
      <c r="AD53" s="58"/>
      <c r="AF53" s="58"/>
      <c r="AH53" s="58"/>
      <c r="AJ53" s="58"/>
      <c r="AL53" s="58"/>
      <c r="AN53" s="58"/>
      <c r="AP53" s="58"/>
      <c r="AR53" s="58"/>
      <c r="AT53" s="58"/>
      <c r="AV53" s="58"/>
      <c r="AZ53" s="58"/>
    </row>
    <row r="54" spans="2:52" s="48" customFormat="1" ht="15.75">
      <c r="B54" s="93"/>
      <c r="C54" s="58"/>
      <c r="H54" s="58"/>
      <c r="J54" s="58"/>
      <c r="L54" s="58"/>
      <c r="N54" s="58"/>
      <c r="P54" s="58"/>
      <c r="R54" s="58"/>
      <c r="T54" s="58"/>
      <c r="V54" s="58"/>
      <c r="X54" s="58"/>
      <c r="Z54" s="58"/>
      <c r="AB54" s="58"/>
      <c r="AD54" s="58"/>
      <c r="AF54" s="58"/>
      <c r="AH54" s="58"/>
      <c r="AJ54" s="58"/>
      <c r="AL54" s="58"/>
      <c r="AN54" s="58"/>
      <c r="AP54" s="58"/>
      <c r="AR54" s="58"/>
      <c r="AT54" s="58"/>
      <c r="AV54" s="58"/>
      <c r="AZ54" s="58"/>
    </row>
    <row r="55" spans="2:52" s="48" customFormat="1" ht="15.75">
      <c r="H55" s="58"/>
      <c r="J55" s="58"/>
      <c r="L55" s="58"/>
      <c r="N55" s="58"/>
      <c r="P55" s="58"/>
      <c r="R55" s="58"/>
      <c r="T55" s="58"/>
      <c r="V55" s="58"/>
      <c r="X55" s="58"/>
      <c r="Z55" s="58"/>
      <c r="AB55" s="58"/>
      <c r="AD55" s="58"/>
      <c r="AF55" s="58"/>
      <c r="AH55" s="58"/>
      <c r="AJ55" s="58"/>
      <c r="AL55" s="58"/>
      <c r="AN55" s="58"/>
      <c r="AP55" s="58"/>
      <c r="AR55" s="58"/>
      <c r="AT55" s="58"/>
      <c r="AV55" s="58"/>
      <c r="AZ55" s="58"/>
    </row>
    <row r="56" spans="2:52" s="48" customFormat="1" ht="15.75">
      <c r="H56" s="58"/>
      <c r="J56" s="58"/>
      <c r="L56" s="58"/>
      <c r="N56" s="58"/>
      <c r="P56" s="58"/>
      <c r="R56" s="58"/>
      <c r="T56" s="58"/>
      <c r="V56" s="58"/>
      <c r="X56" s="58"/>
      <c r="Z56" s="58"/>
      <c r="AB56" s="58"/>
      <c r="AD56" s="58"/>
      <c r="AF56" s="58"/>
      <c r="AH56" s="58"/>
      <c r="AJ56" s="58"/>
      <c r="AL56" s="58"/>
      <c r="AN56" s="58"/>
      <c r="AP56" s="58"/>
      <c r="AR56" s="58"/>
      <c r="AT56" s="58"/>
      <c r="AV56" s="58"/>
      <c r="AZ56" s="58"/>
    </row>
    <row r="57" spans="2:52" s="48" customFormat="1" ht="15.75">
      <c r="H57" s="58"/>
      <c r="J57" s="58"/>
      <c r="L57" s="58"/>
      <c r="N57" s="58"/>
      <c r="P57" s="58"/>
      <c r="R57" s="58"/>
      <c r="T57" s="58"/>
      <c r="V57" s="58"/>
      <c r="X57" s="58"/>
      <c r="Z57" s="58"/>
      <c r="AB57" s="58"/>
      <c r="AD57" s="58"/>
      <c r="AF57" s="58"/>
      <c r="AH57" s="58"/>
      <c r="AJ57" s="58"/>
      <c r="AL57" s="58"/>
      <c r="AN57" s="58"/>
      <c r="AP57" s="58"/>
      <c r="AR57" s="58"/>
      <c r="AT57" s="58"/>
      <c r="AV57" s="58"/>
      <c r="AZ57" s="58"/>
    </row>
    <row r="58" spans="2:52" s="48" customFormat="1" ht="15.75">
      <c r="H58" s="58"/>
      <c r="J58" s="58"/>
      <c r="L58" s="58"/>
      <c r="N58" s="58"/>
      <c r="P58" s="58"/>
      <c r="R58" s="58"/>
      <c r="T58" s="58"/>
      <c r="V58" s="58"/>
      <c r="X58" s="58"/>
      <c r="Z58" s="58"/>
      <c r="AB58" s="58"/>
      <c r="AD58" s="58"/>
      <c r="AF58" s="58"/>
      <c r="AH58" s="58"/>
      <c r="AJ58" s="58"/>
      <c r="AL58" s="58"/>
      <c r="AN58" s="58"/>
      <c r="AP58" s="58"/>
      <c r="AR58" s="58"/>
      <c r="AT58" s="58"/>
      <c r="AV58" s="58"/>
      <c r="AZ58" s="58"/>
    </row>
  </sheetData>
  <mergeCells count="13">
    <mergeCell ref="B3:I3"/>
    <mergeCell ref="B28:C28"/>
    <mergeCell ref="B19:B20"/>
    <mergeCell ref="B21:B27"/>
    <mergeCell ref="B2:I2"/>
    <mergeCell ref="C19:C20"/>
    <mergeCell ref="D19:D20"/>
    <mergeCell ref="E19:AZ19"/>
    <mergeCell ref="B35:C35"/>
    <mergeCell ref="B32:D32"/>
    <mergeCell ref="B29:C29"/>
    <mergeCell ref="B31:C31"/>
    <mergeCell ref="B30:C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45A7-1575-49BF-A92C-62467856764D}">
  <dimension ref="A1:Z21"/>
  <sheetViews>
    <sheetView tabSelected="1" workbookViewId="0">
      <pane xSplit="1" topLeftCell="B5" activePane="topRight" state="frozen"/>
      <selection pane="topRight" activeCell="A11" sqref="A11:XFD14"/>
    </sheetView>
  </sheetViews>
  <sheetFormatPr defaultRowHeight="15"/>
  <cols>
    <col min="1" max="1" width="27" customWidth="1"/>
    <col min="2" max="2" width="15.85546875" customWidth="1"/>
    <col min="3" max="3" width="14.7109375" customWidth="1"/>
    <col min="4" max="4" width="15.7109375" customWidth="1"/>
    <col min="5" max="5" width="16.140625" customWidth="1"/>
    <col min="6" max="6" width="15.85546875" customWidth="1"/>
    <col min="7" max="7" width="15.7109375" customWidth="1"/>
    <col min="8" max="8" width="17.85546875" customWidth="1"/>
    <col min="9" max="9" width="20.85546875" customWidth="1"/>
    <col min="10" max="10" width="23.140625" customWidth="1"/>
    <col min="11" max="11" width="24" customWidth="1"/>
    <col min="12" max="12" width="19.7109375" customWidth="1"/>
    <col min="13" max="13" width="24.28515625" customWidth="1"/>
    <col min="14" max="14" width="20.85546875" customWidth="1"/>
    <col min="15" max="15" width="20" customWidth="1"/>
    <col min="16" max="16" width="22.85546875" customWidth="1"/>
    <col min="17" max="17" width="21" customWidth="1"/>
    <col min="18" max="18" width="16.140625" customWidth="1"/>
    <col min="19" max="19" width="16.5703125" customWidth="1"/>
    <col min="20" max="20" width="15.7109375" customWidth="1"/>
    <col min="21" max="21" width="16" customWidth="1"/>
    <col min="22" max="22" width="14.85546875" customWidth="1"/>
    <col min="23" max="23" width="15.7109375" customWidth="1"/>
    <col min="24" max="24" width="16.28515625" customWidth="1"/>
    <col min="25" max="25" width="15.28515625" customWidth="1"/>
    <col min="26" max="26" width="16.28515625" customWidth="1"/>
  </cols>
  <sheetData>
    <row r="1" spans="1:26" ht="21" customHeight="1">
      <c r="A1" s="187" t="s">
        <v>287</v>
      </c>
      <c r="B1" s="188" t="s">
        <v>330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6" s="5" customFormat="1" ht="20.25" customHeight="1">
      <c r="A2" s="187"/>
      <c r="B2" s="39" t="s">
        <v>289</v>
      </c>
      <c r="C2" s="39" t="s">
        <v>290</v>
      </c>
      <c r="D2" s="100" t="s">
        <v>291</v>
      </c>
      <c r="E2" s="39" t="s">
        <v>292</v>
      </c>
      <c r="F2" s="39" t="s">
        <v>293</v>
      </c>
      <c r="G2" s="39" t="s">
        <v>294</v>
      </c>
      <c r="H2" s="100" t="s">
        <v>295</v>
      </c>
      <c r="I2" s="39" t="s">
        <v>296</v>
      </c>
      <c r="J2" s="39" t="s">
        <v>297</v>
      </c>
      <c r="K2" s="39" t="s">
        <v>298</v>
      </c>
      <c r="L2" s="100" t="s">
        <v>299</v>
      </c>
      <c r="M2" s="39" t="s">
        <v>300</v>
      </c>
      <c r="N2" s="39" t="s">
        <v>301</v>
      </c>
      <c r="O2" s="39" t="s">
        <v>302</v>
      </c>
      <c r="P2" s="100" t="s">
        <v>303</v>
      </c>
      <c r="Q2" s="39" t="s">
        <v>304</v>
      </c>
      <c r="R2" s="39" t="s">
        <v>305</v>
      </c>
      <c r="S2" s="39" t="s">
        <v>306</v>
      </c>
      <c r="T2" s="100" t="s">
        <v>307</v>
      </c>
      <c r="U2" s="39" t="s">
        <v>308</v>
      </c>
      <c r="V2" s="39" t="s">
        <v>309</v>
      </c>
      <c r="W2" s="39" t="s">
        <v>310</v>
      </c>
      <c r="X2" s="100" t="s">
        <v>311</v>
      </c>
      <c r="Y2" s="39" t="s">
        <v>312</v>
      </c>
    </row>
    <row r="3" spans="1:26">
      <c r="A3" s="101" t="s">
        <v>331</v>
      </c>
      <c r="B3" s="7">
        <f>Продажи!F32</f>
        <v>1291962</v>
      </c>
      <c r="C3" s="7">
        <f>Продажи!H32</f>
        <v>1746386</v>
      </c>
      <c r="D3" s="7">
        <f>Продажи!J32</f>
        <v>1746386</v>
      </c>
      <c r="E3" s="7">
        <f>Продажи!L32</f>
        <v>2158690</v>
      </c>
      <c r="F3" s="7">
        <f>Продажи!N32</f>
        <v>2578014</v>
      </c>
      <c r="G3" s="7">
        <f>Продажи!P32</f>
        <v>3325658</v>
      </c>
      <c r="H3" s="7">
        <f>Продажи!R32</f>
        <v>3780082</v>
      </c>
      <c r="I3" s="7">
        <f>Продажи!T32</f>
        <v>3780082</v>
      </c>
      <c r="J3" s="7">
        <f>Продажи!V32</f>
        <v>4234506</v>
      </c>
      <c r="K3" s="7">
        <f>Продажи!X32</f>
        <v>4234506</v>
      </c>
      <c r="L3" s="7">
        <f>Продажи!Z32</f>
        <v>4411790.8000000007</v>
      </c>
      <c r="M3" s="7">
        <f>Продажи!AB32</f>
        <v>4623718</v>
      </c>
      <c r="N3" s="7">
        <f>Продажи!AD32</f>
        <v>5078999.2</v>
      </c>
      <c r="O3" s="7">
        <f>Продажи!AF32</f>
        <v>5078999.2</v>
      </c>
      <c r="P3" s="7">
        <f>Продажи!AH32</f>
        <v>5227652</v>
      </c>
      <c r="Q3" s="7">
        <f>Продажи!AJ32</f>
        <v>5351652</v>
      </c>
      <c r="R3" s="7">
        <f>Продажи!AL32</f>
        <v>5506555.2000000002</v>
      </c>
      <c r="S3" s="7">
        <f>Продажи!AN32</f>
        <v>5683690</v>
      </c>
      <c r="T3" s="7">
        <f>Продажи!AP32</f>
        <v>5871690</v>
      </c>
      <c r="U3" s="7">
        <f>Продажи!AR32</f>
        <v>6059690</v>
      </c>
      <c r="V3" s="7">
        <f>Продажи!AT32</f>
        <v>6247690</v>
      </c>
      <c r="W3" s="7">
        <f>Продажи!AV32</f>
        <v>6435690</v>
      </c>
      <c r="X3" s="7">
        <f>Продажи!AX32</f>
        <v>6515690</v>
      </c>
      <c r="Y3" s="7">
        <f>Продажи!AZ32</f>
        <v>6850240</v>
      </c>
    </row>
    <row r="4" spans="1:26">
      <c r="A4" s="101" t="s">
        <v>332</v>
      </c>
      <c r="B4" s="7">
        <f>'Затраты и издержки'!M17-'Затраты и издержки'!M3+ФОТ!I15-ФОТ!G15</f>
        <v>715031.95</v>
      </c>
      <c r="C4" s="7">
        <f>'Затраты и издержки'!M17-'Затраты и издержки'!M3+ФОТ!I15-ФОТ!G15</f>
        <v>715031.95</v>
      </c>
      <c r="D4" s="7">
        <f>'Затраты и издержки'!M17-'Затраты и издержки'!M3+ФОТ!I15</f>
        <v>784031.95</v>
      </c>
      <c r="E4" s="7">
        <f>'Затраты и издержки'!M17-'Затраты и издержки'!M3+ФОТ!I15-ФОТ!G15</f>
        <v>715031.95</v>
      </c>
      <c r="F4" s="7">
        <f>'Затраты и издержки'!M17-'Затраты и издержки'!M3+ФОТ!I15-ФОТ!G15</f>
        <v>715031.95</v>
      </c>
      <c r="G4" s="7">
        <f>'Затраты и издержки'!M17-'Затраты и издержки'!M3+ФОТ!I15-ФОТ!G15+500000</f>
        <v>1215031.95</v>
      </c>
      <c r="H4" s="7">
        <f>'Затраты и издержки'!M17-'Затраты и издержки'!M3+ФОТ!I15</f>
        <v>784031.95</v>
      </c>
      <c r="I4" s="7">
        <f>'Затраты и издержки'!M17-'Затраты и издержки'!M3+ФОТ!I15-ФОТ!G15</f>
        <v>715031.95</v>
      </c>
      <c r="J4" s="7">
        <f>'Затраты и издержки'!M17-'Затраты и издержки'!M3+ФОТ!I15-ФОТ!G15</f>
        <v>715031.95</v>
      </c>
      <c r="K4" s="7">
        <f>'Затраты и издержки'!M17-'Затраты и издержки'!M3+ФОТ!I15-ФОТ!G15</f>
        <v>715031.95</v>
      </c>
      <c r="L4" s="7">
        <f>'Затраты и издержки'!M17-'Затраты и издержки'!M3+ФОТ!I15</f>
        <v>784031.95</v>
      </c>
      <c r="M4" s="7">
        <f>'Затраты и издержки'!M17-'Затраты и издержки'!M3+ФОТ!I15-ФОТ!G15+500000</f>
        <v>1215031.95</v>
      </c>
      <c r="N4" s="7">
        <f>'Затраты и издержки'!M17-'Затраты и издержки'!M3+ФОТ!I15-ФОТ!G15</f>
        <v>715031.95</v>
      </c>
      <c r="O4" s="7">
        <f>'Затраты и издержки'!M17-'Затраты и издержки'!M3+ФОТ!I15-ФОТ!G15</f>
        <v>715031.95</v>
      </c>
      <c r="P4" s="7">
        <f>'Затраты и издержки'!M17-'Затраты и издержки'!M3+ФОТ!I15</f>
        <v>784031.95</v>
      </c>
      <c r="Q4" s="7">
        <f>'Затраты и издержки'!M17-'Затраты и издержки'!M3+ФОТ!I15-ФОТ!G15+500000</f>
        <v>1215031.95</v>
      </c>
      <c r="R4" s="7">
        <f>'Затраты и издержки'!M17-'Затраты и издержки'!M3+ФОТ!I15-ФОТ!G15</f>
        <v>715031.95</v>
      </c>
      <c r="S4" s="7">
        <f>'Затраты и издержки'!M17-'Затраты и издержки'!M3+ФОТ!I15-ФОТ!G15</f>
        <v>715031.95</v>
      </c>
      <c r="T4" s="7">
        <f>'Затраты и издержки'!M17-'Затраты и издержки'!M3+ФОТ!I15</f>
        <v>784031.95</v>
      </c>
      <c r="U4" s="7">
        <f>'Затраты и издержки'!M17-'Затраты и издержки'!M3+ФОТ!I15-ФОТ!G15</f>
        <v>715031.95</v>
      </c>
      <c r="V4" s="7">
        <f>'Затраты и издержки'!M17-'Затраты и издержки'!M3+ФОТ!I15-ФОТ!G15</f>
        <v>715031.95</v>
      </c>
      <c r="W4" s="7">
        <f>'Затраты и издержки'!M17-'Затраты и издержки'!M3+ФОТ!I15-ФОТ!G15</f>
        <v>715031.95</v>
      </c>
      <c r="X4" s="7">
        <f>'Затраты и издержки'!M17-'Затраты и издержки'!M3+ФОТ!I15</f>
        <v>784031.95</v>
      </c>
      <c r="Y4" s="7">
        <f>'Затраты и издержки'!M17-'Затраты и издержки'!M3+ФОТ!I15-ФОТ!G15+500000</f>
        <v>1215031.95</v>
      </c>
    </row>
    <row r="5" spans="1:26">
      <c r="A5" s="101" t="s">
        <v>333</v>
      </c>
      <c r="B5" s="7">
        <f>'Расчет окупаемости'!B3-'Расчет окупаемости'!B4</f>
        <v>576930.05000000005</v>
      </c>
      <c r="C5" s="7">
        <f>C3-C4</f>
        <v>1031354.05</v>
      </c>
      <c r="D5" s="7">
        <f>D3-D4</f>
        <v>962354.05</v>
      </c>
      <c r="E5" s="7">
        <f t="shared" ref="E5:Y5" si="0">E3-E4</f>
        <v>1443658.05</v>
      </c>
      <c r="F5" s="7">
        <f t="shared" si="0"/>
        <v>1862982.05</v>
      </c>
      <c r="G5" s="7">
        <f t="shared" si="0"/>
        <v>2110626.0499999998</v>
      </c>
      <c r="H5" s="7">
        <f t="shared" si="0"/>
        <v>2996050.05</v>
      </c>
      <c r="I5" s="7">
        <f t="shared" si="0"/>
        <v>3065050.05</v>
      </c>
      <c r="J5" s="7">
        <f t="shared" si="0"/>
        <v>3519474.05</v>
      </c>
      <c r="K5" s="7">
        <f t="shared" si="0"/>
        <v>3519474.05</v>
      </c>
      <c r="L5" s="7">
        <f t="shared" si="0"/>
        <v>3627758.8500000006</v>
      </c>
      <c r="M5" s="7">
        <f t="shared" si="0"/>
        <v>3408686.05</v>
      </c>
      <c r="N5" s="7">
        <f t="shared" si="0"/>
        <v>4363967.25</v>
      </c>
      <c r="O5" s="7">
        <f t="shared" si="0"/>
        <v>4363967.25</v>
      </c>
      <c r="P5" s="7">
        <f t="shared" si="0"/>
        <v>4443620.05</v>
      </c>
      <c r="Q5" s="7">
        <f t="shared" si="0"/>
        <v>4136620.05</v>
      </c>
      <c r="R5" s="7">
        <f t="shared" si="0"/>
        <v>4791523.25</v>
      </c>
      <c r="S5" s="7">
        <f t="shared" si="0"/>
        <v>4968658.05</v>
      </c>
      <c r="T5" s="7">
        <f t="shared" si="0"/>
        <v>5087658.05</v>
      </c>
      <c r="U5" s="7">
        <f t="shared" si="0"/>
        <v>5344658.05</v>
      </c>
      <c r="V5" s="7">
        <f t="shared" si="0"/>
        <v>5532658.0499999998</v>
      </c>
      <c r="W5" s="7">
        <f t="shared" si="0"/>
        <v>5720658.0499999998</v>
      </c>
      <c r="X5" s="7">
        <f t="shared" si="0"/>
        <v>5731658.0499999998</v>
      </c>
      <c r="Y5" s="7">
        <f t="shared" si="0"/>
        <v>5635208.0499999998</v>
      </c>
    </row>
    <row r="6" spans="1:26">
      <c r="A6" s="101" t="s">
        <v>334</v>
      </c>
      <c r="B6" s="7">
        <f>B5*0.06</f>
        <v>34615.803</v>
      </c>
      <c r="C6" s="7">
        <f>C5*0.06</f>
        <v>61881.243000000002</v>
      </c>
      <c r="D6" s="7">
        <f>D5*0.06</f>
        <v>57741.243000000002</v>
      </c>
      <c r="E6" s="7">
        <f t="shared" ref="E6:Y6" si="1">E5*0.06</f>
        <v>86619.482999999993</v>
      </c>
      <c r="F6" s="7">
        <f t="shared" si="1"/>
        <v>111778.923</v>
      </c>
      <c r="G6" s="7">
        <f t="shared" si="1"/>
        <v>126637.56299999998</v>
      </c>
      <c r="H6" s="7">
        <f t="shared" si="1"/>
        <v>179763.00299999997</v>
      </c>
      <c r="I6" s="7">
        <f t="shared" si="1"/>
        <v>183903.00299999997</v>
      </c>
      <c r="J6" s="7">
        <f t="shared" si="1"/>
        <v>211168.44299999997</v>
      </c>
      <c r="K6" s="7">
        <f t="shared" si="1"/>
        <v>211168.44299999997</v>
      </c>
      <c r="L6" s="7">
        <f t="shared" si="1"/>
        <v>217665.53100000002</v>
      </c>
      <c r="M6" s="7">
        <f t="shared" si="1"/>
        <v>204521.16299999997</v>
      </c>
      <c r="N6" s="7">
        <f t="shared" si="1"/>
        <v>261838.035</v>
      </c>
      <c r="O6" s="7">
        <f t="shared" si="1"/>
        <v>261838.035</v>
      </c>
      <c r="P6" s="7">
        <f t="shared" si="1"/>
        <v>266617.20299999998</v>
      </c>
      <c r="Q6" s="7">
        <f t="shared" si="1"/>
        <v>248197.20299999998</v>
      </c>
      <c r="R6" s="7">
        <f t="shared" si="1"/>
        <v>287491.39499999996</v>
      </c>
      <c r="S6" s="7">
        <f t="shared" si="1"/>
        <v>298119.48299999995</v>
      </c>
      <c r="T6" s="7">
        <f t="shared" si="1"/>
        <v>305259.48299999995</v>
      </c>
      <c r="U6" s="7">
        <f t="shared" si="1"/>
        <v>320679.48299999995</v>
      </c>
      <c r="V6" s="7">
        <f t="shared" si="1"/>
        <v>331959.48299999995</v>
      </c>
      <c r="W6" s="7">
        <f t="shared" si="1"/>
        <v>343239.48299999995</v>
      </c>
      <c r="X6" s="7">
        <f t="shared" si="1"/>
        <v>343899.48299999995</v>
      </c>
      <c r="Y6" s="7">
        <f t="shared" si="1"/>
        <v>338112.48299999995</v>
      </c>
    </row>
    <row r="7" spans="1:26">
      <c r="A7" s="101" t="s">
        <v>335</v>
      </c>
      <c r="B7" s="7">
        <f>B5-B6</f>
        <v>542314.24700000009</v>
      </c>
      <c r="C7" s="7">
        <f>C5-C6</f>
        <v>969472.80700000003</v>
      </c>
      <c r="D7" s="7">
        <f>D5-D6</f>
        <v>904612.80700000003</v>
      </c>
      <c r="E7" s="7">
        <f t="shared" ref="E7:Y7" si="2">E5-E6</f>
        <v>1357038.567</v>
      </c>
      <c r="F7" s="7">
        <f t="shared" si="2"/>
        <v>1751203.1270000001</v>
      </c>
      <c r="G7" s="7">
        <f t="shared" si="2"/>
        <v>1983988.4869999997</v>
      </c>
      <c r="H7" s="7">
        <f t="shared" si="2"/>
        <v>2816287.0469999998</v>
      </c>
      <c r="I7" s="7">
        <f t="shared" si="2"/>
        <v>2881147.0469999998</v>
      </c>
      <c r="J7" s="7">
        <f t="shared" si="2"/>
        <v>3308305.6069999998</v>
      </c>
      <c r="K7" s="7">
        <f t="shared" si="2"/>
        <v>3308305.6069999998</v>
      </c>
      <c r="L7" s="7">
        <f t="shared" si="2"/>
        <v>3410093.3190000006</v>
      </c>
      <c r="M7" s="7">
        <f t="shared" si="2"/>
        <v>3204164.8869999996</v>
      </c>
      <c r="N7" s="7">
        <f t="shared" si="2"/>
        <v>4102129.2149999999</v>
      </c>
      <c r="O7" s="7">
        <f t="shared" si="2"/>
        <v>4102129.2149999999</v>
      </c>
      <c r="P7" s="7">
        <f t="shared" si="2"/>
        <v>4177002.8470000001</v>
      </c>
      <c r="Q7" s="7">
        <f t="shared" si="2"/>
        <v>3888422.8470000001</v>
      </c>
      <c r="R7" s="7">
        <f t="shared" si="2"/>
        <v>4504031.8550000004</v>
      </c>
      <c r="S7" s="7">
        <f t="shared" si="2"/>
        <v>4670538.5669999998</v>
      </c>
      <c r="T7" s="7">
        <f t="shared" si="2"/>
        <v>4782398.5669999998</v>
      </c>
      <c r="U7" s="7">
        <f t="shared" si="2"/>
        <v>5023978.5669999998</v>
      </c>
      <c r="V7" s="7">
        <f t="shared" si="2"/>
        <v>5200698.5669999998</v>
      </c>
      <c r="W7" s="7">
        <f t="shared" si="2"/>
        <v>5377418.5669999998</v>
      </c>
      <c r="X7" s="7">
        <f t="shared" si="2"/>
        <v>5387758.5669999998</v>
      </c>
      <c r="Y7" s="7">
        <f t="shared" si="2"/>
        <v>5297095.5669999998</v>
      </c>
    </row>
    <row r="8" spans="1:26" ht="30.75">
      <c r="A8" s="102" t="s">
        <v>336</v>
      </c>
      <c r="B8" s="46">
        <f>B7</f>
        <v>542314.24700000009</v>
      </c>
      <c r="C8" s="7">
        <f>B8+C7</f>
        <v>1511787.054</v>
      </c>
      <c r="D8" s="46">
        <f>C8+D7</f>
        <v>2416399.861</v>
      </c>
      <c r="E8" s="46">
        <f t="shared" ref="E8:Y8" si="3">D8+E7</f>
        <v>3773438.4280000003</v>
      </c>
      <c r="F8" s="46">
        <f t="shared" si="3"/>
        <v>5524641.5550000006</v>
      </c>
      <c r="G8" s="46">
        <f t="shared" si="3"/>
        <v>7508630.0420000004</v>
      </c>
      <c r="H8" s="46">
        <f t="shared" si="3"/>
        <v>10324917.089</v>
      </c>
      <c r="I8" s="46">
        <f t="shared" si="3"/>
        <v>13206064.136</v>
      </c>
      <c r="J8" s="46">
        <f t="shared" si="3"/>
        <v>16514369.743000001</v>
      </c>
      <c r="K8" s="46">
        <f t="shared" si="3"/>
        <v>19822675.350000001</v>
      </c>
      <c r="L8" s="46">
        <f t="shared" si="3"/>
        <v>23232768.669000003</v>
      </c>
      <c r="M8" s="46">
        <f t="shared" si="3"/>
        <v>26436933.556000002</v>
      </c>
      <c r="N8" s="7">
        <f t="shared" si="3"/>
        <v>30539062.771000002</v>
      </c>
      <c r="O8" s="7">
        <f t="shared" si="3"/>
        <v>34641191.986000001</v>
      </c>
      <c r="P8" s="7">
        <f t="shared" si="3"/>
        <v>38818194.833000004</v>
      </c>
      <c r="Q8" s="7">
        <f t="shared" si="3"/>
        <v>42706617.680000007</v>
      </c>
      <c r="R8" s="7">
        <f t="shared" si="3"/>
        <v>47210649.535000011</v>
      </c>
      <c r="S8" s="7">
        <f t="shared" si="3"/>
        <v>51881188.102000013</v>
      </c>
      <c r="T8" s="7">
        <f t="shared" si="3"/>
        <v>56663586.669000015</v>
      </c>
      <c r="U8" s="7">
        <f t="shared" si="3"/>
        <v>61687565.236000016</v>
      </c>
      <c r="V8" s="7">
        <f t="shared" si="3"/>
        <v>66888263.803000018</v>
      </c>
      <c r="W8" s="7">
        <f t="shared" si="3"/>
        <v>72265682.37000002</v>
      </c>
      <c r="X8" s="7">
        <f t="shared" si="3"/>
        <v>77653440.937000021</v>
      </c>
      <c r="Y8" s="7">
        <f t="shared" si="3"/>
        <v>82950536.504000023</v>
      </c>
      <c r="Z8" s="7"/>
    </row>
    <row r="9" spans="1:26">
      <c r="A9" s="101" t="s">
        <v>337</v>
      </c>
      <c r="B9" s="7">
        <f>'Затраты и издержки'!H83-'Расчет окупаемости'!B7</f>
        <v>21984577.752999999</v>
      </c>
      <c r="C9" s="7">
        <f>B9-C8</f>
        <v>20472790.698999997</v>
      </c>
      <c r="D9" s="7">
        <f>C9-D7</f>
        <v>19568177.891999997</v>
      </c>
      <c r="E9" s="7">
        <f t="shared" ref="E9:Y9" si="4">D9-E7</f>
        <v>18211139.324999996</v>
      </c>
      <c r="F9" s="7">
        <f t="shared" si="4"/>
        <v>16459936.197999995</v>
      </c>
      <c r="G9" s="7">
        <f t="shared" si="4"/>
        <v>14475947.710999995</v>
      </c>
      <c r="H9" s="7">
        <f t="shared" si="4"/>
        <v>11659660.663999995</v>
      </c>
      <c r="I9" s="7">
        <f t="shared" si="4"/>
        <v>8778513.616999995</v>
      </c>
      <c r="J9" s="7">
        <f t="shared" si="4"/>
        <v>5470208.0099999951</v>
      </c>
      <c r="K9" s="7">
        <f t="shared" si="4"/>
        <v>2161902.4029999953</v>
      </c>
      <c r="L9" s="7">
        <f t="shared" si="4"/>
        <v>-1248190.9160000053</v>
      </c>
      <c r="M9" s="7">
        <f t="shared" si="4"/>
        <v>-4452355.803000005</v>
      </c>
      <c r="N9" s="7">
        <f t="shared" si="4"/>
        <v>-8554485.0180000048</v>
      </c>
      <c r="O9" s="7">
        <f t="shared" si="4"/>
        <v>-12656614.233000005</v>
      </c>
      <c r="P9" s="7">
        <f t="shared" si="4"/>
        <v>-16833617.080000006</v>
      </c>
      <c r="Q9" s="7">
        <f t="shared" si="4"/>
        <v>-20722039.927000005</v>
      </c>
      <c r="R9" s="7">
        <f t="shared" si="4"/>
        <v>-25226071.782000005</v>
      </c>
      <c r="S9" s="7">
        <f t="shared" si="4"/>
        <v>-29896610.349000007</v>
      </c>
      <c r="T9" s="7">
        <f t="shared" si="4"/>
        <v>-34679008.916000009</v>
      </c>
      <c r="U9" s="7">
        <f t="shared" si="4"/>
        <v>-39702987.48300001</v>
      </c>
      <c r="V9" s="7">
        <f t="shared" si="4"/>
        <v>-44903686.050000012</v>
      </c>
      <c r="W9" s="7">
        <f t="shared" si="4"/>
        <v>-50281104.617000014</v>
      </c>
      <c r="X9" s="7">
        <f t="shared" si="4"/>
        <v>-55668863.184000015</v>
      </c>
      <c r="Y9" s="7">
        <f t="shared" si="4"/>
        <v>-60965958.751000017</v>
      </c>
    </row>
    <row r="10" spans="1:26" s="9" customFormat="1">
      <c r="A10" s="103" t="s">
        <v>338</v>
      </c>
      <c r="B10" s="7"/>
      <c r="C10" s="7"/>
      <c r="L10" s="9" t="s">
        <v>339</v>
      </c>
    </row>
    <row r="11" spans="1:26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hidden="1">
      <c r="B12" s="46">
        <f>B8/(1+0.01*'Экономические показатели'!$C$3)</f>
        <v>484209.14910714288</v>
      </c>
      <c r="C12" s="7">
        <f>C7/(1+0.01*'Экономические показатели'!$C$3/12)^(MATCH(C2,$B$2:$Y$2,0))+B12</f>
        <v>1434579.5118166811</v>
      </c>
      <c r="D12" s="7">
        <f>D7/(1+0.01*'Экономические показатели'!$C$3/12)^(MATCH(D2,$B$2:$Y$2,0))+C12</f>
        <v>2312587.789980053</v>
      </c>
      <c r="E12" s="7">
        <f>E7/(1+0.01*'Экономические показатели'!$C$3/12)^(MATCH(E2,$B$2:$Y$2,0))+D12</f>
        <v>3616675.1795721804</v>
      </c>
      <c r="F12" s="7">
        <f>F7/(1+0.01*'Экономические показатели'!$C$3/12)^(MATCH(F2,$B$2:$Y$2,0))+E12</f>
        <v>5282884.8669423237</v>
      </c>
      <c r="G12" s="7">
        <f>G7/(1+0.01*'Экономические показатели'!$C$3/12)^(MATCH(G2,$B$2:$Y$2,0))+F12</f>
        <v>7151891.7679198757</v>
      </c>
      <c r="H12" s="7">
        <f>H7/(1+0.01*'Экономические показатели'!$C$3/12)^(MATCH(H2,$B$2:$Y$2,0))+G12</f>
        <v>9778693.5438946187</v>
      </c>
      <c r="I12" s="7">
        <f>I7/(1+0.01*'Экономические показатели'!$C$3/12)^(MATCH(I2,$B$2:$Y$2,0))+H12</f>
        <v>12439384.503303576</v>
      </c>
      <c r="J12" s="7">
        <f>J7/(1+0.01*'Экономические показатели'!$C$3/12)^(MATCH(J2,$B$2:$Y$2,0))+I12</f>
        <v>15464300.070539875</v>
      </c>
      <c r="K12" s="7">
        <f>K7/(1+0.01*'Экономические показатели'!$C$3/12)^(MATCH(K2,$B$2:$Y$2,0))+J12</f>
        <v>18459265.978694625</v>
      </c>
      <c r="L12" s="7">
        <f>L7/(1+0.01*'Экономические показатели'!$C$3/12)^(MATCH(L2,$B$2:$Y$2,0))+K12</f>
        <v>21515813.499463335</v>
      </c>
      <c r="M12" s="7">
        <f>M7/(1+0.01*'Экономические показатели'!$C$3/12)^(MATCH(M2,$B$2:$Y$2,0))+L12</f>
        <v>24359347.146053292</v>
      </c>
      <c r="N12" s="7">
        <f>N7/(1+0.01*'Экономические показатели'!$C$3/12)^(MATCH(N2,$B$2:$Y$2,0))+M12</f>
        <v>27963734.664656561</v>
      </c>
      <c r="O12" s="7">
        <f>O7/(1+0.01*'Экономические показатели'!$C$3/12)^(MATCH(O2,$B$2:$Y$2,0))+N12</f>
        <v>31532435.178125143</v>
      </c>
      <c r="P12" s="7">
        <f>P7/(1+0.01*'Экономические показатели'!$C$3/12)^(MATCH(P2,$B$2:$Y$2,0))+O12</f>
        <v>35130294.386745237</v>
      </c>
      <c r="Q12" s="7">
        <f>Q7/(1+0.01*'Экономические показатели'!$C$3/12)^(MATCH(Q2,$B$2:$Y$2,0))+P12</f>
        <v>38446424.06711565</v>
      </c>
      <c r="R12" s="7">
        <f>R7/(1+0.01*'Экономические показатели'!$C$3/12)^(MATCH(R2,$B$2:$Y$2,0))+Q12</f>
        <v>42249527.167708278</v>
      </c>
      <c r="S12" s="7">
        <f>S7/(1+0.01*'Экономические показатели'!$C$3/12)^(MATCH(S2,$B$2:$Y$2,0))+R12</f>
        <v>46154178.276317447</v>
      </c>
      <c r="T12" s="7">
        <f>T7/(1+0.01*'Экономические показатели'!$C$3/12)^(MATCH(T2,$B$2:$Y$2,0))+S12</f>
        <v>50112760.459856644</v>
      </c>
      <c r="U12" s="7">
        <f>U7/(1+0.01*'Экономические показатели'!$C$3/12)^(MATCH(U2,$B$2:$Y$2,0))+T12</f>
        <v>54230134.31353458</v>
      </c>
      <c r="V12" s="7">
        <f>V7/(1+0.01*'Экономические показатели'!$C$3/12)^(MATCH(V2,$B$2:$Y$2,0))+U12</f>
        <v>58450138.028857298</v>
      </c>
      <c r="W12" s="7">
        <f>W7/(1+0.01*'Экономические показатели'!$C$3/12)^(MATCH(W2,$B$2:$Y$2,0))+V12</f>
        <v>62770335.706804514</v>
      </c>
      <c r="X12" s="7">
        <f>X7/(1+0.01*'Экономические показатели'!$C$3/12)^(MATCH(X2,$B$2:$Y$2,0))+W12</f>
        <v>67055984.018411741</v>
      </c>
      <c r="Y12" s="7">
        <f>Y7/(1+0.01*'Экономические показатели'!$C$3/12)^(MATCH(Y2,$B$2:$Y$2,0))+X12</f>
        <v>71227797.060707286</v>
      </c>
    </row>
    <row r="13" spans="1:26" s="72" customFormat="1" ht="15.75" hidden="1">
      <c r="B13" s="75">
        <f>(B3-B4)/B4</f>
        <v>0.80685912007148786</v>
      </c>
      <c r="C13" s="73">
        <f>(C3-C4)/C4</f>
        <v>1.4423887631874353</v>
      </c>
      <c r="D13" s="73">
        <f t="shared" ref="D13:Y13" si="5">(D3-D4)/D4</f>
        <v>1.2274423893056912</v>
      </c>
      <c r="E13" s="73">
        <f t="shared" si="5"/>
        <v>2.0190119476479338</v>
      </c>
      <c r="F13" s="73">
        <f t="shared" si="5"/>
        <v>2.605452875217674</v>
      </c>
      <c r="G13" s="73">
        <f t="shared" si="5"/>
        <v>1.7370951027254879</v>
      </c>
      <c r="H13" s="73">
        <f t="shared" si="5"/>
        <v>3.8213366814962071</v>
      </c>
      <c r="I13" s="73">
        <f t="shared" si="5"/>
        <v>4.2865917390125015</v>
      </c>
      <c r="J13" s="73">
        <f t="shared" si="5"/>
        <v>4.9221213821284486</v>
      </c>
      <c r="K13" s="73">
        <f t="shared" si="5"/>
        <v>4.9221213821284486</v>
      </c>
      <c r="L13" s="73">
        <f t="shared" si="5"/>
        <v>4.627054866832915</v>
      </c>
      <c r="M13" s="73">
        <f t="shared" si="5"/>
        <v>2.8054291494145485</v>
      </c>
      <c r="N13" s="73">
        <f t="shared" si="5"/>
        <v>6.1031779768722227</v>
      </c>
      <c r="O13" s="73">
        <f t="shared" si="5"/>
        <v>6.1031779768722227</v>
      </c>
      <c r="P13" s="73">
        <f t="shared" si="5"/>
        <v>5.6676517455698079</v>
      </c>
      <c r="Q13" s="73">
        <f t="shared" si="5"/>
        <v>3.4045360288673892</v>
      </c>
      <c r="R13" s="73">
        <f t="shared" si="5"/>
        <v>6.7011316767033984</v>
      </c>
      <c r="S13" s="73">
        <f t="shared" si="5"/>
        <v>6.9488615858354299</v>
      </c>
      <c r="T13" s="73">
        <f t="shared" si="5"/>
        <v>6.4890953104653457</v>
      </c>
      <c r="U13" s="73">
        <f t="shared" si="5"/>
        <v>7.4747122139087629</v>
      </c>
      <c r="V13" s="73">
        <f t="shared" si="5"/>
        <v>7.7376375279454299</v>
      </c>
      <c r="W13" s="73">
        <f t="shared" si="5"/>
        <v>8.0005628419820969</v>
      </c>
      <c r="X13" s="73">
        <f t="shared" si="5"/>
        <v>7.3104904079482989</v>
      </c>
      <c r="Y13" s="73">
        <f t="shared" si="5"/>
        <v>4.6379093570337799</v>
      </c>
      <c r="Z13" s="74">
        <f>AVERAGE(B13:Y13)</f>
        <v>4.6584104187155395</v>
      </c>
    </row>
    <row r="15" spans="1:26" ht="30.75">
      <c r="A15" s="3" t="s">
        <v>340</v>
      </c>
      <c r="B15" s="7">
        <f>B7*0.35</f>
        <v>189809.98645000003</v>
      </c>
      <c r="C15" s="7">
        <f>B15+C7*0.35</f>
        <v>529125.46889999998</v>
      </c>
      <c r="D15" s="7">
        <f t="shared" ref="D15:Y15" si="6">C15+D7*0.35</f>
        <v>845739.95134999999</v>
      </c>
      <c r="E15" s="7">
        <f t="shared" si="6"/>
        <v>1320703.4498000001</v>
      </c>
      <c r="F15" s="7">
        <f t="shared" si="6"/>
        <v>1933624.54425</v>
      </c>
      <c r="G15" s="7">
        <f t="shared" si="6"/>
        <v>2628020.5147000002</v>
      </c>
      <c r="H15" s="7">
        <f t="shared" si="6"/>
        <v>3613720.9811499999</v>
      </c>
      <c r="I15" s="7">
        <f t="shared" si="6"/>
        <v>4622122.4475999996</v>
      </c>
      <c r="J15" s="7">
        <f t="shared" si="6"/>
        <v>5780029.4100499991</v>
      </c>
      <c r="K15" s="7">
        <f t="shared" si="6"/>
        <v>6937936.3724999987</v>
      </c>
      <c r="L15" s="7">
        <f t="shared" si="6"/>
        <v>8131469.0341499988</v>
      </c>
      <c r="M15" s="7">
        <f t="shared" si="6"/>
        <v>9252926.744599998</v>
      </c>
      <c r="N15" s="7">
        <f t="shared" si="6"/>
        <v>10688671.969849998</v>
      </c>
      <c r="O15" s="7">
        <f t="shared" si="6"/>
        <v>12124417.195099998</v>
      </c>
      <c r="P15" s="7">
        <f t="shared" si="6"/>
        <v>13586368.191549998</v>
      </c>
      <c r="Q15" s="7">
        <f t="shared" si="6"/>
        <v>14947316.187999997</v>
      </c>
      <c r="R15" s="7">
        <f t="shared" si="6"/>
        <v>16523727.337249998</v>
      </c>
      <c r="S15" s="7">
        <f t="shared" si="6"/>
        <v>18158415.835699998</v>
      </c>
      <c r="T15" s="7">
        <f t="shared" si="6"/>
        <v>19832255.334149998</v>
      </c>
      <c r="U15" s="7">
        <f t="shared" si="6"/>
        <v>21590647.832599998</v>
      </c>
      <c r="V15" s="7">
        <f t="shared" si="6"/>
        <v>23410892.331049997</v>
      </c>
      <c r="W15" s="7">
        <f t="shared" si="6"/>
        <v>25292988.829499997</v>
      </c>
      <c r="X15" s="7">
        <f t="shared" si="6"/>
        <v>27178704.327949997</v>
      </c>
      <c r="Y15" s="7">
        <f t="shared" si="6"/>
        <v>29032687.776399996</v>
      </c>
      <c r="Z15" s="7"/>
    </row>
    <row r="16" spans="1:26">
      <c r="A16" t="s">
        <v>341</v>
      </c>
      <c r="B16" s="7">
        <f>B5-B15</f>
        <v>387120.06355000002</v>
      </c>
      <c r="C16" s="7">
        <f>C7-(C15-B15)</f>
        <v>630157.32455000002</v>
      </c>
      <c r="D16" s="7">
        <f>D7-(D15-C15)</f>
        <v>587998.32455000002</v>
      </c>
      <c r="E16" s="7">
        <f>E7-(E15-D15)</f>
        <v>882075.06854999997</v>
      </c>
      <c r="F16" s="7">
        <f t="shared" ref="F16:Y16" si="7">F7-(F15-E15)</f>
        <v>1138282.0325500001</v>
      </c>
      <c r="G16" s="7">
        <f t="shared" si="7"/>
        <v>1289592.5165499996</v>
      </c>
      <c r="H16" s="7">
        <f t="shared" si="7"/>
        <v>1830586.5805500001</v>
      </c>
      <c r="I16" s="7">
        <f t="shared" si="7"/>
        <v>1872745.5805500001</v>
      </c>
      <c r="J16" s="7">
        <f t="shared" si="7"/>
        <v>2150398.6445500003</v>
      </c>
      <c r="K16" s="7">
        <f t="shared" si="7"/>
        <v>2150398.6445500003</v>
      </c>
      <c r="L16" s="7">
        <f t="shared" si="7"/>
        <v>2216560.6573500005</v>
      </c>
      <c r="M16" s="7">
        <f t="shared" si="7"/>
        <v>2082707.1765500004</v>
      </c>
      <c r="N16" s="7">
        <f t="shared" si="7"/>
        <v>2666383.9897499997</v>
      </c>
      <c r="O16" s="7">
        <f t="shared" si="7"/>
        <v>2666383.9897499997</v>
      </c>
      <c r="P16" s="7">
        <f t="shared" si="7"/>
        <v>2715051.8505500006</v>
      </c>
      <c r="Q16" s="7">
        <f t="shared" si="7"/>
        <v>2527474.8505500006</v>
      </c>
      <c r="R16" s="7">
        <f t="shared" si="7"/>
        <v>2927620.7057499997</v>
      </c>
      <c r="S16" s="7">
        <f t="shared" si="7"/>
        <v>3035850.06855</v>
      </c>
      <c r="T16" s="7">
        <f t="shared" si="7"/>
        <v>3108559.06855</v>
      </c>
      <c r="U16" s="7">
        <f t="shared" si="7"/>
        <v>3265586.06855</v>
      </c>
      <c r="V16" s="7">
        <f t="shared" si="7"/>
        <v>3380454.06855</v>
      </c>
      <c r="W16" s="7">
        <f t="shared" si="7"/>
        <v>3495322.06855</v>
      </c>
      <c r="X16" s="7">
        <f t="shared" si="7"/>
        <v>3502043.06855</v>
      </c>
      <c r="Y16" s="7">
        <f t="shared" si="7"/>
        <v>3443112.1185500007</v>
      </c>
      <c r="Z16" s="7">
        <f>SUM(B16:Y16)</f>
        <v>53952464.530599989</v>
      </c>
    </row>
    <row r="21" spans="3:3">
      <c r="C21" s="7"/>
    </row>
  </sheetData>
  <mergeCells count="2">
    <mergeCell ref="A1:A2"/>
    <mergeCell ref="B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19D3-C3FF-4E51-8A7C-2784840516A4}">
  <dimension ref="LUM710443"/>
  <sheetViews>
    <sheetView workbookViewId="0"/>
  </sheetViews>
  <sheetFormatPr defaultRowHeight="15"/>
  <sheetData>
    <row r="710443" spans="8671:8671">
      <c r="LUM710443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96A55-EA59-4BC9-AE17-6228568D1C48}">
  <dimension ref="B2:C24"/>
  <sheetViews>
    <sheetView showGridLines="0" workbookViewId="0">
      <selection activeCell="B2" sqref="B2"/>
    </sheetView>
  </sheetViews>
  <sheetFormatPr defaultRowHeight="15"/>
  <cols>
    <col min="2" max="2" width="56.28515625" customWidth="1"/>
    <col min="3" max="3" width="28.42578125" style="4" customWidth="1"/>
  </cols>
  <sheetData>
    <row r="2" spans="2:3" ht="15.75">
      <c r="B2" s="22" t="s">
        <v>343</v>
      </c>
      <c r="C2" s="23" t="s">
        <v>344</v>
      </c>
    </row>
    <row r="3" spans="2:3" ht="15.75">
      <c r="B3" s="24" t="s">
        <v>345</v>
      </c>
      <c r="C3" s="45">
        <v>12</v>
      </c>
    </row>
    <row r="4" spans="2:3" ht="15.75">
      <c r="B4" s="24" t="s">
        <v>346</v>
      </c>
      <c r="C4" s="19" t="s">
        <v>339</v>
      </c>
    </row>
    <row r="5" spans="2:3" ht="15.75">
      <c r="B5" s="24" t="s">
        <v>347</v>
      </c>
      <c r="C5" s="45" t="s">
        <v>339</v>
      </c>
    </row>
    <row r="6" spans="2:3" ht="15.75">
      <c r="B6" s="24" t="s">
        <v>348</v>
      </c>
      <c r="C6" s="19">
        <f>C12+C21-'Затраты и издержки'!H83</f>
        <v>67205172.801275522</v>
      </c>
    </row>
    <row r="7" spans="2:3" ht="15.75">
      <c r="B7" s="24" t="s">
        <v>349</v>
      </c>
      <c r="C7" s="45">
        <f>C6/'Затраты и издержки'!H83+1</f>
        <v>3.9833308918636234</v>
      </c>
    </row>
    <row r="8" spans="2:3" ht="15.75">
      <c r="B8" s="24" t="s">
        <v>350</v>
      </c>
      <c r="C8" s="95">
        <v>113.5</v>
      </c>
    </row>
    <row r="9" spans="2:3" ht="15.75">
      <c r="B9" s="24" t="s">
        <v>351</v>
      </c>
      <c r="C9" s="47">
        <f>'Расчет окупаемости'!Z13</f>
        <v>4.6584104187155395</v>
      </c>
    </row>
    <row r="10" spans="2:3">
      <c r="B10" s="17"/>
      <c r="C10" s="20"/>
    </row>
    <row r="11" spans="2:3">
      <c r="B11" s="15"/>
      <c r="C11" s="21"/>
    </row>
    <row r="12" spans="2:3" ht="15.75">
      <c r="B12" s="16" t="s">
        <v>352</v>
      </c>
      <c r="C12" s="19">
        <f>(SUM('Расчет окупаемости'!B7:M7))/(1+C3*0.01)</f>
        <v>23604404.960714284</v>
      </c>
    </row>
    <row r="13" spans="2:3" ht="15.75" hidden="1">
      <c r="B13" s="18" t="s">
        <v>353</v>
      </c>
      <c r="C13" s="19">
        <f>(SUM('Расчет окупаемости'!B7:N7))/(1+C3*0.01)</f>
        <v>27267020.331249997</v>
      </c>
    </row>
    <row r="14" spans="2:3" ht="15.75" hidden="1">
      <c r="B14" s="18" t="s">
        <v>354</v>
      </c>
      <c r="C14" s="19">
        <f>'Расчет окупаемости'!O8/(1+C3*0.01)</f>
        <v>30929635.701785713</v>
      </c>
    </row>
    <row r="15" spans="2:3" ht="15.75" hidden="1">
      <c r="B15" s="18" t="s">
        <v>355</v>
      </c>
      <c r="C15" s="19">
        <f>'Расчет окупаемости'!P8/(1+C3*0.01)</f>
        <v>34659102.52946429</v>
      </c>
    </row>
    <row r="16" spans="2:3" ht="15.75" hidden="1">
      <c r="B16" s="18" t="s">
        <v>356</v>
      </c>
      <c r="C16" s="19">
        <f>'Расчет окупаемости'!Q8/(1+C3*0.01)</f>
        <v>38130908.642857149</v>
      </c>
    </row>
    <row r="17" spans="2:3" ht="15.75" hidden="1">
      <c r="B17" s="18" t="s">
        <v>357</v>
      </c>
      <c r="C17" s="19">
        <f>'Расчет окупаемости'!R8/(1+C3*0.01)</f>
        <v>42152365.656250007</v>
      </c>
    </row>
    <row r="18" spans="2:3" ht="15.75" hidden="1">
      <c r="B18" s="18" t="s">
        <v>358</v>
      </c>
      <c r="C18" s="19">
        <f>'Расчет окупаемости'!S8/(1+C3*0.01)</f>
        <v>46322489.376785718</v>
      </c>
    </row>
    <row r="19" spans="2:3" ht="15.75" hidden="1">
      <c r="B19" s="18" t="s">
        <v>359</v>
      </c>
      <c r="C19" s="19">
        <f>'Расчет окупаемости'!T8/(1+C3*0.01)</f>
        <v>50592488.097321436</v>
      </c>
    </row>
    <row r="20" spans="2:3" ht="15.75" hidden="1">
      <c r="B20" s="18" t="s">
        <v>360</v>
      </c>
      <c r="C20" s="19">
        <f>'Расчет окупаемости'!U8/(1+C3*0.01)</f>
        <v>55078183.246428579</v>
      </c>
    </row>
    <row r="21" spans="2:3" ht="15.75">
      <c r="B21" s="16" t="s">
        <v>361</v>
      </c>
      <c r="C21" s="19">
        <f>'Расчет окупаемости'!Y8/((1+C3*0.01)*(1+0.01*C3))</f>
        <v>66127659.840561233</v>
      </c>
    </row>
    <row r="22" spans="2:3">
      <c r="B22" s="15"/>
      <c r="C22" s="21"/>
    </row>
    <row r="23" spans="2:3" ht="15.75">
      <c r="B23" s="16" t="s">
        <v>362</v>
      </c>
      <c r="C23" s="19">
        <f>'Расчет окупаемости'!N8</f>
        <v>30539062.771000002</v>
      </c>
    </row>
    <row r="24" spans="2:3" ht="15.75">
      <c r="B24" s="16" t="s">
        <v>363</v>
      </c>
      <c r="C24" s="19">
        <f>'Расчет окупаемости'!Y8-'Расчет окупаемости'!N8</f>
        <v>52411473.733000025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Кира Савичева</cp:lastModifiedBy>
  <cp:revision/>
  <dcterms:created xsi:type="dcterms:W3CDTF">2023-11-10T08:32:29Z</dcterms:created>
  <dcterms:modified xsi:type="dcterms:W3CDTF">2024-01-14T14:30:30Z</dcterms:modified>
  <cp:category/>
  <cp:contentStatus/>
</cp:coreProperties>
</file>