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sk_D\Проект ЖК_апарт_Химки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C45" i="1"/>
  <c r="B45" i="1"/>
  <c r="F46" i="1"/>
  <c r="C46" i="1"/>
  <c r="B42" i="1"/>
  <c r="E30" i="1"/>
  <c r="F27" i="1"/>
  <c r="B27" i="1"/>
  <c r="B41" i="1"/>
  <c r="F45" i="1" s="1"/>
  <c r="E28" i="1"/>
  <c r="F28" i="1"/>
  <c r="B30" i="1"/>
  <c r="B55" i="1"/>
  <c r="B31" i="1"/>
  <c r="M5" i="1"/>
  <c r="L5" i="1"/>
  <c r="K5" i="1"/>
  <c r="J5" i="1"/>
  <c r="F53" i="1"/>
  <c r="E53" i="1"/>
  <c r="E27" i="1"/>
  <c r="N27" i="1"/>
  <c r="B66" i="1"/>
  <c r="B67" i="1" s="1"/>
  <c r="A5" i="1"/>
  <c r="F5" i="1"/>
  <c r="D70" i="1" l="1"/>
  <c r="D46" i="1"/>
  <c r="L45" i="1"/>
  <c r="L46" i="1" s="1"/>
  <c r="E48" i="1"/>
  <c r="M45" i="1"/>
  <c r="M46" i="1" s="1"/>
  <c r="I45" i="1"/>
  <c r="I46" i="1" s="1"/>
  <c r="C70" i="1"/>
  <c r="H45" i="1"/>
  <c r="H46" i="1" s="1"/>
  <c r="B70" i="1"/>
  <c r="K45" i="1"/>
  <c r="K46" i="1" s="1"/>
  <c r="G45" i="1"/>
  <c r="G46" i="1" s="1"/>
  <c r="J45" i="1"/>
  <c r="J46" i="1" s="1"/>
  <c r="D55" i="1"/>
  <c r="C55" i="1"/>
  <c r="C30" i="1"/>
  <c r="F30" i="1"/>
  <c r="L30" i="1"/>
  <c r="M30" i="1"/>
  <c r="E46" i="1" l="1"/>
  <c r="E47" i="1"/>
  <c r="B46" i="1"/>
  <c r="B48" i="1"/>
  <c r="B47" i="1"/>
  <c r="C31" i="1"/>
  <c r="F10" i="1"/>
  <c r="N28" i="1" l="1"/>
  <c r="G54" i="1"/>
  <c r="F54" i="1"/>
  <c r="L54" i="1"/>
  <c r="E54" i="1"/>
  <c r="E55" i="1" s="1"/>
  <c r="G53" i="1"/>
  <c r="H53" i="1"/>
  <c r="I53" i="1"/>
  <c r="J53" i="1"/>
  <c r="K53" i="1"/>
  <c r="B53" i="1"/>
  <c r="K54" i="1"/>
  <c r="J54" i="1"/>
  <c r="I54" i="1"/>
  <c r="H54" i="1"/>
  <c r="M54" i="1" l="1"/>
  <c r="A10" i="1"/>
  <c r="K10" i="1" s="1"/>
  <c r="N54" i="1"/>
  <c r="B59" i="1" s="1"/>
  <c r="M70" i="1"/>
  <c r="M72" i="1" s="1"/>
  <c r="L70" i="1"/>
  <c r="L72" i="1" s="1"/>
  <c r="K70" i="1"/>
  <c r="J70" i="1"/>
  <c r="J72" i="1" s="1"/>
  <c r="I70" i="1"/>
  <c r="I72" i="1" s="1"/>
  <c r="H70" i="1"/>
  <c r="H72" i="1" s="1"/>
  <c r="G70" i="1"/>
  <c r="G72" i="1" s="1"/>
  <c r="F70" i="1"/>
  <c r="E70" i="1"/>
  <c r="E72" i="1" s="1"/>
  <c r="D72" i="1"/>
  <c r="C72" i="1"/>
  <c r="B72" i="1"/>
  <c r="F72" i="1" l="1"/>
  <c r="C73" i="1"/>
  <c r="B71" i="1"/>
  <c r="D73" i="1"/>
  <c r="D71" i="1"/>
  <c r="K72" i="1"/>
  <c r="C71" i="1"/>
  <c r="N72" i="1" l="1"/>
  <c r="B73" i="1"/>
  <c r="B56" i="1"/>
  <c r="C56" i="1" l="1"/>
  <c r="D56" i="1" s="1"/>
  <c r="L10" i="1" l="1"/>
  <c r="J10" i="1"/>
  <c r="M10" i="1" l="1"/>
  <c r="L47" i="1"/>
  <c r="D30" i="1"/>
  <c r="I27" i="1"/>
  <c r="J27" i="1" s="1"/>
  <c r="K27" i="1" s="1"/>
  <c r="J28" i="1"/>
  <c r="J30" i="1" s="1"/>
  <c r="I28" i="1"/>
  <c r="I30" i="1" s="1"/>
  <c r="H28" i="1"/>
  <c r="G28" i="1"/>
  <c r="C47" i="1" l="1"/>
  <c r="N30" i="1"/>
  <c r="H27" i="1"/>
  <c r="H30" i="1" s="1"/>
  <c r="G30" i="1"/>
  <c r="G48" i="1" s="1"/>
  <c r="K30" i="1"/>
  <c r="K48" i="1" s="1"/>
  <c r="L27" i="1"/>
  <c r="G27" i="1"/>
  <c r="F48" i="1"/>
  <c r="I48" i="1"/>
  <c r="B34" i="1"/>
  <c r="H48" i="1"/>
  <c r="D48" i="1"/>
  <c r="C48" i="1"/>
  <c r="J48" i="1"/>
  <c r="D47" i="1"/>
  <c r="F47" i="1"/>
  <c r="M47" i="1"/>
  <c r="I47" i="1"/>
  <c r="H47" i="1"/>
  <c r="K47" i="1"/>
  <c r="G47" i="1"/>
  <c r="I55" i="1" l="1"/>
  <c r="I73" i="1" s="1"/>
  <c r="I71" i="1"/>
  <c r="G55" i="1"/>
  <c r="G73" i="1" s="1"/>
  <c r="G71" i="1"/>
  <c r="M27" i="1"/>
  <c r="F55" i="1"/>
  <c r="F73" i="1" s="1"/>
  <c r="F71" i="1"/>
  <c r="J47" i="1"/>
  <c r="N47" i="1" s="1"/>
  <c r="E71" i="1"/>
  <c r="D31" i="1"/>
  <c r="E31" i="1" s="1"/>
  <c r="F31" i="1" s="1"/>
  <c r="G31" i="1" s="1"/>
  <c r="H31" i="1" s="1"/>
  <c r="I31" i="1" s="1"/>
  <c r="J31" i="1" s="1"/>
  <c r="K31" i="1" l="1"/>
  <c r="L31" i="1" s="1"/>
  <c r="J71" i="1"/>
  <c r="J55" i="1"/>
  <c r="J73" i="1" s="1"/>
  <c r="H55" i="1"/>
  <c r="H73" i="1" s="1"/>
  <c r="H71" i="1"/>
  <c r="E73" i="1"/>
  <c r="E56" i="1"/>
  <c r="L48" i="1"/>
  <c r="B33" i="1"/>
  <c r="B35" i="1" s="1"/>
  <c r="B36" i="1" s="1"/>
  <c r="M31" i="1" l="1"/>
  <c r="B39" i="1"/>
  <c r="M48" i="1"/>
  <c r="N48" i="1" s="1"/>
  <c r="N5" i="1" s="1"/>
  <c r="F56" i="1"/>
  <c r="G56" i="1" s="1"/>
  <c r="H56" i="1" s="1"/>
  <c r="I56" i="1" s="1"/>
  <c r="J56" i="1" s="1"/>
  <c r="K55" i="1"/>
  <c r="K73" i="1" s="1"/>
  <c r="K71" i="1"/>
  <c r="L71" i="1" l="1"/>
  <c r="L55" i="1"/>
  <c r="L73" i="1" s="1"/>
  <c r="N53" i="1"/>
  <c r="B58" i="1" s="1"/>
  <c r="B60" i="1" s="1"/>
  <c r="B61" i="1" s="1"/>
  <c r="K56" i="1"/>
  <c r="L56" i="1" s="1"/>
  <c r="M55" i="1" l="1"/>
  <c r="M71" i="1"/>
  <c r="N71" i="1" s="1"/>
  <c r="M56" i="1"/>
  <c r="N55" i="1"/>
  <c r="B64" i="1" l="1"/>
  <c r="M73" i="1"/>
  <c r="N73" i="1" s="1"/>
  <c r="N10" i="1" s="1"/>
  <c r="N46" i="1"/>
</calcChain>
</file>

<file path=xl/sharedStrings.xml><?xml version="1.0" encoding="utf-8"?>
<sst xmlns="http://schemas.openxmlformats.org/spreadsheetml/2006/main" count="95" uniqueCount="47">
  <si>
    <t>Кол-во м2</t>
  </si>
  <si>
    <t>Ежемесячные расходы</t>
  </si>
  <si>
    <t>1 вариант</t>
  </si>
  <si>
    <t>Раскадастрование, руб.</t>
  </si>
  <si>
    <t>Кол-во апарт-студий</t>
  </si>
  <si>
    <t xml:space="preserve"> 1 апарт-студия, м2</t>
  </si>
  <si>
    <t xml:space="preserve"> </t>
  </si>
  <si>
    <t>Стоимость продажи, руб./м2</t>
  </si>
  <si>
    <t>Стоимость покупки руб./1м2</t>
  </si>
  <si>
    <t>Сумма реализации, руб.</t>
  </si>
  <si>
    <t>Доход инвестора годовых - 40%</t>
  </si>
  <si>
    <t>2 вариант</t>
  </si>
  <si>
    <t>Срок окупаемсти 12 месяцев</t>
  </si>
  <si>
    <t>Сумма инвестиций (выкуп помещения в собственность)</t>
  </si>
  <si>
    <t>Затраты</t>
  </si>
  <si>
    <t>Выручка</t>
  </si>
  <si>
    <t>Прибыль</t>
  </si>
  <si>
    <t>Рентабельность</t>
  </si>
  <si>
    <t>Срок реализации</t>
  </si>
  <si>
    <t>Срок возврата инвестиций</t>
  </si>
  <si>
    <t>NPV</t>
  </si>
  <si>
    <t>IRR</t>
  </si>
  <si>
    <t>Месяцы</t>
  </si>
  <si>
    <t>Сальдо</t>
  </si>
  <si>
    <t>Сальдо нарастающим итогом</t>
  </si>
  <si>
    <t>Стоимость ремонта, руб</t>
  </si>
  <si>
    <t>Потоки проекта</t>
  </si>
  <si>
    <t>Финансово-экономические показатели</t>
  </si>
  <si>
    <t>12 месяцев</t>
  </si>
  <si>
    <t>Коэффициенты дисконтирования</t>
  </si>
  <si>
    <t>Дисконтированные затраты</t>
  </si>
  <si>
    <t>Дисконтированная выручка</t>
  </si>
  <si>
    <t>Дисконтированное сальдо</t>
  </si>
  <si>
    <t>Ставка дисконтирования (месячная)</t>
  </si>
  <si>
    <t>Объем вложений, руб.</t>
  </si>
  <si>
    <t>NPV (дисконтированная прибыль)</t>
  </si>
  <si>
    <t xml:space="preserve">Ставка дисконтирования </t>
  </si>
  <si>
    <t>IRR (12 месяцев)</t>
  </si>
  <si>
    <t>7 месяцев</t>
  </si>
  <si>
    <t>6,5 месяцев</t>
  </si>
  <si>
    <t>Возврат суммы инвестиций + 40% дохода от вложений</t>
  </si>
  <si>
    <t>Валовый доход девелоперской команды, руб (gross)</t>
  </si>
  <si>
    <t>Валовый доход девелоперской команды, gross</t>
  </si>
  <si>
    <t>Дисконтированный доход девелоперской команды, руб gross - Вариант 1</t>
  </si>
  <si>
    <t>Дисконтированный доход девелоперской команды, руб gross - Вариант 2</t>
  </si>
  <si>
    <t>Срок возврата инвестиций - 12 месяцев</t>
  </si>
  <si>
    <t>Количество проданных апартов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</si>
</sst>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 vertical="center"/>
    </xf>
    <xf numFmtId="10" fontId="0" fillId="0" borderId="0" xfId="0" applyNumberFormat="1" applyAlignment="1">
      <alignment horizontal="center"/>
    </xf>
    <xf numFmtId="10" fontId="1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aseline="0"/>
              <a:t>Срок окупаемости</a:t>
            </a:r>
          </a:p>
          <a:p>
            <a:pPr>
              <a:defRPr/>
            </a:pPr>
            <a:r>
              <a:rPr lang="ru-RU" baseline="0"/>
              <a:t> - 1 вариант</a:t>
            </a:r>
          </a:p>
        </c:rich>
      </c:tx>
      <c:layout>
        <c:manualLayout>
          <c:xMode val="edge"/>
          <c:yMode val="edge"/>
          <c:x val="0.3159629534013165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Лист1!$B$26:$M$26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Лист1!$B$31:$M$31</c:f>
              <c:numCache>
                <c:formatCode>#,##0</c:formatCode>
                <c:ptCount val="12"/>
                <c:pt idx="0">
                  <c:v>-21164000</c:v>
                </c:pt>
                <c:pt idx="1">
                  <c:v>-21914000</c:v>
                </c:pt>
                <c:pt idx="2">
                  <c:v>-22664000</c:v>
                </c:pt>
                <c:pt idx="3">
                  <c:v>-11984000</c:v>
                </c:pt>
                <c:pt idx="4">
                  <c:v>-7168800</c:v>
                </c:pt>
                <c:pt idx="5">
                  <c:v>-2353600</c:v>
                </c:pt>
                <c:pt idx="6">
                  <c:v>2461600</c:v>
                </c:pt>
                <c:pt idx="7">
                  <c:v>9441600</c:v>
                </c:pt>
                <c:pt idx="8">
                  <c:v>16421600</c:v>
                </c:pt>
                <c:pt idx="9">
                  <c:v>19701600</c:v>
                </c:pt>
                <c:pt idx="10">
                  <c:v>19281600</c:v>
                </c:pt>
                <c:pt idx="11">
                  <c:v>18861600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F-4B2D-B8EC-846FBDF3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524416"/>
        <c:axId val="504518512"/>
      </c:lineChart>
      <c:catAx>
        <c:axId val="5045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4518512"/>
        <c:crosses val="autoZero"/>
        <c:auto val="1"/>
        <c:lblAlgn val="ctr"/>
        <c:lblOffset val="100"/>
        <c:noMultiLvlLbl val="0"/>
      </c:catAx>
      <c:valAx>
        <c:axId val="5045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452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Срок</a:t>
            </a:r>
            <a:r>
              <a:rPr lang="ru-RU" baseline="0"/>
              <a:t> окупаемости </a:t>
            </a:r>
          </a:p>
          <a:p>
            <a:pPr>
              <a:defRPr/>
            </a:pPr>
            <a:r>
              <a:rPr lang="ru-RU"/>
              <a:t>2 - вариант</a:t>
            </a:r>
          </a:p>
          <a:p>
            <a:pPr>
              <a:defRPr/>
            </a:pP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Лист1!$B$52:$M$52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Лист1!$B$56:$M$56</c:f>
              <c:numCache>
                <c:formatCode>#,##0</c:formatCode>
                <c:ptCount val="12"/>
                <c:pt idx="0">
                  <c:v>-53933333.333333336</c:v>
                </c:pt>
                <c:pt idx="1">
                  <c:v>-55183333.333333336</c:v>
                </c:pt>
                <c:pt idx="2">
                  <c:v>-56433333.333333336</c:v>
                </c:pt>
                <c:pt idx="3">
                  <c:v>-46593333.333333336</c:v>
                </c:pt>
                <c:pt idx="4">
                  <c:v>-32653333.333333336</c:v>
                </c:pt>
                <c:pt idx="5">
                  <c:v>-18713333.333333336</c:v>
                </c:pt>
                <c:pt idx="6">
                  <c:v>-4773333.3333333358</c:v>
                </c:pt>
                <c:pt idx="7">
                  <c:v>9166666.6666666642</c:v>
                </c:pt>
                <c:pt idx="8">
                  <c:v>23106666.666666664</c:v>
                </c:pt>
                <c:pt idx="9">
                  <c:v>37046666.666666664</c:v>
                </c:pt>
                <c:pt idx="10">
                  <c:v>40746666.666666664</c:v>
                </c:pt>
                <c:pt idx="11">
                  <c:v>59246666.666666664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D-4628-8551-C12CF6DD6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416952"/>
        <c:axId val="319417608"/>
      </c:lineChart>
      <c:catAx>
        <c:axId val="31941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9417608"/>
        <c:crosses val="autoZero"/>
        <c:auto val="1"/>
        <c:lblAlgn val="ctr"/>
        <c:lblOffset val="100"/>
        <c:noMultiLvlLbl val="0"/>
      </c:catAx>
      <c:valAx>
        <c:axId val="31941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941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180975</xdr:rowOff>
    </xdr:from>
    <xdr:to>
      <xdr:col>6</xdr:col>
      <xdr:colOff>647700</xdr:colOff>
      <xdr:row>24</xdr:row>
      <xdr:rowOff>66675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10</xdr:row>
      <xdr:rowOff>28575</xdr:rowOff>
    </xdr:from>
    <xdr:to>
      <xdr:col>11</xdr:col>
      <xdr:colOff>142875</xdr:colOff>
      <xdr:row>24</xdr:row>
      <xdr:rowOff>104775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tabSelected="1" topLeftCell="A2" zoomScale="85" zoomScaleNormal="85" workbookViewId="0"/>
  </sheetViews>
  <sheetFormatPr defaultRowHeight="15" x14ac:dyDescent="0.25"/>
  <cols>
    <col min="1" max="1" width="36.5703125" customWidth="1"/>
    <col min="2" max="2" width="18" customWidth="1"/>
    <col min="3" max="3" width="14.5703125" customWidth="1"/>
    <col min="4" max="4" width="14.140625" customWidth="1"/>
    <col min="5" max="5" width="18" customWidth="1"/>
    <col min="6" max="6" width="15.140625" customWidth="1"/>
    <col min="7" max="7" width="14.140625" customWidth="1"/>
    <col min="8" max="8" width="12.85546875" customWidth="1"/>
    <col min="9" max="11" width="19.85546875" customWidth="1"/>
    <col min="12" max="12" width="25.28515625" customWidth="1"/>
    <col min="13" max="13" width="19.85546875" customWidth="1"/>
    <col min="14" max="14" width="31" customWidth="1"/>
    <col min="15" max="15" width="23.42578125" customWidth="1"/>
  </cols>
  <sheetData>
    <row r="2" spans="1:15" x14ac:dyDescent="0.25">
      <c r="B2" s="5" t="s">
        <v>2</v>
      </c>
      <c r="D2" s="24" t="s">
        <v>45</v>
      </c>
      <c r="E2" s="24"/>
      <c r="F2" s="23"/>
    </row>
    <row r="4" spans="1:15" ht="44.25" customHeight="1" x14ac:dyDescent="0.25">
      <c r="A4" s="6" t="s">
        <v>13</v>
      </c>
      <c r="B4" s="6" t="s">
        <v>0</v>
      </c>
      <c r="C4" s="6" t="s">
        <v>8</v>
      </c>
      <c r="D4" s="6" t="s">
        <v>1</v>
      </c>
      <c r="E4" s="6" t="s">
        <v>3</v>
      </c>
      <c r="F4" s="6" t="s">
        <v>25</v>
      </c>
      <c r="G4" s="6" t="s">
        <v>4</v>
      </c>
      <c r="H4" s="6" t="s">
        <v>5</v>
      </c>
      <c r="I4" s="6" t="s">
        <v>7</v>
      </c>
      <c r="J4" s="6" t="s">
        <v>9</v>
      </c>
      <c r="K4" s="6" t="s">
        <v>10</v>
      </c>
      <c r="L4" s="6" t="s">
        <v>40</v>
      </c>
      <c r="M4" s="6" t="s">
        <v>41</v>
      </c>
      <c r="N4" s="6" t="s">
        <v>43</v>
      </c>
      <c r="O4" s="6"/>
    </row>
    <row r="5" spans="1:15" x14ac:dyDescent="0.25">
      <c r="A5" s="3">
        <f>(B5*C5)+E5</f>
        <v>22164000</v>
      </c>
      <c r="B5" s="3">
        <v>295.2</v>
      </c>
      <c r="C5" s="3">
        <v>70000</v>
      </c>
      <c r="D5" s="3">
        <v>420000</v>
      </c>
      <c r="E5" s="3">
        <v>1500000</v>
      </c>
      <c r="F5" s="3">
        <f>B5*22000</f>
        <v>6494400</v>
      </c>
      <c r="G5" s="3">
        <v>14</v>
      </c>
      <c r="H5" s="3">
        <v>20</v>
      </c>
      <c r="I5" s="3">
        <v>185000</v>
      </c>
      <c r="J5" s="3">
        <f>H5*I5*G5</f>
        <v>51800000</v>
      </c>
      <c r="K5" s="3">
        <f>A5*0.4</f>
        <v>8865600</v>
      </c>
      <c r="L5" s="3">
        <f>A5*1.4</f>
        <v>31029599.999999996</v>
      </c>
      <c r="M5" s="3">
        <f>J5-L5</f>
        <v>20770400.000000004</v>
      </c>
      <c r="N5" s="19">
        <f>N48</f>
        <v>15330602.968717746</v>
      </c>
      <c r="O5" s="19"/>
    </row>
    <row r="7" spans="1:15" x14ac:dyDescent="0.25">
      <c r="B7" s="5" t="s">
        <v>11</v>
      </c>
      <c r="D7" s="25" t="s">
        <v>12</v>
      </c>
      <c r="E7" s="25"/>
      <c r="F7" s="1"/>
    </row>
    <row r="9" spans="1:15" ht="45" x14ac:dyDescent="0.25">
      <c r="A9" s="6" t="s">
        <v>13</v>
      </c>
      <c r="B9" s="6" t="s">
        <v>0</v>
      </c>
      <c r="C9" s="6" t="s">
        <v>8</v>
      </c>
      <c r="D9" s="6" t="s">
        <v>1</v>
      </c>
      <c r="E9" s="6" t="s">
        <v>3</v>
      </c>
      <c r="F9" s="6" t="s">
        <v>25</v>
      </c>
      <c r="G9" s="6" t="s">
        <v>4</v>
      </c>
      <c r="H9" s="6" t="s">
        <v>5</v>
      </c>
      <c r="I9" s="6" t="s">
        <v>7</v>
      </c>
      <c r="J9" s="6" t="s">
        <v>9</v>
      </c>
      <c r="K9" s="6" t="s">
        <v>10</v>
      </c>
      <c r="L9" s="6" t="s">
        <v>40</v>
      </c>
      <c r="M9" s="6" t="s">
        <v>42</v>
      </c>
      <c r="N9" s="6" t="s">
        <v>44</v>
      </c>
      <c r="O9" s="6"/>
    </row>
    <row r="10" spans="1:15" x14ac:dyDescent="0.25">
      <c r="A10" s="3">
        <f>(B10*C10)+E10</f>
        <v>55600000</v>
      </c>
      <c r="B10" s="3">
        <v>900</v>
      </c>
      <c r="C10" s="3">
        <v>59000</v>
      </c>
      <c r="D10" s="3">
        <v>1260000</v>
      </c>
      <c r="E10" s="3">
        <v>2500000</v>
      </c>
      <c r="F10" s="3">
        <f>B10*22000</f>
        <v>19800000</v>
      </c>
      <c r="G10" s="3">
        <v>45</v>
      </c>
      <c r="H10" s="3">
        <v>20</v>
      </c>
      <c r="I10" s="3">
        <v>185000</v>
      </c>
      <c r="J10" s="3">
        <f>H10*I10*G10</f>
        <v>166500000</v>
      </c>
      <c r="K10" s="3">
        <f>A10*0.4</f>
        <v>22240000</v>
      </c>
      <c r="L10" s="3">
        <f>A10*1.4</f>
        <v>77840000</v>
      </c>
      <c r="M10" s="3">
        <f>J10-L10</f>
        <v>88660000</v>
      </c>
      <c r="N10" s="19">
        <f>N73</f>
        <v>46937255.944380306</v>
      </c>
      <c r="O10" s="19"/>
    </row>
    <row r="24" spans="1:15" x14ac:dyDescent="0.25">
      <c r="B24" s="5" t="s">
        <v>2</v>
      </c>
    </row>
    <row r="25" spans="1:15" x14ac:dyDescent="0.25">
      <c r="A25" s="11" t="s">
        <v>26</v>
      </c>
    </row>
    <row r="26" spans="1:15" x14ac:dyDescent="0.25">
      <c r="A26" t="s">
        <v>22</v>
      </c>
      <c r="B26" s="21">
        <v>1</v>
      </c>
      <c r="C26" s="21">
        <v>2</v>
      </c>
      <c r="D26" s="21">
        <v>3</v>
      </c>
      <c r="E26" s="21">
        <v>4</v>
      </c>
      <c r="F26" s="21">
        <v>5</v>
      </c>
      <c r="G26" s="21">
        <v>6</v>
      </c>
      <c r="H26" s="21">
        <v>7</v>
      </c>
      <c r="I26" s="21">
        <v>8</v>
      </c>
      <c r="J26" s="21">
        <v>9</v>
      </c>
      <c r="K26" s="21">
        <v>10</v>
      </c>
      <c r="L26" s="21">
        <v>11</v>
      </c>
      <c r="M26" s="21">
        <v>12</v>
      </c>
      <c r="N26" s="1" t="s">
        <v>6</v>
      </c>
      <c r="O26" s="22"/>
    </row>
    <row r="27" spans="1:15" x14ac:dyDescent="0.25">
      <c r="A27" s="8" t="s">
        <v>14</v>
      </c>
      <c r="B27" s="3">
        <f>(C5*B5)+E5/3</f>
        <v>21164000</v>
      </c>
      <c r="C27" s="1">
        <v>750000</v>
      </c>
      <c r="D27" s="1">
        <v>750000</v>
      </c>
      <c r="E27" s="3">
        <f>D5</f>
        <v>420000</v>
      </c>
      <c r="F27" s="1">
        <f>(F5/3)+D5</f>
        <v>2584800</v>
      </c>
      <c r="G27" s="1">
        <f>F5/3+D5</f>
        <v>2584800</v>
      </c>
      <c r="H27" s="1">
        <f>F5/3+E27</f>
        <v>2584800</v>
      </c>
      <c r="I27" s="3">
        <f>D5</f>
        <v>420000</v>
      </c>
      <c r="J27" s="3">
        <f>I27</f>
        <v>420000</v>
      </c>
      <c r="K27" s="3">
        <f>J27</f>
        <v>420000</v>
      </c>
      <c r="L27" s="3">
        <f>K27</f>
        <v>420000</v>
      </c>
      <c r="M27" s="3">
        <f>L27</f>
        <v>420000</v>
      </c>
      <c r="N27" s="10">
        <f>SUM(B27:M27)</f>
        <v>32938400</v>
      </c>
      <c r="O27" s="10"/>
    </row>
    <row r="28" spans="1:15" x14ac:dyDescent="0.25">
      <c r="A28" s="8" t="s">
        <v>15</v>
      </c>
      <c r="B28" s="3">
        <v>0</v>
      </c>
      <c r="C28" s="1">
        <v>0</v>
      </c>
      <c r="D28" s="1">
        <v>0</v>
      </c>
      <c r="E28" s="3">
        <f>H5*I5*3</f>
        <v>11100000</v>
      </c>
      <c r="F28" s="3">
        <f>3700000*2</f>
        <v>7400000</v>
      </c>
      <c r="G28" s="3">
        <f>3700000*2</f>
        <v>7400000</v>
      </c>
      <c r="H28" s="3">
        <f>3700000*2</f>
        <v>7400000</v>
      </c>
      <c r="I28" s="3">
        <f>3700000*2</f>
        <v>7400000</v>
      </c>
      <c r="J28" s="3">
        <f>3700000*2</f>
        <v>7400000</v>
      </c>
      <c r="K28" s="3">
        <v>3700000</v>
      </c>
      <c r="L28" s="3">
        <v>0</v>
      </c>
      <c r="M28" s="1">
        <v>0</v>
      </c>
      <c r="N28" s="10">
        <f>SUM(B28:M28)</f>
        <v>51800000</v>
      </c>
      <c r="O28" s="10"/>
    </row>
    <row r="29" spans="1:15" x14ac:dyDescent="0.25">
      <c r="A29" s="8" t="s">
        <v>46</v>
      </c>
      <c r="B29" s="3"/>
      <c r="C29" s="22"/>
      <c r="D29" s="22"/>
      <c r="E29" s="3">
        <v>3</v>
      </c>
      <c r="F29" s="3">
        <v>2</v>
      </c>
      <c r="G29" s="3">
        <v>2</v>
      </c>
      <c r="H29" s="3">
        <v>2</v>
      </c>
      <c r="I29" s="3">
        <v>2</v>
      </c>
      <c r="J29" s="3">
        <v>2</v>
      </c>
      <c r="K29" s="3">
        <v>1</v>
      </c>
      <c r="L29" s="3"/>
      <c r="M29" s="22"/>
      <c r="N29" s="10"/>
      <c r="O29" s="10"/>
    </row>
    <row r="30" spans="1:15" x14ac:dyDescent="0.25">
      <c r="A30" s="8" t="s">
        <v>23</v>
      </c>
      <c r="B30" s="3">
        <f t="shared" ref="B30:M30" si="0">B28-B27</f>
        <v>-21164000</v>
      </c>
      <c r="C30" s="3">
        <f t="shared" si="0"/>
        <v>-750000</v>
      </c>
      <c r="D30" s="3">
        <f t="shared" si="0"/>
        <v>-750000</v>
      </c>
      <c r="E30" s="3">
        <f t="shared" si="0"/>
        <v>10680000</v>
      </c>
      <c r="F30" s="3">
        <f t="shared" si="0"/>
        <v>4815200</v>
      </c>
      <c r="G30" s="3">
        <f t="shared" si="0"/>
        <v>4815200</v>
      </c>
      <c r="H30" s="3">
        <f t="shared" si="0"/>
        <v>4815200</v>
      </c>
      <c r="I30" s="3">
        <f t="shared" si="0"/>
        <v>6980000</v>
      </c>
      <c r="J30" s="3">
        <f t="shared" si="0"/>
        <v>6980000</v>
      </c>
      <c r="K30" s="3">
        <f t="shared" si="0"/>
        <v>3280000</v>
      </c>
      <c r="L30" s="3">
        <f t="shared" si="0"/>
        <v>-420000</v>
      </c>
      <c r="M30" s="3">
        <f t="shared" si="0"/>
        <v>-420000</v>
      </c>
      <c r="N30" s="10">
        <f>SUM(B30:M30)</f>
        <v>18861600</v>
      </c>
      <c r="O30" s="10"/>
    </row>
    <row r="31" spans="1:15" x14ac:dyDescent="0.25">
      <c r="A31" s="8" t="s">
        <v>24</v>
      </c>
      <c r="B31" s="3">
        <f>B30</f>
        <v>-21164000</v>
      </c>
      <c r="C31" s="3">
        <f>B31+C30</f>
        <v>-21914000</v>
      </c>
      <c r="D31" s="3">
        <f t="shared" ref="D31:L31" si="1">C31+D30</f>
        <v>-22664000</v>
      </c>
      <c r="E31" s="3">
        <f t="shared" si="1"/>
        <v>-11984000</v>
      </c>
      <c r="F31" s="3">
        <f t="shared" si="1"/>
        <v>-7168800</v>
      </c>
      <c r="G31" s="3">
        <f t="shared" si="1"/>
        <v>-2353600</v>
      </c>
      <c r="H31" s="3">
        <f t="shared" si="1"/>
        <v>2461600</v>
      </c>
      <c r="I31" s="3">
        <f t="shared" si="1"/>
        <v>9441600</v>
      </c>
      <c r="J31" s="3">
        <f t="shared" si="1"/>
        <v>16421600</v>
      </c>
      <c r="K31" s="3">
        <f t="shared" si="1"/>
        <v>19701600</v>
      </c>
      <c r="L31" s="3">
        <f t="shared" si="1"/>
        <v>19281600</v>
      </c>
      <c r="M31" s="10">
        <f>L31+M30</f>
        <v>18861600</v>
      </c>
    </row>
    <row r="32" spans="1:15" x14ac:dyDescent="0.25">
      <c r="A32" s="12" t="s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5" x14ac:dyDescent="0.25">
      <c r="A33" s="8" t="s">
        <v>14</v>
      </c>
      <c r="B33" s="9">
        <f>N27</f>
        <v>32938400</v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5" x14ac:dyDescent="0.25">
      <c r="A34" s="8" t="s">
        <v>15</v>
      </c>
      <c r="B34" s="9">
        <f>N28</f>
        <v>51800000</v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5" x14ac:dyDescent="0.25">
      <c r="A35" t="s">
        <v>16</v>
      </c>
      <c r="B35" s="9">
        <f>B34-B33</f>
        <v>18861600</v>
      </c>
    </row>
    <row r="36" spans="1:15" x14ac:dyDescent="0.25">
      <c r="A36" t="s">
        <v>17</v>
      </c>
      <c r="B36" s="14">
        <f>B35/B33</f>
        <v>0.57263255045782435</v>
      </c>
    </row>
    <row r="37" spans="1:15" x14ac:dyDescent="0.25">
      <c r="A37" t="s">
        <v>18</v>
      </c>
      <c r="B37" s="1" t="s">
        <v>28</v>
      </c>
    </row>
    <row r="38" spans="1:15" x14ac:dyDescent="0.25">
      <c r="A38" t="s">
        <v>19</v>
      </c>
      <c r="B38" s="7" t="s">
        <v>39</v>
      </c>
    </row>
    <row r="39" spans="1:15" x14ac:dyDescent="0.25">
      <c r="A39" t="s">
        <v>34</v>
      </c>
      <c r="B39" s="3">
        <f>-MIN(B31:L31)</f>
        <v>22664000</v>
      </c>
      <c r="H39" s="2"/>
    </row>
    <row r="40" spans="1:15" x14ac:dyDescent="0.25">
      <c r="A40" t="s">
        <v>36</v>
      </c>
      <c r="B40" s="18">
        <v>0.2</v>
      </c>
      <c r="H40" s="2"/>
      <c r="N40" t="s">
        <v>6</v>
      </c>
    </row>
    <row r="41" spans="1:15" x14ac:dyDescent="0.25">
      <c r="A41" t="s">
        <v>33</v>
      </c>
      <c r="B41" s="13">
        <f>(1+$B$40)^(1/12)-1</f>
        <v>1.5309470499731193E-2</v>
      </c>
    </row>
    <row r="42" spans="1:15" x14ac:dyDescent="0.25">
      <c r="A42" t="s">
        <v>35</v>
      </c>
      <c r="B42" s="17">
        <f>NPV(B41,B30:M30)</f>
        <v>15330602.968717743</v>
      </c>
    </row>
    <row r="43" spans="1:15" x14ac:dyDescent="0.25">
      <c r="A43" t="s">
        <v>37</v>
      </c>
      <c r="B43" s="20">
        <v>3.02</v>
      </c>
    </row>
    <row r="44" spans="1:15" x14ac:dyDescent="0.25">
      <c r="A44" t="s">
        <v>22</v>
      </c>
      <c r="B44" s="21">
        <v>1</v>
      </c>
      <c r="C44" s="21">
        <v>2</v>
      </c>
      <c r="D44" s="21">
        <v>3</v>
      </c>
      <c r="E44" s="21">
        <v>4</v>
      </c>
      <c r="F44" s="21">
        <v>5</v>
      </c>
      <c r="G44" s="21">
        <v>6</v>
      </c>
      <c r="H44" s="21">
        <v>7</v>
      </c>
      <c r="I44" s="21">
        <v>8</v>
      </c>
      <c r="J44" s="21">
        <v>9</v>
      </c>
      <c r="K44" s="21">
        <v>10</v>
      </c>
      <c r="L44" s="21">
        <v>11</v>
      </c>
      <c r="M44" s="21">
        <v>12</v>
      </c>
    </row>
    <row r="45" spans="1:15" x14ac:dyDescent="0.25">
      <c r="A45" s="8" t="s">
        <v>29</v>
      </c>
      <c r="B45" s="15">
        <f t="shared" ref="B45:M45" si="2">1/(1+$B$41)^B44</f>
        <v>0.98492137526088874</v>
      </c>
      <c r="C45" s="15">
        <f t="shared" si="2"/>
        <v>0.97007011544580046</v>
      </c>
      <c r="D45" s="15">
        <f t="shared" si="2"/>
        <v>0.95544279220436701</v>
      </c>
      <c r="E45" s="15">
        <f t="shared" si="2"/>
        <v>0.94103602888102866</v>
      </c>
      <c r="F45" s="15">
        <f t="shared" si="2"/>
        <v>0.926846499735548</v>
      </c>
      <c r="G45" s="15">
        <f t="shared" si="2"/>
        <v>0.9128709291752769</v>
      </c>
      <c r="H45" s="15">
        <f t="shared" si="2"/>
        <v>0.89910609099899941</v>
      </c>
      <c r="I45" s="15">
        <f t="shared" si="2"/>
        <v>0.88554880765217614</v>
      </c>
      <c r="J45" s="15">
        <f t="shared" si="2"/>
        <v>0.8721959494934215</v>
      </c>
      <c r="K45" s="15">
        <f t="shared" si="2"/>
        <v>0.85904443407203745</v>
      </c>
      <c r="L45" s="15">
        <f t="shared" si="2"/>
        <v>0.84609122541644299</v>
      </c>
      <c r="M45" s="15">
        <f t="shared" si="2"/>
        <v>0.8333333333333337</v>
      </c>
      <c r="N45" s="4" t="s">
        <v>6</v>
      </c>
      <c r="O45" s="4"/>
    </row>
    <row r="46" spans="1:15" x14ac:dyDescent="0.25">
      <c r="A46" s="8" t="s">
        <v>30</v>
      </c>
      <c r="B46" s="15">
        <f t="shared" ref="B46:M46" si="3">B45*B27</f>
        <v>20844875.986021448</v>
      </c>
      <c r="C46" s="4">
        <f t="shared" si="3"/>
        <v>727552.58658435033</v>
      </c>
      <c r="D46" s="4">
        <f t="shared" si="3"/>
        <v>716582.09415327525</v>
      </c>
      <c r="E46" s="4">
        <f t="shared" si="3"/>
        <v>395235.13213003206</v>
      </c>
      <c r="F46" s="4">
        <f t="shared" si="3"/>
        <v>2395712.8325164444</v>
      </c>
      <c r="G46" s="4">
        <f t="shared" si="3"/>
        <v>2359588.7777322559</v>
      </c>
      <c r="H46" s="4">
        <f t="shared" si="3"/>
        <v>2324009.4240142135</v>
      </c>
      <c r="I46" s="4">
        <f t="shared" si="3"/>
        <v>371930.49921391398</v>
      </c>
      <c r="J46" s="4">
        <f t="shared" si="3"/>
        <v>366322.29878723703</v>
      </c>
      <c r="K46" s="4">
        <f t="shared" si="3"/>
        <v>360798.66231025575</v>
      </c>
      <c r="L46" s="4">
        <f t="shared" si="3"/>
        <v>355358.31467490608</v>
      </c>
      <c r="M46" s="4">
        <f t="shared" si="3"/>
        <v>350000.00000000017</v>
      </c>
      <c r="N46" s="4">
        <f>SUM(B46:M46)</f>
        <v>31567966.608138334</v>
      </c>
      <c r="O46" s="4"/>
    </row>
    <row r="47" spans="1:15" x14ac:dyDescent="0.25">
      <c r="A47" s="8" t="s">
        <v>31</v>
      </c>
      <c r="B47" s="4">
        <f t="shared" ref="B47:M47" si="4">B45*B28</f>
        <v>0</v>
      </c>
      <c r="C47" s="4">
        <f t="shared" si="4"/>
        <v>0</v>
      </c>
      <c r="D47" s="4">
        <f t="shared" si="4"/>
        <v>0</v>
      </c>
      <c r="E47" s="4">
        <f t="shared" si="4"/>
        <v>10445499.920579419</v>
      </c>
      <c r="F47" s="4">
        <f t="shared" si="4"/>
        <v>6858664.0980430553</v>
      </c>
      <c r="G47" s="4">
        <f t="shared" si="4"/>
        <v>6755244.875897049</v>
      </c>
      <c r="H47" s="4">
        <f t="shared" si="4"/>
        <v>6653385.0733925952</v>
      </c>
      <c r="I47" s="4">
        <f t="shared" si="4"/>
        <v>6553061.176626103</v>
      </c>
      <c r="J47" s="4">
        <f t="shared" si="4"/>
        <v>6454250.0262513189</v>
      </c>
      <c r="K47" s="4">
        <f t="shared" si="4"/>
        <v>3178464.4060665388</v>
      </c>
      <c r="L47" s="4">
        <f t="shared" si="4"/>
        <v>0</v>
      </c>
      <c r="M47" s="4">
        <f t="shared" si="4"/>
        <v>0</v>
      </c>
      <c r="N47" s="4">
        <f t="shared" ref="N47" si="5">SUM(B47:M47)</f>
        <v>46898569.576856077</v>
      </c>
      <c r="O47" s="4"/>
    </row>
    <row r="48" spans="1:15" x14ac:dyDescent="0.25">
      <c r="A48" s="8" t="s">
        <v>32</v>
      </c>
      <c r="B48" s="4">
        <f>B30*B45</f>
        <v>-20844875.986021448</v>
      </c>
      <c r="C48" s="4">
        <f t="shared" ref="C48:M48" si="6">C30*C45</f>
        <v>-727552.58658435033</v>
      </c>
      <c r="D48" s="4">
        <f t="shared" si="6"/>
        <v>-716582.09415327525</v>
      </c>
      <c r="E48" s="4">
        <f>E30*E45</f>
        <v>10050264.788449386</v>
      </c>
      <c r="F48" s="4">
        <f t="shared" si="6"/>
        <v>4462951.2655266104</v>
      </c>
      <c r="G48" s="4">
        <f t="shared" si="6"/>
        <v>4395656.0981647931</v>
      </c>
      <c r="H48" s="4">
        <f t="shared" si="6"/>
        <v>4329375.6493783817</v>
      </c>
      <c r="I48" s="4">
        <f t="shared" si="6"/>
        <v>6181130.6774121895</v>
      </c>
      <c r="J48" s="4">
        <f t="shared" si="6"/>
        <v>6087927.7274640817</v>
      </c>
      <c r="K48" s="4">
        <f t="shared" si="6"/>
        <v>2817665.7437562831</v>
      </c>
      <c r="L48" s="4">
        <f t="shared" si="6"/>
        <v>-355358.31467490608</v>
      </c>
      <c r="M48" s="4">
        <f t="shared" si="6"/>
        <v>-350000.00000000017</v>
      </c>
      <c r="N48" s="4">
        <f>SUM(B48:M48)</f>
        <v>15330602.968717746</v>
      </c>
      <c r="O48" s="4"/>
    </row>
    <row r="50" spans="1:15" x14ac:dyDescent="0.25">
      <c r="B50" s="5" t="s">
        <v>11</v>
      </c>
    </row>
    <row r="51" spans="1:15" x14ac:dyDescent="0.25">
      <c r="A51" s="11" t="s">
        <v>26</v>
      </c>
    </row>
    <row r="52" spans="1:15" x14ac:dyDescent="0.25">
      <c r="A52" t="s">
        <v>22</v>
      </c>
      <c r="B52" s="21">
        <v>1</v>
      </c>
      <c r="C52" s="21">
        <v>2</v>
      </c>
      <c r="D52" s="21">
        <v>3</v>
      </c>
      <c r="E52" s="21">
        <v>4</v>
      </c>
      <c r="F52" s="21">
        <v>5</v>
      </c>
      <c r="G52" s="21">
        <v>6</v>
      </c>
      <c r="H52" s="21">
        <v>7</v>
      </c>
      <c r="I52" s="21">
        <v>8</v>
      </c>
      <c r="J52" s="21">
        <v>9</v>
      </c>
      <c r="K52" s="21">
        <v>10</v>
      </c>
      <c r="L52" s="21">
        <v>11</v>
      </c>
      <c r="M52" s="21">
        <v>12</v>
      </c>
      <c r="N52" s="7" t="s">
        <v>6</v>
      </c>
      <c r="O52" s="22"/>
    </row>
    <row r="53" spans="1:15" x14ac:dyDescent="0.25">
      <c r="A53" s="8" t="s">
        <v>14</v>
      </c>
      <c r="B53" s="3">
        <f>(C10*B10)+E10/3</f>
        <v>53933333.333333336</v>
      </c>
      <c r="C53" s="7">
        <v>1250000</v>
      </c>
      <c r="D53" s="7">
        <v>1250000</v>
      </c>
      <c r="E53" s="3">
        <f>D10</f>
        <v>1260000</v>
      </c>
      <c r="F53" s="7">
        <f>($F$10/6)+$D$10</f>
        <v>4560000</v>
      </c>
      <c r="G53" s="7">
        <f t="shared" ref="G53:K53" si="7">($F$10/6)+$D$10</f>
        <v>4560000</v>
      </c>
      <c r="H53" s="7">
        <f t="shared" si="7"/>
        <v>4560000</v>
      </c>
      <c r="I53" s="7">
        <f t="shared" si="7"/>
        <v>4560000</v>
      </c>
      <c r="J53" s="7">
        <f t="shared" si="7"/>
        <v>4560000</v>
      </c>
      <c r="K53" s="7">
        <f t="shared" si="7"/>
        <v>4560000</v>
      </c>
      <c r="L53" s="7">
        <v>0</v>
      </c>
      <c r="M53" s="7">
        <v>0</v>
      </c>
      <c r="N53" s="16">
        <f>SUM(B53:M53)</f>
        <v>85053333.333333343</v>
      </c>
      <c r="O53" s="16"/>
    </row>
    <row r="54" spans="1:15" x14ac:dyDescent="0.25">
      <c r="A54" s="8" t="s">
        <v>15</v>
      </c>
      <c r="B54" s="3">
        <v>0</v>
      </c>
      <c r="C54" s="7">
        <v>0</v>
      </c>
      <c r="D54" s="7">
        <v>0</v>
      </c>
      <c r="E54" s="3">
        <f>H10*I10*3</f>
        <v>11100000</v>
      </c>
      <c r="F54" s="3">
        <f t="shared" ref="F54:K54" si="8">3700000*5</f>
        <v>18500000</v>
      </c>
      <c r="G54" s="3">
        <f t="shared" si="8"/>
        <v>18500000</v>
      </c>
      <c r="H54" s="3">
        <f t="shared" si="8"/>
        <v>18500000</v>
      </c>
      <c r="I54" s="3">
        <f t="shared" si="8"/>
        <v>18500000</v>
      </c>
      <c r="J54" s="3">
        <f t="shared" si="8"/>
        <v>18500000</v>
      </c>
      <c r="K54" s="3">
        <f t="shared" si="8"/>
        <v>18500000</v>
      </c>
      <c r="L54" s="3">
        <f>3700000*1</f>
        <v>3700000</v>
      </c>
      <c r="M54" s="3">
        <f>3700000*5</f>
        <v>18500000</v>
      </c>
      <c r="N54" s="16">
        <f>SUM(B54:M54)</f>
        <v>144300000</v>
      </c>
      <c r="O54" s="16"/>
    </row>
    <row r="55" spans="1:15" x14ac:dyDescent="0.25">
      <c r="A55" s="8" t="s">
        <v>23</v>
      </c>
      <c r="B55" s="3">
        <f>B54-B53</f>
        <v>-53933333.333333336</v>
      </c>
      <c r="C55" s="3">
        <f>C54-C53</f>
        <v>-1250000</v>
      </c>
      <c r="D55" s="3">
        <f>D54-D53</f>
        <v>-1250000</v>
      </c>
      <c r="E55" s="3">
        <f>E54-E53</f>
        <v>9840000</v>
      </c>
      <c r="F55" s="3">
        <f t="shared" ref="F55:M55" si="9">F54-F53</f>
        <v>13940000</v>
      </c>
      <c r="G55" s="3">
        <f t="shared" si="9"/>
        <v>13940000</v>
      </c>
      <c r="H55" s="3">
        <f t="shared" si="9"/>
        <v>13940000</v>
      </c>
      <c r="I55" s="3">
        <f t="shared" si="9"/>
        <v>13940000</v>
      </c>
      <c r="J55" s="3">
        <f t="shared" si="9"/>
        <v>13940000</v>
      </c>
      <c r="K55" s="3">
        <f t="shared" si="9"/>
        <v>13940000</v>
      </c>
      <c r="L55" s="3">
        <f t="shared" si="9"/>
        <v>3700000</v>
      </c>
      <c r="M55" s="3">
        <f t="shared" si="9"/>
        <v>18500000</v>
      </c>
      <c r="N55" s="16">
        <f>SUM(B55:M55)</f>
        <v>59246666.666666664</v>
      </c>
      <c r="O55" s="16"/>
    </row>
    <row r="56" spans="1:15" x14ac:dyDescent="0.25">
      <c r="A56" s="8" t="s">
        <v>24</v>
      </c>
      <c r="B56" s="3">
        <f>B55</f>
        <v>-53933333.333333336</v>
      </c>
      <c r="C56" s="3">
        <f>B56+C55</f>
        <v>-55183333.333333336</v>
      </c>
      <c r="D56" s="3">
        <f t="shared" ref="D56" si="10">C56+D55</f>
        <v>-56433333.333333336</v>
      </c>
      <c r="E56" s="3">
        <f t="shared" ref="E56" si="11">D56+E55</f>
        <v>-46593333.333333336</v>
      </c>
      <c r="F56" s="3">
        <f t="shared" ref="F56" si="12">E56+F55</f>
        <v>-32653333.333333336</v>
      </c>
      <c r="G56" s="3">
        <f t="shared" ref="G56" si="13">F56+G55</f>
        <v>-18713333.333333336</v>
      </c>
      <c r="H56" s="3">
        <f t="shared" ref="H56" si="14">G56+H55</f>
        <v>-4773333.3333333358</v>
      </c>
      <c r="I56" s="3">
        <f t="shared" ref="I56" si="15">H56+I55</f>
        <v>9166666.6666666642</v>
      </c>
      <c r="J56" s="3">
        <f t="shared" ref="J56" si="16">I56+J55</f>
        <v>23106666.666666664</v>
      </c>
      <c r="K56" s="3">
        <f t="shared" ref="K56" si="17">J56+K55</f>
        <v>37046666.666666664</v>
      </c>
      <c r="L56" s="3">
        <f>K56+L55</f>
        <v>40746666.666666664</v>
      </c>
      <c r="M56" s="10">
        <f t="shared" ref="M56" si="18">L56+M55</f>
        <v>59246666.666666664</v>
      </c>
    </row>
    <row r="57" spans="1:15" x14ac:dyDescent="0.25">
      <c r="A57" s="12" t="s">
        <v>27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5" x14ac:dyDescent="0.25">
      <c r="A58" s="8" t="s">
        <v>14</v>
      </c>
      <c r="B58" s="9">
        <f>N53</f>
        <v>85053333.333333343</v>
      </c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5" x14ac:dyDescent="0.25">
      <c r="A59" s="8" t="s">
        <v>15</v>
      </c>
      <c r="B59" s="9">
        <f>N54</f>
        <v>144300000</v>
      </c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5" x14ac:dyDescent="0.25">
      <c r="A60" t="s">
        <v>16</v>
      </c>
      <c r="B60" s="9">
        <f>B59-B58</f>
        <v>59246666.666666657</v>
      </c>
    </row>
    <row r="61" spans="1:15" x14ac:dyDescent="0.25">
      <c r="A61" t="s">
        <v>17</v>
      </c>
      <c r="B61" s="14">
        <f>B60/B58</f>
        <v>0.69658253644771884</v>
      </c>
    </row>
    <row r="62" spans="1:15" x14ac:dyDescent="0.25">
      <c r="A62" t="s">
        <v>18</v>
      </c>
      <c r="B62" s="7" t="s">
        <v>28</v>
      </c>
    </row>
    <row r="63" spans="1:15" x14ac:dyDescent="0.25">
      <c r="A63" t="s">
        <v>19</v>
      </c>
      <c r="B63" s="7" t="s">
        <v>38</v>
      </c>
    </row>
    <row r="64" spans="1:15" x14ac:dyDescent="0.25">
      <c r="A64" t="s">
        <v>34</v>
      </c>
      <c r="B64" s="3">
        <f>-MIN(B56:L56)</f>
        <v>56433333.333333336</v>
      </c>
      <c r="G64" t="s">
        <v>6</v>
      </c>
      <c r="H64" s="2"/>
    </row>
    <row r="65" spans="1:15" x14ac:dyDescent="0.25">
      <c r="A65" t="s">
        <v>36</v>
      </c>
      <c r="B65" s="18">
        <v>0.2</v>
      </c>
      <c r="H65" s="2" t="s">
        <v>6</v>
      </c>
    </row>
    <row r="66" spans="1:15" x14ac:dyDescent="0.25">
      <c r="A66" t="s">
        <v>33</v>
      </c>
      <c r="B66" s="13">
        <f>(1+$B$65)^(1/12)-1</f>
        <v>1.5309470499731193E-2</v>
      </c>
    </row>
    <row r="67" spans="1:15" x14ac:dyDescent="0.25">
      <c r="A67" t="s">
        <v>20</v>
      </c>
      <c r="B67" s="17">
        <f>NPV(B66,B55:M55)</f>
        <v>46937255.944380298</v>
      </c>
    </row>
    <row r="68" spans="1:15" x14ac:dyDescent="0.25">
      <c r="A68" t="s">
        <v>21</v>
      </c>
      <c r="B68" s="20">
        <v>2.67</v>
      </c>
    </row>
    <row r="69" spans="1:15" x14ac:dyDescent="0.25">
      <c r="A69" t="s">
        <v>22</v>
      </c>
      <c r="B69" s="21">
        <v>1</v>
      </c>
      <c r="C69" s="21">
        <v>2</v>
      </c>
      <c r="D69" s="21">
        <v>3</v>
      </c>
      <c r="E69" s="21">
        <v>4</v>
      </c>
      <c r="F69" s="21">
        <v>5</v>
      </c>
      <c r="G69" s="21">
        <v>6</v>
      </c>
      <c r="H69" s="21">
        <v>7</v>
      </c>
      <c r="I69" s="21">
        <v>8</v>
      </c>
      <c r="J69" s="21">
        <v>9</v>
      </c>
      <c r="K69" s="21">
        <v>10</v>
      </c>
      <c r="L69" s="21">
        <v>11</v>
      </c>
      <c r="M69" s="21">
        <v>12</v>
      </c>
    </row>
    <row r="70" spans="1:15" x14ac:dyDescent="0.25">
      <c r="A70" s="8" t="s">
        <v>29</v>
      </c>
      <c r="B70" s="15">
        <f>1/(1+$B$41)^B69</f>
        <v>0.98492137526088874</v>
      </c>
      <c r="C70" s="15">
        <f>1/(1+$B$41)^C69</f>
        <v>0.97007011544580046</v>
      </c>
      <c r="D70" s="15">
        <f t="shared" ref="D70:M70" si="19">1/(1+$B$41)^D69</f>
        <v>0.95544279220436701</v>
      </c>
      <c r="E70" s="15">
        <f t="shared" si="19"/>
        <v>0.94103602888102866</v>
      </c>
      <c r="F70" s="15">
        <f t="shared" si="19"/>
        <v>0.926846499735548</v>
      </c>
      <c r="G70" s="15">
        <f t="shared" si="19"/>
        <v>0.9128709291752769</v>
      </c>
      <c r="H70" s="15">
        <f t="shared" si="19"/>
        <v>0.89910609099899941</v>
      </c>
      <c r="I70" s="15">
        <f t="shared" si="19"/>
        <v>0.88554880765217614</v>
      </c>
      <c r="J70" s="15">
        <f t="shared" si="19"/>
        <v>0.8721959494934215</v>
      </c>
      <c r="K70" s="15">
        <f t="shared" si="19"/>
        <v>0.85904443407203745</v>
      </c>
      <c r="L70" s="15">
        <f t="shared" si="19"/>
        <v>0.84609122541644299</v>
      </c>
      <c r="M70" s="15">
        <f t="shared" si="19"/>
        <v>0.8333333333333337</v>
      </c>
      <c r="N70" s="4" t="s">
        <v>6</v>
      </c>
      <c r="O70" s="4"/>
    </row>
    <row r="71" spans="1:15" x14ac:dyDescent="0.25">
      <c r="A71" s="8" t="s">
        <v>30</v>
      </c>
      <c r="B71" s="15">
        <f>B70*B53</f>
        <v>53120092.839070603</v>
      </c>
      <c r="C71" s="4">
        <f t="shared" ref="C71:M71" si="20">C70*C53</f>
        <v>1212587.6443072506</v>
      </c>
      <c r="D71" s="4">
        <f t="shared" si="20"/>
        <v>1194303.4902554587</v>
      </c>
      <c r="E71" s="4">
        <f t="shared" si="20"/>
        <v>1185705.3963900961</v>
      </c>
      <c r="F71" s="4">
        <f t="shared" si="20"/>
        <v>4226420.0387940994</v>
      </c>
      <c r="G71" s="4">
        <f t="shared" si="20"/>
        <v>4162691.4370392626</v>
      </c>
      <c r="H71" s="4">
        <f t="shared" si="20"/>
        <v>4099923.7749554375</v>
      </c>
      <c r="I71" s="4">
        <f t="shared" si="20"/>
        <v>4038102.5628939234</v>
      </c>
      <c r="J71" s="4">
        <f t="shared" si="20"/>
        <v>3977213.5296900021</v>
      </c>
      <c r="K71" s="4">
        <f t="shared" si="20"/>
        <v>3917242.6193684908</v>
      </c>
      <c r="L71" s="4">
        <f t="shared" si="20"/>
        <v>0</v>
      </c>
      <c r="M71" s="4">
        <f t="shared" si="20"/>
        <v>0</v>
      </c>
      <c r="N71" s="4">
        <f t="shared" ref="N71:N72" si="21">SUM(B71:M71)</f>
        <v>81134283.332764626</v>
      </c>
      <c r="O71" s="4"/>
    </row>
    <row r="72" spans="1:15" x14ac:dyDescent="0.25">
      <c r="A72" s="8" t="s">
        <v>31</v>
      </c>
      <c r="B72" s="4">
        <f>B70*B54</f>
        <v>0</v>
      </c>
      <c r="C72" s="4">
        <f t="shared" ref="C72:D72" si="22">C70*C54</f>
        <v>0</v>
      </c>
      <c r="D72" s="4">
        <f t="shared" si="22"/>
        <v>0</v>
      </c>
      <c r="E72" s="4">
        <f>E70*E54</f>
        <v>10445499.920579419</v>
      </c>
      <c r="F72" s="4">
        <f t="shared" ref="F72:M72" si="23">F70*F54</f>
        <v>17146660.24510764</v>
      </c>
      <c r="G72" s="4">
        <f t="shared" si="23"/>
        <v>16888112.189742621</v>
      </c>
      <c r="H72" s="4">
        <f t="shared" si="23"/>
        <v>16633462.683481488</v>
      </c>
      <c r="I72" s="4">
        <f t="shared" si="23"/>
        <v>16382652.941565258</v>
      </c>
      <c r="J72" s="4">
        <f t="shared" si="23"/>
        <v>16135625.065628298</v>
      </c>
      <c r="K72" s="4">
        <f t="shared" si="23"/>
        <v>15892322.030332694</v>
      </c>
      <c r="L72" s="4">
        <f t="shared" si="23"/>
        <v>3130537.5340408389</v>
      </c>
      <c r="M72" s="4">
        <f t="shared" si="23"/>
        <v>15416666.666666673</v>
      </c>
      <c r="N72" s="4">
        <f t="shared" si="21"/>
        <v>128071539.27714494</v>
      </c>
      <c r="O72" s="4"/>
    </row>
    <row r="73" spans="1:15" x14ac:dyDescent="0.25">
      <c r="A73" s="8" t="s">
        <v>32</v>
      </c>
      <c r="B73" s="4">
        <f>B55*B70</f>
        <v>-53120092.839070603</v>
      </c>
      <c r="C73" s="4">
        <f t="shared" ref="C73:M73" si="24">C55*C70</f>
        <v>-1212587.6443072506</v>
      </c>
      <c r="D73" s="4">
        <f t="shared" si="24"/>
        <v>-1194303.4902554587</v>
      </c>
      <c r="E73" s="4">
        <f t="shared" si="24"/>
        <v>9259794.5241893213</v>
      </c>
      <c r="F73" s="4">
        <f t="shared" si="24"/>
        <v>12920240.206313539</v>
      </c>
      <c r="G73" s="4">
        <f t="shared" si="24"/>
        <v>12725420.752703359</v>
      </c>
      <c r="H73" s="4">
        <f t="shared" si="24"/>
        <v>12533538.908526052</v>
      </c>
      <c r="I73" s="4">
        <f t="shared" si="24"/>
        <v>12344550.378671335</v>
      </c>
      <c r="J73" s="4">
        <f t="shared" si="24"/>
        <v>12158411.535938296</v>
      </c>
      <c r="K73" s="4">
        <f t="shared" si="24"/>
        <v>11975079.410964202</v>
      </c>
      <c r="L73" s="4">
        <f t="shared" si="24"/>
        <v>3130537.5340408389</v>
      </c>
      <c r="M73" s="4">
        <f t="shared" si="24"/>
        <v>15416666.666666673</v>
      </c>
      <c r="N73" s="4">
        <f>SUM(B73:M73)</f>
        <v>46937255.944380306</v>
      </c>
      <c r="O73" s="4"/>
    </row>
    <row r="77" spans="1:15" x14ac:dyDescent="0.25">
      <c r="B77" s="2" t="s">
        <v>6</v>
      </c>
      <c r="C77" t="s">
        <v>6</v>
      </c>
    </row>
    <row r="78" spans="1:15" x14ac:dyDescent="0.25">
      <c r="C78" t="s">
        <v>6</v>
      </c>
    </row>
  </sheetData>
  <mergeCells count="2">
    <mergeCell ref="D2:E2"/>
    <mergeCell ref="D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OVG</dc:creator>
  <cp:lastModifiedBy>OVG</cp:lastModifiedBy>
  <dcterms:created xsi:type="dcterms:W3CDTF">2021-01-20T19:55:24Z</dcterms:created>
  <dcterms:modified xsi:type="dcterms:W3CDTF">2024-04-29T09:44:54Z</dcterms:modified>
</cp:coreProperties>
</file>